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Data!$A$1:$AQ$195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V100" i="11" l="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K187" i="11"/>
  <c r="AL187" i="11"/>
  <c r="AM187" i="11"/>
  <c r="AN187" i="11"/>
  <c r="AO187" i="11"/>
  <c r="AJ188" i="11"/>
  <c r="AK188" i="11"/>
  <c r="AL188" i="11"/>
  <c r="AM188" i="11"/>
  <c r="AN188" i="11"/>
  <c r="AO188" i="11"/>
  <c r="AJ189" i="11"/>
  <c r="AL189" i="11"/>
  <c r="AN189" i="11"/>
  <c r="AJ190" i="11"/>
  <c r="AL190" i="11"/>
  <c r="AN190" i="11"/>
  <c r="AO177" i="11"/>
  <c r="AN177" i="11"/>
  <c r="AM177" i="11"/>
  <c r="AL177" i="11"/>
  <c r="AK177" i="11"/>
  <c r="AJ17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L168" i="11"/>
  <c r="AN168" i="11"/>
  <c r="AJ169" i="11"/>
  <c r="AL169" i="11"/>
  <c r="AN169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O5" i="11"/>
  <c r="AN5" i="11"/>
  <c r="AM5" i="11"/>
  <c r="AL5" i="11"/>
  <c r="AK5" i="11"/>
  <c r="AJ5" i="11"/>
  <c r="AF190" i="11" l="1"/>
  <c r="AF189" i="11"/>
  <c r="AF174" i="11"/>
  <c r="AF168" i="11"/>
  <c r="AF169" i="11" s="1"/>
  <c r="AH169" i="11" s="1"/>
  <c r="AF152" i="11"/>
  <c r="AF146" i="11"/>
  <c r="AH146" i="11" s="1"/>
  <c r="AF119" i="11"/>
  <c r="AH119" i="11" s="1"/>
  <c r="AG107" i="11"/>
  <c r="AG104" i="11"/>
  <c r="AF112" i="11"/>
  <c r="AF104" i="11"/>
  <c r="AG100" i="11"/>
  <c r="AG98" i="11"/>
  <c r="AG97" i="11"/>
  <c r="AG95" i="11"/>
  <c r="AG91" i="11"/>
  <c r="AG90" i="11"/>
  <c r="AI90" i="11" s="1"/>
  <c r="AF100" i="11"/>
  <c r="AF98" i="11"/>
  <c r="AF97" i="11"/>
  <c r="AH97" i="11" s="1"/>
  <c r="AF95" i="11"/>
  <c r="AF91" i="11"/>
  <c r="AF86" i="11"/>
  <c r="AF53" i="11"/>
  <c r="AF21" i="11"/>
  <c r="AH21" i="11" s="1"/>
  <c r="AH190" i="11"/>
  <c r="AH189" i="11"/>
  <c r="AI188" i="11"/>
  <c r="AH188" i="11"/>
  <c r="AI187" i="1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3" i="11"/>
  <c r="AH173" i="11"/>
  <c r="AI172" i="11"/>
  <c r="AH172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7" i="11"/>
  <c r="AH157" i="11"/>
  <c r="AI156" i="11"/>
  <c r="AH156" i="11"/>
  <c r="AH152" i="11"/>
  <c r="AI151" i="11"/>
  <c r="AH151" i="11"/>
  <c r="AI150" i="11"/>
  <c r="AH150" i="11"/>
  <c r="AI149" i="11"/>
  <c r="AH149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18" i="11"/>
  <c r="AH118" i="11"/>
  <c r="AI117" i="11"/>
  <c r="AH117" i="11"/>
  <c r="AI116" i="11"/>
  <c r="AH116" i="11"/>
  <c r="AI115" i="11"/>
  <c r="AH115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0" i="11"/>
  <c r="AH100" i="11"/>
  <c r="AI99" i="11"/>
  <c r="AH99" i="11"/>
  <c r="AI98" i="11"/>
  <c r="AH98" i="11"/>
  <c r="AI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E130" i="11"/>
  <c r="AD130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E65" i="11"/>
  <c r="AD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E9" i="11"/>
  <c r="AD9" i="11"/>
  <c r="AA9" i="11"/>
  <c r="Z9" i="11"/>
  <c r="W9" i="11"/>
  <c r="V9" i="11"/>
  <c r="S9" i="11"/>
  <c r="R9" i="11"/>
  <c r="O9" i="11"/>
  <c r="N9" i="11"/>
  <c r="K9" i="11"/>
  <c r="J9" i="11"/>
  <c r="G9" i="11"/>
  <c r="F9" i="11"/>
  <c r="AH168" i="11" l="1"/>
  <c r="M91" i="9"/>
  <c r="L91" i="9"/>
  <c r="G91" i="9"/>
  <c r="F91" i="9"/>
  <c r="M99" i="9" l="1"/>
  <c r="L99" i="9"/>
  <c r="J99" i="9"/>
  <c r="M101" i="9" l="1"/>
  <c r="L101" i="9"/>
  <c r="J101" i="9"/>
  <c r="P57" i="9"/>
  <c r="P68" i="9"/>
  <c r="P69" i="9"/>
  <c r="P70" i="9"/>
  <c r="S10" i="9" l="1"/>
  <c r="R10" i="9"/>
  <c r="Q10" i="9"/>
  <c r="P10" i="9"/>
  <c r="S66" i="9"/>
  <c r="R66" i="9"/>
  <c r="Q66" i="9"/>
  <c r="P66" i="9"/>
  <c r="S131" i="9"/>
  <c r="R131" i="9"/>
  <c r="Q131" i="9"/>
  <c r="P131" i="9"/>
  <c r="M98" i="9" l="1"/>
  <c r="L98" i="9"/>
  <c r="J98" i="9"/>
  <c r="M105" i="9" l="1"/>
  <c r="L105" i="9"/>
  <c r="J105" i="9"/>
  <c r="M92" i="9"/>
  <c r="L92" i="9"/>
  <c r="J92" i="9"/>
  <c r="M108" i="9" l="1"/>
  <c r="L108" i="9"/>
  <c r="M96" i="9"/>
  <c r="L96" i="9"/>
  <c r="J96" i="9"/>
  <c r="D194" i="9" l="1"/>
  <c r="D177" i="9"/>
  <c r="D169" i="9"/>
  <c r="D153" i="9"/>
  <c r="D147" i="9"/>
  <c r="E131" i="9" s="1"/>
  <c r="D120" i="9"/>
  <c r="G108" i="9"/>
  <c r="F108" i="9"/>
  <c r="G105" i="9"/>
  <c r="F105" i="9"/>
  <c r="D105" i="9"/>
  <c r="G101" i="9"/>
  <c r="F101" i="9"/>
  <c r="G99" i="9"/>
  <c r="F99" i="9"/>
  <c r="G98" i="9"/>
  <c r="F98" i="9"/>
  <c r="G96" i="9"/>
  <c r="F96" i="9"/>
  <c r="G92" i="9"/>
  <c r="F92" i="9"/>
  <c r="D101" i="9"/>
  <c r="D99" i="9"/>
  <c r="D98" i="9"/>
  <c r="D96" i="9"/>
  <c r="D92" i="9"/>
  <c r="D87" i="9"/>
  <c r="E66" i="9" s="1"/>
  <c r="D54" i="9"/>
  <c r="D22" i="9"/>
  <c r="E10" i="9" s="1"/>
  <c r="D113" i="9" l="1"/>
  <c r="D170" i="9" s="1"/>
  <c r="D195" i="9" s="1"/>
  <c r="AE167" i="11"/>
  <c r="AD167" i="11"/>
  <c r="AA167" i="11"/>
  <c r="Z167" i="11"/>
  <c r="W167" i="11"/>
  <c r="V167" i="11"/>
  <c r="S167" i="11"/>
  <c r="R167" i="11"/>
  <c r="O167" i="11"/>
  <c r="N167" i="11"/>
  <c r="K167" i="11"/>
  <c r="J167" i="11"/>
  <c r="G167" i="11"/>
  <c r="F167" i="11"/>
  <c r="AE166" i="11"/>
  <c r="AD166" i="11"/>
  <c r="AA166" i="11"/>
  <c r="Z166" i="11"/>
  <c r="W166" i="11"/>
  <c r="V166" i="11"/>
  <c r="S166" i="11"/>
  <c r="R166" i="11"/>
  <c r="O166" i="11"/>
  <c r="N166" i="11"/>
  <c r="K166" i="11"/>
  <c r="J166" i="11"/>
  <c r="G166" i="11"/>
  <c r="F166" i="11"/>
  <c r="S168" i="9"/>
  <c r="R168" i="9"/>
  <c r="Q168" i="9"/>
  <c r="P168" i="9"/>
  <c r="S167" i="9"/>
  <c r="R167" i="9"/>
  <c r="Q167" i="9"/>
  <c r="P167" i="9"/>
  <c r="AB189" i="11" l="1"/>
  <c r="AB174" i="11"/>
  <c r="AB168" i="11"/>
  <c r="AB152" i="11"/>
  <c r="AB146" i="11"/>
  <c r="AB119" i="11"/>
  <c r="AC107" i="11"/>
  <c r="AC104" i="11"/>
  <c r="AB104" i="11"/>
  <c r="AC100" i="11"/>
  <c r="AC98" i="11"/>
  <c r="AC97" i="11"/>
  <c r="AC95" i="11"/>
  <c r="AC91" i="11"/>
  <c r="AB100" i="11"/>
  <c r="AB98" i="11"/>
  <c r="AB97" i="11"/>
  <c r="AB95" i="11"/>
  <c r="AB91" i="11"/>
  <c r="AB86" i="11"/>
  <c r="AB53" i="11"/>
  <c r="AB21" i="11"/>
  <c r="AB112" i="11" l="1"/>
  <c r="AE157" i="11"/>
  <c r="AD157" i="11"/>
  <c r="AA157" i="11"/>
  <c r="Z157" i="11"/>
  <c r="W157" i="11"/>
  <c r="V157" i="11"/>
  <c r="S157" i="11"/>
  <c r="R157" i="11"/>
  <c r="O157" i="11"/>
  <c r="N157" i="11"/>
  <c r="K157" i="11"/>
  <c r="J157" i="11"/>
  <c r="G157" i="11"/>
  <c r="F157" i="11"/>
  <c r="AB169" i="11" l="1"/>
  <c r="AB190" i="11" s="1"/>
  <c r="AE188" i="11"/>
  <c r="AD188" i="11"/>
  <c r="AE187" i="11"/>
  <c r="AD187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3" i="11"/>
  <c r="AD173" i="11"/>
  <c r="AE172" i="11"/>
  <c r="AD172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1" i="11"/>
  <c r="AD151" i="11"/>
  <c r="AE150" i="11"/>
  <c r="AD150" i="11"/>
  <c r="AE149" i="11"/>
  <c r="AD149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8" i="11"/>
  <c r="AD118" i="11"/>
  <c r="AE117" i="11"/>
  <c r="AD117" i="11"/>
  <c r="AE116" i="11"/>
  <c r="AD116" i="11"/>
  <c r="AE115" i="11"/>
  <c r="AD115" i="11"/>
  <c r="AE111" i="11"/>
  <c r="AD111" i="11"/>
  <c r="AE110" i="11"/>
  <c r="AD110" i="11"/>
  <c r="AE109" i="11"/>
  <c r="AD109" i="11"/>
  <c r="AE108" i="11"/>
  <c r="AD108" i="11"/>
  <c r="AD107" i="11"/>
  <c r="AE106" i="11"/>
  <c r="AD106" i="11"/>
  <c r="AE105" i="11"/>
  <c r="AD105" i="11"/>
  <c r="AE103" i="11"/>
  <c r="AD103" i="11"/>
  <c r="AE99" i="11"/>
  <c r="AD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8" i="11"/>
  <c r="AD8" i="11"/>
  <c r="AE7" i="11"/>
  <c r="AD7" i="11"/>
  <c r="AE6" i="11"/>
  <c r="AD6" i="11"/>
  <c r="AE5" i="11"/>
  <c r="AD5" i="11"/>
  <c r="S158" i="9" l="1"/>
  <c r="R158" i="9"/>
  <c r="Q158" i="9"/>
  <c r="P158" i="9"/>
  <c r="E168" i="9" l="1"/>
  <c r="E158" i="9" l="1"/>
  <c r="E167" i="9"/>
  <c r="X189" i="11"/>
  <c r="AD189" i="11" s="1"/>
  <c r="X174" i="11"/>
  <c r="X168" i="11"/>
  <c r="AD168" i="11" s="1"/>
  <c r="X152" i="11"/>
  <c r="AD152" i="11" s="1"/>
  <c r="X146" i="11"/>
  <c r="AD146" i="11" s="1"/>
  <c r="X119" i="11"/>
  <c r="AD119" i="11" s="1"/>
  <c r="Y107" i="11"/>
  <c r="AE107" i="11" s="1"/>
  <c r="Y104" i="11"/>
  <c r="AE104" i="11" s="1"/>
  <c r="X104" i="11"/>
  <c r="AD104" i="11" s="1"/>
  <c r="Y100" i="11"/>
  <c r="AE100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100" i="11"/>
  <c r="AD10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8" i="11"/>
  <c r="Z188" i="1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3" i="11"/>
  <c r="Z173" i="11"/>
  <c r="AA172" i="11"/>
  <c r="Z172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6" i="11"/>
  <c r="Z156" i="11"/>
  <c r="AA151" i="11"/>
  <c r="Z151" i="11"/>
  <c r="AA150" i="11"/>
  <c r="Z150" i="11"/>
  <c r="AA149" i="11"/>
  <c r="Z149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8" i="11"/>
  <c r="Z118" i="11"/>
  <c r="AA117" i="11"/>
  <c r="Z117" i="11"/>
  <c r="AA116" i="11"/>
  <c r="Z116" i="11"/>
  <c r="AA115" i="11"/>
  <c r="Z115" i="11"/>
  <c r="AA111" i="11"/>
  <c r="Z111" i="11"/>
  <c r="AA110" i="11"/>
  <c r="Z110" i="11"/>
  <c r="AA109" i="11"/>
  <c r="Z109" i="11"/>
  <c r="AA108" i="11"/>
  <c r="Z108" i="11"/>
  <c r="Z107" i="11"/>
  <c r="AA106" i="11"/>
  <c r="Z106" i="11"/>
  <c r="AA105" i="11"/>
  <c r="Z105" i="11"/>
  <c r="AA103" i="11"/>
  <c r="Z103" i="11"/>
  <c r="AA99" i="11"/>
  <c r="Z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8" i="11"/>
  <c r="Z8" i="11"/>
  <c r="AA7" i="11"/>
  <c r="Z7" i="11"/>
  <c r="AA6" i="11"/>
  <c r="Z6" i="11"/>
  <c r="AA5" i="11"/>
  <c r="Z5" i="11"/>
  <c r="X112" i="11" l="1"/>
  <c r="Z90" i="11"/>
  <c r="X169" i="11" l="1"/>
  <c r="AD169" i="11" s="1"/>
  <c r="R8" i="9"/>
  <c r="R6" i="9"/>
  <c r="T189" i="11"/>
  <c r="Z189" i="11" s="1"/>
  <c r="T174" i="11"/>
  <c r="T168" i="11"/>
  <c r="Z168" i="11" s="1"/>
  <c r="T152" i="11"/>
  <c r="Z152" i="11" s="1"/>
  <c r="T146" i="11"/>
  <c r="Z146" i="11" s="1"/>
  <c r="T119" i="11"/>
  <c r="U107" i="11"/>
  <c r="AA107" i="11" s="1"/>
  <c r="U104" i="11"/>
  <c r="AA104" i="11" s="1"/>
  <c r="T104" i="11"/>
  <c r="Z104" i="11" s="1"/>
  <c r="U100" i="11"/>
  <c r="AA100" i="11" s="1"/>
  <c r="U98" i="11"/>
  <c r="AA98" i="11" s="1"/>
  <c r="U97" i="11"/>
  <c r="AA97" i="11" s="1"/>
  <c r="U95" i="11"/>
  <c r="U91" i="11"/>
  <c r="U90" i="11"/>
  <c r="AA90" i="11" s="1"/>
  <c r="T100" i="11"/>
  <c r="Z100" i="11" s="1"/>
  <c r="T98" i="11"/>
  <c r="Z98" i="11" s="1"/>
  <c r="T97" i="11"/>
  <c r="Z97" i="11" s="1"/>
  <c r="T95" i="11"/>
  <c r="Z95" i="11" s="1"/>
  <c r="T91" i="11"/>
  <c r="Z91" i="11" s="1"/>
  <c r="T86" i="11"/>
  <c r="T53" i="11"/>
  <c r="T21" i="11"/>
  <c r="Z21" i="11" s="1"/>
  <c r="X190" i="11" l="1"/>
  <c r="AD190" i="11" s="1"/>
  <c r="Z53" i="11"/>
  <c r="AA91" i="11"/>
  <c r="Z119" i="11"/>
  <c r="Z86" i="11"/>
  <c r="AA95" i="11"/>
  <c r="T112" i="11"/>
  <c r="W188" i="11"/>
  <c r="V188" i="11"/>
  <c r="W187" i="11"/>
  <c r="V187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3" i="11"/>
  <c r="V173" i="11"/>
  <c r="W172" i="11"/>
  <c r="V172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6" i="11"/>
  <c r="V156" i="11"/>
  <c r="W151" i="11"/>
  <c r="V151" i="11"/>
  <c r="W150" i="11"/>
  <c r="V150" i="11"/>
  <c r="W149" i="11"/>
  <c r="V149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8" i="11"/>
  <c r="V118" i="11"/>
  <c r="W117" i="11"/>
  <c r="V117" i="11"/>
  <c r="W116" i="11"/>
  <c r="V116" i="11"/>
  <c r="W115" i="11"/>
  <c r="V115" i="11"/>
  <c r="W111" i="11"/>
  <c r="V111" i="11"/>
  <c r="W110" i="11"/>
  <c r="V110" i="11"/>
  <c r="W109" i="11"/>
  <c r="V109" i="11"/>
  <c r="W108" i="11"/>
  <c r="V108" i="11"/>
  <c r="V107" i="11"/>
  <c r="W106" i="11"/>
  <c r="V106" i="11"/>
  <c r="W105" i="11"/>
  <c r="V105" i="11"/>
  <c r="W103" i="11"/>
  <c r="V103" i="11"/>
  <c r="W99" i="11"/>
  <c r="V99" i="11"/>
  <c r="W96" i="11"/>
  <c r="V96" i="11"/>
  <c r="W94" i="11"/>
  <c r="V94" i="11"/>
  <c r="W93" i="11"/>
  <c r="V93" i="11"/>
  <c r="W92" i="11"/>
  <c r="V92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8" i="11"/>
  <c r="V8" i="11"/>
  <c r="W7" i="11"/>
  <c r="V7" i="11"/>
  <c r="W6" i="11"/>
  <c r="V6" i="11"/>
  <c r="W5" i="11"/>
  <c r="V5" i="11"/>
  <c r="T169" i="11" l="1"/>
  <c r="Q107" i="11"/>
  <c r="W107" i="11" s="1"/>
  <c r="Q104" i="11"/>
  <c r="W104" i="11" s="1"/>
  <c r="P104" i="11"/>
  <c r="V104" i="11" s="1"/>
  <c r="Q100" i="11"/>
  <c r="W100" i="11" s="1"/>
  <c r="Q98" i="11"/>
  <c r="W98" i="11" s="1"/>
  <c r="Q97" i="11"/>
  <c r="W97" i="11" s="1"/>
  <c r="Q95" i="11"/>
  <c r="W95" i="11" s="1"/>
  <c r="Q91" i="11"/>
  <c r="W91" i="11" s="1"/>
  <c r="Q90" i="11"/>
  <c r="W90" i="11" s="1"/>
  <c r="P100" i="11"/>
  <c r="P98" i="11"/>
  <c r="V98" i="11" s="1"/>
  <c r="P97" i="11"/>
  <c r="V97" i="11" s="1"/>
  <c r="P95" i="11"/>
  <c r="V95" i="11" s="1"/>
  <c r="P91" i="11"/>
  <c r="V91" i="11" s="1"/>
  <c r="P189" i="11"/>
  <c r="V189" i="11" s="1"/>
  <c r="P174" i="11"/>
  <c r="P168" i="11"/>
  <c r="V168" i="11" s="1"/>
  <c r="P152" i="11"/>
  <c r="V152" i="11" s="1"/>
  <c r="P146" i="11"/>
  <c r="V146" i="11" s="1"/>
  <c r="P119" i="11"/>
  <c r="V119" i="11" s="1"/>
  <c r="P86" i="11"/>
  <c r="V86" i="11" s="1"/>
  <c r="P53" i="11"/>
  <c r="V53" i="11" s="1"/>
  <c r="P21" i="11"/>
  <c r="V21" i="11" s="1"/>
  <c r="Z169" i="11" l="1"/>
  <c r="T190" i="11"/>
  <c r="P112" i="11"/>
  <c r="P169" i="11" s="1"/>
  <c r="P190" i="11" s="1"/>
  <c r="S188" i="11"/>
  <c r="R188" i="11"/>
  <c r="S187" i="11"/>
  <c r="R187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3" i="11"/>
  <c r="R173" i="11"/>
  <c r="S172" i="11"/>
  <c r="R172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6" i="11"/>
  <c r="R156" i="11"/>
  <c r="S151" i="11"/>
  <c r="R151" i="11"/>
  <c r="S150" i="11"/>
  <c r="R150" i="11"/>
  <c r="S149" i="11"/>
  <c r="R149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8" i="11"/>
  <c r="R118" i="11"/>
  <c r="S117" i="11"/>
  <c r="R117" i="11"/>
  <c r="S116" i="11"/>
  <c r="R116" i="11"/>
  <c r="S115" i="11"/>
  <c r="R115" i="11"/>
  <c r="S111" i="11"/>
  <c r="R111" i="11"/>
  <c r="S110" i="11"/>
  <c r="R110" i="11"/>
  <c r="S109" i="11"/>
  <c r="R109" i="11"/>
  <c r="S108" i="11"/>
  <c r="R108" i="11"/>
  <c r="R107" i="11"/>
  <c r="S106" i="11"/>
  <c r="R106" i="11"/>
  <c r="S105" i="11"/>
  <c r="R105" i="11"/>
  <c r="S103" i="11"/>
  <c r="R103" i="11"/>
  <c r="S100" i="11"/>
  <c r="S99" i="11"/>
  <c r="R99" i="11"/>
  <c r="S96" i="11"/>
  <c r="R96" i="11"/>
  <c r="S94" i="11"/>
  <c r="R94" i="11"/>
  <c r="S93" i="11"/>
  <c r="R93" i="11"/>
  <c r="S92" i="11"/>
  <c r="R92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8" i="11"/>
  <c r="R8" i="11"/>
  <c r="S7" i="11"/>
  <c r="R7" i="11"/>
  <c r="S6" i="11"/>
  <c r="R6" i="11"/>
  <c r="S5" i="11"/>
  <c r="R5" i="11"/>
  <c r="V169" i="11" l="1"/>
  <c r="Z190" i="11"/>
  <c r="V190" i="11"/>
  <c r="R100" i="11"/>
  <c r="O99" i="11"/>
  <c r="N99" i="11"/>
  <c r="K99" i="11"/>
  <c r="J99" i="11"/>
  <c r="G99" i="11"/>
  <c r="F99" i="11"/>
  <c r="S100" i="9"/>
  <c r="R100" i="9"/>
  <c r="Q100" i="9"/>
  <c r="P100" i="9"/>
  <c r="E100" i="9" l="1"/>
  <c r="L189" i="11" l="1"/>
  <c r="R189" i="11" s="1"/>
  <c r="L174" i="11"/>
  <c r="L168" i="11"/>
  <c r="R168" i="11" s="1"/>
  <c r="L152" i="11"/>
  <c r="R152" i="11" s="1"/>
  <c r="L146" i="11"/>
  <c r="R146" i="11" s="1"/>
  <c r="L119" i="11"/>
  <c r="R119" i="11" s="1"/>
  <c r="M107" i="11"/>
  <c r="S107" i="11" s="1"/>
  <c r="M104" i="11"/>
  <c r="S104" i="11" s="1"/>
  <c r="L104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J153" i="9"/>
  <c r="O188" i="11"/>
  <c r="N188" i="1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3" i="11"/>
  <c r="N173" i="11"/>
  <c r="O172" i="11"/>
  <c r="N172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6" i="11"/>
  <c r="N156" i="11"/>
  <c r="O151" i="11"/>
  <c r="N151" i="11"/>
  <c r="O150" i="11"/>
  <c r="N150" i="11"/>
  <c r="O149" i="11"/>
  <c r="N149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8" i="11"/>
  <c r="N118" i="11"/>
  <c r="O117" i="11"/>
  <c r="N117" i="11"/>
  <c r="O116" i="11"/>
  <c r="N116" i="11"/>
  <c r="O115" i="11"/>
  <c r="N115" i="11"/>
  <c r="O111" i="11"/>
  <c r="N111" i="11"/>
  <c r="O110" i="11"/>
  <c r="N110" i="11"/>
  <c r="O109" i="11"/>
  <c r="N109" i="11"/>
  <c r="O108" i="11"/>
  <c r="N108" i="11"/>
  <c r="N107" i="11"/>
  <c r="O106" i="11"/>
  <c r="N106" i="11"/>
  <c r="O105" i="11"/>
  <c r="N105" i="11"/>
  <c r="O103" i="11"/>
  <c r="N103" i="11"/>
  <c r="O100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8" i="11"/>
  <c r="N8" i="11"/>
  <c r="O7" i="11"/>
  <c r="N7" i="11"/>
  <c r="O6" i="11"/>
  <c r="N6" i="11"/>
  <c r="O5" i="11"/>
  <c r="N5" i="11"/>
  <c r="N90" i="11" l="1"/>
  <c r="R104" i="11"/>
  <c r="L112" i="11"/>
  <c r="N100" i="11" s="1"/>
  <c r="L169" i="11" l="1"/>
  <c r="H119" i="11"/>
  <c r="N119" i="11" s="1"/>
  <c r="H86" i="11"/>
  <c r="N86" i="11" s="1"/>
  <c r="L190" i="11" l="1"/>
  <c r="R190" i="11" s="1"/>
  <c r="R169" i="11"/>
  <c r="H189" i="11"/>
  <c r="N189" i="11" s="1"/>
  <c r="H174" i="11"/>
  <c r="H168" i="11"/>
  <c r="N168" i="11" s="1"/>
  <c r="H152" i="11"/>
  <c r="N152" i="11" s="1"/>
  <c r="H146" i="11"/>
  <c r="N146" i="11" s="1"/>
  <c r="I107" i="11"/>
  <c r="O107" i="11" s="1"/>
  <c r="I104" i="11"/>
  <c r="O104" i="11" s="1"/>
  <c r="H104" i="11"/>
  <c r="N104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53" i="11"/>
  <c r="N53" i="11" s="1"/>
  <c r="H21" i="11"/>
  <c r="N21" i="11" s="1"/>
  <c r="K188" i="11"/>
  <c r="J188" i="1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3" i="11"/>
  <c r="J173" i="11"/>
  <c r="K172" i="11"/>
  <c r="J172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6" i="11"/>
  <c r="J156" i="11"/>
  <c r="K151" i="11"/>
  <c r="J151" i="11"/>
  <c r="K150" i="11"/>
  <c r="J150" i="11"/>
  <c r="K149" i="11"/>
  <c r="J149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18" i="11"/>
  <c r="J118" i="11"/>
  <c r="K117" i="11"/>
  <c r="J117" i="11"/>
  <c r="K116" i="11"/>
  <c r="J116" i="11"/>
  <c r="K115" i="11"/>
  <c r="J115" i="11"/>
  <c r="K111" i="11"/>
  <c r="J111" i="11"/>
  <c r="K110" i="11"/>
  <c r="J110" i="11"/>
  <c r="K109" i="11"/>
  <c r="J109" i="11"/>
  <c r="K108" i="11"/>
  <c r="J108" i="11"/>
  <c r="J107" i="11"/>
  <c r="K106" i="11"/>
  <c r="J106" i="11"/>
  <c r="K105" i="11"/>
  <c r="J105" i="11"/>
  <c r="K103" i="11"/>
  <c r="J103" i="11"/>
  <c r="K100" i="11"/>
  <c r="K96" i="11"/>
  <c r="J96" i="11"/>
  <c r="K94" i="11"/>
  <c r="J94" i="11"/>
  <c r="K93" i="11"/>
  <c r="J93" i="11"/>
  <c r="K92" i="11"/>
  <c r="J92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8" i="11"/>
  <c r="J8" i="11"/>
  <c r="K7" i="11"/>
  <c r="J7" i="11"/>
  <c r="K6" i="11"/>
  <c r="J6" i="11"/>
  <c r="K5" i="11"/>
  <c r="J5" i="11"/>
  <c r="H112" i="11" l="1"/>
  <c r="H169" i="11" s="1"/>
  <c r="N169" i="11" s="1"/>
  <c r="H190" i="11" l="1"/>
  <c r="N190" i="11" s="1"/>
  <c r="J100" i="11"/>
  <c r="P132" i="9"/>
  <c r="D189" i="11" l="1"/>
  <c r="J189" i="11" s="1"/>
  <c r="D174" i="11"/>
  <c r="D168" i="11"/>
  <c r="J168" i="11" s="1"/>
  <c r="D152" i="11"/>
  <c r="J152" i="11" s="1"/>
  <c r="D146" i="11"/>
  <c r="J146" i="11" s="1"/>
  <c r="D119" i="11"/>
  <c r="J119" i="11" s="1"/>
  <c r="E107" i="11"/>
  <c r="K107" i="11" s="1"/>
  <c r="E104" i="11"/>
  <c r="K104" i="11" s="1"/>
  <c r="D104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38" i="11"/>
  <c r="F38" i="11"/>
  <c r="G188" i="11"/>
  <c r="F188" i="1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3" i="11"/>
  <c r="F173" i="11"/>
  <c r="G172" i="11"/>
  <c r="F172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6" i="11"/>
  <c r="F156" i="11"/>
  <c r="G151" i="11"/>
  <c r="F151" i="11"/>
  <c r="G150" i="11"/>
  <c r="F150" i="11"/>
  <c r="G149" i="11"/>
  <c r="F149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18" i="11"/>
  <c r="F118" i="11"/>
  <c r="G117" i="11"/>
  <c r="F117" i="11"/>
  <c r="G116" i="11"/>
  <c r="F116" i="11"/>
  <c r="G115" i="11"/>
  <c r="F115" i="11"/>
  <c r="G111" i="11"/>
  <c r="F111" i="11"/>
  <c r="G110" i="11"/>
  <c r="F110" i="11"/>
  <c r="G109" i="11"/>
  <c r="F109" i="11"/>
  <c r="G108" i="11"/>
  <c r="F108" i="11"/>
  <c r="F107" i="11"/>
  <c r="G106" i="11"/>
  <c r="F106" i="11"/>
  <c r="G105" i="11"/>
  <c r="F105" i="11"/>
  <c r="G103" i="11"/>
  <c r="F103" i="11"/>
  <c r="G100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8" i="11"/>
  <c r="F8" i="11"/>
  <c r="G7" i="11"/>
  <c r="F7" i="11"/>
  <c r="G6" i="11"/>
  <c r="F6" i="11"/>
  <c r="G5" i="11"/>
  <c r="F5" i="11"/>
  <c r="F90" i="11" l="1"/>
  <c r="J104" i="11"/>
  <c r="D112" i="11"/>
  <c r="F100" i="11" s="1"/>
  <c r="S38" i="9"/>
  <c r="R38" i="9"/>
  <c r="Q38" i="9"/>
  <c r="P38" i="9"/>
  <c r="D169" i="11" l="1"/>
  <c r="J169" i="11" s="1"/>
  <c r="B189" i="11"/>
  <c r="B174" i="11"/>
  <c r="B168" i="11"/>
  <c r="B152" i="11"/>
  <c r="B146" i="11"/>
  <c r="B119" i="11"/>
  <c r="C107" i="11"/>
  <c r="C104" i="11"/>
  <c r="B104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8" i="11" l="1"/>
  <c r="G107" i="11"/>
  <c r="G90" i="11"/>
  <c r="F119" i="11"/>
  <c r="F21" i="11"/>
  <c r="G91" i="11"/>
  <c r="F146" i="11"/>
  <c r="F53" i="11"/>
  <c r="G95" i="11"/>
  <c r="F152" i="11"/>
  <c r="F86" i="11"/>
  <c r="G97" i="11"/>
  <c r="F91" i="11"/>
  <c r="G98" i="11"/>
  <c r="F95" i="11"/>
  <c r="F104" i="11"/>
  <c r="F189" i="11"/>
  <c r="F97" i="11"/>
  <c r="G104" i="11"/>
  <c r="F168" i="11"/>
  <c r="D190" i="11"/>
  <c r="J190" i="11" s="1"/>
  <c r="B112" i="11"/>
  <c r="B169" i="11" l="1"/>
  <c r="F169" i="11" l="1"/>
  <c r="B190" i="11"/>
  <c r="F190" i="11" l="1"/>
  <c r="E123" i="9" l="1"/>
  <c r="E130" i="9" l="1"/>
  <c r="E145" i="9"/>
  <c r="E128" i="9"/>
  <c r="E143" i="9"/>
  <c r="E136" i="9"/>
  <c r="E127" i="9"/>
  <c r="E146" i="9"/>
  <c r="E138" i="9"/>
  <c r="E137" i="9"/>
  <c r="E135" i="9"/>
  <c r="E126" i="9"/>
  <c r="E139" i="9"/>
  <c r="E144" i="9"/>
  <c r="E142" i="9"/>
  <c r="E134" i="9"/>
  <c r="E125" i="9"/>
  <c r="E129" i="9"/>
  <c r="E141" i="9"/>
  <c r="E133" i="9"/>
  <c r="E124" i="9"/>
  <c r="E140" i="9"/>
  <c r="E132" i="9"/>
  <c r="P111" i="9" l="1"/>
  <c r="Q111" i="9"/>
  <c r="R111" i="9"/>
  <c r="S111" i="9"/>
  <c r="S137" i="9" l="1"/>
  <c r="R137" i="9"/>
  <c r="Q137" i="9"/>
  <c r="P137" i="9"/>
  <c r="S42" i="9"/>
  <c r="R42" i="9"/>
  <c r="Q42" i="9"/>
  <c r="P42" i="9"/>
  <c r="S14" i="9"/>
  <c r="R14" i="9"/>
  <c r="Q14" i="9"/>
  <c r="P14" i="9"/>
  <c r="E14" i="9" l="1"/>
  <c r="J10" i="1" l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K151" i="9" l="1"/>
  <c r="K150" i="9" l="1"/>
  <c r="K152" i="9"/>
  <c r="P47" i="9" l="1"/>
  <c r="S192" i="9" l="1"/>
  <c r="S190" i="9"/>
  <c r="S189" i="9"/>
  <c r="S193" i="9"/>
  <c r="S191" i="9"/>
  <c r="S186" i="9"/>
  <c r="S183" i="9"/>
  <c r="S188" i="9"/>
  <c r="S187" i="9"/>
  <c r="S182" i="9"/>
  <c r="S185" i="9"/>
  <c r="S184" i="9"/>
  <c r="S194" i="9"/>
  <c r="S181" i="9"/>
  <c r="S176" i="9"/>
  <c r="S177" i="9"/>
  <c r="S175" i="9"/>
  <c r="S164" i="9"/>
  <c r="S165" i="9"/>
  <c r="S161" i="9"/>
  <c r="S162" i="9"/>
  <c r="S163" i="9"/>
  <c r="S169" i="9"/>
  <c r="S166" i="9"/>
  <c r="S157" i="9"/>
  <c r="S152" i="9"/>
  <c r="S150" i="9"/>
  <c r="S153" i="9"/>
  <c r="S151" i="9"/>
  <c r="S146" i="9"/>
  <c r="S143" i="9"/>
  <c r="S124" i="9"/>
  <c r="S125" i="9"/>
  <c r="S134" i="9"/>
  <c r="S145" i="9"/>
  <c r="S127" i="9"/>
  <c r="S135" i="9"/>
  <c r="S139" i="9"/>
  <c r="S141" i="9"/>
  <c r="S144" i="9"/>
  <c r="S130" i="9"/>
  <c r="S136" i="9"/>
  <c r="S123" i="9"/>
  <c r="S128" i="9"/>
  <c r="S138" i="9"/>
  <c r="S126" i="9"/>
  <c r="S140" i="9"/>
  <c r="S133" i="9"/>
  <c r="S129" i="9"/>
  <c r="S132" i="9"/>
  <c r="S147" i="9"/>
  <c r="S142" i="9"/>
  <c r="S118" i="9"/>
  <c r="S119" i="9"/>
  <c r="S116" i="9"/>
  <c r="S120" i="9"/>
  <c r="S117" i="9"/>
  <c r="S112" i="9"/>
  <c r="S106" i="9"/>
  <c r="S104" i="9"/>
  <c r="S107" i="9"/>
  <c r="S109" i="9"/>
  <c r="S108" i="9"/>
  <c r="S105" i="9"/>
  <c r="S113" i="9"/>
  <c r="S110" i="9"/>
  <c r="S101" i="9"/>
  <c r="S97" i="9"/>
  <c r="S99" i="9"/>
  <c r="S91" i="9"/>
  <c r="S92" i="9"/>
  <c r="S93" i="9"/>
  <c r="S96" i="9"/>
  <c r="S98" i="9"/>
  <c r="S94" i="9"/>
  <c r="S76" i="9"/>
  <c r="S70" i="9"/>
  <c r="S69" i="9"/>
  <c r="S63" i="9"/>
  <c r="S84" i="9"/>
  <c r="S85" i="9"/>
  <c r="S86" i="9"/>
  <c r="S62" i="9"/>
  <c r="S83" i="9"/>
  <c r="S78" i="9"/>
  <c r="S73" i="9"/>
  <c r="S79" i="9"/>
  <c r="S81" i="9"/>
  <c r="S77" i="9"/>
  <c r="S74" i="9"/>
  <c r="S71" i="9"/>
  <c r="S68" i="9"/>
  <c r="S72" i="9"/>
  <c r="S65" i="9"/>
  <c r="S57" i="9"/>
  <c r="S58" i="9"/>
  <c r="S82" i="9"/>
  <c r="S60" i="9"/>
  <c r="S61" i="9"/>
  <c r="S75" i="9"/>
  <c r="S64" i="9"/>
  <c r="S59" i="9"/>
  <c r="S67" i="9"/>
  <c r="S87" i="9"/>
  <c r="S80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5" i="9"/>
  <c r="S12" i="9"/>
  <c r="S18" i="9"/>
  <c r="S6" i="9"/>
  <c r="S21" i="9"/>
  <c r="S8" i="9"/>
  <c r="S11" i="9"/>
  <c r="S16" i="9"/>
  <c r="S19" i="9"/>
  <c r="S9" i="9"/>
  <c r="S17" i="9"/>
  <c r="S7" i="9"/>
  <c r="S13" i="9"/>
  <c r="S22" i="9"/>
  <c r="S20" i="9"/>
  <c r="P17" i="9" l="1"/>
  <c r="K10" i="1" l="1"/>
  <c r="K12" i="1" l="1"/>
  <c r="R105" i="9" l="1"/>
  <c r="Q105" i="9"/>
  <c r="P105" i="9"/>
  <c r="R98" i="9"/>
  <c r="Q98" i="9"/>
  <c r="P98" i="9"/>
  <c r="E111" i="9" l="1"/>
  <c r="E98" i="9"/>
  <c r="J22" i="9" l="1"/>
  <c r="K16" i="9" s="1"/>
  <c r="K14" i="9" l="1"/>
  <c r="R96" i="9"/>
  <c r="P96" i="9"/>
  <c r="Q96" i="9"/>
  <c r="E96" i="9" l="1"/>
  <c r="R194" i="9" l="1"/>
  <c r="Q99" i="9"/>
  <c r="Q20" i="9"/>
  <c r="R132" i="9" l="1"/>
  <c r="Q132" i="9"/>
  <c r="R67" i="9"/>
  <c r="Q67" i="9"/>
  <c r="P67" i="9"/>
  <c r="R13" i="9"/>
  <c r="Q13" i="9"/>
  <c r="P13" i="9"/>
  <c r="E67" i="9" l="1"/>
  <c r="E13" i="9"/>
  <c r="R59" i="9" l="1"/>
  <c r="Q59" i="9"/>
  <c r="P59" i="9"/>
  <c r="E59" i="9" l="1"/>
  <c r="J147" i="9" l="1"/>
  <c r="K131" i="9" s="1"/>
  <c r="J120" i="9"/>
  <c r="J113" i="9"/>
  <c r="J87" i="9"/>
  <c r="K66" i="9" s="1"/>
  <c r="J54" i="9"/>
  <c r="K38" i="9" s="1"/>
  <c r="K97" i="9" l="1"/>
  <c r="K98" i="9"/>
  <c r="K77" i="9"/>
  <c r="K62" i="9"/>
  <c r="K100" i="9"/>
  <c r="K110" i="9"/>
  <c r="K95" i="9"/>
  <c r="K104" i="9"/>
  <c r="K123" i="9"/>
  <c r="K130" i="9"/>
  <c r="K146" i="9"/>
  <c r="K137" i="9"/>
  <c r="K25" i="9"/>
  <c r="K42" i="9"/>
  <c r="K140" i="9"/>
  <c r="K143" i="9"/>
  <c r="K111" i="9"/>
  <c r="K129" i="9"/>
  <c r="K83" i="9"/>
  <c r="K81" i="9"/>
  <c r="K105" i="9"/>
  <c r="E105" i="9"/>
  <c r="K96" i="9"/>
  <c r="K52" i="9"/>
  <c r="K44" i="9"/>
  <c r="K67" i="9"/>
  <c r="K60" i="9"/>
  <c r="K132" i="9"/>
  <c r="K125" i="9"/>
  <c r="K43" i="9"/>
  <c r="K46" i="9"/>
  <c r="K27" i="9"/>
  <c r="K40" i="9"/>
  <c r="K37" i="9"/>
  <c r="K51" i="9"/>
  <c r="K33" i="9"/>
  <c r="K39" i="9"/>
  <c r="K49" i="9"/>
  <c r="K31" i="9"/>
  <c r="K45" i="9"/>
  <c r="K139" i="9"/>
  <c r="K126" i="9"/>
  <c r="K59" i="9"/>
  <c r="K74" i="9"/>
  <c r="R93" i="9"/>
  <c r="Q93" i="9"/>
  <c r="P93" i="9"/>
  <c r="K93" i="9"/>
  <c r="R162" i="9"/>
  <c r="Q162" i="9"/>
  <c r="P162" i="9"/>
  <c r="R129" i="9"/>
  <c r="Q129" i="9"/>
  <c r="P129" i="9"/>
  <c r="E93" i="9"/>
  <c r="E162" i="9" l="1"/>
  <c r="J194" i="9" l="1"/>
  <c r="K184" i="9" s="1"/>
  <c r="J177" i="9"/>
  <c r="J169" i="9"/>
  <c r="K167" i="9" l="1"/>
  <c r="K168" i="9"/>
  <c r="K157" i="9"/>
  <c r="K158" i="9"/>
  <c r="J170" i="9"/>
  <c r="K185" i="9"/>
  <c r="K192" i="9"/>
  <c r="K162" i="9"/>
  <c r="J195" i="9" l="1"/>
  <c r="K169" i="9"/>
  <c r="R184" i="9"/>
  <c r="Q184" i="9"/>
  <c r="P184" i="9"/>
  <c r="E184" i="9"/>
  <c r="R185" i="9"/>
  <c r="Q185" i="9"/>
  <c r="P185" i="9"/>
  <c r="E185" i="9"/>
  <c r="R182" i="9"/>
  <c r="Q182" i="9"/>
  <c r="P182" i="9"/>
  <c r="E182" i="9"/>
  <c r="R187" i="9"/>
  <c r="Q187" i="9"/>
  <c r="P187" i="9"/>
  <c r="E187" i="9"/>
  <c r="R188" i="9"/>
  <c r="Q188" i="9"/>
  <c r="P188" i="9"/>
  <c r="E188" i="9"/>
  <c r="R183" i="9"/>
  <c r="Q183" i="9"/>
  <c r="P183" i="9"/>
  <c r="E183" i="9"/>
  <c r="R186" i="9"/>
  <c r="Q186" i="9"/>
  <c r="P186" i="9"/>
  <c r="E186" i="9"/>
  <c r="R191" i="9"/>
  <c r="Q191" i="9"/>
  <c r="P191" i="9"/>
  <c r="E191" i="9"/>
  <c r="R193" i="9"/>
  <c r="Q193" i="9"/>
  <c r="P193" i="9"/>
  <c r="E193" i="9"/>
  <c r="R189" i="9"/>
  <c r="Q189" i="9"/>
  <c r="P189" i="9"/>
  <c r="E189" i="9"/>
  <c r="R190" i="9"/>
  <c r="Q190" i="9"/>
  <c r="P190" i="9"/>
  <c r="E190" i="9"/>
  <c r="R192" i="9"/>
  <c r="Q192" i="9"/>
  <c r="P192" i="9"/>
  <c r="E192" i="9"/>
  <c r="R177" i="9"/>
  <c r="P177" i="9"/>
  <c r="R176" i="9"/>
  <c r="Q176" i="9"/>
  <c r="P176" i="9"/>
  <c r="K176" i="9"/>
  <c r="E176" i="9"/>
  <c r="R175" i="9"/>
  <c r="Q175" i="9"/>
  <c r="P175" i="9"/>
  <c r="K175" i="9"/>
  <c r="E175" i="9"/>
  <c r="R169" i="9"/>
  <c r="K166" i="9"/>
  <c r="R163" i="9"/>
  <c r="Q163" i="9"/>
  <c r="P163" i="9"/>
  <c r="R161" i="9"/>
  <c r="Q161" i="9"/>
  <c r="P161" i="9"/>
  <c r="R165" i="9"/>
  <c r="Q165" i="9"/>
  <c r="P165" i="9"/>
  <c r="R164" i="9"/>
  <c r="Q164" i="9"/>
  <c r="P164" i="9"/>
  <c r="E164" i="9"/>
  <c r="R166" i="9"/>
  <c r="Q166" i="9"/>
  <c r="P166" i="9"/>
  <c r="R157" i="9"/>
  <c r="Q157" i="9"/>
  <c r="P157" i="9"/>
  <c r="R153" i="9"/>
  <c r="P153" i="9"/>
  <c r="R150" i="9"/>
  <c r="Q150" i="9"/>
  <c r="P150" i="9"/>
  <c r="E150" i="9"/>
  <c r="R152" i="9"/>
  <c r="Q152" i="9"/>
  <c r="P152" i="9"/>
  <c r="E152" i="9"/>
  <c r="R151" i="9"/>
  <c r="Q151" i="9"/>
  <c r="P151" i="9"/>
  <c r="E151" i="9"/>
  <c r="R147" i="9"/>
  <c r="R133" i="9"/>
  <c r="Q133" i="9"/>
  <c r="P133" i="9"/>
  <c r="R140" i="9"/>
  <c r="Q140" i="9"/>
  <c r="P140" i="9"/>
  <c r="R126" i="9"/>
  <c r="Q126" i="9"/>
  <c r="P126" i="9"/>
  <c r="R138" i="9"/>
  <c r="Q138" i="9"/>
  <c r="P138" i="9"/>
  <c r="R128" i="9"/>
  <c r="Q128" i="9"/>
  <c r="P128" i="9"/>
  <c r="R123" i="9"/>
  <c r="Q123" i="9"/>
  <c r="P123" i="9"/>
  <c r="R136" i="9"/>
  <c r="Q136" i="9"/>
  <c r="P136" i="9"/>
  <c r="R130" i="9"/>
  <c r="Q130" i="9"/>
  <c r="P130" i="9"/>
  <c r="R144" i="9"/>
  <c r="Q144" i="9"/>
  <c r="P144" i="9"/>
  <c r="R141" i="9"/>
  <c r="Q141" i="9"/>
  <c r="P141" i="9"/>
  <c r="R139" i="9"/>
  <c r="Q139" i="9"/>
  <c r="P139" i="9"/>
  <c r="R135" i="9"/>
  <c r="Q135" i="9"/>
  <c r="P135" i="9"/>
  <c r="R127" i="9"/>
  <c r="Q127" i="9"/>
  <c r="P127" i="9"/>
  <c r="R145" i="9"/>
  <c r="Q145" i="9"/>
  <c r="P145" i="9"/>
  <c r="R134" i="9"/>
  <c r="Q134" i="9"/>
  <c r="P134" i="9"/>
  <c r="R125" i="9"/>
  <c r="Q125" i="9"/>
  <c r="P125" i="9"/>
  <c r="R124" i="9"/>
  <c r="Q124" i="9"/>
  <c r="P124" i="9"/>
  <c r="R143" i="9"/>
  <c r="Q143" i="9"/>
  <c r="P143" i="9"/>
  <c r="R146" i="9"/>
  <c r="Q146" i="9"/>
  <c r="P146" i="9"/>
  <c r="R142" i="9"/>
  <c r="Q142" i="9"/>
  <c r="P142" i="9"/>
  <c r="R120" i="9"/>
  <c r="P120" i="9"/>
  <c r="E116" i="9"/>
  <c r="R116" i="9"/>
  <c r="Q116" i="9"/>
  <c r="P116" i="9"/>
  <c r="R119" i="9"/>
  <c r="Q119" i="9"/>
  <c r="P119" i="9"/>
  <c r="E119" i="9"/>
  <c r="R118" i="9"/>
  <c r="Q118" i="9"/>
  <c r="P118" i="9"/>
  <c r="R117" i="9"/>
  <c r="Q117" i="9"/>
  <c r="P117" i="9"/>
  <c r="E117" i="9"/>
  <c r="R113" i="9"/>
  <c r="R108" i="9"/>
  <c r="Q108" i="9"/>
  <c r="P108" i="9"/>
  <c r="R109" i="9"/>
  <c r="Q109" i="9"/>
  <c r="P109" i="9"/>
  <c r="R107" i="9"/>
  <c r="Q107" i="9"/>
  <c r="P107" i="9"/>
  <c r="R104" i="9"/>
  <c r="Q104" i="9"/>
  <c r="P104" i="9"/>
  <c r="R106" i="9"/>
  <c r="Q106" i="9"/>
  <c r="P106" i="9"/>
  <c r="R112" i="9"/>
  <c r="Q112" i="9"/>
  <c r="P112" i="9"/>
  <c r="R110" i="9"/>
  <c r="Q110" i="9"/>
  <c r="P110" i="9"/>
  <c r="R92" i="9"/>
  <c r="Q92" i="9"/>
  <c r="R91" i="9"/>
  <c r="P91" i="9"/>
  <c r="Q91" i="9"/>
  <c r="R99" i="9"/>
  <c r="P99" i="9"/>
  <c r="R97" i="9"/>
  <c r="Q97" i="9"/>
  <c r="P97" i="9"/>
  <c r="R101" i="9"/>
  <c r="Q101" i="9"/>
  <c r="P101" i="9"/>
  <c r="R94" i="9"/>
  <c r="Q94" i="9"/>
  <c r="R87" i="9"/>
  <c r="P87" i="9"/>
  <c r="R64" i="9"/>
  <c r="Q64" i="9"/>
  <c r="P64" i="9"/>
  <c r="E64" i="9"/>
  <c r="R75" i="9"/>
  <c r="Q75" i="9"/>
  <c r="P75" i="9"/>
  <c r="R61" i="9"/>
  <c r="Q61" i="9"/>
  <c r="P61" i="9"/>
  <c r="R60" i="9"/>
  <c r="Q60" i="9"/>
  <c r="P60" i="9"/>
  <c r="E60" i="9"/>
  <c r="R82" i="9"/>
  <c r="Q82" i="9"/>
  <c r="P82" i="9"/>
  <c r="E82" i="9"/>
  <c r="R58" i="9"/>
  <c r="Q58" i="9"/>
  <c r="P58" i="9"/>
  <c r="E58" i="9"/>
  <c r="R57" i="9"/>
  <c r="Q57" i="9"/>
  <c r="E57" i="9"/>
  <c r="R65" i="9"/>
  <c r="Q65" i="9"/>
  <c r="P65" i="9"/>
  <c r="E65" i="9"/>
  <c r="R72" i="9"/>
  <c r="Q72" i="9"/>
  <c r="P72" i="9"/>
  <c r="E72" i="9"/>
  <c r="R68" i="9"/>
  <c r="Q68" i="9"/>
  <c r="E68" i="9"/>
  <c r="R71" i="9"/>
  <c r="Q71" i="9"/>
  <c r="P71" i="9"/>
  <c r="E71" i="9"/>
  <c r="R74" i="9"/>
  <c r="Q74" i="9"/>
  <c r="P74" i="9"/>
  <c r="E74" i="9"/>
  <c r="R77" i="9"/>
  <c r="Q77" i="9"/>
  <c r="P77" i="9"/>
  <c r="E77" i="9"/>
  <c r="R81" i="9"/>
  <c r="Q81" i="9"/>
  <c r="P81" i="9"/>
  <c r="E81" i="9"/>
  <c r="R79" i="9"/>
  <c r="Q79" i="9"/>
  <c r="P79" i="9"/>
  <c r="E79" i="9"/>
  <c r="R73" i="9"/>
  <c r="Q73" i="9"/>
  <c r="P73" i="9"/>
  <c r="E73" i="9"/>
  <c r="R78" i="9"/>
  <c r="Q78" i="9"/>
  <c r="P78" i="9"/>
  <c r="E78" i="9"/>
  <c r="R83" i="9"/>
  <c r="Q83" i="9"/>
  <c r="P83" i="9"/>
  <c r="E83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9" i="9"/>
  <c r="Q69" i="9"/>
  <c r="E69" i="9"/>
  <c r="R70" i="9"/>
  <c r="Q70" i="9"/>
  <c r="E70" i="9"/>
  <c r="R76" i="9"/>
  <c r="Q76" i="9"/>
  <c r="P76" i="9"/>
  <c r="E76" i="9"/>
  <c r="R80" i="9"/>
  <c r="Q80" i="9"/>
  <c r="P80" i="9"/>
  <c r="E80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7" i="9"/>
  <c r="Q7" i="9"/>
  <c r="R17" i="9"/>
  <c r="Q17" i="9"/>
  <c r="R9" i="9"/>
  <c r="Q9" i="9"/>
  <c r="P9" i="9"/>
  <c r="R19" i="9"/>
  <c r="Q19" i="9"/>
  <c r="P19" i="9"/>
  <c r="R16" i="9"/>
  <c r="Q16" i="9"/>
  <c r="P16" i="9"/>
  <c r="E16" i="9"/>
  <c r="R11" i="9"/>
  <c r="Q11" i="9"/>
  <c r="P11" i="9"/>
  <c r="Q8" i="9"/>
  <c r="P8" i="9"/>
  <c r="R21" i="9"/>
  <c r="Q21" i="9"/>
  <c r="P21" i="9"/>
  <c r="E21" i="9"/>
  <c r="Q6" i="9"/>
  <c r="P6" i="9"/>
  <c r="R18" i="9"/>
  <c r="Q18" i="9"/>
  <c r="P18" i="9"/>
  <c r="E18" i="9"/>
  <c r="Q12" i="9"/>
  <c r="P12" i="9"/>
  <c r="R15" i="9"/>
  <c r="Q15" i="9"/>
  <c r="P15" i="9"/>
  <c r="R20" i="9"/>
  <c r="P20" i="9"/>
  <c r="E20" i="9"/>
  <c r="K182" i="9" l="1"/>
  <c r="K189" i="9"/>
  <c r="K191" i="9"/>
  <c r="K183" i="9"/>
  <c r="K190" i="9"/>
  <c r="K187" i="9"/>
  <c r="P194" i="9"/>
  <c r="K188" i="9"/>
  <c r="K186" i="9"/>
  <c r="K164" i="9"/>
  <c r="K165" i="9"/>
  <c r="K161" i="9"/>
  <c r="K163" i="9"/>
  <c r="K124" i="9"/>
  <c r="K68" i="9"/>
  <c r="K76" i="9"/>
  <c r="K85" i="9"/>
  <c r="K79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5" i="9"/>
  <c r="K18" i="9"/>
  <c r="K21" i="9"/>
  <c r="K17" i="9"/>
  <c r="K20" i="9"/>
  <c r="K19" i="9"/>
  <c r="K11" i="9"/>
  <c r="K12" i="9"/>
  <c r="K145" i="9"/>
  <c r="K141" i="9"/>
  <c r="K136" i="9"/>
  <c r="K118" i="9"/>
  <c r="K119" i="9"/>
  <c r="K117" i="9"/>
  <c r="K7" i="9"/>
  <c r="K6" i="9"/>
  <c r="K8" i="9"/>
  <c r="K9" i="9"/>
  <c r="E157" i="9"/>
  <c r="E161" i="9"/>
  <c r="P169" i="9"/>
  <c r="E7" i="9"/>
  <c r="K69" i="9"/>
  <c r="K73" i="9"/>
  <c r="K72" i="9"/>
  <c r="K134" i="9"/>
  <c r="P147" i="9"/>
  <c r="E165" i="9"/>
  <c r="E12" i="9"/>
  <c r="E9" i="9"/>
  <c r="E11" i="9"/>
  <c r="K26" i="9"/>
  <c r="K41" i="9"/>
  <c r="K47" i="9"/>
  <c r="K36" i="9"/>
  <c r="K53" i="9"/>
  <c r="K80" i="9"/>
  <c r="K71" i="9"/>
  <c r="E75" i="9"/>
  <c r="E118" i="9"/>
  <c r="E166" i="9"/>
  <c r="P92" i="9"/>
  <c r="K135" i="9"/>
  <c r="K128" i="9"/>
  <c r="K57" i="9"/>
  <c r="K75" i="9"/>
  <c r="K127" i="9"/>
  <c r="E163" i="9"/>
  <c r="K142" i="9"/>
  <c r="E15" i="9"/>
  <c r="E19" i="9"/>
  <c r="K70" i="9"/>
  <c r="K78" i="9"/>
  <c r="K82" i="9"/>
  <c r="K144" i="9"/>
  <c r="K133" i="9"/>
  <c r="E92" i="9"/>
  <c r="E6" i="9"/>
  <c r="E17" i="9"/>
  <c r="K86" i="9"/>
  <c r="E61" i="9"/>
  <c r="K116" i="9"/>
  <c r="E110" i="9" l="1"/>
  <c r="E104" i="9"/>
  <c r="E108" i="9"/>
  <c r="E112" i="9"/>
  <c r="E97" i="9"/>
  <c r="E107" i="9"/>
  <c r="E99" i="9"/>
  <c r="E109" i="9"/>
  <c r="E94" i="9"/>
  <c r="E91" i="9"/>
  <c r="E106" i="9"/>
  <c r="E101" i="9"/>
  <c r="E147" i="9" l="1"/>
  <c r="E120" i="9"/>
  <c r="E153" i="9"/>
  <c r="E169" i="9"/>
  <c r="E54" i="9"/>
  <c r="E22" i="9"/>
  <c r="E87" i="9"/>
  <c r="E113" i="9"/>
  <c r="AT144" i="11" l="1"/>
  <c r="AT140" i="11"/>
  <c r="AQ140" i="11"/>
  <c r="AS140" i="11" s="1"/>
  <c r="AT139" i="11"/>
  <c r="AS139" i="11"/>
  <c r="AT138" i="11"/>
  <c r="AS138" i="11"/>
  <c r="AT137" i="11"/>
  <c r="AS137" i="11"/>
  <c r="AT133" i="11"/>
  <c r="AS133" i="11"/>
  <c r="AT132" i="11"/>
  <c r="AS132" i="11"/>
  <c r="AT131" i="11"/>
  <c r="AS131" i="11"/>
  <c r="AT129" i="11"/>
  <c r="AS129" i="11"/>
  <c r="AT128" i="11"/>
  <c r="AS128" i="11"/>
  <c r="AT127" i="11"/>
  <c r="AS127" i="11"/>
  <c r="AT126" i="11"/>
  <c r="AQ126" i="11"/>
  <c r="AQ144" i="11" s="1"/>
  <c r="AS144" i="11" s="1"/>
  <c r="AT125" i="11"/>
  <c r="AQ125" i="11"/>
  <c r="AS125" i="11" s="1"/>
  <c r="AT121" i="11"/>
  <c r="AS121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1" i="11"/>
  <c r="AS71" i="11"/>
  <c r="AT69" i="11"/>
  <c r="AS69" i="11"/>
  <c r="AT68" i="11"/>
  <c r="AS68" i="11"/>
  <c r="AT67" i="11"/>
  <c r="AS67" i="11"/>
  <c r="AT66" i="11"/>
  <c r="AS66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6" i="11"/>
  <c r="AS16" i="11"/>
  <c r="AT15" i="11"/>
  <c r="AS15" i="11"/>
  <c r="AT14" i="11"/>
  <c r="AS14" i="11"/>
  <c r="AT12" i="11"/>
  <c r="AS12" i="11"/>
  <c r="AT11" i="11"/>
  <c r="AS11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6" i="11" l="1"/>
  <c r="T177" i="9"/>
  <c r="T195" i="9"/>
  <c r="K107" i="9"/>
  <c r="P170" i="9" l="1"/>
  <c r="K99" i="9"/>
  <c r="K92" i="9"/>
  <c r="K108" i="9"/>
  <c r="K106" i="9"/>
  <c r="K109" i="9"/>
  <c r="P113" i="9"/>
  <c r="K101" i="9"/>
  <c r="K94" i="9"/>
  <c r="K91" i="9"/>
  <c r="K112" i="9"/>
  <c r="K54" i="9" l="1"/>
  <c r="K87" i="9"/>
  <c r="T170" i="9"/>
  <c r="K153" i="9"/>
  <c r="K22" i="9"/>
  <c r="K113" i="9"/>
  <c r="K147" i="9"/>
  <c r="K120" i="9"/>
</calcChain>
</file>

<file path=xl/sharedStrings.xml><?xml version="1.0" encoding="utf-8"?>
<sst xmlns="http://schemas.openxmlformats.org/spreadsheetml/2006/main" count="728" uniqueCount="289">
  <si>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</si>
  <si>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</si>
  <si>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</si>
  <si>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</si>
  <si>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</si>
  <si>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</si>
  <si>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</si>
  <si>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</si>
  <si>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</si>
  <si>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</si>
  <si>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</si>
  <si>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</si>
  <si>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</si>
  <si>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</si>
  <si>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</si>
  <si>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</si>
  <si>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</si>
  <si>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</si>
  <si>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</si>
  <si>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</si>
  <si>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</si>
  <si>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</si>
  <si>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</si>
  <si>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</si>
  <si>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</si>
  <si>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</si>
  <si>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</si>
  <si>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</si>
  <si>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</si>
  <si>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</si>
  <si>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</si>
  <si>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</si>
  <si>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</si>
  <si>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</si>
  <si>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</si>
  <si>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</si>
  <si>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</si>
  <si>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</si>
  <si>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</si>
  <si>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</si>
  <si>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</si>
  <si>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</si>
  <si>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</si>
  <si>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</si>
  <si>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</si>
  <si>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</si>
  <si>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</si>
  <si>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</si>
  <si>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</si>
  <si>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</si>
  <si>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</si>
  <si>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</si>
  <si>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</si>
  <si>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</si>
  <si>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</si>
  <si>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</si>
  <si>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</si>
  <si>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</si>
  <si>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</si>
  <si>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</si>
  <si>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</si>
  <si>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</si>
  <si>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</si>
  <si>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</si>
  <si>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</si>
  <si>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</si>
  <si>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</si>
  <si>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</si>
  <si>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</si>
  <si>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</si>
  <si>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</si>
  <si>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</si>
  <si>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</si>
  <si>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</si>
  <si>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</si>
  <si>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</si>
  <si>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</si>
  <si>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</si>
  <si>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</si>
  <si>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</si>
  <si>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</si>
  <si>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</si>
  <si>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</si>
  <si>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</si>
  <si>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</si>
  <si>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</si>
  <si>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</si>
  <si>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</si>
  <si>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</si>
  <si>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</si>
  <si>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</si>
  <si>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</si>
  <si>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</si>
  <si>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</si>
  <si>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</si>
  <si>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</si>
  <si>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</si>
  <si>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</si>
  <si>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</si>
  <si>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</si>
  <si>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</si>
  <si>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</si>
  <si>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</si>
  <si>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</si>
  <si>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</si>
  <si>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</si>
  <si>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</si>
  <si>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</si>
  <si>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</si>
  <si>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</si>
  <si>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</si>
  <si>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</si>
  <si>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</si>
  <si>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</si>
  <si>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</si>
  <si>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</si>
  <si>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</si>
  <si>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</si>
  <si>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</si>
  <si>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</si>
  <si>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</si>
  <si>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</si>
  <si>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</si>
  <si>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</si>
  <si>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</si>
  <si>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</si>
  <si>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</si>
  <si>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</si>
  <si>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</si>
  <si>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</si>
  <si>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</si>
  <si>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</si>
  <si>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</si>
  <si>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</si>
  <si>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</si>
  <si>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</si>
  <si>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</si>
  <si>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</si>
  <si>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</si>
  <si>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</si>
  <si>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</si>
  <si>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</si>
  <si>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</si>
  <si>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</si>
  <si>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</si>
  <si>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</si>
  <si>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</si>
  <si>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</si>
  <si>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</si>
  <si>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</si>
  <si>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</si>
  <si>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</si>
  <si>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</si>
  <si>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</si>
  <si>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</si>
  <si>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</si>
  <si>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</si>
  <si>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</si>
  <si>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</si>
  <si>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</si>
  <si>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</si>
  <si>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</si>
  <si>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</si>
  <si>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</si>
  <si>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</si>
  <si>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</si>
  <si>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</si>
  <si>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</si>
  <si>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</si>
  <si>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</si>
  <si>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</si>
  <si>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</si>
  <si>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</si>
  <si>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</si>
  <si>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</si>
  <si>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</si>
  <si>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</si>
  <si>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</si>
  <si>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</si>
  <si>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</si>
  <si>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</si>
  <si>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</si>
  <si>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</si>
  <si>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</si>
  <si>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</si>
  <si>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</si>
  <si>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</si>
  <si>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</si>
  <si>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</si>
  <si>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</si>
  <si>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</si>
  <si>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</si>
  <si>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</si>
  <si>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</si>
  <si>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</si>
  <si>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</si>
  <si>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</si>
  <si>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</si>
  <si>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</si>
  <si>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</si>
  <si>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</si>
  <si>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</si>
  <si>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</si>
  <si>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</si>
  <si>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</si>
  <si>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</si>
  <si>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</si>
  <si>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</si>
  <si>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</si>
  <si>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</si>
  <si>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</si>
  <si>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</si>
  <si>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</si>
  <si>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</si>
  <si>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</si>
  <si>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</si>
  <si>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</si>
  <si>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</si>
  <si>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</si>
  <si>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</si>
  <si>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</si>
  <si>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</si>
  <si>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</si>
  <si>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</si>
  <si>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</si>
  <si>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</si>
  <si>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</si>
  <si>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</si>
  <si>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</si>
  <si>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</si>
  <si>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</si>
  <si>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</si>
  <si>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</si>
  <si>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</si>
  <si>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</si>
  <si>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</si>
  <si>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</si>
  <si>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</si>
  <si>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</si>
  <si>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</si>
  <si>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Guaranty Trust Fund Managers</t>
  </si>
  <si>
    <t>United Capital Infrastructure Fund</t>
  </si>
  <si>
    <t>Cowry Treasurers Limited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</si>
  <si>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</si>
  <si>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</si>
  <si>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</si>
  <si>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</si>
  <si>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</si>
  <si>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</si>
  <si>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</si>
  <si>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</si>
  <si>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</si>
  <si>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</si>
  <si>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</si>
  <si>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</si>
  <si>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</si>
  <si>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</si>
  <si>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</si>
  <si>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</si>
  <si>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</si>
  <si>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</si>
  <si>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</si>
  <si>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</si>
  <si>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</si>
  <si>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</si>
  <si>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</si>
  <si>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</si>
  <si>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</si>
  <si>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July 21, 2023</t>
  </si>
  <si>
    <t>NAV and Unit Price as at Week Ended July 28, 2023</t>
  </si>
  <si>
    <t>NAV and Unit Price as at Week Ended August 4, 2023</t>
  </si>
  <si>
    <t>NAV and Unit Price as at Week Ended August 11, 2023</t>
  </si>
  <si>
    <t>EDC Dollar Fund</t>
  </si>
  <si>
    <t>NAV and Unit Price as at Week Ended August 18, 2023</t>
  </si>
  <si>
    <t>NAV and Unit Price as at Week Ended August 25, 2023</t>
  </si>
  <si>
    <t>NAV and Unit Price as at Week Ended September 1, 2023</t>
  </si>
  <si>
    <t>NAV, Unit Price and Yield as at Week Ended September 8, 2023</t>
  </si>
  <si>
    <t>Marble Halal Commodities Fund</t>
  </si>
  <si>
    <t xml:space="preserve">Marble Capital Limited </t>
  </si>
  <si>
    <t>NAV and Unit Price as at Week Ended September 8, 2023</t>
  </si>
  <si>
    <t>NET ASSET VALUES AND UNIT PRICES OF COLLECTIVE INVESTMENT SCHEMES AS AT WEEK ENDED SEPTEMBER 15, 2023</t>
  </si>
  <si>
    <t>NAV, Unit Price and Yield as at Week Ended September 15, 2023</t>
  </si>
  <si>
    <t>ESG Impact Fund</t>
  </si>
  <si>
    <t>Zenith Asset Management Ltd.</t>
  </si>
  <si>
    <t>Cowry Balanced Fund</t>
  </si>
  <si>
    <t>Cowry Fixed Income Fund</t>
  </si>
  <si>
    <t>Cowry Equity Fund</t>
  </si>
  <si>
    <t>NAV and Unit Price as at Week Ended September 15, 2023</t>
  </si>
  <si>
    <t>The chart above shows that Money Market Fund category has 43.68% share of the Net Asset Value (NAV), followed by Dollar Fund (Eurobonds and Fixed Income) with 30.01%, Bond/Fixed Income Fund at 16.60%, Real Estate Investment Trust at 4.81%.  Next is Balanced Fund at 2.07%, Shari'ah Compliant Fund at 1.45%, Equity Fund at 1.18%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</si>
</sst>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8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6" fillId="0" borderId="0" xfId="0" applyNumberFormat="1" applyFont="1"/>
    <xf numFmtId="165" fontId="35" fillId="6" borderId="0" xfId="2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0" fillId="6" borderId="0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10" fontId="13" fillId="8" borderId="3" xfId="2" applyNumberFormat="1" applyFont="1" applyFill="1" applyBorder="1" applyAlignment="1">
      <alignment horizontal="center" vertical="top" wrapText="1"/>
    </xf>
    <xf numFmtId="10" fontId="13" fillId="46" borderId="3" xfId="2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solidFill>
                  <a:sysClr val="window" lastClr="FFFFFF"/>
                </a:solidFill>
                <a:effectLst/>
              </a:rPr>
              <a:t>8TH</a:t>
            </a:r>
            <a:r>
              <a:rPr lang="en-GB" sz="1600" b="1" i="0" u="none" strike="noStrike" baseline="0">
                <a:effectLst/>
              </a:rPr>
              <a:t> &amp; 15TH SEPTEMBER,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19692894580603218"/>
          <c:y val="6.27387093854647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08-Sep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23086923138.879997</c:v>
                </c:pt>
                <c:pt idx="1">
                  <c:v>842459027080.45435</c:v>
                </c:pt>
                <c:pt idx="2">
                  <c:v>320114444673.33032</c:v>
                </c:pt>
                <c:pt idx="3">
                  <c:v>554560757841.43372</c:v>
                </c:pt>
                <c:pt idx="4">
                  <c:v>92863739575.880005</c:v>
                </c:pt>
                <c:pt idx="5" formatCode="_(* #,##0.00_);_(* \(#,##0.00\);_(* &quot;-&quot;??_);_(@_)">
                  <c:v>40429036765.108025</c:v>
                </c:pt>
                <c:pt idx="6">
                  <c:v>3988679154.2799997</c:v>
                </c:pt>
                <c:pt idx="7">
                  <c:v>28062421939.949997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15-Sep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22684841502.700001</c:v>
                </c:pt>
                <c:pt idx="1">
                  <c:v>842959336565.12207</c:v>
                </c:pt>
                <c:pt idx="2">
                  <c:v>320326205967.90063</c:v>
                </c:pt>
                <c:pt idx="3">
                  <c:v>579242821265.46704</c:v>
                </c:pt>
                <c:pt idx="4">
                  <c:v>92900265036.520004</c:v>
                </c:pt>
                <c:pt idx="5" formatCode="_(* #,##0.00_);_(* \(#,##0.00\);_(* &quot;-&quot;??_);_(@_)">
                  <c:v>39999967409.311623</c:v>
                </c:pt>
                <c:pt idx="6">
                  <c:v>3887178325.5900002</c:v>
                </c:pt>
                <c:pt idx="7">
                  <c:v>28033788286.160004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15TH SEPTEMBER, 2023</a:t>
            </a:r>
          </a:p>
        </c:rich>
      </c:tx>
      <c:layout>
        <c:manualLayout>
          <c:xMode val="edge"/>
          <c:yMode val="edge"/>
          <c:x val="0.1225361610530636"/>
          <c:y val="3.8658787927412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23086923138.879997</c:v>
                </c:pt>
                <c:pt idx="1">
                  <c:v>842459027080.45435</c:v>
                </c:pt>
                <c:pt idx="2">
                  <c:v>320114444673.33032</c:v>
                </c:pt>
                <c:pt idx="3">
                  <c:v>554560757841.43372</c:v>
                </c:pt>
                <c:pt idx="4">
                  <c:v>92863739575.880005</c:v>
                </c:pt>
                <c:pt idx="5">
                  <c:v>40429036765.108025</c:v>
                </c:pt>
                <c:pt idx="6">
                  <c:v>3988679154.2799997</c:v>
                </c:pt>
                <c:pt idx="7">
                  <c:v>28062421939.949997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SEPTEMBER 15,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1925391614328.5334</c:v>
                </c:pt>
                <c:pt idx="1">
                  <c:v>1916191660933.4709</c:v>
                </c:pt>
                <c:pt idx="2">
                  <c:v>1918875626264.7451</c:v>
                </c:pt>
                <c:pt idx="3">
                  <c:v>1917546500429.8425</c:v>
                </c:pt>
                <c:pt idx="4">
                  <c:v>1943407345708.8286</c:v>
                </c:pt>
                <c:pt idx="5">
                  <c:v>1922810043593.2705</c:v>
                </c:pt>
                <c:pt idx="6">
                  <c:v>1905565030169.3159</c:v>
                </c:pt>
                <c:pt idx="7">
                  <c:v>1930034404358.7712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SEPTEMBER 15,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3453572149635141"/>
          <c:y val="1.358984438594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27114196022.169998</c:v>
                </c:pt>
                <c:pt idx="1">
                  <c:v>27315712442.810001</c:v>
                </c:pt>
                <c:pt idx="2">
                  <c:v>27962550206.07</c:v>
                </c:pt>
                <c:pt idx="3">
                  <c:v>27781533807.059998</c:v>
                </c:pt>
                <c:pt idx="4">
                  <c:v>27801303893.869999</c:v>
                </c:pt>
                <c:pt idx="5">
                  <c:v>27709525793.34</c:v>
                </c:pt>
                <c:pt idx="6">
                  <c:v>27966500870.759998</c:v>
                </c:pt>
                <c:pt idx="7">
                  <c:v>28062421939.949997</c:v>
                </c:pt>
                <c:pt idx="8">
                  <c:v>28033788286.160004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3844664135.71</c:v>
                </c:pt>
                <c:pt idx="1">
                  <c:v>3765883383.1199999</c:v>
                </c:pt>
                <c:pt idx="2">
                  <c:v>3796886715.4300003</c:v>
                </c:pt>
                <c:pt idx="3">
                  <c:v>3821769493.7000003</c:v>
                </c:pt>
                <c:pt idx="4">
                  <c:v>3802289133.5500002</c:v>
                </c:pt>
                <c:pt idx="5">
                  <c:v>3833193790.9099998</c:v>
                </c:pt>
                <c:pt idx="6">
                  <c:v>3950705160.4500003</c:v>
                </c:pt>
                <c:pt idx="7">
                  <c:v>3988679154.2799997</c:v>
                </c:pt>
                <c:pt idx="8">
                  <c:v>3887178325.5900002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38533905044.200745</c:v>
                </c:pt>
                <c:pt idx="1">
                  <c:v>38690467865.717575</c:v>
                </c:pt>
                <c:pt idx="2">
                  <c:v>38884096485.686134</c:v>
                </c:pt>
                <c:pt idx="3">
                  <c:v>38936521066.392647</c:v>
                </c:pt>
                <c:pt idx="4">
                  <c:v>38811275853.394905</c:v>
                </c:pt>
                <c:pt idx="5">
                  <c:v>39079043179.509552</c:v>
                </c:pt>
                <c:pt idx="6">
                  <c:v>39909523580.55719</c:v>
                </c:pt>
                <c:pt idx="7">
                  <c:v>40429036765.108025</c:v>
                </c:pt>
                <c:pt idx="8">
                  <c:v>39999967409.311623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21667567762.559998</c:v>
                </c:pt>
                <c:pt idx="1">
                  <c:v>21710538133.900002</c:v>
                </c:pt>
                <c:pt idx="2">
                  <c:v>21798118395</c:v>
                </c:pt>
                <c:pt idx="3">
                  <c:v>21799255745.139996</c:v>
                </c:pt>
                <c:pt idx="4">
                  <c:v>21756530204.330006</c:v>
                </c:pt>
                <c:pt idx="5">
                  <c:v>21948547893.360001</c:v>
                </c:pt>
                <c:pt idx="6">
                  <c:v>22687921199.809998</c:v>
                </c:pt>
                <c:pt idx="7">
                  <c:v>23086923138.879997</c:v>
                </c:pt>
                <c:pt idx="8">
                  <c:v>22684841502.700001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93543514118.800003</c:v>
                </c:pt>
                <c:pt idx="1">
                  <c:v>93558457831.729996</c:v>
                </c:pt>
                <c:pt idx="2">
                  <c:v>93574800912.410004</c:v>
                </c:pt>
                <c:pt idx="3">
                  <c:v>93594876666.309998</c:v>
                </c:pt>
                <c:pt idx="4">
                  <c:v>93626727218.01001</c:v>
                </c:pt>
                <c:pt idx="5">
                  <c:v>93509583223.449997</c:v>
                </c:pt>
                <c:pt idx="6">
                  <c:v>93504922541.330002</c:v>
                </c:pt>
                <c:pt idx="7">
                  <c:v>92863739575.880005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847949243662.16028</c:v>
                </c:pt>
                <c:pt idx="1">
                  <c:v>849994179796.46228</c:v>
                </c:pt>
                <c:pt idx="2">
                  <c:v>856179741726.49231</c:v>
                </c:pt>
                <c:pt idx="3">
                  <c:v>857163632618.47339</c:v>
                </c:pt>
                <c:pt idx="4">
                  <c:v>855610980289.1698</c:v>
                </c:pt>
                <c:pt idx="5">
                  <c:v>852824801464.56006</c:v>
                </c:pt>
                <c:pt idx="6">
                  <c:v>854338532735.88501</c:v>
                </c:pt>
                <c:pt idx="7">
                  <c:v>842459027080.45435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319728597414.12091</c:v>
                </c:pt>
                <c:pt idx="1">
                  <c:v>320399612573.65601</c:v>
                </c:pt>
                <c:pt idx="2">
                  <c:v>320872331713.32611</c:v>
                </c:pt>
                <c:pt idx="3">
                  <c:v>321156453816.64587</c:v>
                </c:pt>
                <c:pt idx="4">
                  <c:v>320687160580.93243</c:v>
                </c:pt>
                <c:pt idx="5">
                  <c:v>319581951019.79437</c:v>
                </c:pt>
                <c:pt idx="6">
                  <c:v>319127187068.50275</c:v>
                </c:pt>
                <c:pt idx="7">
                  <c:v>320114444673.33032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45135</c:v>
                </c:pt>
                <c:pt idx="1">
                  <c:v>45142</c:v>
                </c:pt>
                <c:pt idx="2">
                  <c:v>45149</c:v>
                </c:pt>
                <c:pt idx="3">
                  <c:v>45156</c:v>
                </c:pt>
                <c:pt idx="4">
                  <c:v>45163</c:v>
                </c:pt>
                <c:pt idx="5">
                  <c:v>45170</c:v>
                </c:pt>
                <c:pt idx="6">
                  <c:v>45177</c:v>
                </c:pt>
                <c:pt idx="7">
                  <c:v>45184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568541591372.9552</c:v>
                </c:pt>
                <c:pt idx="1">
                  <c:v>569956762301.13733</c:v>
                </c:pt>
                <c:pt idx="2">
                  <c:v>553123134779.05676</c:v>
                </c:pt>
                <c:pt idx="3">
                  <c:v>554621583051.02319</c:v>
                </c:pt>
                <c:pt idx="4">
                  <c:v>555450233256.58521</c:v>
                </c:pt>
                <c:pt idx="5">
                  <c:v>584920699343.90466</c:v>
                </c:pt>
                <c:pt idx="6">
                  <c:v>561324750435.97546</c:v>
                </c:pt>
                <c:pt idx="7">
                  <c:v>554560757841.43372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71</xdr:row>
      <xdr:rowOff>0</xdr:rowOff>
    </xdr:from>
    <xdr:to>
      <xdr:col>21</xdr:col>
      <xdr:colOff>990600</xdr:colOff>
      <xdr:row>75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1" customWidth="1"/>
    <col min="9" max="9" width="7.28515625" style="221" customWidth="1"/>
    <col min="10" max="10" width="18" style="21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23.28515625" style="106" customWidth="1"/>
    <col min="22" max="22" width="18.140625" style="106" customWidth="1"/>
    <col min="23" max="23" width="9.42578125" style="106" customWidth="1"/>
    <col min="24" max="24" width="22.710937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3" t="s">
        <v>280</v>
      </c>
      <c r="B1" s="444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6"/>
      <c r="T1" s="288"/>
      <c r="U1" s="113"/>
    </row>
    <row r="2" spans="1:26" s="112" customFormat="1" ht="25.5" customHeight="1">
      <c r="A2" s="241"/>
      <c r="B2" s="242"/>
      <c r="C2" s="242"/>
      <c r="D2" s="447" t="s">
        <v>276</v>
      </c>
      <c r="E2" s="448"/>
      <c r="F2" s="448"/>
      <c r="G2" s="448"/>
      <c r="H2" s="448"/>
      <c r="I2" s="449"/>
      <c r="J2" s="447" t="s">
        <v>281</v>
      </c>
      <c r="K2" s="448"/>
      <c r="L2" s="448"/>
      <c r="M2" s="448"/>
      <c r="N2" s="448"/>
      <c r="O2" s="449"/>
      <c r="P2" s="413" t="s">
        <v>62</v>
      </c>
      <c r="Q2" s="413"/>
      <c r="R2" s="413" t="s">
        <v>214</v>
      </c>
      <c r="S2" s="432"/>
      <c r="T2" s="288"/>
      <c r="U2" s="113"/>
    </row>
    <row r="3" spans="1:26" s="112" customFormat="1" ht="24.75" customHeight="1">
      <c r="A3" s="293" t="s">
        <v>1</v>
      </c>
      <c r="B3" s="294" t="s">
        <v>2</v>
      </c>
      <c r="C3" s="294" t="s">
        <v>192</v>
      </c>
      <c r="D3" s="295" t="s">
        <v>201</v>
      </c>
      <c r="E3" s="296" t="s">
        <v>61</v>
      </c>
      <c r="F3" s="296" t="s">
        <v>211</v>
      </c>
      <c r="G3" s="296" t="s">
        <v>212</v>
      </c>
      <c r="H3" s="296" t="s">
        <v>249</v>
      </c>
      <c r="I3" s="296" t="s">
        <v>250</v>
      </c>
      <c r="J3" s="297" t="s">
        <v>201</v>
      </c>
      <c r="K3" s="296" t="s">
        <v>61</v>
      </c>
      <c r="L3" s="296" t="s">
        <v>211</v>
      </c>
      <c r="M3" s="296" t="s">
        <v>212</v>
      </c>
      <c r="N3" s="296" t="s">
        <v>249</v>
      </c>
      <c r="O3" s="296" t="s">
        <v>250</v>
      </c>
      <c r="P3" s="298" t="s">
        <v>202</v>
      </c>
      <c r="Q3" s="299" t="s">
        <v>119</v>
      </c>
      <c r="R3" s="296" t="s">
        <v>252</v>
      </c>
      <c r="S3" s="300" t="s">
        <v>253</v>
      </c>
      <c r="T3" s="288"/>
      <c r="U3" s="113"/>
    </row>
    <row r="4" spans="1:26" s="112" customFormat="1" ht="5.25" customHeight="1">
      <c r="A4" s="435"/>
      <c r="B4" s="436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8"/>
      <c r="T4" s="288"/>
      <c r="U4" s="113"/>
    </row>
    <row r="5" spans="1:26" s="112" customFormat="1" ht="12.95" customHeight="1">
      <c r="A5" s="439" t="s">
        <v>0</v>
      </c>
      <c r="B5" s="440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2"/>
      <c r="T5" s="288"/>
      <c r="U5" s="113"/>
    </row>
    <row r="6" spans="1:26" s="112" customFormat="1" ht="12.95" customHeight="1">
      <c r="A6" s="404">
        <v>1</v>
      </c>
      <c r="B6" s="383" t="s">
        <v>13</v>
      </c>
      <c r="C6" s="384" t="s">
        <v>57</v>
      </c>
      <c r="D6" s="325">
        <v>676823035.13</v>
      </c>
      <c r="E6" s="332">
        <f t="shared" ref="E6:E21" si="0">(D6/$D$22)</f>
        <v>2.931629438269245E-2</v>
      </c>
      <c r="F6" s="324">
        <v>278.96289999999999</v>
      </c>
      <c r="G6" s="324">
        <v>281.70780000000002</v>
      </c>
      <c r="H6" s="333">
        <v>8.3999999999999995E-3</v>
      </c>
      <c r="I6" s="333">
        <v>0.4798</v>
      </c>
      <c r="J6" s="325">
        <v>684549382</v>
      </c>
      <c r="K6" s="332">
        <f>(J6/$J$22)</f>
        <v>3.0176511566921169E-2</v>
      </c>
      <c r="L6" s="324">
        <v>272.9024</v>
      </c>
      <c r="M6" s="324">
        <v>275.67899999999997</v>
      </c>
      <c r="N6" s="333">
        <v>-2.1724888637867923E-2</v>
      </c>
      <c r="O6" s="333">
        <v>0.44767454071655011</v>
      </c>
      <c r="P6" s="109">
        <f>((J6-D6)/D6)</f>
        <v>1.141560861402416E-2</v>
      </c>
      <c r="Q6" s="109">
        <f t="shared" ref="Q6:Q21" si="1">((M6-G6)/G6)</f>
        <v>-2.1400898377680867E-2</v>
      </c>
      <c r="R6" s="328">
        <f t="shared" ref="R6:R21" si="2">N6-H6</f>
        <v>-3.0124888637867921E-2</v>
      </c>
      <c r="S6" s="394">
        <f t="shared" ref="S6:S21" si="3">O6-I6</f>
        <v>-3.2125459283449898E-2</v>
      </c>
      <c r="U6" s="113"/>
    </row>
    <row r="7" spans="1:26" s="112" customFormat="1" ht="12.95" customHeight="1">
      <c r="A7" s="404">
        <v>2</v>
      </c>
      <c r="B7" s="383" t="s">
        <v>135</v>
      </c>
      <c r="C7" s="384" t="s">
        <v>134</v>
      </c>
      <c r="D7" s="324">
        <v>531115431.49000001</v>
      </c>
      <c r="E7" s="332">
        <f t="shared" si="0"/>
        <v>2.3005033121783317E-2</v>
      </c>
      <c r="F7" s="324">
        <v>193.58779999999999</v>
      </c>
      <c r="G7" s="324">
        <v>196.2141</v>
      </c>
      <c r="H7" s="333">
        <v>2.4226000000000001E-2</v>
      </c>
      <c r="I7" s="333">
        <v>0.33560000000000001</v>
      </c>
      <c r="J7" s="324">
        <v>531115431.49000001</v>
      </c>
      <c r="K7" s="332">
        <f>(J7/$J$22)</f>
        <v>2.341279005307511E-2</v>
      </c>
      <c r="L7" s="324">
        <v>193.58779999999999</v>
      </c>
      <c r="M7" s="324">
        <v>196.2141</v>
      </c>
      <c r="N7" s="333">
        <v>2.4226000000000001E-2</v>
      </c>
      <c r="O7" s="333">
        <v>0.33560000000000001</v>
      </c>
      <c r="P7" s="328">
        <v>5.6480000000000002E-3</v>
      </c>
      <c r="Q7" s="328">
        <f t="shared" si="1"/>
        <v>0</v>
      </c>
      <c r="R7" s="328">
        <f t="shared" si="2"/>
        <v>0</v>
      </c>
      <c r="S7" s="394">
        <f t="shared" si="3"/>
        <v>0</v>
      </c>
      <c r="T7" s="288"/>
      <c r="U7" s="113"/>
    </row>
    <row r="8" spans="1:26" s="112" customFormat="1" ht="12.95" customHeight="1">
      <c r="A8" s="408">
        <v>3</v>
      </c>
      <c r="B8" s="383" t="s">
        <v>11</v>
      </c>
      <c r="C8" s="384" t="s">
        <v>6</v>
      </c>
      <c r="D8" s="324">
        <v>3305314654.4299998</v>
      </c>
      <c r="E8" s="332">
        <f t="shared" si="0"/>
        <v>0.1431682617275066</v>
      </c>
      <c r="F8" s="324">
        <v>29.677099999999999</v>
      </c>
      <c r="G8" s="324">
        <v>30.571899999999999</v>
      </c>
      <c r="H8" s="314">
        <v>0.2928</v>
      </c>
      <c r="I8" s="314">
        <v>0.49299999999999999</v>
      </c>
      <c r="J8" s="324">
        <v>3271006234.54</v>
      </c>
      <c r="K8" s="332">
        <f>(J8/$J$22)</f>
        <v>0.14419347978034924</v>
      </c>
      <c r="L8" s="324">
        <v>29.352499999999999</v>
      </c>
      <c r="M8" s="324">
        <v>30.237500000000001</v>
      </c>
      <c r="N8" s="314">
        <v>-0.57030000000000003</v>
      </c>
      <c r="O8" s="314">
        <v>0.45889999999999997</v>
      </c>
      <c r="P8" s="328">
        <f t="shared" ref="P8:P22" si="4">((J8-D8)/D8)</f>
        <v>-1.0379774235417336E-2</v>
      </c>
      <c r="Q8" s="328">
        <f t="shared" si="1"/>
        <v>-1.0938149084616877E-2</v>
      </c>
      <c r="R8" s="328">
        <f t="shared" si="2"/>
        <v>-0.86309999999999998</v>
      </c>
      <c r="S8" s="394">
        <f t="shared" si="3"/>
        <v>-3.4100000000000019E-2</v>
      </c>
      <c r="T8" s="288"/>
      <c r="U8" s="113"/>
      <c r="V8" s="145"/>
      <c r="W8" s="114"/>
      <c r="X8" s="114"/>
      <c r="Y8" s="115"/>
    </row>
    <row r="9" spans="1:26" s="112" customFormat="1" ht="12.95" customHeight="1">
      <c r="A9" s="408">
        <v>4</v>
      </c>
      <c r="B9" s="383" t="s">
        <v>81</v>
      </c>
      <c r="C9" s="384" t="s">
        <v>80</v>
      </c>
      <c r="D9" s="324">
        <v>425086144.97000003</v>
      </c>
      <c r="E9" s="332">
        <f t="shared" si="0"/>
        <v>1.8412420850231235E-2</v>
      </c>
      <c r="F9" s="324">
        <v>185.47</v>
      </c>
      <c r="G9" s="324">
        <v>185.47</v>
      </c>
      <c r="H9" s="333">
        <v>1.4200000000000001E-2</v>
      </c>
      <c r="I9" s="333">
        <v>0.35820000000000002</v>
      </c>
      <c r="J9" s="324">
        <v>416547539.07999998</v>
      </c>
      <c r="K9" s="332">
        <f>(J9/$J$22)</f>
        <v>1.8362373791786096E-2</v>
      </c>
      <c r="L9" s="324">
        <v>181.33</v>
      </c>
      <c r="M9" s="324">
        <v>181.33</v>
      </c>
      <c r="N9" s="333">
        <v>2.24E-2</v>
      </c>
      <c r="O9" s="333">
        <v>0.32750000000000001</v>
      </c>
      <c r="P9" s="328">
        <f t="shared" si="4"/>
        <v>-2.0086765920358678E-2</v>
      </c>
      <c r="Q9" s="328">
        <f t="shared" si="1"/>
        <v>-2.2321669272658579E-2</v>
      </c>
      <c r="R9" s="328">
        <f t="shared" si="2"/>
        <v>8.199999999999999E-3</v>
      </c>
      <c r="S9" s="394">
        <f t="shared" si="3"/>
        <v>-3.0700000000000005E-2</v>
      </c>
      <c r="T9" s="288"/>
      <c r="U9" s="113"/>
      <c r="V9" s="145"/>
      <c r="W9" s="114"/>
      <c r="X9" s="114"/>
      <c r="Y9" s="115"/>
    </row>
    <row r="10" spans="1:26" s="329" customFormat="1" ht="12.95" customHeight="1">
      <c r="A10" s="408">
        <v>5</v>
      </c>
      <c r="B10" s="383" t="s">
        <v>286</v>
      </c>
      <c r="C10" s="384" t="s">
        <v>242</v>
      </c>
      <c r="D10" s="74">
        <v>75819162.890000001</v>
      </c>
      <c r="E10" s="332">
        <f t="shared" si="0"/>
        <v>3.284073951037469E-3</v>
      </c>
      <c r="F10" s="324">
        <v>132.5608</v>
      </c>
      <c r="G10" s="324">
        <v>133.14189999999999</v>
      </c>
      <c r="H10" s="333">
        <v>0.18860199999999999</v>
      </c>
      <c r="I10" s="333">
        <v>0.26179999999999998</v>
      </c>
      <c r="J10" s="74">
        <v>74463521.510000005</v>
      </c>
      <c r="K10" s="332">
        <v>0.96619999999999995</v>
      </c>
      <c r="L10" s="324">
        <v>129.98480000000001</v>
      </c>
      <c r="M10" s="324">
        <v>130.54300000000001</v>
      </c>
      <c r="N10" s="333">
        <v>0.16231100000000001</v>
      </c>
      <c r="O10" s="333">
        <v>0.23730000000000001</v>
      </c>
      <c r="P10" s="328">
        <f t="shared" ref="P10" si="5">((J10-D10)/D10)</f>
        <v>-1.7879930723671899E-2</v>
      </c>
      <c r="Q10" s="328">
        <f t="shared" ref="Q10" si="6">((M10-G10)/G10)</f>
        <v>-1.9519775517699435E-2</v>
      </c>
      <c r="R10" s="328">
        <f t="shared" ref="R10" si="7">N10-H10</f>
        <v>-2.6290999999999981E-2</v>
      </c>
      <c r="S10" s="394">
        <f t="shared" ref="S10" si="8">O10-I10</f>
        <v>-2.4499999999999966E-2</v>
      </c>
      <c r="T10" s="288"/>
      <c r="U10" s="113"/>
      <c r="V10" s="145"/>
      <c r="W10" s="114"/>
      <c r="X10" s="114"/>
      <c r="Y10" s="115"/>
    </row>
    <row r="11" spans="1:26" s="112" customFormat="1" ht="12.95" customHeight="1">
      <c r="A11" s="408">
        <v>6</v>
      </c>
      <c r="B11" s="383" t="s">
        <v>52</v>
      </c>
      <c r="C11" s="384" t="s">
        <v>184</v>
      </c>
      <c r="D11" s="324">
        <v>685567088.65999997</v>
      </c>
      <c r="E11" s="332">
        <f t="shared" si="0"/>
        <v>2.9695039245201841E-2</v>
      </c>
      <c r="F11" s="324">
        <v>254.03</v>
      </c>
      <c r="G11" s="324">
        <v>257.08999999999997</v>
      </c>
      <c r="H11" s="314">
        <v>2.1700000000000001E-2</v>
      </c>
      <c r="I11" s="314">
        <v>0.53400000000000003</v>
      </c>
      <c r="J11" s="324">
        <v>682849073.95000005</v>
      </c>
      <c r="K11" s="332">
        <f>(J11/$J$22)</f>
        <v>3.0101558076512273E-2</v>
      </c>
      <c r="L11" s="324">
        <v>250.41</v>
      </c>
      <c r="M11" s="324">
        <v>253.82</v>
      </c>
      <c r="N11" s="314">
        <v>-1.35E-2</v>
      </c>
      <c r="O11" s="314">
        <v>0.5121</v>
      </c>
      <c r="P11" s="328">
        <f t="shared" si="4"/>
        <v>-3.9646225073501021E-3</v>
      </c>
      <c r="Q11" s="328">
        <f t="shared" si="1"/>
        <v>-1.2719281185576966E-2</v>
      </c>
      <c r="R11" s="328">
        <f t="shared" si="2"/>
        <v>-3.5200000000000002E-2</v>
      </c>
      <c r="S11" s="394">
        <f t="shared" si="3"/>
        <v>-2.1900000000000031E-2</v>
      </c>
      <c r="T11" s="288"/>
      <c r="U11" s="113"/>
      <c r="V11" s="145"/>
      <c r="W11" s="114"/>
      <c r="X11" s="114"/>
      <c r="Y11" s="115"/>
    </row>
    <row r="12" spans="1:26" s="112" customFormat="1" ht="12.95" customHeight="1">
      <c r="A12" s="408">
        <v>7</v>
      </c>
      <c r="B12" s="383" t="s">
        <v>8</v>
      </c>
      <c r="C12" s="384" t="s">
        <v>56</v>
      </c>
      <c r="D12" s="325">
        <v>327504561.19</v>
      </c>
      <c r="E12" s="332">
        <f t="shared" si="0"/>
        <v>1.4185717136055232E-2</v>
      </c>
      <c r="F12" s="324">
        <v>164.74</v>
      </c>
      <c r="G12" s="324">
        <v>169.35</v>
      </c>
      <c r="H12" s="333">
        <v>3.4299999999999997E-2</v>
      </c>
      <c r="I12" s="333">
        <v>0.3105</v>
      </c>
      <c r="J12" s="325">
        <v>316716491.19999999</v>
      </c>
      <c r="K12" s="332">
        <f>(J12/$J$22)</f>
        <v>1.3961591539544311E-2</v>
      </c>
      <c r="L12" s="324">
        <v>159.31</v>
      </c>
      <c r="M12" s="324">
        <v>163.76</v>
      </c>
      <c r="N12" s="333">
        <v>-3.3099999999999997E-2</v>
      </c>
      <c r="O12" s="333">
        <v>0.26729999999999998</v>
      </c>
      <c r="P12" s="328">
        <f t="shared" si="4"/>
        <v>-3.2940212957038389E-2</v>
      </c>
      <c r="Q12" s="328">
        <f t="shared" si="1"/>
        <v>-3.3008562149394766E-2</v>
      </c>
      <c r="R12" s="328"/>
      <c r="S12" s="394">
        <f t="shared" si="3"/>
        <v>-4.3200000000000016E-2</v>
      </c>
      <c r="T12" s="288"/>
      <c r="U12" s="113"/>
      <c r="V12" s="147"/>
      <c r="W12" s="115"/>
      <c r="X12" s="115"/>
      <c r="Y12" s="116"/>
      <c r="Z12" s="117"/>
    </row>
    <row r="13" spans="1:26" s="112" customFormat="1" ht="12.95" customHeight="1">
      <c r="A13" s="408">
        <v>8</v>
      </c>
      <c r="B13" s="383" t="s">
        <v>215</v>
      </c>
      <c r="C13" s="384" t="s">
        <v>216</v>
      </c>
      <c r="D13" s="74">
        <v>36302130.390000001</v>
      </c>
      <c r="E13" s="332">
        <f t="shared" si="0"/>
        <v>1.5724109346067284E-3</v>
      </c>
      <c r="F13" s="324">
        <v>140.69999999999999</v>
      </c>
      <c r="G13" s="324">
        <v>145.85</v>
      </c>
      <c r="H13" s="333">
        <v>0.10730000000000001</v>
      </c>
      <c r="I13" s="333">
        <v>0.46450000000000002</v>
      </c>
      <c r="J13" s="74">
        <v>36302130.390000001</v>
      </c>
      <c r="K13" s="332">
        <v>0.96619999999999995</v>
      </c>
      <c r="L13" s="324">
        <v>140.69999999999999</v>
      </c>
      <c r="M13" s="324">
        <v>145.85</v>
      </c>
      <c r="N13" s="333">
        <v>0.10730000000000001</v>
      </c>
      <c r="O13" s="333">
        <v>0.46450000000000002</v>
      </c>
      <c r="P13" s="328">
        <f t="shared" si="4"/>
        <v>0</v>
      </c>
      <c r="Q13" s="328">
        <f t="shared" si="1"/>
        <v>0</v>
      </c>
      <c r="R13" s="328">
        <f t="shared" si="2"/>
        <v>0</v>
      </c>
      <c r="S13" s="394">
        <f t="shared" si="3"/>
        <v>0</v>
      </c>
      <c r="T13" s="144"/>
      <c r="U13" s="113"/>
    </row>
    <row r="14" spans="1:26" s="329" customFormat="1" ht="12.95" customHeight="1">
      <c r="A14" s="408">
        <v>9</v>
      </c>
      <c r="B14" s="383" t="s">
        <v>263</v>
      </c>
      <c r="C14" s="384" t="s">
        <v>240</v>
      </c>
      <c r="D14" s="325">
        <v>516714253.85000002</v>
      </c>
      <c r="E14" s="332">
        <f t="shared" si="0"/>
        <v>2.2381252397371956E-2</v>
      </c>
      <c r="F14" s="324">
        <v>1.67</v>
      </c>
      <c r="G14" s="324">
        <v>1.71</v>
      </c>
      <c r="H14" s="333">
        <v>0</v>
      </c>
      <c r="I14" s="333">
        <v>0.31950000000000001</v>
      </c>
      <c r="J14" s="325">
        <v>505487024.75999999</v>
      </c>
      <c r="K14" s="332">
        <f t="shared" ref="K14:K21" si="9">(J14/$J$22)</f>
        <v>2.2283030926173137E-2</v>
      </c>
      <c r="L14" s="324">
        <v>1.63</v>
      </c>
      <c r="M14" s="324">
        <v>1.67</v>
      </c>
      <c r="N14" s="333">
        <v>-4.7000000000000002E-3</v>
      </c>
      <c r="O14" s="333">
        <v>0.31330000000000002</v>
      </c>
      <c r="P14" s="328">
        <f t="shared" ref="P14" si="10">((J14-D14)/D14)</f>
        <v>-2.1728119567723886E-2</v>
      </c>
      <c r="Q14" s="328">
        <f t="shared" ref="Q14" si="11">((M14-G14)/G14)</f>
        <v>-2.3391812865497099E-2</v>
      </c>
      <c r="R14" s="328">
        <f t="shared" ref="R14" si="12">N14-H14</f>
        <v>-4.7000000000000002E-3</v>
      </c>
      <c r="S14" s="394">
        <f t="shared" ref="S14" si="13">O14-I14</f>
        <v>-6.1999999999999833E-3</v>
      </c>
      <c r="T14" s="144"/>
      <c r="U14" s="113"/>
    </row>
    <row r="15" spans="1:26" s="112" customFormat="1" ht="12.95" customHeight="1">
      <c r="A15" s="408">
        <v>10</v>
      </c>
      <c r="B15" s="383" t="s">
        <v>45</v>
      </c>
      <c r="C15" s="384" t="s">
        <v>132</v>
      </c>
      <c r="D15" s="325">
        <v>1338084482.5</v>
      </c>
      <c r="E15" s="332">
        <f t="shared" si="0"/>
        <v>5.7958545383060243E-2</v>
      </c>
      <c r="F15" s="324">
        <v>2.67</v>
      </c>
      <c r="G15" s="324">
        <v>2.73</v>
      </c>
      <c r="H15" s="333">
        <v>0.25679999999999997</v>
      </c>
      <c r="I15" s="333">
        <v>0.3513</v>
      </c>
      <c r="J15" s="325">
        <v>1312765042.4200001</v>
      </c>
      <c r="K15" s="332">
        <f t="shared" si="9"/>
        <v>5.7869703090663069E-2</v>
      </c>
      <c r="L15" s="324">
        <v>2.62</v>
      </c>
      <c r="M15" s="324">
        <v>2.68</v>
      </c>
      <c r="N15" s="333">
        <v>0.23319999999999999</v>
      </c>
      <c r="O15" s="333">
        <v>0.32590000000000002</v>
      </c>
      <c r="P15" s="328">
        <f t="shared" si="4"/>
        <v>-1.8922153579342418E-2</v>
      </c>
      <c r="Q15" s="328">
        <f t="shared" si="1"/>
        <v>-1.831501831501825E-2</v>
      </c>
      <c r="R15" s="328">
        <f t="shared" si="2"/>
        <v>-2.3599999999999982E-2</v>
      </c>
      <c r="S15" s="394">
        <f t="shared" si="3"/>
        <v>-2.5399999999999978E-2</v>
      </c>
      <c r="T15" s="144"/>
      <c r="U15" s="113"/>
    </row>
    <row r="16" spans="1:26" s="112" customFormat="1" ht="12.95" customHeight="1">
      <c r="A16" s="408">
        <v>11</v>
      </c>
      <c r="B16" s="383" t="s">
        <v>53</v>
      </c>
      <c r="C16" s="384" t="s">
        <v>54</v>
      </c>
      <c r="D16" s="324">
        <v>427742462.5</v>
      </c>
      <c r="E16" s="332">
        <f t="shared" si="0"/>
        <v>1.8527478084754037E-2</v>
      </c>
      <c r="F16" s="324">
        <v>16.677515</v>
      </c>
      <c r="G16" s="324">
        <v>16.766660000000002</v>
      </c>
      <c r="H16" s="333">
        <v>2.0355877301780002E-2</v>
      </c>
      <c r="I16" s="333">
        <v>0.435416595373392</v>
      </c>
      <c r="J16" s="324">
        <v>427742462.5</v>
      </c>
      <c r="K16" s="332">
        <f t="shared" si="9"/>
        <v>1.8855871770102037E-2</v>
      </c>
      <c r="L16" s="324">
        <v>16.677515</v>
      </c>
      <c r="M16" s="324">
        <v>16.766660000000002</v>
      </c>
      <c r="N16" s="333">
        <v>2.0355877301780002E-2</v>
      </c>
      <c r="O16" s="333">
        <v>0.435416595373392</v>
      </c>
      <c r="P16" s="328">
        <f t="shared" si="4"/>
        <v>0</v>
      </c>
      <c r="Q16" s="328">
        <f t="shared" si="1"/>
        <v>0</v>
      </c>
      <c r="R16" s="328">
        <f t="shared" si="2"/>
        <v>0</v>
      </c>
      <c r="S16" s="394">
        <f t="shared" si="3"/>
        <v>0</v>
      </c>
      <c r="T16" s="144"/>
      <c r="U16" s="148"/>
      <c r="V16" s="148"/>
    </row>
    <row r="17" spans="1:25" s="112" customFormat="1" ht="12.95" customHeight="1">
      <c r="A17" s="408">
        <v>12</v>
      </c>
      <c r="B17" s="383" t="s">
        <v>125</v>
      </c>
      <c r="C17" s="384" t="s">
        <v>90</v>
      </c>
      <c r="D17" s="324">
        <v>364635999.43000001</v>
      </c>
      <c r="E17" s="332">
        <f t="shared" si="0"/>
        <v>1.579404917825223E-2</v>
      </c>
      <c r="F17" s="324">
        <v>2.0221140000000002</v>
      </c>
      <c r="G17" s="324">
        <v>2.0619619999999999</v>
      </c>
      <c r="H17" s="333">
        <v>1.1999999999999999E-3</v>
      </c>
      <c r="I17" s="333">
        <v>0.42799860139860102</v>
      </c>
      <c r="J17" s="324">
        <v>351576771.43000001</v>
      </c>
      <c r="K17" s="332">
        <f t="shared" si="9"/>
        <v>1.5498312888285093E-2</v>
      </c>
      <c r="L17" s="324">
        <v>1.95</v>
      </c>
      <c r="M17" s="324">
        <v>1.99</v>
      </c>
      <c r="N17" s="333">
        <v>1E-3</v>
      </c>
      <c r="O17" s="333">
        <v>0.37759999999999999</v>
      </c>
      <c r="P17" s="328">
        <f t="shared" si="4"/>
        <v>-3.5814423206743766E-2</v>
      </c>
      <c r="Q17" s="328">
        <f t="shared" si="1"/>
        <v>-3.4899770218849747E-2</v>
      </c>
      <c r="R17" s="328">
        <f t="shared" si="2"/>
        <v>-1.9999999999999987E-4</v>
      </c>
      <c r="S17" s="394">
        <f t="shared" si="3"/>
        <v>-5.0398601398601028E-2</v>
      </c>
      <c r="T17" s="144"/>
      <c r="U17" s="149"/>
      <c r="V17" s="149"/>
    </row>
    <row r="18" spans="1:25" s="112" customFormat="1" ht="12.95" customHeight="1">
      <c r="A18" s="408">
        <v>13</v>
      </c>
      <c r="B18" s="383" t="s">
        <v>10</v>
      </c>
      <c r="C18" s="384" t="s">
        <v>9</v>
      </c>
      <c r="D18" s="325">
        <v>1029094116.39</v>
      </c>
      <c r="E18" s="332">
        <f t="shared" si="0"/>
        <v>4.4574762526797401E-2</v>
      </c>
      <c r="F18" s="324">
        <v>24.88</v>
      </c>
      <c r="G18" s="324">
        <v>25.39</v>
      </c>
      <c r="H18" s="333">
        <v>1.17E-2</v>
      </c>
      <c r="I18" s="333">
        <v>0.4456</v>
      </c>
      <c r="J18" s="325">
        <v>1004741488.83</v>
      </c>
      <c r="K18" s="332">
        <f t="shared" si="9"/>
        <v>4.4291316239102374E-2</v>
      </c>
      <c r="L18" s="324">
        <v>24.23</v>
      </c>
      <c r="M18" s="324">
        <v>24.72</v>
      </c>
      <c r="N18" s="333">
        <v>-2.4E-2</v>
      </c>
      <c r="O18" s="333">
        <v>0.40720000000000001</v>
      </c>
      <c r="P18" s="328">
        <f t="shared" si="4"/>
        <v>-2.3664140307620735E-2</v>
      </c>
      <c r="Q18" s="328">
        <f t="shared" si="1"/>
        <v>-2.6388341866876788E-2</v>
      </c>
      <c r="R18" s="328">
        <f t="shared" si="2"/>
        <v>-3.5700000000000003E-2</v>
      </c>
      <c r="S18" s="394">
        <f t="shared" si="3"/>
        <v>-3.839999999999999E-2</v>
      </c>
      <c r="T18" s="144"/>
      <c r="U18" s="150"/>
      <c r="V18" s="150"/>
    </row>
    <row r="19" spans="1:25" s="112" customFormat="1" ht="12.95" customHeight="1">
      <c r="A19" s="408">
        <v>14</v>
      </c>
      <c r="B19" s="383" t="s">
        <v>67</v>
      </c>
      <c r="C19" s="384" t="s">
        <v>5</v>
      </c>
      <c r="D19" s="325">
        <v>518461516.25</v>
      </c>
      <c r="E19" s="332">
        <f t="shared" si="0"/>
        <v>2.2456934305675167E-2</v>
      </c>
      <c r="F19" s="324">
        <v>5060.41</v>
      </c>
      <c r="G19" s="324">
        <v>5122.4399999999996</v>
      </c>
      <c r="H19" s="333">
        <v>5.96E-2</v>
      </c>
      <c r="I19" s="333">
        <v>0.56440000000000001</v>
      </c>
      <c r="J19" s="325">
        <v>504670079.80000001</v>
      </c>
      <c r="K19" s="332">
        <f t="shared" si="9"/>
        <v>2.2247018112951465E-2</v>
      </c>
      <c r="L19" s="324">
        <v>4986.75</v>
      </c>
      <c r="M19" s="324">
        <v>4924.97</v>
      </c>
      <c r="N19" s="333">
        <v>-2.6499999999999999E-2</v>
      </c>
      <c r="O19" s="333">
        <v>0.52300000000000002</v>
      </c>
      <c r="P19" s="328">
        <f t="shared" si="4"/>
        <v>-2.6600694589161783E-2</v>
      </c>
      <c r="Q19" s="328">
        <f t="shared" si="1"/>
        <v>-3.8549987896393002E-2</v>
      </c>
      <c r="R19" s="328">
        <f t="shared" si="2"/>
        <v>-8.6099999999999996E-2</v>
      </c>
      <c r="S19" s="394">
        <f t="shared" si="3"/>
        <v>-4.1399999999999992E-2</v>
      </c>
      <c r="T19" s="144"/>
      <c r="U19" s="149"/>
      <c r="V19" s="149"/>
    </row>
    <row r="20" spans="1:25" s="112" customFormat="1" ht="12.95" customHeight="1">
      <c r="A20" s="408">
        <v>15</v>
      </c>
      <c r="B20" s="383" t="s">
        <v>223</v>
      </c>
      <c r="C20" s="384" t="s">
        <v>5</v>
      </c>
      <c r="D20" s="325">
        <v>10232929140.35</v>
      </c>
      <c r="E20" s="332">
        <f t="shared" si="0"/>
        <v>0.44323485978592919</v>
      </c>
      <c r="F20" s="324">
        <v>17488.8</v>
      </c>
      <c r="G20" s="324">
        <v>17698.47</v>
      </c>
      <c r="H20" s="333">
        <v>4.1999999999999997E-3</v>
      </c>
      <c r="I20" s="333">
        <v>0.43049999999999999</v>
      </c>
      <c r="J20" s="325">
        <v>10012748126.92</v>
      </c>
      <c r="K20" s="332">
        <f t="shared" si="9"/>
        <v>0.44138497179838176</v>
      </c>
      <c r="L20" s="324">
        <v>17075.59</v>
      </c>
      <c r="M20" s="324">
        <v>17282.53</v>
      </c>
      <c r="N20" s="333">
        <v>4.1999999999999997E-3</v>
      </c>
      <c r="O20" s="333">
        <v>0.315</v>
      </c>
      <c r="P20" s="328">
        <f t="shared" si="4"/>
        <v>-2.1516909812440015E-2</v>
      </c>
      <c r="Q20" s="328">
        <f t="shared" si="1"/>
        <v>-2.350146651094712E-2</v>
      </c>
      <c r="R20" s="328">
        <f t="shared" si="2"/>
        <v>0</v>
      </c>
      <c r="S20" s="394">
        <f t="shared" si="3"/>
        <v>-0.11549999999999999</v>
      </c>
      <c r="T20" s="144"/>
      <c r="U20" s="151"/>
      <c r="V20" s="151"/>
    </row>
    <row r="21" spans="1:25" s="329" customFormat="1" ht="12.95" customHeight="1">
      <c r="A21" s="408">
        <v>16</v>
      </c>
      <c r="B21" s="384" t="s">
        <v>75</v>
      </c>
      <c r="C21" s="384" t="s">
        <v>41</v>
      </c>
      <c r="D21" s="324">
        <v>2595728958.46</v>
      </c>
      <c r="E21" s="332">
        <f t="shared" si="0"/>
        <v>0.112432866989045</v>
      </c>
      <c r="F21" s="324">
        <v>1.2891999999999999</v>
      </c>
      <c r="G21" s="309">
        <v>1.3035000000000001</v>
      </c>
      <c r="H21" s="333">
        <v>1.17E-2</v>
      </c>
      <c r="I21" s="333">
        <v>0.41049999999999998</v>
      </c>
      <c r="J21" s="324">
        <v>2551560701.8800001</v>
      </c>
      <c r="K21" s="332">
        <f t="shared" si="9"/>
        <v>0.11247866561361285</v>
      </c>
      <c r="L21" s="324">
        <v>1.2666999999999999</v>
      </c>
      <c r="M21" s="309">
        <v>1.2806999999999999</v>
      </c>
      <c r="N21" s="333">
        <v>-1.7500000000000002E-2</v>
      </c>
      <c r="O21" s="333">
        <v>0.38690000000000002</v>
      </c>
      <c r="P21" s="328">
        <f t="shared" si="4"/>
        <v>-1.7015742894128733E-2</v>
      </c>
      <c r="Q21" s="328">
        <f t="shared" si="1"/>
        <v>-1.7491369390103685E-2</v>
      </c>
      <c r="R21" s="328">
        <f t="shared" si="2"/>
        <v>-2.9200000000000004E-2</v>
      </c>
      <c r="S21" s="394">
        <f t="shared" si="3"/>
        <v>-2.3599999999999954E-2</v>
      </c>
      <c r="T21" s="308"/>
      <c r="U21" s="308"/>
      <c r="V21" s="151"/>
    </row>
    <row r="22" spans="1:25" s="112" customFormat="1" ht="12.95" customHeight="1">
      <c r="A22" s="213"/>
      <c r="C22" s="243" t="s">
        <v>42</v>
      </c>
      <c r="D22" s="70">
        <f>SUM(D6:D21)</f>
        <v>23086923138.879997</v>
      </c>
      <c r="E22" s="261">
        <f>(D22/$D$170)</f>
        <v>1.2115526247261499E-2</v>
      </c>
      <c r="F22" s="263"/>
      <c r="G22" s="71"/>
      <c r="H22" s="280"/>
      <c r="I22" s="280"/>
      <c r="J22" s="70">
        <f>SUM(J6:J21)</f>
        <v>22684841502.700001</v>
      </c>
      <c r="K22" s="261">
        <f>(J22/$J$170)</f>
        <v>1.1753594366747439E-2</v>
      </c>
      <c r="L22" s="263"/>
      <c r="M22" s="71"/>
      <c r="N22" s="280"/>
      <c r="O22" s="280"/>
      <c r="P22" s="265">
        <f t="shared" si="4"/>
        <v>-1.7415990591784957E-2</v>
      </c>
      <c r="Q22" s="265"/>
      <c r="R22" s="265">
        <f t="shared" ref="R22" si="14">N22-H22</f>
        <v>0</v>
      </c>
      <c r="S22" s="394">
        <f t="shared" ref="S22" si="15">O22-I22</f>
        <v>0</v>
      </c>
      <c r="T22" s="144"/>
      <c r="U22" s="152"/>
      <c r="X22" s="119"/>
      <c r="Y22" s="119"/>
    </row>
    <row r="23" spans="1:25" s="112" customFormat="1" ht="5.25" customHeight="1">
      <c r="A23" s="414"/>
      <c r="B23" s="415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29"/>
      <c r="T23" s="144"/>
      <c r="U23" s="152"/>
      <c r="X23" s="119"/>
      <c r="Y23" s="119"/>
    </row>
    <row r="24" spans="1:25" s="112" customFormat="1" ht="12.95" customHeight="1">
      <c r="A24" s="421" t="s">
        <v>44</v>
      </c>
      <c r="B24" s="422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4"/>
      <c r="T24" s="153"/>
      <c r="V24" s="154"/>
    </row>
    <row r="25" spans="1:25" s="112" customFormat="1" ht="12.95" customHeight="1">
      <c r="A25" s="404">
        <v>17</v>
      </c>
      <c r="B25" s="383" t="s">
        <v>115</v>
      </c>
      <c r="C25" s="384" t="s">
        <v>57</v>
      </c>
      <c r="D25" s="320">
        <v>771122352.47000003</v>
      </c>
      <c r="E25" s="192">
        <v>7.9600000000000004E-2</v>
      </c>
      <c r="F25" s="309">
        <v>100</v>
      </c>
      <c r="G25" s="309">
        <v>100</v>
      </c>
      <c r="H25" s="333">
        <v>9.5500000000000002E-2</v>
      </c>
      <c r="I25" s="333">
        <v>9.5500000000000002E-2</v>
      </c>
      <c r="J25" s="320">
        <v>775235970.98000002</v>
      </c>
      <c r="K25" s="332">
        <f t="shared" ref="K25:K41" si="16">(J25/$J$54)</f>
        <v>9.1965998518851429E-4</v>
      </c>
      <c r="L25" s="309">
        <v>100</v>
      </c>
      <c r="M25" s="309">
        <v>100</v>
      </c>
      <c r="N25" s="333">
        <v>0.10639999999999999</v>
      </c>
      <c r="O25" s="333">
        <v>0.10639999999999999</v>
      </c>
      <c r="P25" s="109">
        <f t="shared" ref="P25:P53" si="17">((J25-D25)/D25)</f>
        <v>5.3345860054809235E-3</v>
      </c>
      <c r="Q25" s="109">
        <f t="shared" ref="Q25:Q53" si="18">((M25-G25)/G25)</f>
        <v>0</v>
      </c>
      <c r="R25" s="328">
        <f t="shared" ref="R25:R53" si="19">N25-H25</f>
        <v>1.0899999999999993E-2</v>
      </c>
      <c r="S25" s="394">
        <f t="shared" ref="S25:S53" si="20">O25-I25</f>
        <v>1.0899999999999993E-2</v>
      </c>
      <c r="T25" s="156"/>
      <c r="U25" s="120"/>
      <c r="V25" s="154"/>
      <c r="W25" s="157"/>
    </row>
    <row r="26" spans="1:25" s="112" customFormat="1" ht="12.95" customHeight="1">
      <c r="A26" s="404">
        <v>18</v>
      </c>
      <c r="B26" s="383" t="s">
        <v>37</v>
      </c>
      <c r="C26" s="384" t="s">
        <v>36</v>
      </c>
      <c r="D26" s="320">
        <v>3599877469.0100002</v>
      </c>
      <c r="E26" s="192">
        <v>8.6400000000000005E-2</v>
      </c>
      <c r="F26" s="309">
        <v>100</v>
      </c>
      <c r="G26" s="309">
        <v>100</v>
      </c>
      <c r="H26" s="333">
        <v>0.113694</v>
      </c>
      <c r="I26" s="333">
        <v>0.113694</v>
      </c>
      <c r="J26" s="320">
        <v>3643032341.1500001</v>
      </c>
      <c r="K26" s="332">
        <f t="shared" si="16"/>
        <v>4.3217177663570023E-3</v>
      </c>
      <c r="L26" s="309">
        <v>100</v>
      </c>
      <c r="M26" s="309">
        <v>100</v>
      </c>
      <c r="N26" s="333">
        <v>0.115927</v>
      </c>
      <c r="O26" s="333">
        <v>0.115927</v>
      </c>
      <c r="P26" s="328">
        <f t="shared" si="17"/>
        <v>1.19878725071906E-2</v>
      </c>
      <c r="Q26" s="328">
        <f t="shared" si="18"/>
        <v>0</v>
      </c>
      <c r="R26" s="328">
        <f t="shared" si="19"/>
        <v>2.2329999999999989E-3</v>
      </c>
      <c r="S26" s="394">
        <f t="shared" si="20"/>
        <v>2.2329999999999989E-3</v>
      </c>
      <c r="T26" s="144"/>
      <c r="U26" s="113"/>
    </row>
    <row r="27" spans="1:25" s="112" customFormat="1" ht="12.95" customHeight="1">
      <c r="A27" s="404">
        <v>19</v>
      </c>
      <c r="B27" s="383" t="s">
        <v>136</v>
      </c>
      <c r="C27" s="384" t="s">
        <v>134</v>
      </c>
      <c r="D27" s="320">
        <v>334301583.01999998</v>
      </c>
      <c r="E27" s="192">
        <v>2.0000000000000001E-4</v>
      </c>
      <c r="F27" s="309">
        <v>100</v>
      </c>
      <c r="G27" s="309">
        <v>100</v>
      </c>
      <c r="H27" s="333">
        <v>9.9500000000000005E-2</v>
      </c>
      <c r="I27" s="333">
        <v>9.9500000000000005E-2</v>
      </c>
      <c r="J27" s="320">
        <v>334301583.01999998</v>
      </c>
      <c r="K27" s="332">
        <f t="shared" si="16"/>
        <v>3.9658091264782358E-4</v>
      </c>
      <c r="L27" s="309">
        <v>100</v>
      </c>
      <c r="M27" s="309">
        <v>100</v>
      </c>
      <c r="N27" s="333">
        <v>9.9500000000000005E-2</v>
      </c>
      <c r="O27" s="333">
        <v>9.9500000000000005E-2</v>
      </c>
      <c r="P27" s="328">
        <f t="shared" si="17"/>
        <v>0</v>
      </c>
      <c r="Q27" s="328">
        <f t="shared" si="18"/>
        <v>0</v>
      </c>
      <c r="R27" s="328">
        <f t="shared" si="19"/>
        <v>0</v>
      </c>
      <c r="S27" s="394">
        <f t="shared" si="20"/>
        <v>0</v>
      </c>
      <c r="T27" s="144"/>
      <c r="U27" s="120"/>
    </row>
    <row r="28" spans="1:25" s="112" customFormat="1" ht="12.95" customHeight="1">
      <c r="A28" s="398">
        <v>20</v>
      </c>
      <c r="B28" s="383" t="s">
        <v>15</v>
      </c>
      <c r="C28" s="384" t="s">
        <v>6</v>
      </c>
      <c r="D28" s="320">
        <v>79015930645.460007</v>
      </c>
      <c r="E28" s="192">
        <v>6.54E-2</v>
      </c>
      <c r="F28" s="309">
        <v>1</v>
      </c>
      <c r="G28" s="309">
        <v>1</v>
      </c>
      <c r="H28" s="333">
        <v>8.9599999999999999E-2</v>
      </c>
      <c r="I28" s="333">
        <v>8.9599999999999999E-2</v>
      </c>
      <c r="J28" s="320">
        <v>78937493127.25</v>
      </c>
      <c r="K28" s="332">
        <f t="shared" si="16"/>
        <v>9.3643298915109363E-2</v>
      </c>
      <c r="L28" s="309">
        <v>1</v>
      </c>
      <c r="M28" s="309">
        <v>1</v>
      </c>
      <c r="N28" s="333">
        <v>8.6699999999999999E-2</v>
      </c>
      <c r="O28" s="333">
        <v>8.6699999999999999E-2</v>
      </c>
      <c r="P28" s="328">
        <f t="shared" si="17"/>
        <v>-9.9267979974761557E-4</v>
      </c>
      <c r="Q28" s="328">
        <f t="shared" si="18"/>
        <v>0</v>
      </c>
      <c r="R28" s="328">
        <f t="shared" si="19"/>
        <v>-2.8999999999999998E-3</v>
      </c>
      <c r="S28" s="394">
        <f t="shared" si="20"/>
        <v>-2.8999999999999998E-3</v>
      </c>
      <c r="T28" s="153"/>
      <c r="U28" s="113"/>
    </row>
    <row r="29" spans="1:25" s="112" customFormat="1" ht="12.95" customHeight="1">
      <c r="A29" s="398">
        <v>21</v>
      </c>
      <c r="B29" s="383" t="s">
        <v>82</v>
      </c>
      <c r="C29" s="384" t="s">
        <v>80</v>
      </c>
      <c r="D29" s="320">
        <v>40934896304.379997</v>
      </c>
      <c r="E29" s="192">
        <v>6.9800000000000001E-2</v>
      </c>
      <c r="F29" s="309">
        <v>1</v>
      </c>
      <c r="G29" s="309">
        <v>1</v>
      </c>
      <c r="H29" s="333">
        <v>8.8200000000000001E-2</v>
      </c>
      <c r="I29" s="333">
        <v>8.8200000000000001E-2</v>
      </c>
      <c r="J29" s="320">
        <v>40720712051.089996</v>
      </c>
      <c r="K29" s="332">
        <f t="shared" si="16"/>
        <v>4.8306852163258709E-2</v>
      </c>
      <c r="L29" s="309">
        <v>1</v>
      </c>
      <c r="M29" s="309">
        <v>1</v>
      </c>
      <c r="N29" s="333">
        <v>8.8200000000000001E-2</v>
      </c>
      <c r="O29" s="333">
        <v>8.8200000000000001E-2</v>
      </c>
      <c r="P29" s="328">
        <f t="shared" si="17"/>
        <v>-5.2323145439868478E-3</v>
      </c>
      <c r="Q29" s="328">
        <f t="shared" si="18"/>
        <v>0</v>
      </c>
      <c r="R29" s="328">
        <f t="shared" si="19"/>
        <v>0</v>
      </c>
      <c r="S29" s="394">
        <f t="shared" si="20"/>
        <v>0</v>
      </c>
      <c r="T29" s="144"/>
      <c r="U29" s="148"/>
      <c r="V29" s="431"/>
      <c r="W29" s="431"/>
    </row>
    <row r="30" spans="1:25" s="112" customFormat="1" ht="12.95" customHeight="1">
      <c r="A30" s="398">
        <v>22</v>
      </c>
      <c r="B30" s="383" t="s">
        <v>97</v>
      </c>
      <c r="C30" s="384" t="s">
        <v>9</v>
      </c>
      <c r="D30" s="320">
        <v>6584038357.3299999</v>
      </c>
      <c r="E30" s="192">
        <v>5.3699999999999998E-2</v>
      </c>
      <c r="F30" s="309">
        <v>100</v>
      </c>
      <c r="G30" s="309">
        <v>100</v>
      </c>
      <c r="H30" s="333">
        <v>0.09</v>
      </c>
      <c r="I30" s="333">
        <v>0.09</v>
      </c>
      <c r="J30" s="320">
        <v>6708779236.3699999</v>
      </c>
      <c r="K30" s="332">
        <f t="shared" si="16"/>
        <v>7.9586036305224778E-3</v>
      </c>
      <c r="L30" s="309">
        <v>100</v>
      </c>
      <c r="M30" s="309">
        <v>100</v>
      </c>
      <c r="N30" s="333">
        <v>9.1300000000000006E-2</v>
      </c>
      <c r="O30" s="333">
        <v>9.1300000000000006E-2</v>
      </c>
      <c r="P30" s="328">
        <f t="shared" si="17"/>
        <v>1.8945952661579824E-2</v>
      </c>
      <c r="Q30" s="328">
        <f t="shared" si="18"/>
        <v>0</v>
      </c>
      <c r="R30" s="328">
        <f t="shared" si="19"/>
        <v>1.3000000000000095E-3</v>
      </c>
      <c r="S30" s="394">
        <f t="shared" si="20"/>
        <v>1.3000000000000095E-3</v>
      </c>
      <c r="T30" s="144"/>
      <c r="U30" s="113"/>
      <c r="V30" s="433"/>
      <c r="W30" s="433"/>
    </row>
    <row r="31" spans="1:25" s="112" customFormat="1" ht="12.95" customHeight="1">
      <c r="A31" s="401">
        <v>23</v>
      </c>
      <c r="B31" s="383" t="s">
        <v>228</v>
      </c>
      <c r="C31" s="384" t="s">
        <v>7</v>
      </c>
      <c r="D31" s="320">
        <v>12518887422.59</v>
      </c>
      <c r="E31" s="192">
        <v>6.1269999999999998E-2</v>
      </c>
      <c r="F31" s="309">
        <v>100</v>
      </c>
      <c r="G31" s="309">
        <v>100</v>
      </c>
      <c r="H31" s="333">
        <v>0.1011</v>
      </c>
      <c r="I31" s="333">
        <v>0.1011</v>
      </c>
      <c r="J31" s="320">
        <v>12664877324.02</v>
      </c>
      <c r="K31" s="332">
        <f t="shared" si="16"/>
        <v>1.502430399030474E-2</v>
      </c>
      <c r="L31" s="309">
        <v>100</v>
      </c>
      <c r="M31" s="309">
        <v>100</v>
      </c>
      <c r="N31" s="333">
        <v>0.1062</v>
      </c>
      <c r="O31" s="333">
        <v>0.1062</v>
      </c>
      <c r="P31" s="328">
        <f t="shared" si="17"/>
        <v>1.1661571552002729E-2</v>
      </c>
      <c r="Q31" s="328">
        <f t="shared" si="18"/>
        <v>0</v>
      </c>
      <c r="R31" s="328">
        <f t="shared" si="19"/>
        <v>5.1000000000000073E-3</v>
      </c>
      <c r="S31" s="394">
        <f t="shared" si="20"/>
        <v>5.1000000000000073E-3</v>
      </c>
      <c r="T31" s="144"/>
      <c r="U31" s="113"/>
      <c r="V31" s="434"/>
      <c r="W31" s="434"/>
    </row>
    <row r="32" spans="1:25" s="112" customFormat="1" ht="12.95" customHeight="1">
      <c r="A32" s="404">
        <v>24</v>
      </c>
      <c r="B32" s="383" t="s">
        <v>89</v>
      </c>
      <c r="C32" s="384" t="s">
        <v>88</v>
      </c>
      <c r="D32" s="320">
        <v>6053981270.9899998</v>
      </c>
      <c r="E32" s="192">
        <v>7.0599999999999996E-2</v>
      </c>
      <c r="F32" s="309">
        <v>100</v>
      </c>
      <c r="G32" s="309">
        <v>100</v>
      </c>
      <c r="H32" s="333">
        <v>9.1700000000000004E-2</v>
      </c>
      <c r="I32" s="333">
        <v>9.1700000000000004E-2</v>
      </c>
      <c r="J32" s="320">
        <v>6112797574.9899998</v>
      </c>
      <c r="K32" s="332">
        <f t="shared" si="16"/>
        <v>7.2515924669609034E-3</v>
      </c>
      <c r="L32" s="309">
        <v>100</v>
      </c>
      <c r="M32" s="309">
        <v>100</v>
      </c>
      <c r="N32" s="333">
        <v>9.4799999999999995E-2</v>
      </c>
      <c r="O32" s="333">
        <v>9.4799999999999995E-2</v>
      </c>
      <c r="P32" s="328">
        <f t="shared" si="17"/>
        <v>9.7153098708516235E-3</v>
      </c>
      <c r="Q32" s="328">
        <f t="shared" si="18"/>
        <v>0</v>
      </c>
      <c r="R32" s="328">
        <f t="shared" si="19"/>
        <v>3.0999999999999917E-3</v>
      </c>
      <c r="S32" s="394">
        <f t="shared" si="20"/>
        <v>3.0999999999999917E-3</v>
      </c>
      <c r="T32" s="144"/>
      <c r="U32" s="113"/>
    </row>
    <row r="33" spans="1:23" s="112" customFormat="1" ht="12.95" customHeight="1">
      <c r="A33" s="406">
        <v>25</v>
      </c>
      <c r="B33" s="383" t="s">
        <v>178</v>
      </c>
      <c r="C33" s="384" t="s">
        <v>177</v>
      </c>
      <c r="D33" s="320">
        <v>44514190.369999997</v>
      </c>
      <c r="E33" s="192">
        <v>3.7000000000000002E-3</v>
      </c>
      <c r="F33" s="309">
        <v>100</v>
      </c>
      <c r="G33" s="309">
        <v>100</v>
      </c>
      <c r="H33" s="333">
        <v>0</v>
      </c>
      <c r="I33" s="333">
        <v>0</v>
      </c>
      <c r="J33" s="320">
        <v>44514190.369999997</v>
      </c>
      <c r="K33" s="332">
        <f t="shared" si="16"/>
        <v>5.2807043518120041E-5</v>
      </c>
      <c r="L33" s="309">
        <v>100</v>
      </c>
      <c r="M33" s="309">
        <v>100</v>
      </c>
      <c r="N33" s="333">
        <v>0</v>
      </c>
      <c r="O33" s="333">
        <v>0</v>
      </c>
      <c r="P33" s="328">
        <f t="shared" si="17"/>
        <v>0</v>
      </c>
      <c r="Q33" s="328">
        <f t="shared" si="18"/>
        <v>0</v>
      </c>
      <c r="R33" s="328">
        <f t="shared" si="19"/>
        <v>0</v>
      </c>
      <c r="S33" s="394">
        <f t="shared" si="20"/>
        <v>0</v>
      </c>
      <c r="T33" s="146"/>
      <c r="U33" s="158"/>
    </row>
    <row r="34" spans="1:23" s="112" customFormat="1" ht="12.95" customHeight="1">
      <c r="A34" s="398">
        <v>26</v>
      </c>
      <c r="B34" s="383" t="s">
        <v>108</v>
      </c>
      <c r="C34" s="384" t="s">
        <v>254</v>
      </c>
      <c r="D34" s="320">
        <v>5124692682.4300003</v>
      </c>
      <c r="E34" s="192">
        <v>6.3E-2</v>
      </c>
      <c r="F34" s="309">
        <v>1</v>
      </c>
      <c r="G34" s="309">
        <v>1</v>
      </c>
      <c r="H34" s="333">
        <v>9.9699999999999997E-2</v>
      </c>
      <c r="I34" s="333">
        <v>9.9699999999999997E-2</v>
      </c>
      <c r="J34" s="320">
        <v>5210909185.3500004</v>
      </c>
      <c r="K34" s="332">
        <f t="shared" si="16"/>
        <v>6.181685117319341E-3</v>
      </c>
      <c r="L34" s="309">
        <v>1</v>
      </c>
      <c r="M34" s="309">
        <v>1</v>
      </c>
      <c r="N34" s="333">
        <v>9.9000000000000005E-2</v>
      </c>
      <c r="O34" s="333">
        <v>9.9000000000000005E-2</v>
      </c>
      <c r="P34" s="328">
        <f t="shared" si="17"/>
        <v>1.6823741102679816E-2</v>
      </c>
      <c r="Q34" s="328">
        <f t="shared" si="18"/>
        <v>0</v>
      </c>
      <c r="R34" s="328">
        <f t="shared" si="19"/>
        <v>-6.999999999999923E-4</v>
      </c>
      <c r="S34" s="394">
        <f t="shared" si="20"/>
        <v>-6.999999999999923E-4</v>
      </c>
      <c r="T34" s="159"/>
      <c r="U34" s="113"/>
      <c r="V34" s="431"/>
      <c r="W34" s="431"/>
    </row>
    <row r="35" spans="1:23" s="112" customFormat="1" ht="12.95" customHeight="1">
      <c r="A35" s="403">
        <v>27</v>
      </c>
      <c r="B35" s="383" t="s">
        <v>100</v>
      </c>
      <c r="C35" s="384" t="s">
        <v>98</v>
      </c>
      <c r="D35" s="320">
        <v>14061388982.280001</v>
      </c>
      <c r="E35" s="192">
        <v>4.5100000000000001E-2</v>
      </c>
      <c r="F35" s="69">
        <v>100</v>
      </c>
      <c r="G35" s="69">
        <v>100</v>
      </c>
      <c r="H35" s="333">
        <v>9.4899999999999998E-2</v>
      </c>
      <c r="I35" s="333">
        <v>9.4899999999999998E-2</v>
      </c>
      <c r="J35" s="320">
        <v>14176719275.27</v>
      </c>
      <c r="K35" s="332">
        <f t="shared" si="16"/>
        <v>1.681779732464567E-2</v>
      </c>
      <c r="L35" s="69">
        <v>100</v>
      </c>
      <c r="M35" s="69">
        <v>100</v>
      </c>
      <c r="N35" s="333">
        <v>9.4299999999999995E-2</v>
      </c>
      <c r="O35" s="333">
        <v>9.4299999999999995E-2</v>
      </c>
      <c r="P35" s="328">
        <f t="shared" si="17"/>
        <v>8.2019132772258602E-3</v>
      </c>
      <c r="Q35" s="328">
        <f t="shared" si="18"/>
        <v>0</v>
      </c>
      <c r="R35" s="328">
        <f t="shared" si="19"/>
        <v>-6.0000000000000331E-4</v>
      </c>
      <c r="S35" s="394">
        <f t="shared" si="20"/>
        <v>-6.0000000000000331E-4</v>
      </c>
      <c r="T35" s="144"/>
      <c r="U35" s="122"/>
    </row>
    <row r="36" spans="1:23" s="112" customFormat="1" ht="12.95" customHeight="1">
      <c r="A36" s="403">
        <v>28</v>
      </c>
      <c r="B36" s="383" t="s">
        <v>99</v>
      </c>
      <c r="C36" s="384" t="s">
        <v>98</v>
      </c>
      <c r="D36" s="320">
        <v>1228392489.0999999</v>
      </c>
      <c r="E36" s="192">
        <v>5.2900000000000003E-2</v>
      </c>
      <c r="F36" s="69">
        <v>1000000</v>
      </c>
      <c r="G36" s="69">
        <v>1000000</v>
      </c>
      <c r="H36" s="333">
        <v>8.0799999999999997E-2</v>
      </c>
      <c r="I36" s="333">
        <v>8.0799999999999997E-2</v>
      </c>
      <c r="J36" s="320">
        <v>1230331119.48</v>
      </c>
      <c r="K36" s="332">
        <f t="shared" si="16"/>
        <v>1.4595379232565768E-3</v>
      </c>
      <c r="L36" s="69">
        <v>1000000</v>
      </c>
      <c r="M36" s="69">
        <v>1000000</v>
      </c>
      <c r="N36" s="333">
        <v>8.7999999999999995E-2</v>
      </c>
      <c r="O36" s="333">
        <v>8.7999999999999995E-2</v>
      </c>
      <c r="P36" s="328">
        <f t="shared" si="17"/>
        <v>1.5781848205702405E-3</v>
      </c>
      <c r="Q36" s="328">
        <f t="shared" si="18"/>
        <v>0</v>
      </c>
      <c r="R36" s="328">
        <f t="shared" si="19"/>
        <v>7.1999999999999981E-3</v>
      </c>
      <c r="S36" s="394">
        <f t="shared" si="20"/>
        <v>7.1999999999999981E-3</v>
      </c>
      <c r="T36" s="144"/>
      <c r="U36" s="123"/>
    </row>
    <row r="37" spans="1:23" s="112" customFormat="1" ht="12.95" customHeight="1">
      <c r="A37" s="399">
        <v>29</v>
      </c>
      <c r="B37" s="383" t="s">
        <v>168</v>
      </c>
      <c r="C37" s="384" t="s">
        <v>167</v>
      </c>
      <c r="D37" s="320">
        <v>2616061714.6500001</v>
      </c>
      <c r="E37" s="192">
        <v>9.0300000000000005E-2</v>
      </c>
      <c r="F37" s="309">
        <v>1</v>
      </c>
      <c r="G37" s="309">
        <v>1</v>
      </c>
      <c r="H37" s="333">
        <v>0.13100000000000001</v>
      </c>
      <c r="I37" s="333">
        <v>0.13100000000000001</v>
      </c>
      <c r="J37" s="320">
        <v>2612554028.3499999</v>
      </c>
      <c r="K37" s="332">
        <f t="shared" si="16"/>
        <v>3.0992645967901555E-3</v>
      </c>
      <c r="L37" s="309">
        <v>1</v>
      </c>
      <c r="M37" s="309">
        <v>1</v>
      </c>
      <c r="N37" s="333">
        <v>0.13100000000000001</v>
      </c>
      <c r="O37" s="333">
        <v>0.13100000000000001</v>
      </c>
      <c r="P37" s="328">
        <f t="shared" si="17"/>
        <v>-1.3408270456148166E-3</v>
      </c>
      <c r="Q37" s="328">
        <f t="shared" si="18"/>
        <v>0</v>
      </c>
      <c r="R37" s="328">
        <f t="shared" si="19"/>
        <v>0</v>
      </c>
      <c r="S37" s="394">
        <f t="shared" si="20"/>
        <v>0</v>
      </c>
      <c r="T37" s="144"/>
      <c r="U37" s="122"/>
    </row>
    <row r="38" spans="1:23" s="329" customFormat="1" ht="12.95" customHeight="1">
      <c r="A38" s="403">
        <v>30</v>
      </c>
      <c r="B38" s="383" t="s">
        <v>14</v>
      </c>
      <c r="C38" s="384" t="s">
        <v>184</v>
      </c>
      <c r="D38" s="320">
        <v>200705395227.67001</v>
      </c>
      <c r="E38" s="192">
        <v>6.2600000000000003E-2</v>
      </c>
      <c r="F38" s="309">
        <v>100</v>
      </c>
      <c r="G38" s="309">
        <v>100</v>
      </c>
      <c r="H38" s="333">
        <v>0.1024</v>
      </c>
      <c r="I38" s="333">
        <v>0.1024</v>
      </c>
      <c r="J38" s="320">
        <v>197035337241.79999</v>
      </c>
      <c r="K38" s="332">
        <f t="shared" si="16"/>
        <v>0.23374239858909043</v>
      </c>
      <c r="L38" s="309">
        <v>100</v>
      </c>
      <c r="M38" s="309">
        <v>100</v>
      </c>
      <c r="N38" s="333">
        <v>0.1023</v>
      </c>
      <c r="O38" s="333">
        <v>0.1023</v>
      </c>
      <c r="P38" s="328">
        <f t="shared" ref="P38" si="21">((J38-D38)/D38)</f>
        <v>-1.8285796361910939E-2</v>
      </c>
      <c r="Q38" s="328">
        <f t="shared" ref="Q38" si="22">((M38-G38)/G38)</f>
        <v>0</v>
      </c>
      <c r="R38" s="328">
        <f t="shared" ref="R38" si="23">N38-H38</f>
        <v>-1.0000000000000286E-4</v>
      </c>
      <c r="S38" s="394">
        <f t="shared" ref="S38" si="24">O38-I38</f>
        <v>-1.0000000000000286E-4</v>
      </c>
      <c r="T38" s="144"/>
      <c r="U38" s="122"/>
    </row>
    <row r="39" spans="1:23" s="112" customFormat="1" ht="12.95" customHeight="1">
      <c r="A39" s="406">
        <v>31</v>
      </c>
      <c r="B39" s="383" t="s">
        <v>257</v>
      </c>
      <c r="C39" s="384" t="s">
        <v>133</v>
      </c>
      <c r="D39" s="320">
        <v>292233591.13999999</v>
      </c>
      <c r="E39" s="332">
        <f>(D39/$J$54)</f>
        <v>3.4667578667648313E-4</v>
      </c>
      <c r="F39" s="309">
        <v>1</v>
      </c>
      <c r="G39" s="309">
        <v>1</v>
      </c>
      <c r="H39" s="319">
        <v>7.0400000000000004E-2</v>
      </c>
      <c r="I39" s="319">
        <v>7.0400000000000004E-2</v>
      </c>
      <c r="J39" s="376">
        <v>282092191.77999997</v>
      </c>
      <c r="K39" s="332">
        <f t="shared" si="16"/>
        <v>3.3464507662903998E-4</v>
      </c>
      <c r="L39" s="309">
        <v>1</v>
      </c>
      <c r="M39" s="309">
        <v>1</v>
      </c>
      <c r="N39" s="319">
        <v>6.7900000000000002E-2</v>
      </c>
      <c r="O39" s="319">
        <v>6.7900000000000002E-2</v>
      </c>
      <c r="P39" s="328">
        <f t="shared" si="17"/>
        <v>-3.4703058332337937E-2</v>
      </c>
      <c r="Q39" s="328">
        <f t="shared" si="18"/>
        <v>0</v>
      </c>
      <c r="R39" s="328">
        <f t="shared" si="19"/>
        <v>-2.5000000000000022E-3</v>
      </c>
      <c r="S39" s="394">
        <f t="shared" si="20"/>
        <v>-2.5000000000000022E-3</v>
      </c>
      <c r="T39" s="144"/>
      <c r="U39" s="122"/>
      <c r="V39" s="124"/>
    </row>
    <row r="40" spans="1:23" s="112" customFormat="1" ht="12.95" customHeight="1">
      <c r="A40" s="402">
        <v>32</v>
      </c>
      <c r="B40" s="383" t="s">
        <v>122</v>
      </c>
      <c r="C40" s="384" t="s">
        <v>174</v>
      </c>
      <c r="D40" s="320">
        <v>614828792.12</v>
      </c>
      <c r="E40" s="192">
        <v>4.9799999999999997E-2</v>
      </c>
      <c r="F40" s="309">
        <v>10</v>
      </c>
      <c r="G40" s="309">
        <v>10</v>
      </c>
      <c r="H40" s="333">
        <v>8.3699999999999997E-2</v>
      </c>
      <c r="I40" s="333">
        <v>8.3699999999999997E-2</v>
      </c>
      <c r="J40" s="320">
        <v>582641695.84000003</v>
      </c>
      <c r="K40" s="332">
        <f t="shared" si="16"/>
        <v>6.9118600455170189E-4</v>
      </c>
      <c r="L40" s="309">
        <v>10</v>
      </c>
      <c r="M40" s="309">
        <v>10</v>
      </c>
      <c r="N40" s="333">
        <v>8.3500000000000005E-2</v>
      </c>
      <c r="O40" s="333">
        <v>8.3500000000000005E-2</v>
      </c>
      <c r="P40" s="109">
        <f t="shared" si="17"/>
        <v>-5.2351315833819662E-2</v>
      </c>
      <c r="Q40" s="328">
        <f t="shared" si="18"/>
        <v>0</v>
      </c>
      <c r="R40" s="328">
        <f t="shared" si="19"/>
        <v>-1.9999999999999185E-4</v>
      </c>
      <c r="S40" s="394">
        <f t="shared" si="20"/>
        <v>-1.9999999999999185E-4</v>
      </c>
      <c r="T40" s="155"/>
      <c r="U40" s="381"/>
      <c r="V40" s="185"/>
    </row>
    <row r="41" spans="1:23" s="112" customFormat="1" ht="12.95" customHeight="1">
      <c r="A41" s="398">
        <v>33</v>
      </c>
      <c r="B41" s="383" t="s">
        <v>86</v>
      </c>
      <c r="C41" s="384" t="s">
        <v>87</v>
      </c>
      <c r="D41" s="320">
        <v>3671206553.7942152</v>
      </c>
      <c r="E41" s="192">
        <v>4.2599999999999999E-2</v>
      </c>
      <c r="F41" s="309">
        <v>100</v>
      </c>
      <c r="G41" s="309">
        <v>100</v>
      </c>
      <c r="H41" s="333">
        <v>9.1499999999999998E-2</v>
      </c>
      <c r="I41" s="333">
        <v>9.1499999999999998E-2</v>
      </c>
      <c r="J41" s="320">
        <v>3664356200.4320264</v>
      </c>
      <c r="K41" s="332">
        <f t="shared" si="16"/>
        <v>4.3470141933103076E-3</v>
      </c>
      <c r="L41" s="309">
        <v>100</v>
      </c>
      <c r="M41" s="309">
        <v>100</v>
      </c>
      <c r="N41" s="333">
        <v>9.6799999999999997E-2</v>
      </c>
      <c r="O41" s="333">
        <v>9.6799999999999997E-2</v>
      </c>
      <c r="P41" s="328">
        <f t="shared" si="17"/>
        <v>-1.8659678396762865E-3</v>
      </c>
      <c r="Q41" s="328">
        <f t="shared" si="18"/>
        <v>0</v>
      </c>
      <c r="R41" s="328">
        <f t="shared" si="19"/>
        <v>5.2999999999999992E-3</v>
      </c>
      <c r="S41" s="394">
        <f t="shared" si="20"/>
        <v>5.2999999999999992E-3</v>
      </c>
      <c r="T41" s="146"/>
      <c r="U41" s="122"/>
    </row>
    <row r="42" spans="1:23" s="329" customFormat="1" ht="12.95" customHeight="1">
      <c r="A42" s="399">
        <v>34</v>
      </c>
      <c r="B42" s="383" t="s">
        <v>264</v>
      </c>
      <c r="C42" s="384" t="s">
        <v>240</v>
      </c>
      <c r="D42" s="320">
        <v>20633982628.639999</v>
      </c>
      <c r="E42" s="192">
        <v>4.7199999999999999E-2</v>
      </c>
      <c r="F42" s="309">
        <v>100</v>
      </c>
      <c r="G42" s="309">
        <v>100</v>
      </c>
      <c r="H42" s="333">
        <v>8.8800000000000004E-2</v>
      </c>
      <c r="I42" s="333">
        <v>8.8900000000000007E-2</v>
      </c>
      <c r="J42" s="320">
        <v>20727741540.740002</v>
      </c>
      <c r="K42" s="332">
        <f t="shared" ref="K42" si="25">(J42/$J$54)</f>
        <v>2.4589254358580438E-2</v>
      </c>
      <c r="L42" s="309">
        <v>100</v>
      </c>
      <c r="M42" s="309">
        <v>100</v>
      </c>
      <c r="N42" s="333">
        <v>8.7900000000000006E-2</v>
      </c>
      <c r="O42" s="333">
        <v>9.3299999999999994E-2</v>
      </c>
      <c r="P42" s="328">
        <f t="shared" ref="P42" si="26">((J42-D42)/D42)</f>
        <v>4.5439076782910915E-3</v>
      </c>
      <c r="Q42" s="328">
        <f t="shared" ref="Q42" si="27">((M42-G42)/G42)</f>
        <v>0</v>
      </c>
      <c r="R42" s="328">
        <f t="shared" ref="R42" si="28">N42-H42</f>
        <v>-8.9999999999999802E-4</v>
      </c>
      <c r="S42" s="394">
        <f t="shared" ref="S42" si="29">O42-I42</f>
        <v>4.3999999999999873E-3</v>
      </c>
      <c r="T42" s="146"/>
      <c r="U42" s="122"/>
    </row>
    <row r="43" spans="1:23" s="112" customFormat="1" ht="12.95" customHeight="1">
      <c r="A43" s="401">
        <v>35</v>
      </c>
      <c r="B43" s="383" t="s">
        <v>121</v>
      </c>
      <c r="C43" s="384" t="s">
        <v>132</v>
      </c>
      <c r="D43" s="320">
        <v>3162708156.3899999</v>
      </c>
      <c r="E43" s="192">
        <v>4.8399999999999999E-2</v>
      </c>
      <c r="F43" s="309">
        <v>1</v>
      </c>
      <c r="G43" s="309">
        <v>1</v>
      </c>
      <c r="H43" s="333">
        <v>7.7100000000000002E-2</v>
      </c>
      <c r="I43" s="333">
        <v>7.7100000000000002E-2</v>
      </c>
      <c r="J43" s="320">
        <v>3120431897.5</v>
      </c>
      <c r="K43" s="332">
        <f t="shared" ref="K43:K53" si="30">(J43/$J$54)</f>
        <v>3.7017585097462572E-3</v>
      </c>
      <c r="L43" s="309">
        <v>1</v>
      </c>
      <c r="M43" s="309">
        <v>1</v>
      </c>
      <c r="N43" s="333">
        <v>8.0399999999999999E-2</v>
      </c>
      <c r="O43" s="333">
        <v>8.0399999999999999E-2</v>
      </c>
      <c r="P43" s="109">
        <f t="shared" si="17"/>
        <v>-1.3367107175091085E-2</v>
      </c>
      <c r="Q43" s="109">
        <f t="shared" si="18"/>
        <v>0</v>
      </c>
      <c r="R43" s="328">
        <f t="shared" si="19"/>
        <v>3.2999999999999974E-3</v>
      </c>
      <c r="S43" s="394">
        <f t="shared" si="20"/>
        <v>3.2999999999999974E-3</v>
      </c>
      <c r="T43" s="144"/>
      <c r="U43" s="160"/>
      <c r="V43" s="185"/>
    </row>
    <row r="44" spans="1:23" s="112" customFormat="1" ht="12.95" customHeight="1">
      <c r="A44" s="406">
        <v>36</v>
      </c>
      <c r="B44" s="383" t="s">
        <v>55</v>
      </c>
      <c r="C44" s="384" t="s">
        <v>54</v>
      </c>
      <c r="D44" s="315">
        <v>3256369220.0500002</v>
      </c>
      <c r="E44" s="192">
        <v>6.4500000000000002E-2</v>
      </c>
      <c r="F44" s="309">
        <v>10</v>
      </c>
      <c r="G44" s="309">
        <v>10</v>
      </c>
      <c r="H44" s="333">
        <v>9.5299999999999996E-2</v>
      </c>
      <c r="I44" s="333">
        <v>9.5299999999999996E-2</v>
      </c>
      <c r="J44" s="315">
        <v>3256369220.0500002</v>
      </c>
      <c r="K44" s="332">
        <f t="shared" si="30"/>
        <v>3.863020526374385E-3</v>
      </c>
      <c r="L44" s="309">
        <v>10</v>
      </c>
      <c r="M44" s="309">
        <v>10</v>
      </c>
      <c r="N44" s="333">
        <v>9.5299999999999996E-2</v>
      </c>
      <c r="O44" s="333">
        <v>9.5299999999999996E-2</v>
      </c>
      <c r="P44" s="328">
        <f t="shared" si="17"/>
        <v>0</v>
      </c>
      <c r="Q44" s="328">
        <f t="shared" si="18"/>
        <v>0</v>
      </c>
      <c r="R44" s="328">
        <f t="shared" si="19"/>
        <v>0</v>
      </c>
      <c r="S44" s="394">
        <f t="shared" si="20"/>
        <v>0</v>
      </c>
      <c r="T44" s="144"/>
      <c r="U44" s="160"/>
      <c r="V44" s="185"/>
    </row>
    <row r="45" spans="1:23" s="112" customFormat="1" ht="12.95" customHeight="1">
      <c r="A45" s="401">
        <v>37</v>
      </c>
      <c r="B45" s="383" t="s">
        <v>187</v>
      </c>
      <c r="C45" s="384" t="s">
        <v>171</v>
      </c>
      <c r="D45" s="320">
        <v>5028188588.3800001</v>
      </c>
      <c r="E45" s="192">
        <v>7.8700000000000006E-2</v>
      </c>
      <c r="F45" s="309">
        <v>100</v>
      </c>
      <c r="G45" s="309">
        <v>100</v>
      </c>
      <c r="H45" s="333">
        <v>0.124</v>
      </c>
      <c r="I45" s="333">
        <v>0.124</v>
      </c>
      <c r="J45" s="320">
        <v>5124066632.3999996</v>
      </c>
      <c r="K45" s="332">
        <f t="shared" si="30"/>
        <v>6.0786640708903805E-3</v>
      </c>
      <c r="L45" s="309">
        <v>100</v>
      </c>
      <c r="M45" s="309">
        <v>100</v>
      </c>
      <c r="N45" s="333">
        <v>0.1241</v>
      </c>
      <c r="O45" s="333">
        <v>0.1241</v>
      </c>
      <c r="P45" s="328">
        <f t="shared" si="17"/>
        <v>1.9068108193390144E-2</v>
      </c>
      <c r="Q45" s="328">
        <f t="shared" si="18"/>
        <v>0</v>
      </c>
      <c r="R45" s="328">
        <f t="shared" si="19"/>
        <v>1.0000000000000286E-4</v>
      </c>
      <c r="S45" s="394">
        <f t="shared" si="20"/>
        <v>1.0000000000000286E-4</v>
      </c>
      <c r="T45" s="144"/>
      <c r="U45" s="122"/>
    </row>
    <row r="46" spans="1:23" s="112" customFormat="1" ht="12.95" customHeight="1">
      <c r="A46" s="406">
        <v>38</v>
      </c>
      <c r="B46" s="383" t="s">
        <v>161</v>
      </c>
      <c r="C46" s="384" t="s">
        <v>159</v>
      </c>
      <c r="D46" s="320">
        <v>161220534.56</v>
      </c>
      <c r="E46" s="192">
        <v>2.9985000000000001E-2</v>
      </c>
      <c r="F46" s="309">
        <v>1</v>
      </c>
      <c r="G46" s="309">
        <v>1</v>
      </c>
      <c r="H46" s="333">
        <v>0.11046499999999999</v>
      </c>
      <c r="I46" s="333">
        <v>0.11046499999999999</v>
      </c>
      <c r="J46" s="320">
        <v>160860537.30000001</v>
      </c>
      <c r="K46" s="332">
        <f t="shared" si="30"/>
        <v>1.9082834761101537E-4</v>
      </c>
      <c r="L46" s="309">
        <v>1</v>
      </c>
      <c r="M46" s="309">
        <v>1</v>
      </c>
      <c r="N46" s="333">
        <v>7.9600000000000004E-2</v>
      </c>
      <c r="O46" s="333">
        <v>7.9377000000000003E-2</v>
      </c>
      <c r="P46" s="328">
        <f t="shared" si="17"/>
        <v>-2.232949177240282E-3</v>
      </c>
      <c r="Q46" s="328">
        <f t="shared" si="18"/>
        <v>0</v>
      </c>
      <c r="R46" s="328">
        <f t="shared" si="19"/>
        <v>-3.086499999999999E-2</v>
      </c>
      <c r="S46" s="394">
        <f t="shared" si="20"/>
        <v>-3.1087999999999991E-2</v>
      </c>
      <c r="T46" s="144"/>
      <c r="U46" s="122"/>
    </row>
    <row r="47" spans="1:23" s="112" customFormat="1" ht="12.95" customHeight="1">
      <c r="A47" s="404">
        <v>39</v>
      </c>
      <c r="B47" s="383" t="s">
        <v>95</v>
      </c>
      <c r="C47" s="384" t="s">
        <v>90</v>
      </c>
      <c r="D47" s="315">
        <v>677429034.36000001</v>
      </c>
      <c r="E47" s="192">
        <v>6.6600000000000006E-2</v>
      </c>
      <c r="F47" s="309">
        <v>10</v>
      </c>
      <c r="G47" s="309">
        <v>10</v>
      </c>
      <c r="H47" s="333">
        <v>9.7699999999999995E-2</v>
      </c>
      <c r="I47" s="333">
        <v>9.7699999999999995E-2</v>
      </c>
      <c r="J47" s="315">
        <v>444577124.85000002</v>
      </c>
      <c r="K47" s="332">
        <f t="shared" si="30"/>
        <v>5.2740043981428116E-4</v>
      </c>
      <c r="L47" s="309">
        <v>10</v>
      </c>
      <c r="M47" s="309">
        <v>10</v>
      </c>
      <c r="N47" s="333">
        <v>8.1699999999999995E-2</v>
      </c>
      <c r="O47" s="333">
        <v>8.1699999999999995E-2</v>
      </c>
      <c r="P47" s="328">
        <f t="shared" si="17"/>
        <v>-0.34372885970260553</v>
      </c>
      <c r="Q47" s="328">
        <f t="shared" si="18"/>
        <v>0</v>
      </c>
      <c r="R47" s="328">
        <f t="shared" si="19"/>
        <v>-1.6E-2</v>
      </c>
      <c r="S47" s="394">
        <f t="shared" si="20"/>
        <v>-1.6E-2</v>
      </c>
      <c r="T47" s="153"/>
      <c r="U47" s="122"/>
    </row>
    <row r="48" spans="1:23" s="112" customFormat="1" ht="12.95" customHeight="1">
      <c r="A48" s="406">
        <v>40</v>
      </c>
      <c r="B48" s="383" t="s">
        <v>34</v>
      </c>
      <c r="C48" s="384" t="s">
        <v>5</v>
      </c>
      <c r="D48" s="320">
        <v>356507879773.73999</v>
      </c>
      <c r="E48" s="192">
        <v>3.6200000000000003E-2</v>
      </c>
      <c r="F48" s="309">
        <v>100</v>
      </c>
      <c r="G48" s="309">
        <v>100</v>
      </c>
      <c r="H48" s="333">
        <v>9.6299999999999997E-2</v>
      </c>
      <c r="I48" s="333">
        <v>9.6299999999999997E-2</v>
      </c>
      <c r="J48" s="320">
        <v>359487869924.65002</v>
      </c>
      <c r="K48" s="332">
        <f t="shared" si="30"/>
        <v>0.42645932529733371</v>
      </c>
      <c r="L48" s="309">
        <v>100</v>
      </c>
      <c r="M48" s="309">
        <v>100</v>
      </c>
      <c r="N48" s="333">
        <v>9.74E-2</v>
      </c>
      <c r="O48" s="333">
        <v>9.74E-2</v>
      </c>
      <c r="P48" s="328">
        <f t="shared" si="17"/>
        <v>8.3588338995516844E-3</v>
      </c>
      <c r="Q48" s="328">
        <f t="shared" si="18"/>
        <v>0</v>
      </c>
      <c r="R48" s="328">
        <f t="shared" si="19"/>
        <v>1.1000000000000038E-3</v>
      </c>
      <c r="S48" s="394">
        <f t="shared" si="20"/>
        <v>1.1000000000000038E-3</v>
      </c>
      <c r="T48" s="153"/>
      <c r="U48" s="122"/>
    </row>
    <row r="49" spans="1:23" s="112" customFormat="1" ht="12.95" customHeight="1">
      <c r="A49" s="403">
        <v>41</v>
      </c>
      <c r="B49" s="383" t="s">
        <v>149</v>
      </c>
      <c r="C49" s="384" t="s">
        <v>148</v>
      </c>
      <c r="D49" s="320">
        <v>2384849989.5300002</v>
      </c>
      <c r="E49" s="192">
        <v>5.3145060299999998E-2</v>
      </c>
      <c r="F49" s="309">
        <v>1</v>
      </c>
      <c r="G49" s="309">
        <v>1</v>
      </c>
      <c r="H49" s="333">
        <v>0.12909647424015114</v>
      </c>
      <c r="I49" s="333">
        <v>0.12909647424015114</v>
      </c>
      <c r="J49" s="320">
        <v>2465904567.0599999</v>
      </c>
      <c r="K49" s="332">
        <f t="shared" si="30"/>
        <v>2.925294803789742E-3</v>
      </c>
      <c r="L49" s="309">
        <v>1</v>
      </c>
      <c r="M49" s="309">
        <v>1</v>
      </c>
      <c r="N49" s="333">
        <v>0.12968128649348257</v>
      </c>
      <c r="O49" s="333">
        <v>0.12968128649348257</v>
      </c>
      <c r="P49" s="328">
        <f t="shared" si="17"/>
        <v>3.3987285525650085E-2</v>
      </c>
      <c r="Q49" s="328">
        <f t="shared" si="18"/>
        <v>0</v>
      </c>
      <c r="R49" s="328">
        <f t="shared" si="19"/>
        <v>5.8481225333142928E-4</v>
      </c>
      <c r="S49" s="394">
        <f t="shared" si="20"/>
        <v>5.8481225333142928E-4</v>
      </c>
      <c r="T49" s="144"/>
      <c r="U49" s="122"/>
    </row>
    <row r="50" spans="1:23" s="112" customFormat="1" ht="12.95" customHeight="1">
      <c r="A50" s="398">
        <v>42</v>
      </c>
      <c r="B50" s="383" t="s">
        <v>76</v>
      </c>
      <c r="C50" s="384" t="s">
        <v>41</v>
      </c>
      <c r="D50" s="320">
        <v>43803472232.389999</v>
      </c>
      <c r="E50" s="192">
        <v>5.2600000000000001E-2</v>
      </c>
      <c r="F50" s="309">
        <v>1</v>
      </c>
      <c r="G50" s="309">
        <v>1</v>
      </c>
      <c r="H50" s="333">
        <v>9.6299999999999997E-2</v>
      </c>
      <c r="I50" s="333">
        <v>9.6299999999999997E-2</v>
      </c>
      <c r="J50" s="320">
        <v>44142719365.25</v>
      </c>
      <c r="K50" s="332">
        <f t="shared" si="30"/>
        <v>5.2366368637806519E-2</v>
      </c>
      <c r="L50" s="309">
        <v>1</v>
      </c>
      <c r="M50" s="309">
        <v>1</v>
      </c>
      <c r="N50" s="333">
        <v>9.6299999999999997E-2</v>
      </c>
      <c r="O50" s="333">
        <v>9.6299999999999997E-2</v>
      </c>
      <c r="P50" s="328">
        <f t="shared" si="17"/>
        <v>7.7447543669642701E-3</v>
      </c>
      <c r="Q50" s="328">
        <f t="shared" si="18"/>
        <v>0</v>
      </c>
      <c r="R50" s="328">
        <f t="shared" si="19"/>
        <v>0</v>
      </c>
      <c r="S50" s="394">
        <f t="shared" si="20"/>
        <v>0</v>
      </c>
      <c r="T50" s="144"/>
      <c r="U50" s="122"/>
    </row>
    <row r="51" spans="1:23" s="112" customFormat="1" ht="12.95" customHeight="1">
      <c r="A51" s="406">
        <v>43</v>
      </c>
      <c r="B51" s="383" t="s">
        <v>158</v>
      </c>
      <c r="C51" s="384" t="s">
        <v>106</v>
      </c>
      <c r="D51" s="320">
        <v>1961246177.6400001</v>
      </c>
      <c r="E51" s="192">
        <v>6.4199999999999993E-2</v>
      </c>
      <c r="F51" s="309">
        <v>1</v>
      </c>
      <c r="G51" s="309">
        <v>1</v>
      </c>
      <c r="H51" s="333">
        <v>7.2300000000000003E-2</v>
      </c>
      <c r="I51" s="333">
        <v>7.2300000000000003E-2</v>
      </c>
      <c r="J51" s="320">
        <v>1967988588.8</v>
      </c>
      <c r="K51" s="332">
        <f t="shared" si="30"/>
        <v>2.3346186505497761E-3</v>
      </c>
      <c r="L51" s="309">
        <v>1</v>
      </c>
      <c r="M51" s="309">
        <v>1</v>
      </c>
      <c r="N51" s="333">
        <v>7.1400000000000005E-2</v>
      </c>
      <c r="O51" s="333">
        <v>7.1400000000000005E-2</v>
      </c>
      <c r="P51" s="328">
        <f t="shared" si="17"/>
        <v>3.4378199110695539E-3</v>
      </c>
      <c r="Q51" s="328">
        <f t="shared" si="18"/>
        <v>0</v>
      </c>
      <c r="R51" s="328">
        <f t="shared" si="19"/>
        <v>-8.9999999999999802E-4</v>
      </c>
      <c r="S51" s="394">
        <f t="shared" si="20"/>
        <v>-8.9999999999999802E-4</v>
      </c>
      <c r="T51" s="88"/>
      <c r="U51" s="122"/>
    </row>
    <row r="52" spans="1:23" s="112" customFormat="1" ht="12.95" customHeight="1">
      <c r="A52" s="398">
        <v>44</v>
      </c>
      <c r="B52" s="383" t="s">
        <v>131</v>
      </c>
      <c r="C52" s="384" t="s">
        <v>38</v>
      </c>
      <c r="D52" s="320">
        <v>1016768939.3099999</v>
      </c>
      <c r="E52" s="192">
        <v>2.2200000000000001E-2</v>
      </c>
      <c r="F52" s="309">
        <v>1</v>
      </c>
      <c r="G52" s="309">
        <v>1</v>
      </c>
      <c r="H52" s="333">
        <v>9.6699999999999994E-2</v>
      </c>
      <c r="I52" s="333">
        <v>9.6699999999999994E-2</v>
      </c>
      <c r="J52" s="320">
        <v>1015207083.27</v>
      </c>
      <c r="K52" s="332">
        <f t="shared" si="30"/>
        <v>1.2043369581820522E-3</v>
      </c>
      <c r="L52" s="309">
        <v>1</v>
      </c>
      <c r="M52" s="309">
        <v>1</v>
      </c>
      <c r="N52" s="333">
        <v>9.6299999999999997E-2</v>
      </c>
      <c r="O52" s="333">
        <v>9.6299999999999997E-2</v>
      </c>
      <c r="P52" s="328">
        <f t="shared" si="17"/>
        <v>-1.5360973173117081E-3</v>
      </c>
      <c r="Q52" s="328">
        <f t="shared" si="18"/>
        <v>0</v>
      </c>
      <c r="R52" s="328">
        <f t="shared" si="19"/>
        <v>-3.9999999999999758E-4</v>
      </c>
      <c r="S52" s="394">
        <f t="shared" si="20"/>
        <v>-3.9999999999999758E-4</v>
      </c>
      <c r="U52" s="122"/>
    </row>
    <row r="53" spans="1:23" s="112" customFormat="1" ht="12.95" customHeight="1">
      <c r="A53" s="399">
        <v>45</v>
      </c>
      <c r="B53" s="383" t="s">
        <v>112</v>
      </c>
      <c r="C53" s="384" t="s">
        <v>12</v>
      </c>
      <c r="D53" s="320">
        <v>25693162176.66</v>
      </c>
      <c r="E53" s="192">
        <v>5.9200000000000003E-2</v>
      </c>
      <c r="F53" s="309">
        <v>1</v>
      </c>
      <c r="G53" s="309">
        <v>1</v>
      </c>
      <c r="H53" s="333">
        <v>9.7699999999999995E-2</v>
      </c>
      <c r="I53" s="333">
        <v>9.7699999999999995E-2</v>
      </c>
      <c r="J53" s="320">
        <v>26308915745.709999</v>
      </c>
      <c r="K53" s="332">
        <f t="shared" si="30"/>
        <v>3.1210183699860505E-2</v>
      </c>
      <c r="L53" s="309">
        <v>1</v>
      </c>
      <c r="M53" s="309">
        <v>1</v>
      </c>
      <c r="N53" s="333">
        <v>9.7699999999999995E-2</v>
      </c>
      <c r="O53" s="333">
        <v>9.7699999999999995E-2</v>
      </c>
      <c r="P53" s="328">
        <f t="shared" si="17"/>
        <v>2.3965659221555753E-2</v>
      </c>
      <c r="Q53" s="328">
        <f t="shared" si="18"/>
        <v>0</v>
      </c>
      <c r="R53" s="328">
        <f t="shared" si="19"/>
        <v>0</v>
      </c>
      <c r="S53" s="394">
        <f t="shared" si="20"/>
        <v>0</v>
      </c>
      <c r="T53" s="161"/>
      <c r="U53" s="122"/>
    </row>
    <row r="54" spans="1:23" s="112" customFormat="1" ht="12.95" customHeight="1">
      <c r="A54" s="213"/>
      <c r="C54" s="243" t="s">
        <v>42</v>
      </c>
      <c r="D54" s="76">
        <f>SUM(D25:D53)</f>
        <v>842459027080.45435</v>
      </c>
      <c r="E54" s="261">
        <f>(D54/$D$170)</f>
        <v>0.44210457987130408</v>
      </c>
      <c r="F54" s="263"/>
      <c r="G54" s="73"/>
      <c r="H54" s="279"/>
      <c r="I54" s="279"/>
      <c r="J54" s="76">
        <f>SUM(J25:J53)</f>
        <v>842959336565.12207</v>
      </c>
      <c r="K54" s="261">
        <f>(J54/$J$170)</f>
        <v>0.43675870992837784</v>
      </c>
      <c r="L54" s="263"/>
      <c r="M54" s="73"/>
      <c r="N54" s="279"/>
      <c r="O54" s="279"/>
      <c r="P54" s="265">
        <f t="shared" ref="P54" si="31">((J54-D54)/D54)</f>
        <v>5.9386803225499219E-4</v>
      </c>
      <c r="Q54" s="265"/>
      <c r="R54" s="265">
        <f t="shared" ref="R54:S54" si="32">N54-H54</f>
        <v>0</v>
      </c>
      <c r="S54" s="394">
        <f t="shared" si="32"/>
        <v>0</v>
      </c>
    </row>
    <row r="55" spans="1:23" s="112" customFormat="1" ht="4.5" customHeight="1">
      <c r="A55" s="414">
        <v>1</v>
      </c>
      <c r="B55" s="415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29"/>
    </row>
    <row r="56" spans="1:23" s="112" customFormat="1" ht="12.95" customHeight="1">
      <c r="A56" s="421" t="s">
        <v>258</v>
      </c>
      <c r="B56" s="422"/>
      <c r="C56" s="423"/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24"/>
      <c r="V56" s="124"/>
      <c r="W56" s="125"/>
    </row>
    <row r="57" spans="1:23" s="112" customFormat="1" ht="12.95" customHeight="1">
      <c r="A57" s="404">
        <v>46</v>
      </c>
      <c r="B57" s="383" t="s">
        <v>137</v>
      </c>
      <c r="C57" s="384" t="s">
        <v>134</v>
      </c>
      <c r="D57" s="325">
        <v>460243201.17000002</v>
      </c>
      <c r="E57" s="332">
        <f>(D57/$D$87)</f>
        <v>1.437745808814307E-3</v>
      </c>
      <c r="F57" s="326">
        <v>1.2744</v>
      </c>
      <c r="G57" s="326">
        <v>1.2744</v>
      </c>
      <c r="H57" s="333">
        <v>4.548E-3</v>
      </c>
      <c r="I57" s="333">
        <v>3.5099999999999999E-2</v>
      </c>
      <c r="J57" s="325">
        <v>460243201.17000002</v>
      </c>
      <c r="K57" s="332">
        <f t="shared" ref="K57:K77" si="33">(J57/$J$87)</f>
        <v>1.4367953436070736E-3</v>
      </c>
      <c r="L57" s="326">
        <v>1.2744</v>
      </c>
      <c r="M57" s="326">
        <v>1.2744</v>
      </c>
      <c r="N57" s="333">
        <v>4.548E-3</v>
      </c>
      <c r="O57" s="333">
        <v>3.5099999999999999E-2</v>
      </c>
      <c r="P57" s="328">
        <f t="shared" ref="P57:P70" si="34">((J57-D57)/D57)</f>
        <v>0</v>
      </c>
      <c r="Q57" s="328">
        <f t="shared" ref="Q57:Q68" si="35">((M57-G57)/G57)</f>
        <v>0</v>
      </c>
      <c r="R57" s="328">
        <f t="shared" ref="R57:R86" si="36">N57-H57</f>
        <v>0</v>
      </c>
      <c r="S57" s="394">
        <f t="shared" ref="S57:S86" si="37">O57-I57</f>
        <v>0</v>
      </c>
      <c r="T57" s="144"/>
    </row>
    <row r="58" spans="1:23" s="112" customFormat="1" ht="12.95" customHeight="1">
      <c r="A58" s="398">
        <v>47</v>
      </c>
      <c r="B58" s="383" t="s">
        <v>143</v>
      </c>
      <c r="C58" s="384" t="s">
        <v>6</v>
      </c>
      <c r="D58" s="325">
        <v>660102436.40999997</v>
      </c>
      <c r="E58" s="332">
        <f>(D58/$D$87)</f>
        <v>2.062082631365229E-3</v>
      </c>
      <c r="F58" s="326">
        <v>1.1375999999999999</v>
      </c>
      <c r="G58" s="326">
        <v>1.1375999999999999</v>
      </c>
      <c r="H58" s="333">
        <v>4.5900000000000003E-2</v>
      </c>
      <c r="I58" s="333">
        <v>3.9399999999999998E-2</v>
      </c>
      <c r="J58" s="325">
        <v>861675753.65999997</v>
      </c>
      <c r="K58" s="332">
        <f t="shared" si="33"/>
        <v>2.689994566808396E-3</v>
      </c>
      <c r="L58" s="326">
        <v>1.1385000000000001</v>
      </c>
      <c r="M58" s="326">
        <v>1.1385000000000001</v>
      </c>
      <c r="N58" s="333">
        <v>4.1300000000000003E-2</v>
      </c>
      <c r="O58" s="333">
        <v>3.95E-2</v>
      </c>
      <c r="P58" s="328">
        <f t="shared" si="34"/>
        <v>0.30536672208978133</v>
      </c>
      <c r="Q58" s="328">
        <f t="shared" si="35"/>
        <v>7.911392405064372E-4</v>
      </c>
      <c r="R58" s="328">
        <f t="shared" si="36"/>
        <v>-4.5999999999999999E-3</v>
      </c>
      <c r="S58" s="394">
        <f t="shared" si="37"/>
        <v>1.0000000000000286E-4</v>
      </c>
      <c r="T58" s="144"/>
      <c r="U58" s="126"/>
    </row>
    <row r="59" spans="1:23" s="112" customFormat="1" ht="12.95" customHeight="1">
      <c r="A59" s="408">
        <v>48</v>
      </c>
      <c r="B59" s="383" t="s">
        <v>224</v>
      </c>
      <c r="C59" s="384" t="s">
        <v>6</v>
      </c>
      <c r="D59" s="325">
        <v>859068256.92999995</v>
      </c>
      <c r="E59" s="332">
        <f>(D59/$D$87)</f>
        <v>2.6836285310606963E-3</v>
      </c>
      <c r="F59" s="326">
        <v>1.0427</v>
      </c>
      <c r="G59" s="326">
        <v>1.0427</v>
      </c>
      <c r="H59" s="333">
        <v>7.0099999999999996E-2</v>
      </c>
      <c r="I59" s="333">
        <v>1.03E-2</v>
      </c>
      <c r="J59" s="325">
        <v>935116612.34000003</v>
      </c>
      <c r="K59" s="332">
        <f t="shared" si="33"/>
        <v>2.9192635348533006E-3</v>
      </c>
      <c r="L59" s="326">
        <v>1.0439000000000001</v>
      </c>
      <c r="M59" s="326">
        <v>1.0439000000000001</v>
      </c>
      <c r="N59" s="333">
        <v>0.06</v>
      </c>
      <c r="O59" s="333">
        <v>1.1599999999999999E-2</v>
      </c>
      <c r="P59" s="328">
        <f t="shared" si="34"/>
        <v>8.8524229357245104E-2</v>
      </c>
      <c r="Q59" s="328">
        <f t="shared" si="35"/>
        <v>1.1508583485183561E-3</v>
      </c>
      <c r="R59" s="328">
        <f t="shared" si="36"/>
        <v>-1.0099999999999998E-2</v>
      </c>
      <c r="S59" s="394">
        <f t="shared" si="37"/>
        <v>1.2999999999999991E-3</v>
      </c>
      <c r="T59" s="144"/>
      <c r="U59" s="127"/>
      <c r="V59" s="120"/>
    </row>
    <row r="60" spans="1:23" s="128" customFormat="1" ht="12.95" customHeight="1">
      <c r="A60" s="408">
        <v>49</v>
      </c>
      <c r="B60" s="383" t="s">
        <v>166</v>
      </c>
      <c r="C60" s="384" t="s">
        <v>146</v>
      </c>
      <c r="D60" s="325">
        <v>256994167.81999999</v>
      </c>
      <c r="E60" s="332">
        <f>(D60/$D$87)</f>
        <v>8.0281965433411421E-4</v>
      </c>
      <c r="F60" s="74">
        <v>1115.18</v>
      </c>
      <c r="G60" s="74">
        <v>1115.18</v>
      </c>
      <c r="H60" s="333">
        <v>-1.1000000000000001E-3</v>
      </c>
      <c r="I60" s="333">
        <v>5.2200000000000003E-2</v>
      </c>
      <c r="J60" s="325">
        <v>254744993.72</v>
      </c>
      <c r="K60" s="332">
        <f t="shared" si="33"/>
        <v>7.9526741482252496E-4</v>
      </c>
      <c r="L60" s="74">
        <v>1115.69</v>
      </c>
      <c r="M60" s="74">
        <v>1115.69</v>
      </c>
      <c r="N60" s="333">
        <v>1.8E-3</v>
      </c>
      <c r="O60" s="333">
        <v>5.1999999999999998E-2</v>
      </c>
      <c r="P60" s="328">
        <f t="shared" si="34"/>
        <v>-8.7518488029476489E-3</v>
      </c>
      <c r="Q60" s="328">
        <f t="shared" si="35"/>
        <v>4.5732527484351483E-4</v>
      </c>
      <c r="R60" s="328">
        <f t="shared" si="36"/>
        <v>2.8999999999999998E-3</v>
      </c>
      <c r="S60" s="394">
        <f t="shared" si="37"/>
        <v>-2.0000000000000573E-4</v>
      </c>
      <c r="T60" s="153"/>
      <c r="U60" s="162"/>
    </row>
    <row r="61" spans="1:23" s="112" customFormat="1" ht="12.95" customHeight="1">
      <c r="A61" s="408">
        <v>50</v>
      </c>
      <c r="B61" s="383" t="s">
        <v>175</v>
      </c>
      <c r="C61" s="384" t="s">
        <v>176</v>
      </c>
      <c r="D61" s="325">
        <v>1394817955.4400001</v>
      </c>
      <c r="E61" s="332">
        <f>(D61/$J$87)</f>
        <v>4.3543672963796548E-3</v>
      </c>
      <c r="F61" s="74">
        <v>1.0235000000000001</v>
      </c>
      <c r="G61" s="74">
        <v>1.0235000000000001</v>
      </c>
      <c r="H61" s="333">
        <v>8.9999999999999998E-4</v>
      </c>
      <c r="I61" s="333">
        <v>5.6399999999999999E-2</v>
      </c>
      <c r="J61" s="325">
        <v>1395601657.3800001</v>
      </c>
      <c r="K61" s="332">
        <f t="shared" si="33"/>
        <v>4.3568138709196057E-3</v>
      </c>
      <c r="L61" s="74">
        <v>1.0244</v>
      </c>
      <c r="M61" s="74">
        <v>1.0244</v>
      </c>
      <c r="N61" s="333">
        <v>1.4E-3</v>
      </c>
      <c r="O61" s="333">
        <v>5.7700000000000001E-2</v>
      </c>
      <c r="P61" s="328">
        <f t="shared" si="34"/>
        <v>5.6186682781326526E-4</v>
      </c>
      <c r="Q61" s="328">
        <f t="shared" si="35"/>
        <v>8.7933561309223331E-4</v>
      </c>
      <c r="R61" s="328">
        <f t="shared" si="36"/>
        <v>5.0000000000000001E-4</v>
      </c>
      <c r="S61" s="394">
        <f t="shared" si="37"/>
        <v>1.3000000000000025E-3</v>
      </c>
      <c r="T61" s="144"/>
      <c r="U61" s="131"/>
      <c r="V61" s="131"/>
    </row>
    <row r="62" spans="1:23" s="112" customFormat="1" ht="12.95" customHeight="1">
      <c r="A62" s="408">
        <v>51</v>
      </c>
      <c r="B62" s="383" t="s">
        <v>105</v>
      </c>
      <c r="C62" s="384" t="s">
        <v>102</v>
      </c>
      <c r="D62" s="325">
        <v>433191603.01999998</v>
      </c>
      <c r="E62" s="332">
        <f t="shared" ref="E62:E86" si="38">(D62/$D$87)</f>
        <v>1.3532397872956417E-3</v>
      </c>
      <c r="F62" s="74">
        <v>2.2490000000000001</v>
      </c>
      <c r="G62" s="74">
        <v>2.2490000000000001</v>
      </c>
      <c r="H62" s="333">
        <v>9.9886080863498802E-2</v>
      </c>
      <c r="I62" s="333">
        <v>0.14687383314784558</v>
      </c>
      <c r="J62" s="325">
        <v>441185862.17000002</v>
      </c>
      <c r="K62" s="332">
        <f t="shared" si="33"/>
        <v>1.3773018065659308E-3</v>
      </c>
      <c r="L62" s="74">
        <v>2.2905000000000002</v>
      </c>
      <c r="M62" s="74">
        <v>2.2905000000000002</v>
      </c>
      <c r="N62" s="333">
        <v>0.96217366448580532</v>
      </c>
      <c r="O62" s="333">
        <v>0.17100000000000001</v>
      </c>
      <c r="P62" s="109">
        <f t="shared" si="34"/>
        <v>1.8454326201773005E-2</v>
      </c>
      <c r="Q62" s="109">
        <f t="shared" si="35"/>
        <v>1.845264562027572E-2</v>
      </c>
      <c r="R62" s="328">
        <f t="shared" si="36"/>
        <v>0.86228758362230651</v>
      </c>
      <c r="S62" s="394">
        <f t="shared" si="37"/>
        <v>2.4126166852154435E-2</v>
      </c>
      <c r="T62" s="144"/>
      <c r="U62" s="131"/>
      <c r="V62" s="131"/>
    </row>
    <row r="63" spans="1:23" s="112" customFormat="1" ht="12" customHeight="1">
      <c r="A63" s="408">
        <v>52</v>
      </c>
      <c r="B63" s="383" t="s">
        <v>18</v>
      </c>
      <c r="C63" s="384" t="s">
        <v>7</v>
      </c>
      <c r="D63" s="325">
        <v>2782742512.0703502</v>
      </c>
      <c r="E63" s="332">
        <f t="shared" si="38"/>
        <v>8.6929614029447409E-3</v>
      </c>
      <c r="F63" s="325">
        <v>3907.2528530935701</v>
      </c>
      <c r="G63" s="325">
        <v>3907.2528530935701</v>
      </c>
      <c r="H63" s="333">
        <v>6.942500686549867E-2</v>
      </c>
      <c r="I63" s="333">
        <v>7.6446192634170212E-2</v>
      </c>
      <c r="J63" s="325">
        <v>2348226752.8206201</v>
      </c>
      <c r="K63" s="332">
        <f t="shared" si="33"/>
        <v>7.3307356971472138E-3</v>
      </c>
      <c r="L63" s="325">
        <v>3912.2057688055502</v>
      </c>
      <c r="M63" s="325">
        <v>3912.2057688055502</v>
      </c>
      <c r="N63" s="333">
        <v>6.6097379954796365E-2</v>
      </c>
      <c r="O63" s="333">
        <v>7.6259686492900186E-2</v>
      </c>
      <c r="P63" s="328">
        <f t="shared" si="34"/>
        <v>-0.15614659184778543</v>
      </c>
      <c r="Q63" s="328">
        <f t="shared" si="35"/>
        <v>1.2676209854344507E-3</v>
      </c>
      <c r="R63" s="328">
        <f t="shared" si="36"/>
        <v>-3.3276269107023054E-3</v>
      </c>
      <c r="S63" s="394">
        <f t="shared" si="37"/>
        <v>-1.865061412700264E-4</v>
      </c>
      <c r="T63" s="144"/>
      <c r="U63" s="164"/>
      <c r="V63" s="131"/>
    </row>
    <row r="64" spans="1:23" s="112" customFormat="1" ht="12.75" customHeight="1">
      <c r="A64" s="408">
        <v>53</v>
      </c>
      <c r="B64" s="383" t="s">
        <v>220</v>
      </c>
      <c r="C64" s="384" t="s">
        <v>88</v>
      </c>
      <c r="D64" s="325">
        <v>346662137.54000002</v>
      </c>
      <c r="E64" s="332">
        <f t="shared" si="38"/>
        <v>1.0829318804834347E-3</v>
      </c>
      <c r="F64" s="326">
        <v>108.05</v>
      </c>
      <c r="G64" s="326">
        <v>108.05</v>
      </c>
      <c r="H64" s="333">
        <v>1.8E-3</v>
      </c>
      <c r="I64" s="333">
        <v>9.8699999999999996E-2</v>
      </c>
      <c r="J64" s="325">
        <v>336186984.89999998</v>
      </c>
      <c r="K64" s="332">
        <f t="shared" si="33"/>
        <v>1.0495144594372923E-3</v>
      </c>
      <c r="L64" s="326">
        <v>109.51</v>
      </c>
      <c r="M64" s="326">
        <v>109.51</v>
      </c>
      <c r="N64" s="333">
        <v>2.7000000000000001E-3</v>
      </c>
      <c r="O64" s="333">
        <v>0.1205</v>
      </c>
      <c r="P64" s="328">
        <f t="shared" si="34"/>
        <v>-3.0217181242619431E-2</v>
      </c>
      <c r="Q64" s="328">
        <f t="shared" si="35"/>
        <v>1.351226284127726E-2</v>
      </c>
      <c r="R64" s="328">
        <f t="shared" si="36"/>
        <v>9.0000000000000019E-4</v>
      </c>
      <c r="S64" s="394">
        <f t="shared" si="37"/>
        <v>2.18E-2</v>
      </c>
      <c r="T64" s="146"/>
      <c r="U64" s="183"/>
      <c r="V64" s="165"/>
    </row>
    <row r="65" spans="1:23" s="112" customFormat="1" ht="12" customHeight="1">
      <c r="A65" s="408">
        <v>54</v>
      </c>
      <c r="B65" s="383" t="s">
        <v>110</v>
      </c>
      <c r="C65" s="384" t="s">
        <v>107</v>
      </c>
      <c r="D65" s="325">
        <v>349136292.39999998</v>
      </c>
      <c r="E65" s="332">
        <f t="shared" si="38"/>
        <v>1.090660850235252E-3</v>
      </c>
      <c r="F65" s="326">
        <v>1.3914</v>
      </c>
      <c r="G65" s="326">
        <v>1.3914</v>
      </c>
      <c r="H65" s="333">
        <v>1.21E-2</v>
      </c>
      <c r="I65" s="333">
        <v>4.3400000000000001E-2</v>
      </c>
      <c r="J65" s="325">
        <v>348015758.39999998</v>
      </c>
      <c r="K65" s="332">
        <f t="shared" si="33"/>
        <v>1.0864417331964218E-3</v>
      </c>
      <c r="L65" s="326">
        <v>1.3849</v>
      </c>
      <c r="M65" s="326">
        <v>1.3849</v>
      </c>
      <c r="N65" s="333">
        <v>-2.3E-3</v>
      </c>
      <c r="O65" s="333">
        <v>2.6800000000000001E-2</v>
      </c>
      <c r="P65" s="328">
        <f t="shared" si="34"/>
        <v>-3.2094457791750327E-3</v>
      </c>
      <c r="Q65" s="328">
        <f t="shared" si="35"/>
        <v>-4.6715538306741052E-3</v>
      </c>
      <c r="R65" s="328">
        <f t="shared" si="36"/>
        <v>-1.44E-2</v>
      </c>
      <c r="S65" s="394">
        <f t="shared" si="37"/>
        <v>-1.66E-2</v>
      </c>
      <c r="T65" s="153"/>
      <c r="U65" s="185"/>
      <c r="V65" s="166"/>
      <c r="W65" s="183"/>
    </row>
    <row r="66" spans="1:23" s="329" customFormat="1" ht="12" customHeight="1">
      <c r="A66" s="408">
        <v>55</v>
      </c>
      <c r="B66" s="383" t="s">
        <v>285</v>
      </c>
      <c r="C66" s="384" t="s">
        <v>242</v>
      </c>
      <c r="D66" s="325">
        <v>71718859.969999999</v>
      </c>
      <c r="E66" s="332">
        <f t="shared" si="38"/>
        <v>2.240413113603402E-4</v>
      </c>
      <c r="F66" s="74">
        <v>108.41589999999999</v>
      </c>
      <c r="G66" s="74">
        <v>108.41589999999999</v>
      </c>
      <c r="H66" s="333">
        <v>4.9341999999999997E-2</v>
      </c>
      <c r="I66" s="333">
        <v>6.3758999999999996E-2</v>
      </c>
      <c r="J66" s="325">
        <v>71914070.189999998</v>
      </c>
      <c r="K66" s="332">
        <f t="shared" si="33"/>
        <v>2.2450261280591695E-4</v>
      </c>
      <c r="L66" s="74">
        <v>108.67319999999999</v>
      </c>
      <c r="M66" s="74">
        <v>108.67319999999999</v>
      </c>
      <c r="N66" s="333">
        <v>4.9856999999999999E-2</v>
      </c>
      <c r="O66" s="333">
        <v>6.6416000000000003E-2</v>
      </c>
      <c r="P66" s="328">
        <f t="shared" si="34"/>
        <v>2.7218812468806008E-3</v>
      </c>
      <c r="Q66" s="328">
        <f t="shared" si="35"/>
        <v>2.373268127645491E-3</v>
      </c>
      <c r="R66" s="328">
        <f t="shared" ref="R66" si="39">N66-H66</f>
        <v>5.1500000000000157E-4</v>
      </c>
      <c r="S66" s="394">
        <f t="shared" ref="S66" si="40">O66-I66</f>
        <v>2.6570000000000066E-3</v>
      </c>
      <c r="T66" s="153"/>
      <c r="U66" s="400"/>
      <c r="V66" s="166"/>
      <c r="W66" s="381"/>
    </row>
    <row r="67" spans="1:23" s="112" customFormat="1" ht="12.95" customHeight="1">
      <c r="A67" s="408">
        <v>56</v>
      </c>
      <c r="B67" s="383" t="s">
        <v>236</v>
      </c>
      <c r="C67" s="384" t="s">
        <v>235</v>
      </c>
      <c r="D67" s="325">
        <v>844789670.44000006</v>
      </c>
      <c r="E67" s="332">
        <f t="shared" si="38"/>
        <v>2.6390239006618059E-3</v>
      </c>
      <c r="F67" s="74">
        <v>1000</v>
      </c>
      <c r="G67" s="74">
        <v>1000</v>
      </c>
      <c r="H67" s="333">
        <v>1.29899250139101E-4</v>
      </c>
      <c r="I67" s="333">
        <v>0.15859999999999999</v>
      </c>
      <c r="J67" s="325">
        <v>846444700.48000002</v>
      </c>
      <c r="K67" s="332">
        <f t="shared" si="33"/>
        <v>2.6424459963316923E-3</v>
      </c>
      <c r="L67" s="74">
        <v>1000</v>
      </c>
      <c r="M67" s="74">
        <v>1000</v>
      </c>
      <c r="N67" s="333">
        <v>1.9591030737129401E-5</v>
      </c>
      <c r="O67" s="333">
        <v>0.15859999999999999</v>
      </c>
      <c r="P67" s="328">
        <f t="shared" si="34"/>
        <v>1.9591030737129591E-3</v>
      </c>
      <c r="Q67" s="328">
        <f t="shared" si="35"/>
        <v>0</v>
      </c>
      <c r="R67" s="328">
        <f t="shared" si="36"/>
        <v>-1.103082194019716E-4</v>
      </c>
      <c r="S67" s="394">
        <f t="shared" si="37"/>
        <v>0</v>
      </c>
      <c r="T67" s="144"/>
      <c r="U67" s="131"/>
      <c r="V67" s="166"/>
      <c r="W67" s="183"/>
    </row>
    <row r="68" spans="1:23" s="112" customFormat="1" ht="12.95" customHeight="1">
      <c r="A68" s="408">
        <v>57</v>
      </c>
      <c r="B68" s="383" t="s">
        <v>101</v>
      </c>
      <c r="C68" s="384" t="s">
        <v>98</v>
      </c>
      <c r="D68" s="325">
        <v>239002728</v>
      </c>
      <c r="E68" s="332">
        <f t="shared" si="38"/>
        <v>7.4661650536856272E-4</v>
      </c>
      <c r="F68" s="74">
        <v>1102.83</v>
      </c>
      <c r="G68" s="74">
        <v>1109.25</v>
      </c>
      <c r="H68" s="333">
        <v>1.5E-3</v>
      </c>
      <c r="I68" s="333">
        <v>6.0299999999999999E-2</v>
      </c>
      <c r="J68" s="325">
        <v>238202618.88999999</v>
      </c>
      <c r="K68" s="332">
        <f t="shared" si="33"/>
        <v>7.4362513728854851E-4</v>
      </c>
      <c r="L68" s="74">
        <v>1098.1500000000001</v>
      </c>
      <c r="M68" s="74">
        <v>1105.19</v>
      </c>
      <c r="N68" s="333">
        <v>-4.0000000000000001E-3</v>
      </c>
      <c r="O68" s="333">
        <v>5.6300000000000003E-2</v>
      </c>
      <c r="P68" s="328">
        <f t="shared" si="34"/>
        <v>-3.347698650535965E-3</v>
      </c>
      <c r="Q68" s="328">
        <f t="shared" si="35"/>
        <v>-3.6601307189541993E-3</v>
      </c>
      <c r="R68" s="328">
        <f t="shared" si="36"/>
        <v>-5.4999999999999997E-3</v>
      </c>
      <c r="S68" s="394">
        <f t="shared" si="37"/>
        <v>-3.9999999999999966E-3</v>
      </c>
      <c r="T68" s="144"/>
      <c r="U68" s="167"/>
      <c r="V68" s="163"/>
    </row>
    <row r="69" spans="1:23" s="112" customFormat="1" ht="12.95" customHeight="1">
      <c r="A69" s="408">
        <v>58</v>
      </c>
      <c r="B69" s="383" t="s">
        <v>169</v>
      </c>
      <c r="C69" s="384" t="s">
        <v>167</v>
      </c>
      <c r="D69" s="325">
        <v>733430710.14999998</v>
      </c>
      <c r="E69" s="332">
        <f t="shared" si="38"/>
        <v>2.2911515626808086E-3</v>
      </c>
      <c r="F69" s="310">
        <v>1.08</v>
      </c>
      <c r="G69" s="310">
        <v>1.08</v>
      </c>
      <c r="H69" s="333">
        <v>9.5792144169360369E-2</v>
      </c>
      <c r="I69" s="333">
        <v>0.10584547057670966</v>
      </c>
      <c r="J69" s="325">
        <v>734101319.90999997</v>
      </c>
      <c r="K69" s="332">
        <f t="shared" si="33"/>
        <v>2.2917304492519825E-3</v>
      </c>
      <c r="L69" s="310">
        <v>1.0808</v>
      </c>
      <c r="M69" s="310">
        <v>1.0808</v>
      </c>
      <c r="N69" s="333">
        <v>3.6425328077435627E-2</v>
      </c>
      <c r="O69" s="333">
        <v>0.10403391245937954</v>
      </c>
      <c r="P69" s="328">
        <f t="shared" si="34"/>
        <v>9.1434644161932966E-4</v>
      </c>
      <c r="Q69" s="328">
        <f>(M69-G69)/G69</f>
        <v>7.4074074074065906E-4</v>
      </c>
      <c r="R69" s="328">
        <f t="shared" si="36"/>
        <v>-5.9366816091924741E-2</v>
      </c>
      <c r="S69" s="394">
        <f t="shared" si="37"/>
        <v>-1.8115581173301226E-3</v>
      </c>
      <c r="T69" s="88"/>
      <c r="U69" s="166"/>
      <c r="V69" s="185"/>
    </row>
    <row r="70" spans="1:23" s="112" customFormat="1" ht="12" customHeight="1">
      <c r="A70" s="408">
        <v>59</v>
      </c>
      <c r="B70" s="383" t="s">
        <v>246</v>
      </c>
      <c r="C70" s="384" t="s">
        <v>184</v>
      </c>
      <c r="D70" s="325">
        <v>68878687281.509995</v>
      </c>
      <c r="E70" s="332">
        <f t="shared" si="38"/>
        <v>0.21516894481846693</v>
      </c>
      <c r="F70" s="310">
        <v>1591.03</v>
      </c>
      <c r="G70" s="325">
        <v>1591.03</v>
      </c>
      <c r="H70" s="333">
        <v>2.0999999999999999E-3</v>
      </c>
      <c r="I70" s="333">
        <v>0.1168</v>
      </c>
      <c r="J70" s="325">
        <v>68823037503.279999</v>
      </c>
      <c r="K70" s="332">
        <f t="shared" si="33"/>
        <v>0.2148529724420257</v>
      </c>
      <c r="L70" s="310">
        <v>1594.58</v>
      </c>
      <c r="M70" s="325">
        <v>1594.587</v>
      </c>
      <c r="N70" s="333">
        <v>2.2000000000000001E-3</v>
      </c>
      <c r="O70" s="333">
        <v>0.1171</v>
      </c>
      <c r="P70" s="328">
        <f t="shared" si="34"/>
        <v>-8.0793900735292505E-4</v>
      </c>
      <c r="Q70" s="328">
        <f t="shared" ref="Q70:Q86" si="41">((M70-G70)/G70)</f>
        <v>2.2356586613703176E-3</v>
      </c>
      <c r="R70" s="328">
        <f t="shared" si="36"/>
        <v>1.0000000000000026E-4</v>
      </c>
      <c r="S70" s="394">
        <f t="shared" si="37"/>
        <v>2.9999999999999472E-4</v>
      </c>
      <c r="U70" s="166"/>
      <c r="V70" s="185"/>
    </row>
    <row r="71" spans="1:23" s="112" customFormat="1" ht="12.95" customHeight="1">
      <c r="A71" s="408">
        <v>60</v>
      </c>
      <c r="B71" s="383" t="s">
        <v>173</v>
      </c>
      <c r="C71" s="384" t="s">
        <v>174</v>
      </c>
      <c r="D71" s="325">
        <v>24359543.829999998</v>
      </c>
      <c r="E71" s="332">
        <f t="shared" si="38"/>
        <v>7.6096359396897481E-5</v>
      </c>
      <c r="F71" s="325">
        <v>0.7419</v>
      </c>
      <c r="G71" s="325">
        <v>0.7419</v>
      </c>
      <c r="H71" s="333">
        <v>1.6000000000000001E-3</v>
      </c>
      <c r="I71" s="333">
        <v>8.5800000000000001E-2</v>
      </c>
      <c r="J71" s="325">
        <v>24417764.789999999</v>
      </c>
      <c r="K71" s="332">
        <f t="shared" si="33"/>
        <v>7.6227808824504552E-5</v>
      </c>
      <c r="L71" s="325">
        <v>0.74370000000000003</v>
      </c>
      <c r="M71" s="325">
        <v>0.74370000000000003</v>
      </c>
      <c r="N71" s="333">
        <v>2.3999999999999998E-3</v>
      </c>
      <c r="O71" s="333">
        <v>8.8400000000000006E-2</v>
      </c>
      <c r="P71" s="109">
        <f t="shared" ref="P71:P86" si="42">((J71-D71)/D71)</f>
        <v>2.390067745369635E-3</v>
      </c>
      <c r="Q71" s="109">
        <f t="shared" si="41"/>
        <v>2.4262029923170559E-3</v>
      </c>
      <c r="R71" s="328">
        <f t="shared" si="36"/>
        <v>7.9999999999999971E-4</v>
      </c>
      <c r="S71" s="394">
        <f t="shared" si="37"/>
        <v>2.6000000000000051E-3</v>
      </c>
      <c r="U71" s="430"/>
      <c r="V71" s="430"/>
    </row>
    <row r="72" spans="1:23" s="128" customFormat="1" ht="12.95" customHeight="1">
      <c r="A72" s="408">
        <v>61</v>
      </c>
      <c r="B72" s="383" t="s">
        <v>104</v>
      </c>
      <c r="C72" s="384" t="s">
        <v>103</v>
      </c>
      <c r="D72" s="325">
        <v>1091257758.5799999</v>
      </c>
      <c r="E72" s="332">
        <f t="shared" si="38"/>
        <v>3.4089613159868628E-3</v>
      </c>
      <c r="F72" s="325">
        <v>207.37534400000001</v>
      </c>
      <c r="G72" s="325">
        <v>209.015716</v>
      </c>
      <c r="H72" s="333">
        <v>1.6000000000000001E-3</v>
      </c>
      <c r="I72" s="333">
        <v>4.8000000000000001E-2</v>
      </c>
      <c r="J72" s="325">
        <v>1077476702.75</v>
      </c>
      <c r="K72" s="332">
        <f t="shared" si="33"/>
        <v>3.3636857761739675E-3</v>
      </c>
      <c r="L72" s="325">
        <v>207.57930400000001</v>
      </c>
      <c r="M72" s="325">
        <v>209.32974899999999</v>
      </c>
      <c r="N72" s="333">
        <v>1.6999999999999999E-3</v>
      </c>
      <c r="O72" s="333">
        <v>4.9500000000000002E-2</v>
      </c>
      <c r="P72" s="328">
        <f t="shared" si="42"/>
        <v>-1.2628598258886639E-2</v>
      </c>
      <c r="Q72" s="328">
        <f t="shared" si="41"/>
        <v>1.5024372617033013E-3</v>
      </c>
      <c r="R72" s="328">
        <f t="shared" si="36"/>
        <v>9.9999999999999829E-5</v>
      </c>
      <c r="S72" s="394">
        <f t="shared" si="37"/>
        <v>1.5000000000000013E-3</v>
      </c>
      <c r="T72" s="168"/>
      <c r="U72" s="169"/>
      <c r="V72" s="411"/>
      <c r="W72" s="129"/>
    </row>
    <row r="73" spans="1:23" s="112" customFormat="1" ht="12.95" customHeight="1">
      <c r="A73" s="408">
        <v>62</v>
      </c>
      <c r="B73" s="383" t="s">
        <v>111</v>
      </c>
      <c r="C73" s="384" t="s">
        <v>132</v>
      </c>
      <c r="D73" s="325">
        <v>1241073655.5699999</v>
      </c>
      <c r="E73" s="332">
        <f t="shared" si="38"/>
        <v>3.8769686161350451E-3</v>
      </c>
      <c r="F73" s="326">
        <v>3.53</v>
      </c>
      <c r="G73" s="326">
        <v>3.53</v>
      </c>
      <c r="H73" s="319">
        <v>-2.5000000000000001E-3</v>
      </c>
      <c r="I73" s="319">
        <v>-1.84E-2</v>
      </c>
      <c r="J73" s="325">
        <v>1241376514.55</v>
      </c>
      <c r="K73" s="332">
        <f t="shared" si="33"/>
        <v>3.8753510996674318E-3</v>
      </c>
      <c r="L73" s="326">
        <v>3.53</v>
      </c>
      <c r="M73" s="326">
        <v>3.53</v>
      </c>
      <c r="N73" s="319">
        <v>-1.4E-3</v>
      </c>
      <c r="O73" s="319">
        <v>-1.6400000000000001E-2</v>
      </c>
      <c r="P73" s="328">
        <f t="shared" si="42"/>
        <v>2.4402981937516198E-4</v>
      </c>
      <c r="Q73" s="328">
        <f t="shared" si="41"/>
        <v>0</v>
      </c>
      <c r="R73" s="328">
        <f t="shared" si="36"/>
        <v>1.1000000000000001E-3</v>
      </c>
      <c r="S73" s="394">
        <f t="shared" si="37"/>
        <v>1.9999999999999983E-3</v>
      </c>
      <c r="U73" s="170"/>
      <c r="V73" s="411"/>
    </row>
    <row r="74" spans="1:23" s="112" customFormat="1" ht="12.95" customHeight="1">
      <c r="A74" s="408">
        <v>63</v>
      </c>
      <c r="B74" s="383" t="s">
        <v>85</v>
      </c>
      <c r="C74" s="384" t="s">
        <v>23</v>
      </c>
      <c r="D74" s="325">
        <v>17804355000.360001</v>
      </c>
      <c r="E74" s="332">
        <f t="shared" si="38"/>
        <v>5.5618717919864405E-2</v>
      </c>
      <c r="F74" s="325">
        <v>1196.3399999999999</v>
      </c>
      <c r="G74" s="325">
        <v>1196.3399999999999</v>
      </c>
      <c r="H74" s="333">
        <v>1.5E-3</v>
      </c>
      <c r="I74" s="333">
        <v>6.9900000000000004E-2</v>
      </c>
      <c r="J74" s="325">
        <v>18063713716.709999</v>
      </c>
      <c r="K74" s="332">
        <f t="shared" si="33"/>
        <v>5.6391620105287713E-2</v>
      </c>
      <c r="L74" s="325">
        <v>1198.81</v>
      </c>
      <c r="M74" s="325">
        <v>1198.81</v>
      </c>
      <c r="N74" s="333">
        <v>2.0999999999999999E-3</v>
      </c>
      <c r="O74" s="333">
        <v>7.1999999999999995E-2</v>
      </c>
      <c r="P74" s="328">
        <f t="shared" si="42"/>
        <v>1.4567150359827934E-2</v>
      </c>
      <c r="Q74" s="328">
        <f t="shared" si="41"/>
        <v>2.0646304562248418E-3</v>
      </c>
      <c r="R74" s="328">
        <f t="shared" si="36"/>
        <v>5.9999999999999984E-4</v>
      </c>
      <c r="S74" s="394">
        <f t="shared" si="37"/>
        <v>2.0999999999999908E-3</v>
      </c>
      <c r="T74" s="171"/>
      <c r="U74" s="130"/>
      <c r="V74" s="411"/>
    </row>
    <row r="75" spans="1:23" s="112" customFormat="1" ht="12.95" customHeight="1">
      <c r="A75" s="408">
        <v>64</v>
      </c>
      <c r="B75" s="384" t="s">
        <v>230</v>
      </c>
      <c r="C75" s="397" t="s">
        <v>9</v>
      </c>
      <c r="D75" s="325">
        <v>1628529503</v>
      </c>
      <c r="E75" s="332">
        <f t="shared" si="38"/>
        <v>5.0873352643048585E-3</v>
      </c>
      <c r="F75" s="326">
        <v>99.4</v>
      </c>
      <c r="G75" s="326">
        <v>99.4</v>
      </c>
      <c r="H75" s="333">
        <v>1.8E-3</v>
      </c>
      <c r="I75" s="333">
        <v>9.8500000000000004E-2</v>
      </c>
      <c r="J75" s="325">
        <v>1843111545</v>
      </c>
      <c r="K75" s="332">
        <f t="shared" si="33"/>
        <v>5.7538581316843472E-3</v>
      </c>
      <c r="L75" s="326">
        <v>99.57</v>
      </c>
      <c r="M75" s="326">
        <v>99.57</v>
      </c>
      <c r="N75" s="333">
        <v>1.8E-3</v>
      </c>
      <c r="O75" s="333">
        <v>9.1600000000000001E-2</v>
      </c>
      <c r="P75" s="328">
        <f t="shared" si="42"/>
        <v>0.13176429509241749</v>
      </c>
      <c r="Q75" s="328">
        <f t="shared" si="41"/>
        <v>1.710261569416373E-3</v>
      </c>
      <c r="R75" s="328">
        <f t="shared" si="36"/>
        <v>0</v>
      </c>
      <c r="S75" s="394">
        <f t="shared" si="37"/>
        <v>-6.9000000000000034E-3</v>
      </c>
      <c r="T75" s="123"/>
      <c r="U75" s="130"/>
      <c r="V75" s="411"/>
    </row>
    <row r="76" spans="1:23" s="112" customFormat="1" ht="12.95" customHeight="1">
      <c r="A76" s="408">
        <v>65</v>
      </c>
      <c r="B76" s="383" t="s">
        <v>17</v>
      </c>
      <c r="C76" s="384" t="s">
        <v>57</v>
      </c>
      <c r="D76" s="325">
        <v>1615719154.46</v>
      </c>
      <c r="E76" s="332">
        <f t="shared" si="38"/>
        <v>5.0473172371487502E-3</v>
      </c>
      <c r="F76" s="326">
        <v>335.75069999999999</v>
      </c>
      <c r="G76" s="326">
        <v>335.75069999999999</v>
      </c>
      <c r="H76" s="333">
        <v>2E-3</v>
      </c>
      <c r="I76" s="333">
        <v>0.1203</v>
      </c>
      <c r="J76" s="325">
        <v>1619868695.73</v>
      </c>
      <c r="K76" s="332">
        <f t="shared" si="33"/>
        <v>5.0569346670697448E-3</v>
      </c>
      <c r="L76" s="326">
        <v>336.42939999999999</v>
      </c>
      <c r="M76" s="326">
        <v>336.42939999999999</v>
      </c>
      <c r="N76" s="333">
        <v>2E-3</v>
      </c>
      <c r="O76" s="333">
        <v>0.12239999999999999</v>
      </c>
      <c r="P76" s="109">
        <f t="shared" si="42"/>
        <v>2.5682317737867172E-3</v>
      </c>
      <c r="Q76" s="109">
        <f t="shared" si="41"/>
        <v>2.0214403127081851E-3</v>
      </c>
      <c r="R76" s="328">
        <f t="shared" si="36"/>
        <v>0</v>
      </c>
      <c r="S76" s="394">
        <f t="shared" si="37"/>
        <v>2.0999999999999908E-3</v>
      </c>
      <c r="T76" s="144"/>
      <c r="U76" s="172"/>
      <c r="V76" s="411"/>
    </row>
    <row r="77" spans="1:23" s="112" customFormat="1" ht="12.95" customHeight="1">
      <c r="A77" s="408">
        <v>66</v>
      </c>
      <c r="B77" s="383" t="s">
        <v>91</v>
      </c>
      <c r="C77" s="384" t="s">
        <v>90</v>
      </c>
      <c r="D77" s="325">
        <v>54550546.329999998</v>
      </c>
      <c r="E77" s="332">
        <f t="shared" si="38"/>
        <v>1.7040951209080122E-4</v>
      </c>
      <c r="F77" s="326">
        <v>12.054989000000001</v>
      </c>
      <c r="G77" s="325">
        <v>12.456351</v>
      </c>
      <c r="H77" s="333">
        <v>2.9999999999999997E-4</v>
      </c>
      <c r="I77" s="333">
        <v>9.5200000000000007E-2</v>
      </c>
      <c r="J77" s="325">
        <v>53822386.369999997</v>
      </c>
      <c r="K77" s="332">
        <f t="shared" si="33"/>
        <v>1.68023675138816E-4</v>
      </c>
      <c r="L77" s="326">
        <v>11.885643</v>
      </c>
      <c r="M77" s="325">
        <v>12.294418</v>
      </c>
      <c r="N77" s="333">
        <v>2.0000000000000001E-4</v>
      </c>
      <c r="O77" s="333">
        <v>8.0399999999999999E-2</v>
      </c>
      <c r="P77" s="328">
        <f t="shared" si="42"/>
        <v>-1.3348353206126377E-2</v>
      </c>
      <c r="Q77" s="328">
        <f t="shared" si="41"/>
        <v>-1.3000035082505258E-2</v>
      </c>
      <c r="R77" s="328">
        <f t="shared" si="36"/>
        <v>-9.9999999999999964E-5</v>
      </c>
      <c r="S77" s="394">
        <f t="shared" si="37"/>
        <v>-1.4800000000000008E-2</v>
      </c>
      <c r="T77" s="153"/>
      <c r="U77" s="172"/>
      <c r="V77" s="411"/>
    </row>
    <row r="78" spans="1:23" s="112" customFormat="1" ht="12.95" customHeight="1">
      <c r="A78" s="408">
        <v>67</v>
      </c>
      <c r="B78" s="383" t="s">
        <v>35</v>
      </c>
      <c r="C78" s="384" t="s">
        <v>20</v>
      </c>
      <c r="D78" s="325">
        <v>6898544936.5</v>
      </c>
      <c r="E78" s="332">
        <f t="shared" si="38"/>
        <v>2.1550245705218993E-2</v>
      </c>
      <c r="F78" s="326">
        <v>1.08</v>
      </c>
      <c r="G78" s="326">
        <v>1.08</v>
      </c>
      <c r="H78" s="333">
        <v>0</v>
      </c>
      <c r="I78" s="333">
        <v>0.1004</v>
      </c>
      <c r="J78" s="325">
        <v>6916985113.8599997</v>
      </c>
      <c r="K78" s="332">
        <f>(J78/$J$120)</f>
        <v>7.445603208064977E-2</v>
      </c>
      <c r="L78" s="326">
        <v>1.08</v>
      </c>
      <c r="M78" s="326">
        <v>1.08</v>
      </c>
      <c r="N78" s="333">
        <v>0</v>
      </c>
      <c r="O78" s="333">
        <v>0.1002</v>
      </c>
      <c r="P78" s="328">
        <f t="shared" si="42"/>
        <v>2.6730531626217606E-3</v>
      </c>
      <c r="Q78" s="328">
        <f t="shared" si="41"/>
        <v>0</v>
      </c>
      <c r="R78" s="328">
        <f t="shared" si="36"/>
        <v>0</v>
      </c>
      <c r="S78" s="394">
        <f t="shared" si="37"/>
        <v>-2.0000000000000573E-4</v>
      </c>
      <c r="T78" s="144"/>
      <c r="U78" s="172"/>
      <c r="V78" s="411"/>
    </row>
    <row r="79" spans="1:23" s="112" customFormat="1" ht="12.95" customHeight="1">
      <c r="A79" s="408">
        <v>68</v>
      </c>
      <c r="B79" s="383" t="s">
        <v>68</v>
      </c>
      <c r="C79" s="384" t="s">
        <v>5</v>
      </c>
      <c r="D79" s="325">
        <v>23286436958.360001</v>
      </c>
      <c r="E79" s="332">
        <f t="shared" si="38"/>
        <v>7.2744099323987996E-2</v>
      </c>
      <c r="F79" s="325">
        <v>4857.97</v>
      </c>
      <c r="G79" s="325">
        <v>4857.97</v>
      </c>
      <c r="H79" s="333">
        <v>2.2000000000000001E-3</v>
      </c>
      <c r="I79" s="333">
        <v>6.2600000000000003E-2</v>
      </c>
      <c r="J79" s="325">
        <v>23343807338.52</v>
      </c>
      <c r="K79" s="332">
        <f t="shared" ref="K79:K86" si="43">(J79/$J$87)</f>
        <v>7.2875109509021083E-2</v>
      </c>
      <c r="L79" s="325">
        <v>4867</v>
      </c>
      <c r="M79" s="325">
        <v>4867</v>
      </c>
      <c r="N79" s="333">
        <v>1.9E-3</v>
      </c>
      <c r="O79" s="333">
        <v>6.4600000000000005E-2</v>
      </c>
      <c r="P79" s="328">
        <f t="shared" si="42"/>
        <v>2.4636821967477279E-3</v>
      </c>
      <c r="Q79" s="328">
        <f t="shared" si="41"/>
        <v>1.8588011041648558E-3</v>
      </c>
      <c r="R79" s="328">
        <f t="shared" si="36"/>
        <v>-3.0000000000000014E-4</v>
      </c>
      <c r="S79" s="394">
        <f t="shared" si="37"/>
        <v>2.0000000000000018E-3</v>
      </c>
      <c r="T79" s="144"/>
      <c r="U79" s="172"/>
      <c r="V79" s="411"/>
    </row>
    <row r="80" spans="1:23" s="112" customFormat="1" ht="12.95" customHeight="1">
      <c r="A80" s="408">
        <v>69</v>
      </c>
      <c r="B80" s="383" t="s">
        <v>16</v>
      </c>
      <c r="C80" s="384" t="s">
        <v>5</v>
      </c>
      <c r="D80" s="325">
        <v>41243661733.230003</v>
      </c>
      <c r="E80" s="332">
        <f t="shared" si="38"/>
        <v>0.12884036449938471</v>
      </c>
      <c r="F80" s="326">
        <v>253.44</v>
      </c>
      <c r="G80" s="326">
        <v>253.44</v>
      </c>
      <c r="H80" s="333">
        <v>1.1000000000000001E-3</v>
      </c>
      <c r="I80" s="333">
        <v>3.4200000000000001E-2</v>
      </c>
      <c r="J80" s="325">
        <v>41112024297.589996</v>
      </c>
      <c r="K80" s="332">
        <f t="shared" si="43"/>
        <v>0.12834424262406355</v>
      </c>
      <c r="L80" s="326">
        <v>253.63</v>
      </c>
      <c r="M80" s="326">
        <v>253.63</v>
      </c>
      <c r="N80" s="333">
        <v>6.9999999999999999E-4</v>
      </c>
      <c r="O80" s="333">
        <v>3.49E-2</v>
      </c>
      <c r="P80" s="328">
        <f t="shared" si="42"/>
        <v>-3.1917009816309978E-3</v>
      </c>
      <c r="Q80" s="328">
        <f t="shared" si="41"/>
        <v>7.4968434343433449E-4</v>
      </c>
      <c r="R80" s="328">
        <f t="shared" si="36"/>
        <v>-4.0000000000000007E-4</v>
      </c>
      <c r="S80" s="394">
        <f t="shared" si="37"/>
        <v>6.9999999999999923E-4</v>
      </c>
      <c r="T80" s="144"/>
      <c r="U80" s="172"/>
      <c r="V80" s="411"/>
    </row>
    <row r="81" spans="1:22" s="112" customFormat="1" ht="12.95" customHeight="1">
      <c r="A81" s="408">
        <v>70</v>
      </c>
      <c r="B81" s="383" t="s">
        <v>69</v>
      </c>
      <c r="C81" s="384" t="s">
        <v>5</v>
      </c>
      <c r="D81" s="325">
        <v>270331436.44999999</v>
      </c>
      <c r="E81" s="332">
        <f t="shared" si="38"/>
        <v>8.4448371808359729E-4</v>
      </c>
      <c r="F81" s="325">
        <v>5142.91</v>
      </c>
      <c r="G81" s="325">
        <v>5169.93</v>
      </c>
      <c r="H81" s="333">
        <v>2.0299999999999999E-2</v>
      </c>
      <c r="I81" s="333">
        <v>0.21390000000000001</v>
      </c>
      <c r="J81" s="325">
        <v>267731573.99000001</v>
      </c>
      <c r="K81" s="332">
        <f t="shared" si="43"/>
        <v>8.3580915017870548E-4</v>
      </c>
      <c r="L81" s="325">
        <v>5093.8599999999997</v>
      </c>
      <c r="M81" s="326">
        <v>5119.92</v>
      </c>
      <c r="N81" s="333">
        <v>-9.7000000000000003E-3</v>
      </c>
      <c r="O81" s="333">
        <v>0.20219999999999999</v>
      </c>
      <c r="P81" s="328">
        <f t="shared" si="42"/>
        <v>-9.617314560753442E-3</v>
      </c>
      <c r="Q81" s="328">
        <f t="shared" si="41"/>
        <v>-9.6732450922933609E-3</v>
      </c>
      <c r="R81" s="328">
        <f t="shared" si="36"/>
        <v>-0.03</v>
      </c>
      <c r="S81" s="394">
        <f t="shared" si="37"/>
        <v>-1.1700000000000016E-2</v>
      </c>
      <c r="T81" s="144"/>
      <c r="U81" s="172"/>
      <c r="V81" s="411"/>
    </row>
    <row r="82" spans="1:22" s="112" customFormat="1" ht="12.95" customHeight="1">
      <c r="A82" s="408">
        <v>71</v>
      </c>
      <c r="B82" s="383" t="s">
        <v>165</v>
      </c>
      <c r="C82" s="384" t="s">
        <v>5</v>
      </c>
      <c r="D82" s="325">
        <v>18869627266.27</v>
      </c>
      <c r="E82" s="332">
        <f t="shared" si="38"/>
        <v>5.8946503602878765E-2</v>
      </c>
      <c r="F82" s="326">
        <v>122.42</v>
      </c>
      <c r="G82" s="326">
        <v>122.42</v>
      </c>
      <c r="H82" s="333">
        <v>2E-3</v>
      </c>
      <c r="I82" s="333">
        <v>6.4500000000000002E-2</v>
      </c>
      <c r="J82" s="325">
        <v>18880456589</v>
      </c>
      <c r="K82" s="332">
        <f t="shared" si="43"/>
        <v>5.8941342410467598E-2</v>
      </c>
      <c r="L82" s="326">
        <v>122.63</v>
      </c>
      <c r="M82" s="326">
        <v>122.63</v>
      </c>
      <c r="N82" s="333">
        <v>1.6999999999999999E-3</v>
      </c>
      <c r="O82" s="333">
        <v>6.6299999999999998E-2</v>
      </c>
      <c r="P82" s="328">
        <f t="shared" si="42"/>
        <v>5.7390231281130111E-4</v>
      </c>
      <c r="Q82" s="328">
        <f t="shared" si="41"/>
        <v>1.7154059794150772E-3</v>
      </c>
      <c r="R82" s="328">
        <f t="shared" si="36"/>
        <v>-3.0000000000000014E-4</v>
      </c>
      <c r="S82" s="394">
        <f t="shared" si="37"/>
        <v>1.799999999999996E-3</v>
      </c>
      <c r="T82" s="144"/>
      <c r="U82" s="172"/>
      <c r="V82" s="411"/>
    </row>
    <row r="83" spans="1:22" s="112" customFormat="1" ht="12.95" customHeight="1">
      <c r="A83" s="408">
        <v>72</v>
      </c>
      <c r="B83" s="383" t="s">
        <v>63</v>
      </c>
      <c r="C83" s="384" t="s">
        <v>5</v>
      </c>
      <c r="D83" s="325">
        <v>14035811980.889999</v>
      </c>
      <c r="E83" s="332">
        <f t="shared" si="38"/>
        <v>4.3846231291478376E-2</v>
      </c>
      <c r="F83" s="326">
        <v>345.77</v>
      </c>
      <c r="G83" s="326">
        <v>345.77</v>
      </c>
      <c r="H83" s="333">
        <v>1.2999999999999999E-3</v>
      </c>
      <c r="I83" s="333">
        <v>3.9899999999999998E-2</v>
      </c>
      <c r="J83" s="325">
        <v>13994954141.469999</v>
      </c>
      <c r="K83" s="332">
        <f t="shared" si="43"/>
        <v>4.3689694694765031E-2</v>
      </c>
      <c r="L83" s="326">
        <v>345.9</v>
      </c>
      <c r="M83" s="326">
        <v>346.01</v>
      </c>
      <c r="N83" s="333">
        <v>5.9999999999999995E-4</v>
      </c>
      <c r="O83" s="333">
        <v>4.0599999999999997E-2</v>
      </c>
      <c r="P83" s="328">
        <f t="shared" si="42"/>
        <v>-2.9109708419882462E-3</v>
      </c>
      <c r="Q83" s="328">
        <f t="shared" si="41"/>
        <v>6.9410301645605208E-4</v>
      </c>
      <c r="R83" s="328">
        <f t="shared" si="36"/>
        <v>-6.9999999999999999E-4</v>
      </c>
      <c r="S83" s="394">
        <f t="shared" si="37"/>
        <v>6.9999999999999923E-4</v>
      </c>
      <c r="T83" s="144"/>
      <c r="U83" s="172"/>
      <c r="V83" s="411"/>
    </row>
    <row r="84" spans="1:22" s="329" customFormat="1" ht="12.95" customHeight="1">
      <c r="A84" s="408">
        <v>73</v>
      </c>
      <c r="B84" s="383" t="s">
        <v>156</v>
      </c>
      <c r="C84" s="384" t="s">
        <v>41</v>
      </c>
      <c r="D84" s="325">
        <v>101696780471.91</v>
      </c>
      <c r="E84" s="332">
        <f t="shared" si="38"/>
        <v>0.31768882087057743</v>
      </c>
      <c r="F84" s="325">
        <v>1.9060999999999999</v>
      </c>
      <c r="G84" s="325">
        <v>1.9060999999999999</v>
      </c>
      <c r="H84" s="333">
        <v>5.9200000000000003E-2</v>
      </c>
      <c r="I84" s="333">
        <v>6.7599999999999993E-2</v>
      </c>
      <c r="J84" s="325">
        <v>101806771720.63</v>
      </c>
      <c r="K84" s="332">
        <f t="shared" si="43"/>
        <v>0.31782217571930999</v>
      </c>
      <c r="L84" s="325">
        <v>1.9081999999999999</v>
      </c>
      <c r="M84" s="325">
        <v>1.9081999999999999</v>
      </c>
      <c r="N84" s="333">
        <v>5.91E-2</v>
      </c>
      <c r="O84" s="333">
        <v>6.7199999999999996E-2</v>
      </c>
      <c r="P84" s="109">
        <f t="shared" si="42"/>
        <v>1.0815607751750043E-3</v>
      </c>
      <c r="Q84" s="109">
        <f t="shared" si="41"/>
        <v>1.1017260374586804E-3</v>
      </c>
      <c r="R84" s="328">
        <f t="shared" si="36"/>
        <v>-1.0000000000000286E-4</v>
      </c>
      <c r="S84" s="394">
        <f t="shared" si="37"/>
        <v>-3.9999999999999758E-4</v>
      </c>
      <c r="T84" s="144"/>
      <c r="U84" s="172"/>
      <c r="V84" s="337"/>
    </row>
    <row r="85" spans="1:22" s="329" customFormat="1" ht="12.95" customHeight="1">
      <c r="A85" s="408">
        <v>74</v>
      </c>
      <c r="B85" s="383" t="s">
        <v>265</v>
      </c>
      <c r="C85" s="384" t="s">
        <v>240</v>
      </c>
      <c r="D85" s="325">
        <v>9468515108.6200008</v>
      </c>
      <c r="E85" s="332">
        <f t="shared" si="38"/>
        <v>2.9578531260226044E-2</v>
      </c>
      <c r="F85" s="326">
        <v>1</v>
      </c>
      <c r="G85" s="326">
        <v>1</v>
      </c>
      <c r="H85" s="333">
        <v>0.06</v>
      </c>
      <c r="I85" s="333">
        <v>0.06</v>
      </c>
      <c r="J85" s="325">
        <v>9401978990.9200001</v>
      </c>
      <c r="K85" s="332">
        <f t="shared" si="43"/>
        <v>2.9351263854641218E-2</v>
      </c>
      <c r="L85" s="326">
        <v>1</v>
      </c>
      <c r="M85" s="326">
        <v>1</v>
      </c>
      <c r="N85" s="333">
        <v>0.06</v>
      </c>
      <c r="O85" s="333">
        <v>0.06</v>
      </c>
      <c r="P85" s="328">
        <f t="shared" si="42"/>
        <v>-7.027091041912922E-3</v>
      </c>
      <c r="Q85" s="328">
        <f t="shared" si="41"/>
        <v>0</v>
      </c>
      <c r="R85" s="328">
        <f t="shared" si="36"/>
        <v>0</v>
      </c>
      <c r="S85" s="394">
        <f t="shared" si="37"/>
        <v>0</v>
      </c>
      <c r="T85" s="144"/>
      <c r="U85" s="172"/>
      <c r="V85" s="338"/>
    </row>
    <row r="86" spans="1:22" s="112" customFormat="1" ht="12.95" customHeight="1">
      <c r="A86" s="408">
        <v>75</v>
      </c>
      <c r="B86" s="383" t="s">
        <v>19</v>
      </c>
      <c r="C86" s="384" t="s">
        <v>12</v>
      </c>
      <c r="D86" s="325">
        <v>2574301806.0999999</v>
      </c>
      <c r="E86" s="332">
        <f t="shared" si="38"/>
        <v>8.04181707178824E-3</v>
      </c>
      <c r="F86" s="326">
        <v>24.782699999999998</v>
      </c>
      <c r="G86" s="326">
        <v>24.782699999999998</v>
      </c>
      <c r="H86" s="333">
        <v>1.6000000000000001E-3</v>
      </c>
      <c r="I86" s="333">
        <v>5.1999999999999998E-2</v>
      </c>
      <c r="J86" s="325">
        <v>2583011086.71</v>
      </c>
      <c r="K86" s="332">
        <f t="shared" si="43"/>
        <v>8.0636895720259602E-3</v>
      </c>
      <c r="L86" s="326">
        <v>24.822099999999999</v>
      </c>
      <c r="M86" s="326">
        <v>24.822099999999999</v>
      </c>
      <c r="N86" s="333">
        <v>1.1000000000000001E-3</v>
      </c>
      <c r="O86" s="333">
        <v>5.3699999999999998E-2</v>
      </c>
      <c r="P86" s="328">
        <f t="shared" si="42"/>
        <v>3.3831622187277515E-3</v>
      </c>
      <c r="Q86" s="328">
        <f t="shared" si="41"/>
        <v>1.589818704176726E-3</v>
      </c>
      <c r="R86" s="328">
        <f t="shared" si="36"/>
        <v>-5.0000000000000001E-4</v>
      </c>
      <c r="S86" s="394">
        <f t="shared" si="37"/>
        <v>1.7000000000000001E-3</v>
      </c>
      <c r="T86" s="144"/>
      <c r="U86" s="172"/>
      <c r="V86" s="290"/>
    </row>
    <row r="87" spans="1:22" s="112" customFormat="1" ht="12.95" customHeight="1">
      <c r="A87" s="213"/>
      <c r="C87" s="243" t="s">
        <v>42</v>
      </c>
      <c r="D87" s="76">
        <f>SUM(D57:D86)</f>
        <v>320114444673.33032</v>
      </c>
      <c r="E87" s="261">
        <f>(D87/$D$170)</f>
        <v>0.16798925232422379</v>
      </c>
      <c r="F87" s="326"/>
      <c r="G87" s="326"/>
      <c r="H87" s="333"/>
      <c r="I87" s="333"/>
      <c r="J87" s="76">
        <f>SUM(J57:J86)</f>
        <v>320326205967.90063</v>
      </c>
      <c r="K87" s="261">
        <f>(J87/$J$170)</f>
        <v>0.16596916886273064</v>
      </c>
      <c r="L87" s="263"/>
      <c r="M87" s="73"/>
      <c r="N87" s="278"/>
      <c r="O87" s="278"/>
      <c r="P87" s="265">
        <f t="shared" ref="P87" si="44">((J87-D87)/D87)</f>
        <v>6.6151746068944246E-4</v>
      </c>
      <c r="Q87" s="265"/>
      <c r="R87" s="265">
        <f t="shared" ref="R87:S87" si="45">N87-H87</f>
        <v>0</v>
      </c>
      <c r="S87" s="394">
        <f t="shared" si="45"/>
        <v>0</v>
      </c>
      <c r="T87" s="88"/>
      <c r="U87" s="173"/>
      <c r="V87" s="184"/>
    </row>
    <row r="88" spans="1:22" s="112" customFormat="1" ht="5.25" customHeight="1">
      <c r="A88" s="414"/>
      <c r="B88" s="415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29"/>
      <c r="T88" s="88"/>
      <c r="U88" s="173"/>
      <c r="V88" s="184"/>
    </row>
    <row r="89" spans="1:22" s="112" customFormat="1" ht="12" customHeight="1">
      <c r="A89" s="421" t="s">
        <v>193</v>
      </c>
      <c r="B89" s="422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4"/>
      <c r="T89" s="88"/>
      <c r="U89" s="173"/>
      <c r="V89" s="184"/>
    </row>
    <row r="90" spans="1:22" s="112" customFormat="1" ht="12.95" customHeight="1">
      <c r="A90" s="425" t="s">
        <v>194</v>
      </c>
      <c r="B90" s="426"/>
      <c r="C90" s="427"/>
      <c r="D90" s="427"/>
      <c r="E90" s="427"/>
      <c r="F90" s="427"/>
      <c r="G90" s="427"/>
      <c r="H90" s="427"/>
      <c r="I90" s="427"/>
      <c r="J90" s="427"/>
      <c r="K90" s="427"/>
      <c r="L90" s="427"/>
      <c r="M90" s="427"/>
      <c r="N90" s="427"/>
      <c r="O90" s="427"/>
      <c r="P90" s="427"/>
      <c r="Q90" s="427"/>
      <c r="R90" s="427"/>
      <c r="S90" s="428"/>
      <c r="T90" s="88"/>
      <c r="U90" s="173"/>
      <c r="V90" s="184"/>
    </row>
    <row r="91" spans="1:22" s="112" customFormat="1" ht="12.95" customHeight="1">
      <c r="A91" s="406">
        <v>76</v>
      </c>
      <c r="B91" s="383" t="s">
        <v>144</v>
      </c>
      <c r="C91" s="384" t="s">
        <v>57</v>
      </c>
      <c r="D91" s="325">
        <v>1270288230.01</v>
      </c>
      <c r="E91" s="332">
        <f t="shared" ref="E91:E101" si="46">(D91/$D$113)</f>
        <v>2.2906204812516056E-3</v>
      </c>
      <c r="F91" s="325">
        <f>108.2513*738.543</f>
        <v>79948.239855899999</v>
      </c>
      <c r="G91" s="325">
        <f>108.2513*738.543</f>
        <v>79948.239855899999</v>
      </c>
      <c r="H91" s="333">
        <v>1.1999999999999999E-3</v>
      </c>
      <c r="I91" s="333">
        <v>8.48E-2</v>
      </c>
      <c r="J91" s="325">
        <v>1310372163.98</v>
      </c>
      <c r="K91" s="332">
        <f t="shared" ref="K91:K101" si="47">(J91/$J$113)</f>
        <v>2.2622156302554439E-3</v>
      </c>
      <c r="L91" s="325">
        <f>108.2513*760.432</f>
        <v>82317.752561600006</v>
      </c>
      <c r="M91" s="325">
        <f>108.2513*760.432</f>
        <v>82317.752561600006</v>
      </c>
      <c r="N91" s="333">
        <v>1.1000000000000001E-3</v>
      </c>
      <c r="O91" s="333">
        <v>8.48E-2</v>
      </c>
      <c r="P91" s="328">
        <f t="shared" ref="P91:P101" si="48">((J91-D91)/D91)</f>
        <v>3.1554991239810572E-2</v>
      </c>
      <c r="Q91" s="328">
        <f t="shared" ref="Q91:Q101" si="49">((M91-G91)/G91)</f>
        <v>2.9638084715446572E-2</v>
      </c>
      <c r="R91" s="328">
        <f t="shared" ref="R91:R101" si="50">N91-H91</f>
        <v>-9.9999999999999829E-5</v>
      </c>
      <c r="S91" s="394">
        <f t="shared" ref="S91:S101" si="51">O91-I91</f>
        <v>0</v>
      </c>
      <c r="T91" s="88"/>
      <c r="U91" s="173"/>
      <c r="V91" s="184"/>
    </row>
    <row r="92" spans="1:22" s="112" customFormat="1" ht="12.95" customHeight="1">
      <c r="A92" s="398">
        <v>77</v>
      </c>
      <c r="B92" s="383" t="s">
        <v>145</v>
      </c>
      <c r="C92" s="384" t="s">
        <v>6</v>
      </c>
      <c r="D92" s="325">
        <f>10398532.36*738.043</f>
        <v>7674564018.5714798</v>
      </c>
      <c r="E92" s="332">
        <f t="shared" si="46"/>
        <v>1.3838995835990757E-2</v>
      </c>
      <c r="F92" s="325">
        <f>1.1511*738.043</f>
        <v>849.56129729999998</v>
      </c>
      <c r="G92" s="325">
        <f>1.1511*738.043</f>
        <v>849.56129729999998</v>
      </c>
      <c r="H92" s="333">
        <v>5.8999999999999997E-2</v>
      </c>
      <c r="I92" s="333">
        <v>3.3300000000000003E-2</v>
      </c>
      <c r="J92" s="325">
        <f>10413804.03*760.43</f>
        <v>7918968998.5328989</v>
      </c>
      <c r="K92" s="332">
        <f t="shared" si="47"/>
        <v>1.3671242366426558E-2</v>
      </c>
      <c r="L92" s="325">
        <f>1.1524*760.43</f>
        <v>876.31953199999998</v>
      </c>
      <c r="M92" s="325">
        <f>1.1524*760.43</f>
        <v>876.31953199999998</v>
      </c>
      <c r="N92" s="333">
        <v>3.4099999999999998E-2</v>
      </c>
      <c r="O92" s="333">
        <v>5.8900000000000001E-2</v>
      </c>
      <c r="P92" s="328">
        <f t="shared" si="48"/>
        <v>3.1846106094103821E-2</v>
      </c>
      <c r="Q92" s="328">
        <f t="shared" si="49"/>
        <v>3.1496532133750255E-2</v>
      </c>
      <c r="R92" s="328">
        <f t="shared" si="50"/>
        <v>-2.4899999999999999E-2</v>
      </c>
      <c r="S92" s="394">
        <f t="shared" si="51"/>
        <v>2.5599999999999998E-2</v>
      </c>
      <c r="U92" s="164"/>
      <c r="V92" s="163"/>
    </row>
    <row r="93" spans="1:22" s="112" customFormat="1" ht="12.95" customHeight="1">
      <c r="A93" s="399">
        <v>78</v>
      </c>
      <c r="B93" s="383" t="s">
        <v>170</v>
      </c>
      <c r="C93" s="384" t="s">
        <v>167</v>
      </c>
      <c r="D93" s="325">
        <v>1840970198.0864999</v>
      </c>
      <c r="E93" s="332">
        <f t="shared" si="46"/>
        <v>3.3196907138764603E-3</v>
      </c>
      <c r="F93" s="325">
        <v>77821.0883073</v>
      </c>
      <c r="G93" s="325">
        <v>77821.0883073</v>
      </c>
      <c r="H93" s="333">
        <v>4.9336473965044814E-2</v>
      </c>
      <c r="I93" s="333">
        <v>5.5137162335650976E-2</v>
      </c>
      <c r="J93" s="325">
        <v>1906749409.3534801</v>
      </c>
      <c r="K93" s="332">
        <f>(J93/$J$113)</f>
        <v>3.291796357851825E-3</v>
      </c>
      <c r="L93" s="325">
        <v>80279.771770800013</v>
      </c>
      <c r="M93" s="325">
        <v>80279.771770800013</v>
      </c>
      <c r="N93" s="333">
        <v>6.2593307516541588E-2</v>
      </c>
      <c r="O93" s="333">
        <v>5.540385278732974E-2</v>
      </c>
      <c r="P93" s="328">
        <f>((J93-D93)/D93)</f>
        <v>3.5730731184758412E-2</v>
      </c>
      <c r="Q93" s="328">
        <f t="shared" si="49"/>
        <v>3.1594051393770806E-2</v>
      </c>
      <c r="R93" s="328">
        <f t="shared" si="50"/>
        <v>1.3256833551496774E-2</v>
      </c>
      <c r="S93" s="394">
        <f t="shared" si="51"/>
        <v>2.6669045167876382E-4</v>
      </c>
      <c r="T93" s="391">
        <v>760.93200000000002</v>
      </c>
      <c r="U93" s="174"/>
      <c r="V93" s="163"/>
    </row>
    <row r="94" spans="1:22" s="112" customFormat="1" ht="12.95" customHeight="1">
      <c r="A94" s="403">
        <v>79</v>
      </c>
      <c r="B94" s="383" t="s">
        <v>237</v>
      </c>
      <c r="C94" s="384" t="s">
        <v>184</v>
      </c>
      <c r="D94" s="325">
        <v>21011075976.389999</v>
      </c>
      <c r="E94" s="332">
        <f t="shared" si="46"/>
        <v>3.78877799759458E-2</v>
      </c>
      <c r="F94" s="325">
        <v>92607.87</v>
      </c>
      <c r="G94" s="325">
        <v>92607.87</v>
      </c>
      <c r="H94" s="333">
        <v>1.4E-3</v>
      </c>
      <c r="I94" s="333">
        <v>7.2900000000000006E-2</v>
      </c>
      <c r="J94" s="325">
        <v>21589820419.347698</v>
      </c>
      <c r="K94" s="332">
        <f t="shared" si="47"/>
        <v>3.7272486816807837E-2</v>
      </c>
      <c r="L94" s="325">
        <v>95294.97</v>
      </c>
      <c r="M94" s="325">
        <v>95294.97</v>
      </c>
      <c r="N94" s="333">
        <v>1.4E-3</v>
      </c>
      <c r="O94" s="333">
        <v>7.3499999999999996E-2</v>
      </c>
      <c r="P94" s="328">
        <f t="shared" si="48"/>
        <v>2.7544731341128361E-2</v>
      </c>
      <c r="Q94" s="328">
        <f t="shared" si="49"/>
        <v>2.9015892493802157E-2</v>
      </c>
      <c r="R94" s="328">
        <f t="shared" si="50"/>
        <v>0</v>
      </c>
      <c r="S94" s="394">
        <f t="shared" si="51"/>
        <v>5.9999999999998943E-4</v>
      </c>
      <c r="U94" s="174"/>
      <c r="V94" s="163"/>
    </row>
    <row r="95" spans="1:22" s="329" customFormat="1" ht="12.95" customHeight="1">
      <c r="A95" s="403">
        <v>80</v>
      </c>
      <c r="B95" s="405" t="s">
        <v>262</v>
      </c>
      <c r="C95" s="405" t="s">
        <v>184</v>
      </c>
      <c r="D95" s="325">
        <v>16750279652.76</v>
      </c>
      <c r="E95" s="332">
        <f t="shared" si="46"/>
        <v>3.0204588795569681E-2</v>
      </c>
      <c r="F95" s="325">
        <v>82022.64</v>
      </c>
      <c r="G95" s="325">
        <v>82022.64</v>
      </c>
      <c r="H95" s="333">
        <v>1.9E-3</v>
      </c>
      <c r="I95" s="333">
        <v>9.4299999999999995E-2</v>
      </c>
      <c r="J95" s="325">
        <v>17209612141</v>
      </c>
      <c r="K95" s="332">
        <f t="shared" si="47"/>
        <v>2.9710531592609644E-2</v>
      </c>
      <c r="L95" s="325">
        <v>84440.88</v>
      </c>
      <c r="M95" s="325">
        <v>84440.88</v>
      </c>
      <c r="N95" s="333">
        <v>1.9E-3</v>
      </c>
      <c r="O95" s="333">
        <v>9.5699999999999993E-2</v>
      </c>
      <c r="P95" s="328">
        <f t="shared" si="48"/>
        <v>2.7422377283373534E-2</v>
      </c>
      <c r="Q95" s="328">
        <f t="shared" si="49"/>
        <v>2.9482591635675286E-2</v>
      </c>
      <c r="R95" s="328">
        <f t="shared" si="50"/>
        <v>0</v>
      </c>
      <c r="S95" s="394">
        <f t="shared" si="51"/>
        <v>1.3999999999999985E-3</v>
      </c>
      <c r="U95" s="331"/>
      <c r="V95" s="163"/>
    </row>
    <row r="96" spans="1:22" s="112" customFormat="1" ht="12.95" customHeight="1">
      <c r="A96" s="398">
        <v>81</v>
      </c>
      <c r="B96" s="383" t="s">
        <v>234</v>
      </c>
      <c r="C96" s="384" t="s">
        <v>216</v>
      </c>
      <c r="D96" s="325">
        <f>84615.57*738.543</f>
        <v>62492236.914510004</v>
      </c>
      <c r="E96" s="332">
        <f t="shared" si="46"/>
        <v>1.1268780928126634E-4</v>
      </c>
      <c r="F96" s="325">
        <f>107.07*738.543</f>
        <v>79075.799010000002</v>
      </c>
      <c r="G96" s="325">
        <f>107.07*738.543</f>
        <v>79075.799010000002</v>
      </c>
      <c r="H96" s="333">
        <v>3.5999999999999999E-3</v>
      </c>
      <c r="I96" s="333">
        <v>9.1800000000000007E-2</v>
      </c>
      <c r="J96" s="325">
        <f>84615.57*760.932</f>
        <v>64386694.911240004</v>
      </c>
      <c r="K96" s="332">
        <f t="shared" si="47"/>
        <v>1.1115665580554786E-4</v>
      </c>
      <c r="L96" s="325">
        <f>107.07*760.932</f>
        <v>81472.989239999995</v>
      </c>
      <c r="M96" s="325">
        <f>107.07*760.932</f>
        <v>81472.989239999995</v>
      </c>
      <c r="N96" s="333">
        <v>3.5999999999999999E-3</v>
      </c>
      <c r="O96" s="333">
        <v>9.1800000000000007E-2</v>
      </c>
      <c r="P96" s="328">
        <f t="shared" si="48"/>
        <v>3.0315093366263028E-2</v>
      </c>
      <c r="Q96" s="328">
        <f t="shared" si="49"/>
        <v>3.0315093366262941E-2</v>
      </c>
      <c r="R96" s="328">
        <f t="shared" si="50"/>
        <v>0</v>
      </c>
      <c r="S96" s="394">
        <f t="shared" si="51"/>
        <v>0</v>
      </c>
      <c r="T96" s="124"/>
      <c r="U96" s="174"/>
      <c r="V96" s="131"/>
    </row>
    <row r="97" spans="1:43" s="112" customFormat="1" ht="12.95" customHeight="1">
      <c r="A97" s="401">
        <v>82</v>
      </c>
      <c r="B97" s="383" t="s">
        <v>120</v>
      </c>
      <c r="C97" s="384" t="s">
        <v>132</v>
      </c>
      <c r="D97" s="325">
        <v>9466024671.1200008</v>
      </c>
      <c r="E97" s="332">
        <f t="shared" si="46"/>
        <v>1.7069409505218965E-2</v>
      </c>
      <c r="F97" s="325">
        <v>738.04300000000001</v>
      </c>
      <c r="G97" s="325">
        <v>738.04300000000001</v>
      </c>
      <c r="H97" s="319">
        <v>0.02</v>
      </c>
      <c r="I97" s="319">
        <v>5.3600000000000002E-2</v>
      </c>
      <c r="J97" s="325">
        <v>9773821431.7099991</v>
      </c>
      <c r="K97" s="332">
        <f t="shared" si="47"/>
        <v>1.6873444215255377E-2</v>
      </c>
      <c r="L97" s="325">
        <v>760.43200000000002</v>
      </c>
      <c r="M97" s="325">
        <v>760.43200000000002</v>
      </c>
      <c r="N97" s="319">
        <v>2.1000000000000001E-2</v>
      </c>
      <c r="O97" s="319">
        <v>5.3499999999999999E-2</v>
      </c>
      <c r="P97" s="328">
        <f t="shared" si="48"/>
        <v>3.25159474313498E-2</v>
      </c>
      <c r="Q97" s="328">
        <f t="shared" si="49"/>
        <v>3.0335630850777E-2</v>
      </c>
      <c r="R97" s="328">
        <f t="shared" si="50"/>
        <v>1.0000000000000009E-3</v>
      </c>
      <c r="S97" s="394">
        <f t="shared" si="51"/>
        <v>-1.0000000000000286E-4</v>
      </c>
      <c r="U97" s="174"/>
      <c r="V97" s="131"/>
    </row>
    <row r="98" spans="1:43" s="329" customFormat="1" ht="12.95" customHeight="1">
      <c r="A98" s="401">
        <v>83</v>
      </c>
      <c r="B98" s="383" t="s">
        <v>245</v>
      </c>
      <c r="C98" s="384" t="s">
        <v>171</v>
      </c>
      <c r="D98" s="325">
        <f>4557166.95*738.543</f>
        <v>3365663750.75385</v>
      </c>
      <c r="E98" s="332">
        <f t="shared" si="46"/>
        <v>6.0690622319803569E-3</v>
      </c>
      <c r="F98" s="325">
        <f>102.99*738.543</f>
        <v>76062.543569999994</v>
      </c>
      <c r="G98" s="325">
        <f>102.99*738.543</f>
        <v>76062.543569999994</v>
      </c>
      <c r="H98" s="333">
        <v>4.4000000000000003E-3</v>
      </c>
      <c r="I98" s="333">
        <v>6.9599999999999995E-2</v>
      </c>
      <c r="J98" s="325">
        <f>4639858.51*760.932</f>
        <v>3530616815.7313199</v>
      </c>
      <c r="K98" s="332">
        <f t="shared" si="47"/>
        <v>6.0952275731583697E-3</v>
      </c>
      <c r="L98" s="325">
        <f>103.19*760.932</f>
        <v>78520.573080000002</v>
      </c>
      <c r="M98" s="325">
        <f>103.19*760.932</f>
        <v>78520.573080000002</v>
      </c>
      <c r="N98" s="333">
        <v>2E-3</v>
      </c>
      <c r="O98" s="333">
        <v>7.1599999999999997E-2</v>
      </c>
      <c r="P98" s="328">
        <f t="shared" si="48"/>
        <v>4.9010559935027176E-2</v>
      </c>
      <c r="Q98" s="328">
        <f t="shared" si="49"/>
        <v>3.2315899451060226E-2</v>
      </c>
      <c r="R98" s="328">
        <f t="shared" si="50"/>
        <v>-2.4000000000000002E-3</v>
      </c>
      <c r="S98" s="394">
        <f t="shared" si="51"/>
        <v>2.0000000000000018E-3</v>
      </c>
      <c r="U98" s="331"/>
      <c r="V98" s="330"/>
    </row>
    <row r="99" spans="1:43" s="329" customFormat="1" ht="12.95" customHeight="1">
      <c r="A99" s="404">
        <v>84</v>
      </c>
      <c r="B99" s="383" t="s">
        <v>127</v>
      </c>
      <c r="C99" s="384" t="s">
        <v>90</v>
      </c>
      <c r="D99" s="325">
        <f>1779291.05*738.543</f>
        <v>1314082949.94015</v>
      </c>
      <c r="E99" s="332">
        <f t="shared" si="46"/>
        <v>2.3695923870543458E-3</v>
      </c>
      <c r="F99" s="325">
        <f>128.19*738.543</f>
        <v>94673.827170000004</v>
      </c>
      <c r="G99" s="325">
        <f>132.22*738.543</f>
        <v>97650.155459999994</v>
      </c>
      <c r="H99" s="333">
        <v>4.0000000000000002E-4</v>
      </c>
      <c r="I99" s="333">
        <v>0.155</v>
      </c>
      <c r="J99" s="325">
        <f>1781221.12*760.932</f>
        <v>1355388149.2838402</v>
      </c>
      <c r="K99" s="332">
        <f t="shared" si="47"/>
        <v>2.3399308537354591E-3</v>
      </c>
      <c r="L99" s="325">
        <f>130.57*760.932</f>
        <v>99354.891239999997</v>
      </c>
      <c r="M99" s="325">
        <f>134.65*760.932</f>
        <v>102459.49380000001</v>
      </c>
      <c r="N99" s="333">
        <v>5.0000000000000001E-4</v>
      </c>
      <c r="O99" s="333">
        <v>0.17649999999999999</v>
      </c>
      <c r="P99" s="328">
        <f t="shared" si="48"/>
        <v>3.1432718418248559E-2</v>
      </c>
      <c r="Q99" s="328">
        <f t="shared" si="49"/>
        <v>4.9250698243589019E-2</v>
      </c>
      <c r="R99" s="328">
        <f t="shared" si="50"/>
        <v>9.9999999999999991E-5</v>
      </c>
      <c r="S99" s="394">
        <f t="shared" si="51"/>
        <v>2.1499999999999991E-2</v>
      </c>
      <c r="U99" s="331"/>
      <c r="V99" s="330"/>
    </row>
    <row r="100" spans="1:43" s="329" customFormat="1" ht="12.95" customHeight="1">
      <c r="A100" s="398">
        <v>85</v>
      </c>
      <c r="B100" s="383" t="s">
        <v>247</v>
      </c>
      <c r="C100" s="384" t="s">
        <v>41</v>
      </c>
      <c r="D100" s="325">
        <v>110218283559.72</v>
      </c>
      <c r="E100" s="332">
        <f t="shared" ref="E100" si="52">(D100/$D$113)</f>
        <v>0.19874879713583135</v>
      </c>
      <c r="F100" s="325">
        <v>90069.69</v>
      </c>
      <c r="G100" s="325">
        <v>90069.69</v>
      </c>
      <c r="H100" s="333">
        <v>5.5199999999999999E-2</v>
      </c>
      <c r="I100" s="333">
        <v>5.6800000000000003E-2</v>
      </c>
      <c r="J100" s="325">
        <v>113125834664.67</v>
      </c>
      <c r="K100" s="332">
        <f t="shared" ref="K100" si="53">(J100/$J$113)</f>
        <v>0.19529950223211212</v>
      </c>
      <c r="L100" s="325">
        <v>92646.01</v>
      </c>
      <c r="M100" s="325">
        <v>92646.01</v>
      </c>
      <c r="N100" s="333">
        <v>5.5199999999999999E-2</v>
      </c>
      <c r="O100" s="333">
        <v>5.67E-2</v>
      </c>
      <c r="P100" s="328">
        <f t="shared" ref="P100" si="54">((J100-D100)/D100)</f>
        <v>2.637993453576681E-2</v>
      </c>
      <c r="Q100" s="328">
        <f t="shared" ref="Q100" si="55">((M100-G100)/G100)</f>
        <v>2.8603629034362085E-2</v>
      </c>
      <c r="R100" s="328">
        <f t="shared" ref="R100" si="56">N100-H100</f>
        <v>0</v>
      </c>
      <c r="S100" s="394">
        <f t="shared" ref="S100" si="57">O100-I100</f>
        <v>-1.0000000000000286E-4</v>
      </c>
      <c r="U100" s="331"/>
      <c r="V100" s="330"/>
    </row>
    <row r="101" spans="1:43" s="329" customFormat="1" ht="12.95" customHeight="1">
      <c r="A101" s="403">
        <v>86</v>
      </c>
      <c r="B101" s="383" t="s">
        <v>272</v>
      </c>
      <c r="C101" s="384" t="s">
        <v>98</v>
      </c>
      <c r="D101" s="325">
        <f>199586.3*738.543</f>
        <v>147403064.76089999</v>
      </c>
      <c r="E101" s="332">
        <f t="shared" si="46"/>
        <v>2.658014702205942E-4</v>
      </c>
      <c r="F101" s="325">
        <f>100.65*738.543</f>
        <v>74334.35295</v>
      </c>
      <c r="G101" s="325">
        <f>100.93*738.543</f>
        <v>74541.144990000001</v>
      </c>
      <c r="H101" s="333">
        <v>5.9999999999999995E-4</v>
      </c>
      <c r="I101" s="333">
        <v>7.9000000000000008E-3</v>
      </c>
      <c r="J101" s="325">
        <f>234593.54*760.932</f>
        <v>178509731.57928002</v>
      </c>
      <c r="K101" s="332">
        <f t="shared" si="47"/>
        <v>3.081777193013653E-4</v>
      </c>
      <c r="L101" s="325">
        <f>100.71*760.932</f>
        <v>76633.461719999992</v>
      </c>
      <c r="M101" s="325">
        <f>101*760.932</f>
        <v>76854.131999999998</v>
      </c>
      <c r="N101" s="333">
        <v>5.9999999999999995E-4</v>
      </c>
      <c r="O101" s="333">
        <v>8.5000000000000006E-3</v>
      </c>
      <c r="P101" s="328">
        <f t="shared" si="48"/>
        <v>0.2110313436755038</v>
      </c>
      <c r="Q101" s="328">
        <f t="shared" si="49"/>
        <v>3.1029668383954843E-2</v>
      </c>
      <c r="R101" s="328">
        <f t="shared" si="50"/>
        <v>0</v>
      </c>
      <c r="S101" s="394">
        <f t="shared" si="51"/>
        <v>5.9999999999999984E-4</v>
      </c>
      <c r="U101" s="331"/>
      <c r="V101" s="330"/>
    </row>
    <row r="102" spans="1:43" s="112" customFormat="1" ht="4.5" customHeight="1">
      <c r="A102" s="414"/>
      <c r="B102" s="415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29"/>
      <c r="U102" s="175"/>
      <c r="V102" s="131"/>
    </row>
    <row r="103" spans="1:43" s="112" customFormat="1" ht="12.95" customHeight="1">
      <c r="A103" s="425" t="s">
        <v>195</v>
      </c>
      <c r="B103" s="426"/>
      <c r="C103" s="427"/>
      <c r="D103" s="427"/>
      <c r="E103" s="427"/>
      <c r="F103" s="427"/>
      <c r="G103" s="427"/>
      <c r="H103" s="427"/>
      <c r="I103" s="427"/>
      <c r="J103" s="427"/>
      <c r="K103" s="427"/>
      <c r="L103" s="427"/>
      <c r="M103" s="427"/>
      <c r="N103" s="427"/>
      <c r="O103" s="427"/>
      <c r="P103" s="427"/>
      <c r="Q103" s="427"/>
      <c r="R103" s="427"/>
      <c r="S103" s="428"/>
      <c r="T103" s="176"/>
      <c r="U103" s="175"/>
      <c r="V103" s="131"/>
      <c r="AQ103" s="121">
        <v>185280902</v>
      </c>
    </row>
    <row r="104" spans="1:43" s="112" customFormat="1" ht="12.95" customHeight="1">
      <c r="A104" s="398">
        <v>87</v>
      </c>
      <c r="B104" s="383" t="s">
        <v>147</v>
      </c>
      <c r="C104" s="384" t="s">
        <v>146</v>
      </c>
      <c r="D104" s="324">
        <v>673096089.04999995</v>
      </c>
      <c r="E104" s="332">
        <f>(D104/$D$113)</f>
        <v>1.2137463380386883E-3</v>
      </c>
      <c r="F104" s="325">
        <v>74611.89</v>
      </c>
      <c r="G104" s="325">
        <v>74611.89</v>
      </c>
      <c r="H104" s="333">
        <v>-2.0000000000000001E-4</v>
      </c>
      <c r="I104" s="333">
        <v>4.7600000000000003E-2</v>
      </c>
      <c r="J104" s="324">
        <v>672734839.11000001</v>
      </c>
      <c r="K104" s="332">
        <f t="shared" ref="K104:K112" si="58">(J104/$J$113)</f>
        <v>1.1614038437978078E-3</v>
      </c>
      <c r="L104" s="325">
        <v>74574.039999999994</v>
      </c>
      <c r="M104" s="325">
        <v>74574.039999999994</v>
      </c>
      <c r="N104" s="333">
        <v>-8.0000000000000004E-4</v>
      </c>
      <c r="O104" s="333">
        <v>4.7500000000000001E-2</v>
      </c>
      <c r="P104" s="328">
        <f t="shared" ref="P104:P112" si="59">((J104-D104)/D104)</f>
        <v>-5.3669891398388896E-4</v>
      </c>
      <c r="Q104" s="328">
        <f t="shared" ref="Q104:Q112" si="60">((M104-G104)/G104)</f>
        <v>-5.0729180027480638E-4</v>
      </c>
      <c r="R104" s="328">
        <f t="shared" ref="R104:R112" si="61">N104-H104</f>
        <v>-6.0000000000000006E-4</v>
      </c>
      <c r="S104" s="394">
        <f t="shared" ref="S104:S112" si="62">O104-I104</f>
        <v>-1.0000000000000286E-4</v>
      </c>
      <c r="T104"/>
      <c r="U104" s="388"/>
      <c r="V104" s="131"/>
    </row>
    <row r="105" spans="1:43" s="112" customFormat="1" ht="12.95" customHeight="1">
      <c r="A105" s="398">
        <v>88</v>
      </c>
      <c r="B105" s="384" t="s">
        <v>225</v>
      </c>
      <c r="C105" s="384" t="s">
        <v>80</v>
      </c>
      <c r="D105" s="325">
        <f>6391499.36 *738.543</f>
        <v>4720397111.8324804</v>
      </c>
      <c r="E105" s="332">
        <f>(D105/$J$113)</f>
        <v>8.1492544033948799E-3</v>
      </c>
      <c r="F105" s="324">
        <f>127.71*738.543</f>
        <v>94319.326529999991</v>
      </c>
      <c r="G105" s="324">
        <f>128.61*738.543</f>
        <v>94984.015230000005</v>
      </c>
      <c r="H105" s="333">
        <v>8.9999999999999998E-4</v>
      </c>
      <c r="I105" s="333">
        <v>3.0800000000000001E-2</v>
      </c>
      <c r="J105" s="325">
        <f>6230681.97 *760.932</f>
        <v>4741125292.7960396</v>
      </c>
      <c r="K105" s="332">
        <f t="shared" si="58"/>
        <v>8.1850393630052108E-3</v>
      </c>
      <c r="L105" s="324">
        <f>127.79*760.932</f>
        <v>97239.500280000007</v>
      </c>
      <c r="M105" s="324">
        <f>128.68*760.932</f>
        <v>97916.729760000002</v>
      </c>
      <c r="N105" s="333">
        <v>8.9999999999999998E-4</v>
      </c>
      <c r="O105" s="333">
        <v>3.1399999999999997E-2</v>
      </c>
      <c r="P105" s="328">
        <f t="shared" si="59"/>
        <v>4.3911943153258082E-3</v>
      </c>
      <c r="Q105" s="328">
        <f t="shared" si="60"/>
        <v>3.0875874460545242E-2</v>
      </c>
      <c r="R105" s="328">
        <f t="shared" si="61"/>
        <v>0</v>
      </c>
      <c r="S105" s="394">
        <f t="shared" si="62"/>
        <v>5.9999999999999637E-4</v>
      </c>
      <c r="V105" s="132"/>
    </row>
    <row r="106" spans="1:43" s="112" customFormat="1" ht="12.75" customHeight="1">
      <c r="A106" s="404">
        <v>89</v>
      </c>
      <c r="B106" s="383" t="s">
        <v>141</v>
      </c>
      <c r="C106" s="384" t="s">
        <v>88</v>
      </c>
      <c r="D106" s="324">
        <v>7955322496.5299997</v>
      </c>
      <c r="E106" s="332">
        <f t="shared" ref="E106:E112" si="63">(D106/$D$113)</f>
        <v>1.4345267644784696E-2</v>
      </c>
      <c r="F106" s="324">
        <v>83333.820000000007</v>
      </c>
      <c r="G106" s="324">
        <v>83333.820000000007</v>
      </c>
      <c r="H106" s="333">
        <v>1.1000000000000001E-3</v>
      </c>
      <c r="I106" s="333">
        <v>7.1800000000000003E-2</v>
      </c>
      <c r="J106" s="324">
        <v>8458101147.6000004</v>
      </c>
      <c r="K106" s="332">
        <f t="shared" si="58"/>
        <v>1.4601995634786903E-2</v>
      </c>
      <c r="L106" s="324">
        <v>88342.8</v>
      </c>
      <c r="M106" s="324">
        <v>88342.8</v>
      </c>
      <c r="N106" s="333">
        <v>1.1000000000000001E-3</v>
      </c>
      <c r="O106" s="333">
        <v>7.17E-2</v>
      </c>
      <c r="P106" s="328">
        <f t="shared" si="59"/>
        <v>6.3200285254218877E-2</v>
      </c>
      <c r="Q106" s="328">
        <f t="shared" si="60"/>
        <v>6.0107408972731542E-2</v>
      </c>
      <c r="R106" s="328">
        <f t="shared" si="61"/>
        <v>0</v>
      </c>
      <c r="S106" s="394">
        <f t="shared" si="62"/>
        <v>-1.0000000000000286E-4</v>
      </c>
      <c r="T106" s="177"/>
      <c r="U106" s="389"/>
      <c r="V106" s="178"/>
      <c r="W106" s="185"/>
      <c r="Y106" s="142"/>
    </row>
    <row r="107" spans="1:43" s="112" customFormat="1" ht="12.95" customHeight="1" thickBot="1">
      <c r="A107" s="401">
        <v>90</v>
      </c>
      <c r="B107" s="383" t="s">
        <v>152</v>
      </c>
      <c r="C107" s="384" t="s">
        <v>7</v>
      </c>
      <c r="D107" s="324">
        <v>2793496709.4538999</v>
      </c>
      <c r="E107" s="332">
        <f t="shared" si="63"/>
        <v>5.0373140723611173E-3</v>
      </c>
      <c r="F107" s="324">
        <v>907.47575420768203</v>
      </c>
      <c r="G107" s="324">
        <v>907.47575420768203</v>
      </c>
      <c r="H107" s="333">
        <v>5.13490083735888E-2</v>
      </c>
      <c r="I107" s="333">
        <v>5.9731550524812785E-2</v>
      </c>
      <c r="J107" s="324">
        <v>2827593382.9012799</v>
      </c>
      <c r="K107" s="332">
        <f t="shared" si="58"/>
        <v>4.8815337525009977E-3</v>
      </c>
      <c r="L107" s="324">
        <v>913.06060057854904</v>
      </c>
      <c r="M107" s="324">
        <v>913.06060057854904</v>
      </c>
      <c r="N107" s="333">
        <v>5.1345491787116289E-2</v>
      </c>
      <c r="O107" s="333">
        <v>5.9561244097719464E-2</v>
      </c>
      <c r="P107" s="328">
        <f t="shared" si="59"/>
        <v>1.2205732454234971E-2</v>
      </c>
      <c r="Q107" s="328">
        <f t="shared" si="60"/>
        <v>6.1542651084305249E-3</v>
      </c>
      <c r="R107" s="328">
        <f t="shared" si="61"/>
        <v>-3.5165864725114626E-6</v>
      </c>
      <c r="S107" s="394">
        <f t="shared" si="62"/>
        <v>-1.7030642709332106E-4</v>
      </c>
      <c r="T107" s="166"/>
      <c r="U107" s="183"/>
      <c r="V107" s="178"/>
      <c r="W107" s="185"/>
      <c r="Y107" s="143"/>
    </row>
    <row r="108" spans="1:43" s="112" customFormat="1" ht="12.75" customHeight="1">
      <c r="A108" s="398">
        <v>91</v>
      </c>
      <c r="B108" s="384" t="s">
        <v>190</v>
      </c>
      <c r="C108" s="397" t="s">
        <v>9</v>
      </c>
      <c r="D108" s="325">
        <v>7914360940.9399996</v>
      </c>
      <c r="E108" s="332">
        <f t="shared" si="63"/>
        <v>1.427140458287343E-2</v>
      </c>
      <c r="F108" s="324">
        <f>1.009*738.543</f>
        <v>745.18988699999989</v>
      </c>
      <c r="G108" s="324">
        <f>1.009*738.543</f>
        <v>745.18988699999989</v>
      </c>
      <c r="H108" s="333">
        <v>1.5E-3</v>
      </c>
      <c r="I108" s="333">
        <v>9.2399999999999996E-2</v>
      </c>
      <c r="J108" s="325">
        <v>7951502375.8199997</v>
      </c>
      <c r="K108" s="332">
        <f t="shared" si="58"/>
        <v>1.3727407719008787E-2</v>
      </c>
      <c r="L108" s="324">
        <f>1.0109*760.932</f>
        <v>769.22615879999989</v>
      </c>
      <c r="M108" s="324">
        <f>1.0109*760.932</f>
        <v>769.22615879999989</v>
      </c>
      <c r="N108" s="333">
        <v>1.5E-3</v>
      </c>
      <c r="O108" s="333">
        <v>9.2299999999999993E-2</v>
      </c>
      <c r="P108" s="328">
        <f t="shared" si="59"/>
        <v>4.6929164789379415E-3</v>
      </c>
      <c r="Q108" s="328">
        <f t="shared" si="60"/>
        <v>3.2255230806695061E-2</v>
      </c>
      <c r="R108" s="328">
        <f t="shared" si="61"/>
        <v>0</v>
      </c>
      <c r="S108" s="394">
        <f t="shared" si="62"/>
        <v>-1.0000000000000286E-4</v>
      </c>
      <c r="U108" s="185"/>
      <c r="V108" s="183"/>
      <c r="W108" s="183"/>
    </row>
    <row r="109" spans="1:43" s="112" customFormat="1" ht="12.75" customHeight="1">
      <c r="A109" s="406">
        <v>92</v>
      </c>
      <c r="B109" s="383" t="s">
        <v>160</v>
      </c>
      <c r="C109" s="384" t="s">
        <v>159</v>
      </c>
      <c r="D109" s="324">
        <v>175637274.08000001</v>
      </c>
      <c r="E109" s="332">
        <f t="shared" si="63"/>
        <v>3.1671421317954168E-4</v>
      </c>
      <c r="F109" s="324">
        <v>722.39</v>
      </c>
      <c r="G109" s="324">
        <v>722.39</v>
      </c>
      <c r="H109" s="333">
        <v>-2.7529999999999998E-3</v>
      </c>
      <c r="I109" s="333">
        <v>0.104354</v>
      </c>
      <c r="J109" s="324">
        <v>184186175.25999999</v>
      </c>
      <c r="K109" s="332">
        <f t="shared" si="58"/>
        <v>3.1797748456788809E-4</v>
      </c>
      <c r="L109" s="324">
        <v>756.91</v>
      </c>
      <c r="M109" s="324">
        <v>756.91</v>
      </c>
      <c r="N109" s="333">
        <v>8.4400000000000002E-4</v>
      </c>
      <c r="O109" s="333">
        <v>0.105286</v>
      </c>
      <c r="P109" s="328">
        <f t="shared" si="59"/>
        <v>4.8673615693364085E-2</v>
      </c>
      <c r="Q109" s="328">
        <f t="shared" si="60"/>
        <v>4.77858220628746E-2</v>
      </c>
      <c r="R109" s="328">
        <f t="shared" si="61"/>
        <v>3.5969999999999999E-3</v>
      </c>
      <c r="S109" s="394">
        <f t="shared" si="62"/>
        <v>9.3200000000000227E-4</v>
      </c>
      <c r="U109" s="185"/>
      <c r="V109" s="183"/>
      <c r="W109" s="183"/>
    </row>
    <row r="110" spans="1:43" s="112" customFormat="1" ht="12.75" customHeight="1">
      <c r="A110" s="406">
        <v>93</v>
      </c>
      <c r="B110" s="383" t="s">
        <v>93</v>
      </c>
      <c r="C110" s="384" t="s">
        <v>5</v>
      </c>
      <c r="D110" s="325">
        <v>329475987402.97998</v>
      </c>
      <c r="E110" s="332">
        <f t="shared" si="63"/>
        <v>0.59412063104758572</v>
      </c>
      <c r="F110" s="324">
        <v>1034.3900000000001</v>
      </c>
      <c r="G110" s="324">
        <v>1034.3900000000001</v>
      </c>
      <c r="H110" s="333">
        <v>2E-3</v>
      </c>
      <c r="I110" s="333">
        <v>4.9200000000000001E-2</v>
      </c>
      <c r="J110" s="325">
        <v>346417854999.15997</v>
      </c>
      <c r="K110" s="332">
        <f t="shared" si="58"/>
        <v>0.59805291024987361</v>
      </c>
      <c r="L110" s="324">
        <v>1085.33</v>
      </c>
      <c r="M110" s="324">
        <v>1085.33</v>
      </c>
      <c r="N110" s="333">
        <v>1.4E-3</v>
      </c>
      <c r="O110" s="333">
        <v>5.0599999999999999E-2</v>
      </c>
      <c r="P110" s="328">
        <f t="shared" si="59"/>
        <v>5.142064442911435E-2</v>
      </c>
      <c r="Q110" s="328">
        <f t="shared" si="60"/>
        <v>4.924641576194648E-2</v>
      </c>
      <c r="R110" s="328">
        <f t="shared" si="61"/>
        <v>-6.0000000000000006E-4</v>
      </c>
      <c r="S110" s="394">
        <f t="shared" si="62"/>
        <v>1.3999999999999985E-3</v>
      </c>
      <c r="T110"/>
      <c r="U110" s="292"/>
      <c r="V110" s="291"/>
      <c r="W110" s="291"/>
    </row>
    <row r="111" spans="1:43" s="329" customFormat="1" ht="12.75" customHeight="1">
      <c r="A111" s="398">
        <v>94</v>
      </c>
      <c r="B111" s="383" t="s">
        <v>248</v>
      </c>
      <c r="C111" s="384" t="s">
        <v>41</v>
      </c>
      <c r="D111" s="325">
        <v>11867891184.09</v>
      </c>
      <c r="E111" s="332">
        <f t="shared" si="63"/>
        <v>2.1400524678818696E-2</v>
      </c>
      <c r="F111" s="325">
        <v>778.02</v>
      </c>
      <c r="G111" s="325">
        <v>778.02</v>
      </c>
      <c r="H111" s="333">
        <v>5.0599999999999999E-2</v>
      </c>
      <c r="I111" s="333">
        <v>8.4199999999999997E-2</v>
      </c>
      <c r="J111" s="325">
        <v>13368437385.360001</v>
      </c>
      <c r="K111" s="332">
        <f t="shared" si="58"/>
        <v>2.3079159369043339E-2</v>
      </c>
      <c r="L111" s="325">
        <v>800.21</v>
      </c>
      <c r="M111" s="325">
        <v>800.21</v>
      </c>
      <c r="N111" s="333">
        <v>5.0599999999999999E-2</v>
      </c>
      <c r="O111" s="333">
        <v>8.3199999999999996E-2</v>
      </c>
      <c r="P111" s="328">
        <f t="shared" si="59"/>
        <v>0.12643747553749235</v>
      </c>
      <c r="Q111" s="328">
        <f t="shared" si="60"/>
        <v>2.8521117709056392E-2</v>
      </c>
      <c r="R111" s="328">
        <f t="shared" si="61"/>
        <v>0</v>
      </c>
      <c r="S111" s="394">
        <f t="shared" si="62"/>
        <v>-1.0000000000000009E-3</v>
      </c>
      <c r="T111" s="355"/>
      <c r="U111" s="354"/>
      <c r="V111" s="354"/>
      <c r="W111" s="354"/>
      <c r="X111" s="353"/>
    </row>
    <row r="112" spans="1:43" s="112" customFormat="1" ht="12.95" customHeight="1">
      <c r="A112" s="399">
        <v>95</v>
      </c>
      <c r="B112" s="383" t="s">
        <v>266</v>
      </c>
      <c r="C112" s="384" t="s">
        <v>240</v>
      </c>
      <c r="D112" s="324">
        <v>15863440323.450001</v>
      </c>
      <c r="E112" s="332">
        <f t="shared" si="63"/>
        <v>2.8605414463866292E-2</v>
      </c>
      <c r="F112" s="324">
        <v>762.71</v>
      </c>
      <c r="G112" s="324">
        <v>762.71</v>
      </c>
      <c r="H112" s="333">
        <v>0</v>
      </c>
      <c r="I112" s="333">
        <v>4.9599999999999998E-2</v>
      </c>
      <c r="J112" s="324">
        <v>16657205047.360001</v>
      </c>
      <c r="K112" s="332">
        <f t="shared" si="58"/>
        <v>2.8756860570095872E-2</v>
      </c>
      <c r="L112" s="324">
        <v>762.71</v>
      </c>
      <c r="M112" s="324">
        <v>762.71</v>
      </c>
      <c r="N112" s="333">
        <v>2.0999999999999999E-3</v>
      </c>
      <c r="O112" s="333">
        <v>5.1799999999999999E-2</v>
      </c>
      <c r="P112" s="328">
        <f t="shared" si="59"/>
        <v>5.0037363127128462E-2</v>
      </c>
      <c r="Q112" s="328">
        <f t="shared" si="60"/>
        <v>0</v>
      </c>
      <c r="R112" s="328">
        <f t="shared" si="61"/>
        <v>2.0999999999999999E-3</v>
      </c>
      <c r="S112" s="394">
        <f t="shared" si="62"/>
        <v>2.2000000000000006E-3</v>
      </c>
      <c r="U112" s="183"/>
      <c r="V112" s="183"/>
      <c r="W112" s="183"/>
      <c r="X112" s="185"/>
    </row>
    <row r="113" spans="1:24" s="112" customFormat="1" ht="13.5" customHeight="1">
      <c r="A113" s="213"/>
      <c r="C113" s="285" t="s">
        <v>42</v>
      </c>
      <c r="D113" s="76">
        <f>SUM(D91:D112)</f>
        <v>554560757841.43372</v>
      </c>
      <c r="E113" s="261">
        <f>(D113/$D$170)</f>
        <v>0.29102169123672422</v>
      </c>
      <c r="F113" s="263"/>
      <c r="G113" s="73"/>
      <c r="H113" s="275"/>
      <c r="I113" s="275"/>
      <c r="J113" s="76">
        <f>SUM(J91:J112)</f>
        <v>579242821265.46704</v>
      </c>
      <c r="K113" s="261">
        <f>(J113/$J$170)</f>
        <v>0.30012046415199156</v>
      </c>
      <c r="L113" s="263"/>
      <c r="M113" s="73"/>
      <c r="N113" s="277"/>
      <c r="O113" s="277"/>
      <c r="P113" s="265">
        <f t="shared" ref="P113" si="64">((J113-D113)/D113)</f>
        <v>4.4507410730080361E-2</v>
      </c>
      <c r="Q113" s="265"/>
      <c r="R113" s="265">
        <f t="shared" ref="R113:S113" si="65">N113-H113</f>
        <v>0</v>
      </c>
      <c r="S113" s="394">
        <f t="shared" si="65"/>
        <v>0</v>
      </c>
      <c r="U113" s="183"/>
      <c r="V113" s="183"/>
      <c r="W113" s="183"/>
      <c r="X113" s="183"/>
    </row>
    <row r="114" spans="1:24" s="112" customFormat="1" ht="4.5" customHeight="1">
      <c r="A114" s="414"/>
      <c r="B114" s="415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29"/>
      <c r="T114" s="118"/>
      <c r="U114" s="133"/>
    </row>
    <row r="115" spans="1:24" s="112" customFormat="1" ht="12.95" customHeight="1">
      <c r="A115" s="417" t="s">
        <v>209</v>
      </c>
      <c r="B115" s="418"/>
      <c r="C115" s="419"/>
      <c r="D115" s="419"/>
      <c r="E115" s="419"/>
      <c r="F115" s="419"/>
      <c r="G115" s="419"/>
      <c r="H115" s="419"/>
      <c r="I115" s="419"/>
      <c r="J115" s="419"/>
      <c r="K115" s="419"/>
      <c r="L115" s="419"/>
      <c r="M115" s="419"/>
      <c r="N115" s="419"/>
      <c r="O115" s="419"/>
      <c r="P115" s="419"/>
      <c r="Q115" s="419"/>
      <c r="R115" s="419"/>
      <c r="S115" s="420"/>
    </row>
    <row r="116" spans="1:24" s="112" customFormat="1" ht="12.95" customHeight="1">
      <c r="A116" s="398">
        <v>96</v>
      </c>
      <c r="B116" s="383" t="s">
        <v>222</v>
      </c>
      <c r="C116" s="384" t="s">
        <v>9</v>
      </c>
      <c r="D116" s="325">
        <v>54330953714</v>
      </c>
      <c r="E116" s="332">
        <f>(D116/$D$120)</f>
        <v>0.58506101479582961</v>
      </c>
      <c r="F116" s="326">
        <v>101.48</v>
      </c>
      <c r="G116" s="326">
        <v>101.48</v>
      </c>
      <c r="H116" s="333">
        <v>0</v>
      </c>
      <c r="I116" s="333">
        <v>7.6999999999999999E-2</v>
      </c>
      <c r="J116" s="325">
        <v>54330953714</v>
      </c>
      <c r="K116" s="332">
        <f>(J116/$J$120)</f>
        <v>0.58483098721668847</v>
      </c>
      <c r="L116" s="326">
        <v>101.48</v>
      </c>
      <c r="M116" s="326">
        <v>101.48</v>
      </c>
      <c r="N116" s="333">
        <v>0</v>
      </c>
      <c r="O116" s="333">
        <v>7.6999999999999999E-2</v>
      </c>
      <c r="P116" s="328">
        <f>((J116-D116)/D116)</f>
        <v>0</v>
      </c>
      <c r="Q116" s="328">
        <f>((M116-G116)/G116)</f>
        <v>0</v>
      </c>
      <c r="R116" s="328">
        <f t="shared" ref="R116:S119" si="66">N116-H116</f>
        <v>0</v>
      </c>
      <c r="S116" s="394">
        <f t="shared" si="66"/>
        <v>0</v>
      </c>
    </row>
    <row r="117" spans="1:24" s="112" customFormat="1" ht="12.95" customHeight="1">
      <c r="A117" s="398">
        <v>97</v>
      </c>
      <c r="B117" s="383" t="s">
        <v>139</v>
      </c>
      <c r="C117" s="384" t="s">
        <v>20</v>
      </c>
      <c r="D117" s="325">
        <v>2299214969.5500002</v>
      </c>
      <c r="E117" s="332">
        <f>(D117/$D$120)</f>
        <v>2.4759017675260491E-2</v>
      </c>
      <c r="F117" s="326">
        <v>92.15</v>
      </c>
      <c r="G117" s="326">
        <v>92.15</v>
      </c>
      <c r="H117" s="333">
        <v>0.13250000000000001</v>
      </c>
      <c r="I117" s="333">
        <v>0.1222</v>
      </c>
      <c r="J117" s="325">
        <v>2300853716.8299999</v>
      </c>
      <c r="K117" s="332">
        <f>(J117/$J$120)</f>
        <v>2.4766923064487616E-2</v>
      </c>
      <c r="L117" s="326">
        <v>92.15</v>
      </c>
      <c r="M117" s="326">
        <v>92.15</v>
      </c>
      <c r="N117" s="333">
        <v>3.4799999999999998E-2</v>
      </c>
      <c r="O117" s="333">
        <v>0.12</v>
      </c>
      <c r="P117" s="328">
        <f>((J117-D117)/D117)</f>
        <v>7.1274208880106008E-4</v>
      </c>
      <c r="Q117" s="328">
        <f>((M117-G117)/G117)</f>
        <v>0</v>
      </c>
      <c r="R117" s="328">
        <f t="shared" si="66"/>
        <v>-9.7700000000000009E-2</v>
      </c>
      <c r="S117" s="394">
        <f t="shared" si="66"/>
        <v>-2.2000000000000075E-3</v>
      </c>
      <c r="T117" s="134"/>
      <c r="U117" s="165"/>
    </row>
    <row r="118" spans="1:24" s="112" customFormat="1" ht="12.95" customHeight="1">
      <c r="A118" s="398">
        <v>98</v>
      </c>
      <c r="B118" s="383" t="s">
        <v>21</v>
      </c>
      <c r="C118" s="384" t="s">
        <v>20</v>
      </c>
      <c r="D118" s="325">
        <v>9975213480.9500008</v>
      </c>
      <c r="E118" s="332">
        <f>(D118/$D$120)</f>
        <v>0.10741774482169267</v>
      </c>
      <c r="F118" s="326">
        <v>36.6</v>
      </c>
      <c r="G118" s="326">
        <v>36.6</v>
      </c>
      <c r="H118" s="333">
        <v>9.4999999999999998E-3</v>
      </c>
      <c r="I118" s="333">
        <v>0.15740000000000001</v>
      </c>
      <c r="J118" s="325">
        <v>9995456646.1000004</v>
      </c>
      <c r="K118" s="332">
        <f>(J118/$J$120)</f>
        <v>0.10759341366971008</v>
      </c>
      <c r="L118" s="326">
        <v>36.6</v>
      </c>
      <c r="M118" s="326">
        <v>36.6</v>
      </c>
      <c r="N118" s="333">
        <v>0.1041</v>
      </c>
      <c r="O118" s="333">
        <v>0.16109999999999999</v>
      </c>
      <c r="P118" s="328">
        <f>((J118-D118)/D118)</f>
        <v>2.0293465587136223E-3</v>
      </c>
      <c r="Q118" s="328">
        <f>((M118-G118)/G118)</f>
        <v>0</v>
      </c>
      <c r="R118" s="328">
        <f t="shared" si="66"/>
        <v>9.4600000000000004E-2</v>
      </c>
      <c r="S118" s="394">
        <f t="shared" si="66"/>
        <v>3.6999999999999811E-3</v>
      </c>
      <c r="T118" s="135"/>
      <c r="U118" s="113"/>
    </row>
    <row r="119" spans="1:24" s="136" customFormat="1" ht="12.95" customHeight="1">
      <c r="A119" s="406">
        <v>99</v>
      </c>
      <c r="B119" s="383" t="s">
        <v>181</v>
      </c>
      <c r="C119" s="384" t="s">
        <v>5</v>
      </c>
      <c r="D119" s="325">
        <v>26258357411.380001</v>
      </c>
      <c r="E119" s="332">
        <f>(D119/$D$120)</f>
        <v>0.28276222270721718</v>
      </c>
      <c r="F119" s="326">
        <v>3.35</v>
      </c>
      <c r="G119" s="326">
        <v>3.35</v>
      </c>
      <c r="H119" s="333">
        <v>-8.2199999999999995E-2</v>
      </c>
      <c r="I119" s="333">
        <v>0.1167</v>
      </c>
      <c r="J119" s="325">
        <v>26273000959.59</v>
      </c>
      <c r="K119" s="332">
        <f>(J119/$J$120)</f>
        <v>0.28280867604911381</v>
      </c>
      <c r="L119" s="326">
        <v>3.4</v>
      </c>
      <c r="M119" s="326">
        <v>3.4</v>
      </c>
      <c r="N119" s="333">
        <v>1.49E-2</v>
      </c>
      <c r="O119" s="333">
        <v>0.1333</v>
      </c>
      <c r="P119" s="328">
        <f>((J119-D119)/D119)</f>
        <v>5.5767190538935911E-4</v>
      </c>
      <c r="Q119" s="328">
        <f>((M119-G119)/G119)</f>
        <v>1.4925373134328304E-2</v>
      </c>
      <c r="R119" s="328">
        <f t="shared" si="66"/>
        <v>9.7099999999999992E-2</v>
      </c>
      <c r="S119" s="394">
        <f t="shared" si="66"/>
        <v>1.6600000000000004E-2</v>
      </c>
      <c r="T119" s="135"/>
      <c r="U119" s="160"/>
    </row>
    <row r="120" spans="1:24" s="112" customFormat="1" ht="12.75" customHeight="1">
      <c r="A120" s="213"/>
      <c r="C120" s="243" t="s">
        <v>42</v>
      </c>
      <c r="D120" s="70">
        <f>SUM(D116:D119)</f>
        <v>92863739575.880005</v>
      </c>
      <c r="E120" s="261">
        <f>(D120/$D$170)</f>
        <v>4.8732915489968213E-2</v>
      </c>
      <c r="F120" s="72"/>
      <c r="G120" s="72"/>
      <c r="H120" s="244"/>
      <c r="I120" s="244"/>
      <c r="J120" s="70">
        <f>SUM(J116:J119)</f>
        <v>92900265036.520004</v>
      </c>
      <c r="K120" s="261">
        <f>(J120/$J$170)</f>
        <v>4.81339943094874E-2</v>
      </c>
      <c r="L120" s="263"/>
      <c r="M120" s="72"/>
      <c r="N120" s="264"/>
      <c r="O120" s="264"/>
      <c r="P120" s="265">
        <f>((J120-D120)/D120)</f>
        <v>3.9332317228248196E-4</v>
      </c>
      <c r="Q120" s="265"/>
      <c r="R120" s="265">
        <f>N120-H120</f>
        <v>0</v>
      </c>
      <c r="S120" s="394">
        <f t="shared" ref="S120" si="67">O120-I120</f>
        <v>0</v>
      </c>
      <c r="T120" s="160"/>
      <c r="U120" s="160"/>
      <c r="V120" s="179"/>
      <c r="W120" s="410"/>
    </row>
    <row r="121" spans="1:24" s="112" customFormat="1" ht="5.25" customHeight="1">
      <c r="A121" s="414"/>
      <c r="B121" s="415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29"/>
      <c r="T121" s="160"/>
      <c r="U121" s="160"/>
      <c r="V121" s="179"/>
      <c r="W121" s="410"/>
    </row>
    <row r="122" spans="1:24" s="112" customFormat="1" ht="12" customHeight="1">
      <c r="A122" s="421" t="s">
        <v>219</v>
      </c>
      <c r="B122" s="422"/>
      <c r="C122" s="423"/>
      <c r="D122" s="423"/>
      <c r="E122" s="423"/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3"/>
      <c r="Q122" s="423"/>
      <c r="R122" s="423"/>
      <c r="S122" s="424"/>
      <c r="T122" s="183"/>
      <c r="U122" s="185"/>
      <c r="V122" s="179"/>
      <c r="W122" s="410"/>
    </row>
    <row r="123" spans="1:24" s="112" customFormat="1" ht="12" customHeight="1">
      <c r="A123" s="404">
        <v>100</v>
      </c>
      <c r="B123" s="383" t="s">
        <v>116</v>
      </c>
      <c r="C123" s="384" t="s">
        <v>36</v>
      </c>
      <c r="D123" s="324">
        <v>208020985.75999999</v>
      </c>
      <c r="E123" s="332">
        <f t="shared" ref="E123:E146" si="68">(D123/$D$147)</f>
        <v>5.1453361842034038E-3</v>
      </c>
      <c r="F123" s="324">
        <v>4.6500000000000004</v>
      </c>
      <c r="G123" s="324">
        <v>4.75</v>
      </c>
      <c r="H123" s="314">
        <v>3.8144999999999998E-2</v>
      </c>
      <c r="I123" s="314">
        <v>0.238401</v>
      </c>
      <c r="J123" s="324">
        <v>202694998.53</v>
      </c>
      <c r="K123" s="313">
        <f t="shared" ref="K123:K137" si="69">(J123/$J$147)</f>
        <v>5.0673790919843215E-3</v>
      </c>
      <c r="L123" s="324">
        <v>4.5599999999999996</v>
      </c>
      <c r="M123" s="324">
        <v>4.6500000000000004</v>
      </c>
      <c r="N123" s="314">
        <v>-2.4782999999999999E-2</v>
      </c>
      <c r="O123" s="314">
        <v>0.213618</v>
      </c>
      <c r="P123" s="328">
        <f t="shared" ref="P123:P146" si="70">((J123-D123)/D123)</f>
        <v>-2.560312465851277E-2</v>
      </c>
      <c r="Q123" s="328">
        <f t="shared" ref="Q123:Q146" si="71">((M123-G123)/G123)</f>
        <v>-2.1052631578947295E-2</v>
      </c>
      <c r="R123" s="328">
        <f t="shared" ref="R123:R146" si="72">N123-H123</f>
        <v>-6.2927999999999998E-2</v>
      </c>
      <c r="S123" s="394">
        <f t="shared" ref="S123:S146" si="73">O123-I123</f>
        <v>-2.4782999999999999E-2</v>
      </c>
      <c r="T123" s="412"/>
      <c r="U123" s="166"/>
      <c r="V123" s="183"/>
    </row>
    <row r="124" spans="1:24" s="112" customFormat="1" ht="12" customHeight="1">
      <c r="A124" s="398">
        <v>101</v>
      </c>
      <c r="B124" s="383" t="s">
        <v>154</v>
      </c>
      <c r="C124" s="384" t="s">
        <v>6</v>
      </c>
      <c r="D124" s="324">
        <v>6030381903.1300001</v>
      </c>
      <c r="E124" s="332">
        <f t="shared" si="68"/>
        <v>0.1491596729886594</v>
      </c>
      <c r="F124" s="324">
        <v>643.44039999999995</v>
      </c>
      <c r="G124" s="324">
        <v>662.84059999999999</v>
      </c>
      <c r="H124" s="314">
        <v>0.17219999999999999</v>
      </c>
      <c r="I124" s="314">
        <v>0.32319999999999999</v>
      </c>
      <c r="J124" s="324">
        <v>6002425527.3199997</v>
      </c>
      <c r="K124" s="313">
        <f t="shared" si="69"/>
        <v>0.15006076044758704</v>
      </c>
      <c r="L124" s="324">
        <v>640.96960000000001</v>
      </c>
      <c r="M124" s="324">
        <v>660.29539999999997</v>
      </c>
      <c r="N124" s="314">
        <v>-0.20019999999999999</v>
      </c>
      <c r="O124" s="314">
        <v>0.30780000000000002</v>
      </c>
      <c r="P124" s="328">
        <f t="shared" si="70"/>
        <v>-4.635921283109779E-3</v>
      </c>
      <c r="Q124" s="328">
        <f t="shared" si="71"/>
        <v>-3.8398372097303976E-3</v>
      </c>
      <c r="R124" s="328">
        <f t="shared" si="72"/>
        <v>-0.37239999999999995</v>
      </c>
      <c r="S124" s="394">
        <f t="shared" si="73"/>
        <v>-1.5399999999999969E-2</v>
      </c>
      <c r="T124" s="412"/>
      <c r="W124" s="186"/>
    </row>
    <row r="125" spans="1:24" s="112" customFormat="1" ht="12" customHeight="1">
      <c r="A125" s="408">
        <v>102</v>
      </c>
      <c r="B125" s="383" t="s">
        <v>239</v>
      </c>
      <c r="C125" s="384" t="s">
        <v>12</v>
      </c>
      <c r="D125" s="324">
        <v>3362499867.3800001</v>
      </c>
      <c r="E125" s="332">
        <f t="shared" si="68"/>
        <v>8.3170417512444444E-2</v>
      </c>
      <c r="F125" s="324">
        <v>17.774100000000001</v>
      </c>
      <c r="G125" s="324">
        <v>17.998799999999999</v>
      </c>
      <c r="H125" s="333">
        <v>7.4899999999999994E-2</v>
      </c>
      <c r="I125" s="333">
        <v>0.28360000000000002</v>
      </c>
      <c r="J125" s="324">
        <v>3269943808.6799998</v>
      </c>
      <c r="K125" s="313">
        <f t="shared" si="69"/>
        <v>8.1748661823129065E-2</v>
      </c>
      <c r="L125" s="324">
        <v>18.284800000000001</v>
      </c>
      <c r="M125" s="324">
        <v>18.497299999999999</v>
      </c>
      <c r="N125" s="333">
        <v>-1.7000000000000001E-2</v>
      </c>
      <c r="O125" s="333">
        <v>0.31979999999999997</v>
      </c>
      <c r="P125" s="328">
        <f t="shared" si="70"/>
        <v>-2.7525966498288167E-2</v>
      </c>
      <c r="Q125" s="328">
        <f t="shared" si="71"/>
        <v>2.7696290863835366E-2</v>
      </c>
      <c r="R125" s="328">
        <f t="shared" si="72"/>
        <v>-9.1899999999999996E-2</v>
      </c>
      <c r="S125" s="394">
        <f t="shared" si="73"/>
        <v>3.6199999999999954E-2</v>
      </c>
      <c r="T125" s="185"/>
      <c r="U125" s="113"/>
      <c r="W125" s="186"/>
    </row>
    <row r="126" spans="1:24" s="112" customFormat="1" ht="12" customHeight="1">
      <c r="A126" s="408">
        <v>103</v>
      </c>
      <c r="B126" s="383" t="s">
        <v>142</v>
      </c>
      <c r="C126" s="384" t="s">
        <v>102</v>
      </c>
      <c r="D126" s="325">
        <v>1260693337.28</v>
      </c>
      <c r="E126" s="332">
        <f t="shared" si="68"/>
        <v>3.1182868506232433E-2</v>
      </c>
      <c r="F126" s="324">
        <v>2.9485000000000001</v>
      </c>
      <c r="G126" s="324">
        <v>3.0183</v>
      </c>
      <c r="H126" s="333">
        <v>0.65952684502641012</v>
      </c>
      <c r="I126" s="333">
        <v>0.44133927775029297</v>
      </c>
      <c r="J126" s="325">
        <v>1245885409.1099999</v>
      </c>
      <c r="K126" s="313">
        <f t="shared" si="69"/>
        <v>3.1147160605435126E-2</v>
      </c>
      <c r="L126" s="324">
        <v>2.9137</v>
      </c>
      <c r="M126" s="324">
        <v>2.9843000000000002</v>
      </c>
      <c r="N126" s="333">
        <v>-0.58736942744496334</v>
      </c>
      <c r="O126" s="333">
        <v>0.40893045386330673</v>
      </c>
      <c r="P126" s="328">
        <f t="shared" si="70"/>
        <v>-1.1745860576965384E-2</v>
      </c>
      <c r="Q126" s="328">
        <f t="shared" si="71"/>
        <v>-1.1264619156478748E-2</v>
      </c>
      <c r="R126" s="328">
        <f t="shared" si="72"/>
        <v>-1.2468962724713735</v>
      </c>
      <c r="S126" s="394">
        <f t="shared" si="73"/>
        <v>-3.2408823886986238E-2</v>
      </c>
      <c r="T126" s="185"/>
      <c r="U126" s="113"/>
      <c r="W126" s="186"/>
    </row>
    <row r="127" spans="1:24" s="112" customFormat="1" ht="12" customHeight="1">
      <c r="A127" s="408">
        <v>104</v>
      </c>
      <c r="B127" s="383" t="s">
        <v>261</v>
      </c>
      <c r="C127" s="384" t="s">
        <v>7</v>
      </c>
      <c r="D127" s="325">
        <v>2916013333.4011302</v>
      </c>
      <c r="E127" s="332">
        <f t="shared" si="68"/>
        <v>7.2126708097032227E-2</v>
      </c>
      <c r="F127" s="324">
        <v>5359.7749427755598</v>
      </c>
      <c r="G127" s="324">
        <v>5399.78863918967</v>
      </c>
      <c r="H127" s="333">
        <v>0.56771053799138382</v>
      </c>
      <c r="I127" s="333">
        <v>0.39805303320472113</v>
      </c>
      <c r="J127" s="325">
        <v>2856098748.25137</v>
      </c>
      <c r="K127" s="313">
        <f t="shared" si="69"/>
        <v>7.140252688272182E-2</v>
      </c>
      <c r="L127" s="324">
        <v>5266.6269151173101</v>
      </c>
      <c r="M127" s="324">
        <v>5307.4907533654496</v>
      </c>
      <c r="N127" s="333">
        <v>-0.90619556813104174</v>
      </c>
      <c r="O127" s="333">
        <v>0.35593633479573167</v>
      </c>
      <c r="P127" s="328">
        <f t="shared" si="70"/>
        <v>-2.0546745950533116E-2</v>
      </c>
      <c r="Q127" s="328">
        <f t="shared" si="71"/>
        <v>-1.7092870108721753E-2</v>
      </c>
      <c r="R127" s="328">
        <f t="shared" si="72"/>
        <v>-1.4739061061224255</v>
      </c>
      <c r="S127" s="394">
        <f t="shared" si="73"/>
        <v>-4.2116698408989461E-2</v>
      </c>
      <c r="T127" s="185"/>
      <c r="U127" s="113"/>
      <c r="W127" s="186"/>
    </row>
    <row r="128" spans="1:24" s="112" customFormat="1" ht="12" customHeight="1">
      <c r="A128" s="408">
        <v>105</v>
      </c>
      <c r="B128" s="383" t="s">
        <v>155</v>
      </c>
      <c r="C128" s="384" t="s">
        <v>88</v>
      </c>
      <c r="D128" s="324">
        <v>442825424.91000003</v>
      </c>
      <c r="E128" s="332">
        <f t="shared" si="68"/>
        <v>1.0953152989590325E-2</v>
      </c>
      <c r="F128" s="324">
        <v>160.53</v>
      </c>
      <c r="G128" s="324">
        <v>161.84</v>
      </c>
      <c r="H128" s="333">
        <v>2.9100000000000001E-2</v>
      </c>
      <c r="I128" s="333">
        <v>0.25109999999999999</v>
      </c>
      <c r="J128" s="324">
        <v>429426357.94</v>
      </c>
      <c r="K128" s="313">
        <f t="shared" si="69"/>
        <v>1.073566769557001E-2</v>
      </c>
      <c r="L128" s="324">
        <v>155.85</v>
      </c>
      <c r="M128" s="324">
        <v>156.62</v>
      </c>
      <c r="N128" s="333">
        <v>-3.0700000000000002E-2</v>
      </c>
      <c r="O128" s="333">
        <v>0.21529999999999999</v>
      </c>
      <c r="P128" s="328">
        <f t="shared" si="70"/>
        <v>-3.0258124796522828E-2</v>
      </c>
      <c r="Q128" s="328">
        <f t="shared" si="71"/>
        <v>-3.225407810182896E-2</v>
      </c>
      <c r="R128" s="328">
        <f t="shared" si="72"/>
        <v>-5.9800000000000006E-2</v>
      </c>
      <c r="S128" s="394">
        <f t="shared" si="73"/>
        <v>-3.5799999999999998E-2</v>
      </c>
      <c r="U128" s="113"/>
      <c r="W128" s="186"/>
    </row>
    <row r="129" spans="1:22" s="112" customFormat="1" ht="13.5">
      <c r="A129" s="408">
        <v>106</v>
      </c>
      <c r="B129" s="383" t="s">
        <v>179</v>
      </c>
      <c r="C129" s="384" t="s">
        <v>177</v>
      </c>
      <c r="D129" s="324">
        <v>3734808.11</v>
      </c>
      <c r="E129" s="332">
        <f t="shared" si="68"/>
        <v>9.2379349320122773E-5</v>
      </c>
      <c r="F129" s="324">
        <v>102.747</v>
      </c>
      <c r="G129" s="324">
        <v>102.99</v>
      </c>
      <c r="H129" s="333">
        <v>0</v>
      </c>
      <c r="I129" s="333">
        <v>0</v>
      </c>
      <c r="J129" s="324">
        <v>3734808.11</v>
      </c>
      <c r="K129" s="313">
        <f t="shared" si="69"/>
        <v>9.3370278825041515E-5</v>
      </c>
      <c r="L129" s="324">
        <v>102.747</v>
      </c>
      <c r="M129" s="324">
        <v>102.99</v>
      </c>
      <c r="N129" s="333">
        <v>0</v>
      </c>
      <c r="O129" s="333">
        <v>0</v>
      </c>
      <c r="P129" s="328">
        <f t="shared" si="70"/>
        <v>0</v>
      </c>
      <c r="Q129" s="328">
        <f t="shared" si="71"/>
        <v>0</v>
      </c>
      <c r="R129" s="328">
        <f t="shared" si="72"/>
        <v>0</v>
      </c>
      <c r="S129" s="394">
        <f t="shared" si="73"/>
        <v>0</v>
      </c>
      <c r="U129" s="113"/>
    </row>
    <row r="130" spans="1:22" s="112" customFormat="1" ht="12" customHeight="1">
      <c r="A130" s="408">
        <v>107</v>
      </c>
      <c r="B130" s="383" t="s">
        <v>109</v>
      </c>
      <c r="C130" s="384" t="s">
        <v>107</v>
      </c>
      <c r="D130" s="324">
        <v>166178349.90000001</v>
      </c>
      <c r="E130" s="332">
        <f t="shared" si="68"/>
        <v>4.1103712380162125E-3</v>
      </c>
      <c r="F130" s="324">
        <v>1.1941999999999999</v>
      </c>
      <c r="G130" s="324">
        <v>1.2060999999999999</v>
      </c>
      <c r="H130" s="333">
        <v>-5.7999999999999996E-3</v>
      </c>
      <c r="I130" s="333">
        <v>0.186</v>
      </c>
      <c r="J130" s="324">
        <v>163596341.93000001</v>
      </c>
      <c r="K130" s="313">
        <f t="shared" si="69"/>
        <v>4.0899118805760902E-3</v>
      </c>
      <c r="L130" s="324">
        <v>1.4536</v>
      </c>
      <c r="M130" s="324">
        <v>1.4673</v>
      </c>
      <c r="N130" s="333">
        <v>-1.6899999999999998E-2</v>
      </c>
      <c r="O130" s="333">
        <v>0.21010000000000001</v>
      </c>
      <c r="P130" s="328">
        <f t="shared" si="70"/>
        <v>-1.5537571359649172E-2</v>
      </c>
      <c r="Q130" s="328">
        <f t="shared" si="71"/>
        <v>0.21656579056462988</v>
      </c>
      <c r="R130" s="328">
        <f t="shared" si="72"/>
        <v>-1.1099999999999999E-2</v>
      </c>
      <c r="S130" s="394">
        <f t="shared" si="73"/>
        <v>2.410000000000001E-2</v>
      </c>
      <c r="U130" s="111"/>
    </row>
    <row r="131" spans="1:22" s="329" customFormat="1" ht="12" customHeight="1">
      <c r="A131" s="408">
        <v>108</v>
      </c>
      <c r="B131" s="383" t="s">
        <v>284</v>
      </c>
      <c r="C131" s="384" t="s">
        <v>242</v>
      </c>
      <c r="D131" s="320">
        <v>113252406.45</v>
      </c>
      <c r="E131" s="332">
        <f t="shared" si="68"/>
        <v>2.8012640298109119E-3</v>
      </c>
      <c r="F131" s="324">
        <v>124.0641</v>
      </c>
      <c r="G131" s="324">
        <v>124.3608</v>
      </c>
      <c r="H131" s="333">
        <v>0.15670400000000001</v>
      </c>
      <c r="I131" s="333">
        <v>0.19769999999999999</v>
      </c>
      <c r="J131" s="320">
        <v>112785306.44</v>
      </c>
      <c r="K131" s="313">
        <f t="shared" si="69"/>
        <v>2.8196349583461066E-3</v>
      </c>
      <c r="L131" s="324">
        <v>122.7256</v>
      </c>
      <c r="M131" s="324">
        <v>123.0081</v>
      </c>
      <c r="N131" s="333">
        <v>0.146704</v>
      </c>
      <c r="O131" s="333">
        <v>0.18479999999999999</v>
      </c>
      <c r="P131" s="328">
        <f t="shared" ref="P131" si="74">((J131-D131)/D131)</f>
        <v>-4.1244157598207517E-3</v>
      </c>
      <c r="Q131" s="328">
        <f t="shared" ref="Q131" si="75">((M131-G131)/G131)</f>
        <v>-1.0877221761198052E-2</v>
      </c>
      <c r="R131" s="328">
        <f t="shared" ref="R131" si="76">N131-H131</f>
        <v>-1.0000000000000009E-2</v>
      </c>
      <c r="S131" s="394">
        <f t="shared" ref="S131" si="77">O131-I131</f>
        <v>-1.2899999999999995E-2</v>
      </c>
      <c r="U131" s="111"/>
    </row>
    <row r="132" spans="1:22" s="112" customFormat="1" ht="11.25" customHeight="1">
      <c r="A132" s="408">
        <v>109</v>
      </c>
      <c r="B132" s="383" t="s">
        <v>232</v>
      </c>
      <c r="C132" s="384" t="s">
        <v>98</v>
      </c>
      <c r="D132" s="320">
        <v>180686237.71000001</v>
      </c>
      <c r="E132" s="332">
        <f t="shared" si="68"/>
        <v>4.4692194562978051E-3</v>
      </c>
      <c r="F132" s="324">
        <v>113.55</v>
      </c>
      <c r="G132" s="324">
        <v>115.23</v>
      </c>
      <c r="H132" s="333">
        <v>3.3999999999999998E-3</v>
      </c>
      <c r="I132" s="333">
        <v>0.1002</v>
      </c>
      <c r="J132" s="320">
        <v>180415683.75999999</v>
      </c>
      <c r="K132" s="313">
        <f t="shared" si="69"/>
        <v>4.5103957689225736E-3</v>
      </c>
      <c r="L132" s="324">
        <v>113.42</v>
      </c>
      <c r="M132" s="324">
        <v>115.18</v>
      </c>
      <c r="N132" s="333">
        <v>-8.9999999999999998E-4</v>
      </c>
      <c r="O132" s="333">
        <v>9.9299999999999999E-2</v>
      </c>
      <c r="P132" s="328">
        <f t="shared" si="70"/>
        <v>-1.4973688833692738E-3</v>
      </c>
      <c r="Q132" s="328">
        <f t="shared" si="71"/>
        <v>-4.3391477913735276E-4</v>
      </c>
      <c r="R132" s="328">
        <f t="shared" si="72"/>
        <v>-4.3E-3</v>
      </c>
      <c r="S132" s="394">
        <f t="shared" si="73"/>
        <v>-8.9999999999999802E-4</v>
      </c>
    </row>
    <row r="133" spans="1:22" s="112" customFormat="1" ht="12" customHeight="1">
      <c r="A133" s="408">
        <v>110</v>
      </c>
      <c r="B133" s="383" t="s">
        <v>259</v>
      </c>
      <c r="C133" s="384" t="s">
        <v>167</v>
      </c>
      <c r="D133" s="325">
        <v>536390332.81999999</v>
      </c>
      <c r="E133" s="332">
        <f t="shared" si="68"/>
        <v>1.3267452695853683E-2</v>
      </c>
      <c r="F133" s="324">
        <v>1.2847999999999999</v>
      </c>
      <c r="G133" s="324">
        <v>1.2847999999999999</v>
      </c>
      <c r="H133" s="333">
        <v>0.65470852017936954</v>
      </c>
      <c r="I133" s="333">
        <v>0.37492033537006009</v>
      </c>
      <c r="J133" s="325">
        <v>528682505.04000002</v>
      </c>
      <c r="K133" s="313">
        <f t="shared" si="69"/>
        <v>1.3217073394838007E-2</v>
      </c>
      <c r="L133" s="324">
        <v>1.2639</v>
      </c>
      <c r="M133" s="324">
        <v>1.2639</v>
      </c>
      <c r="N133" s="333">
        <v>-0.80438862879075013</v>
      </c>
      <c r="O133" s="333">
        <v>0.33729674643152491</v>
      </c>
      <c r="P133" s="328">
        <f t="shared" si="70"/>
        <v>-1.4369811140102216E-2</v>
      </c>
      <c r="Q133" s="328">
        <f t="shared" si="71"/>
        <v>-1.626712328767117E-2</v>
      </c>
      <c r="R133" s="328">
        <f t="shared" si="72"/>
        <v>-1.4590971489701197</v>
      </c>
      <c r="S133" s="394">
        <f t="shared" si="73"/>
        <v>-3.762358893853518E-2</v>
      </c>
    </row>
    <row r="134" spans="1:22" s="112" customFormat="1" ht="12" customHeight="1">
      <c r="A134" s="408">
        <v>111</v>
      </c>
      <c r="B134" s="383" t="s">
        <v>189</v>
      </c>
      <c r="C134" s="384" t="s">
        <v>184</v>
      </c>
      <c r="D134" s="324">
        <v>6632477030.1300001</v>
      </c>
      <c r="E134" s="332">
        <f t="shared" si="68"/>
        <v>0.164052313901629</v>
      </c>
      <c r="F134" s="324">
        <v>271.75</v>
      </c>
      <c r="G134" s="324">
        <v>274.23</v>
      </c>
      <c r="H134" s="333">
        <v>1.6799999999999999E-2</v>
      </c>
      <c r="I134" s="333">
        <v>0.36080000000000001</v>
      </c>
      <c r="J134" s="324">
        <v>6557198037.6899996</v>
      </c>
      <c r="K134" s="313">
        <f t="shared" si="69"/>
        <v>0.1639300845071075</v>
      </c>
      <c r="L134" s="324">
        <v>268.54000000000002</v>
      </c>
      <c r="M134" s="324">
        <v>270.95999999999998</v>
      </c>
      <c r="N134" s="333">
        <v>-1.1900000000000001E-2</v>
      </c>
      <c r="O134" s="333">
        <v>0.3448</v>
      </c>
      <c r="P134" s="328">
        <f t="shared" si="70"/>
        <v>-1.1350057014600023E-2</v>
      </c>
      <c r="Q134" s="328">
        <f t="shared" si="71"/>
        <v>-1.1924297122853219E-2</v>
      </c>
      <c r="R134" s="328">
        <f t="shared" si="72"/>
        <v>-2.87E-2</v>
      </c>
      <c r="S134" s="394">
        <f t="shared" si="73"/>
        <v>-1.6000000000000014E-2</v>
      </c>
    </row>
    <row r="135" spans="1:22" s="112" customFormat="1" ht="12" customHeight="1">
      <c r="A135" s="408">
        <v>112</v>
      </c>
      <c r="B135" s="383" t="s">
        <v>180</v>
      </c>
      <c r="C135" s="384" t="s">
        <v>174</v>
      </c>
      <c r="D135" s="324">
        <v>2375635718.1199999</v>
      </c>
      <c r="E135" s="332">
        <f t="shared" si="68"/>
        <v>5.8760631175122993E-2</v>
      </c>
      <c r="F135" s="324">
        <v>1.6532</v>
      </c>
      <c r="G135" s="324">
        <v>1.6801999999999999</v>
      </c>
      <c r="H135" s="333">
        <v>2.2100000000000002E-2</v>
      </c>
      <c r="I135" s="333">
        <v>0.28420000000000001</v>
      </c>
      <c r="J135" s="324">
        <v>2336674013.5799999</v>
      </c>
      <c r="K135" s="313">
        <f t="shared" si="69"/>
        <v>5.841689793567291E-2</v>
      </c>
      <c r="L135" s="324">
        <v>1.6521999999999999</v>
      </c>
      <c r="M135" s="324">
        <v>1.6266</v>
      </c>
      <c r="N135" s="333">
        <v>-1.6400000000000001E-2</v>
      </c>
      <c r="O135" s="333">
        <v>0.2631</v>
      </c>
      <c r="P135" s="328">
        <f t="shared" si="70"/>
        <v>-1.6400538282373096E-2</v>
      </c>
      <c r="Q135" s="328">
        <f t="shared" si="71"/>
        <v>-3.1900964170931953E-2</v>
      </c>
      <c r="R135" s="328">
        <f t="shared" si="72"/>
        <v>-3.8500000000000006E-2</v>
      </c>
      <c r="S135" s="394">
        <f t="shared" si="73"/>
        <v>-2.1100000000000008E-2</v>
      </c>
    </row>
    <row r="136" spans="1:22" s="112" customFormat="1" ht="12" customHeight="1">
      <c r="A136" s="408">
        <v>113</v>
      </c>
      <c r="B136" s="383" t="s">
        <v>251</v>
      </c>
      <c r="C136" s="384" t="s">
        <v>87</v>
      </c>
      <c r="D136" s="324">
        <v>157906198.10688844</v>
      </c>
      <c r="E136" s="332">
        <f t="shared" si="68"/>
        <v>3.9057620646348969E-3</v>
      </c>
      <c r="F136" s="324">
        <v>103.15</v>
      </c>
      <c r="G136" s="324">
        <v>108.08</v>
      </c>
      <c r="H136" s="333">
        <v>1.01E-2</v>
      </c>
      <c r="I136" s="333">
        <v>3.1399999999999997E-2</v>
      </c>
      <c r="J136" s="324">
        <v>158468200.44026017</v>
      </c>
      <c r="K136" s="313">
        <f t="shared" si="69"/>
        <v>3.9617082388764711E-3</v>
      </c>
      <c r="L136" s="324">
        <v>103.52</v>
      </c>
      <c r="M136" s="324">
        <v>108.49</v>
      </c>
      <c r="N136" s="333">
        <v>0.01</v>
      </c>
      <c r="O136" s="333">
        <v>3.1399999999999997E-2</v>
      </c>
      <c r="P136" s="328">
        <f t="shared" si="70"/>
        <v>3.5590897641098488E-3</v>
      </c>
      <c r="Q136" s="328">
        <f t="shared" si="71"/>
        <v>3.7934863064396428E-3</v>
      </c>
      <c r="R136" s="328">
        <f t="shared" si="72"/>
        <v>-9.9999999999999395E-5</v>
      </c>
      <c r="S136" s="394">
        <f t="shared" si="73"/>
        <v>0</v>
      </c>
    </row>
    <row r="137" spans="1:22" s="329" customFormat="1" ht="12" customHeight="1">
      <c r="A137" s="408">
        <v>114</v>
      </c>
      <c r="B137" s="383" t="s">
        <v>267</v>
      </c>
      <c r="C137" s="384" t="s">
        <v>240</v>
      </c>
      <c r="D137" s="325">
        <v>2663677164.0799999</v>
      </c>
      <c r="E137" s="332">
        <f t="shared" si="68"/>
        <v>6.5885249246869684E-2</v>
      </c>
      <c r="F137" s="324">
        <v>3.68</v>
      </c>
      <c r="G137" s="324">
        <v>3.75</v>
      </c>
      <c r="H137" s="333">
        <v>0</v>
      </c>
      <c r="I137" s="333">
        <v>0.17380000000000001</v>
      </c>
      <c r="J137" s="325">
        <v>2613539875.8600001</v>
      </c>
      <c r="K137" s="313">
        <f t="shared" si="69"/>
        <v>6.5338550132208156E-2</v>
      </c>
      <c r="L137" s="324">
        <v>3.61</v>
      </c>
      <c r="M137" s="324">
        <v>3.68</v>
      </c>
      <c r="N137" s="333">
        <v>-3.8999999999999998E-3</v>
      </c>
      <c r="O137" s="333">
        <v>0.16919999999999999</v>
      </c>
      <c r="P137" s="328">
        <f t="shared" ref="P137" si="78">((J137-D137)/D137)</f>
        <v>-1.8822584394275334E-2</v>
      </c>
      <c r="Q137" s="328">
        <f t="shared" ref="Q137" si="79">((M137-G137)/G137)</f>
        <v>-1.8666666666666623E-2</v>
      </c>
      <c r="R137" s="328">
        <f t="shared" ref="R137" si="80">N137-H137</f>
        <v>-3.8999999999999998E-3</v>
      </c>
      <c r="S137" s="394">
        <f t="shared" ref="S137" si="81">O137-I137</f>
        <v>-4.6000000000000207E-3</v>
      </c>
    </row>
    <row r="138" spans="1:22" s="112" customFormat="1" ht="12" customHeight="1">
      <c r="A138" s="408">
        <v>115</v>
      </c>
      <c r="B138" s="383" t="s">
        <v>129</v>
      </c>
      <c r="C138" s="384" t="s">
        <v>103</v>
      </c>
      <c r="D138" s="325">
        <v>187497688.61000001</v>
      </c>
      <c r="E138" s="332">
        <f t="shared" si="68"/>
        <v>4.6376986347549717E-3</v>
      </c>
      <c r="F138" s="324">
        <v>173.65465800000001</v>
      </c>
      <c r="G138" s="324">
        <v>179.137585</v>
      </c>
      <c r="H138" s="333">
        <v>-1.6000000000000001E-3</v>
      </c>
      <c r="I138" s="333">
        <v>0.18959999999999999</v>
      </c>
      <c r="J138" s="325">
        <v>155914257.34999999</v>
      </c>
      <c r="K138" s="313">
        <v>1.4052378000000001</v>
      </c>
      <c r="L138" s="324">
        <v>170.82027500000001</v>
      </c>
      <c r="M138" s="324">
        <v>176.68709100000001</v>
      </c>
      <c r="N138" s="333">
        <v>-6.9999999999999999E-4</v>
      </c>
      <c r="O138" s="333">
        <v>0.1734</v>
      </c>
      <c r="P138" s="328">
        <f t="shared" si="70"/>
        <v>-0.16844704323632684</v>
      </c>
      <c r="Q138" s="328">
        <f t="shared" si="71"/>
        <v>-1.3679396202644977E-2</v>
      </c>
      <c r="R138" s="328">
        <f t="shared" si="72"/>
        <v>9.0000000000000008E-4</v>
      </c>
      <c r="S138" s="394">
        <f t="shared" si="73"/>
        <v>-1.6199999999999992E-2</v>
      </c>
    </row>
    <row r="139" spans="1:22" s="112" customFormat="1" ht="12" customHeight="1">
      <c r="A139" s="408">
        <v>116</v>
      </c>
      <c r="B139" s="383" t="s">
        <v>27</v>
      </c>
      <c r="C139" s="384" t="s">
        <v>56</v>
      </c>
      <c r="D139" s="325">
        <v>1528243247.1800001</v>
      </c>
      <c r="E139" s="332">
        <f t="shared" si="68"/>
        <v>3.7800634629488357E-2</v>
      </c>
      <c r="F139" s="324">
        <v>552.20000000000005</v>
      </c>
      <c r="G139" s="324">
        <v>552.20000000000005</v>
      </c>
      <c r="H139" s="333">
        <v>2.4E-2</v>
      </c>
      <c r="I139" s="333">
        <v>0.32779999999999998</v>
      </c>
      <c r="J139" s="325">
        <v>1573900648.1700001</v>
      </c>
      <c r="K139" s="313">
        <f t="shared" ref="K139:K146" si="82">(J139/$J$147)</f>
        <v>3.9347548263342101E-2</v>
      </c>
      <c r="L139" s="324">
        <v>552.20000000000005</v>
      </c>
      <c r="M139" s="324">
        <v>552.20000000000005</v>
      </c>
      <c r="N139" s="333">
        <v>2.9600000000000001E-2</v>
      </c>
      <c r="O139" s="333">
        <v>0.36749999999999999</v>
      </c>
      <c r="P139" s="328">
        <f t="shared" si="70"/>
        <v>2.9875742015709607E-2</v>
      </c>
      <c r="Q139" s="328">
        <f t="shared" si="71"/>
        <v>0</v>
      </c>
      <c r="R139" s="328">
        <f t="shared" si="72"/>
        <v>5.6000000000000008E-3</v>
      </c>
      <c r="S139" s="394">
        <f t="shared" si="73"/>
        <v>3.9700000000000013E-2</v>
      </c>
      <c r="T139" s="223"/>
      <c r="U139" s="223"/>
      <c r="V139" s="111"/>
    </row>
    <row r="140" spans="1:22" s="112" customFormat="1" ht="12" customHeight="1">
      <c r="A140" s="408">
        <v>117</v>
      </c>
      <c r="B140" s="383" t="s">
        <v>186</v>
      </c>
      <c r="C140" s="384" t="s">
        <v>159</v>
      </c>
      <c r="D140" s="325">
        <v>25618811.960000001</v>
      </c>
      <c r="E140" s="332">
        <f t="shared" si="68"/>
        <v>6.3367356756097951E-4</v>
      </c>
      <c r="F140" s="324">
        <v>1.6</v>
      </c>
      <c r="G140" s="324">
        <v>1.6</v>
      </c>
      <c r="H140" s="333">
        <v>1.5011E-2</v>
      </c>
      <c r="I140" s="333">
        <v>0.32259300000000002</v>
      </c>
      <c r="J140" s="325">
        <v>24884134.879999999</v>
      </c>
      <c r="K140" s="313">
        <f t="shared" si="82"/>
        <v>6.2210387886984131E-4</v>
      </c>
      <c r="L140" s="324">
        <v>1.55</v>
      </c>
      <c r="M140" s="324">
        <v>1.55</v>
      </c>
      <c r="N140" s="333">
        <v>-2.8677000000000001E-2</v>
      </c>
      <c r="O140" s="333">
        <v>0.284665</v>
      </c>
      <c r="P140" s="328">
        <f t="shared" si="70"/>
        <v>-2.8677250184243202E-2</v>
      </c>
      <c r="Q140" s="328">
        <f t="shared" si="71"/>
        <v>-3.1250000000000028E-2</v>
      </c>
      <c r="R140" s="328">
        <f t="shared" si="72"/>
        <v>-4.3688000000000005E-2</v>
      </c>
      <c r="S140" s="394">
        <f t="shared" si="73"/>
        <v>-3.7928000000000017E-2</v>
      </c>
      <c r="U140" s="218"/>
      <c r="V140" s="111"/>
    </row>
    <row r="141" spans="1:22" s="112" customFormat="1" ht="12" customHeight="1">
      <c r="A141" s="408">
        <v>118</v>
      </c>
      <c r="B141" s="383" t="s">
        <v>48</v>
      </c>
      <c r="C141" s="384" t="s">
        <v>90</v>
      </c>
      <c r="D141" s="324">
        <v>202421405.49000001</v>
      </c>
      <c r="E141" s="332">
        <f t="shared" si="68"/>
        <v>5.006832259350248E-3</v>
      </c>
      <c r="F141" s="324">
        <v>2.0499999999999998</v>
      </c>
      <c r="G141" s="324">
        <v>2.12</v>
      </c>
      <c r="H141" s="333">
        <v>8.9999999999999998E-4</v>
      </c>
      <c r="I141" s="333">
        <v>0.3135</v>
      </c>
      <c r="J141" s="324">
        <v>188827875.84999999</v>
      </c>
      <c r="K141" s="313">
        <f t="shared" si="82"/>
        <v>4.72070074252217E-3</v>
      </c>
      <c r="L141" s="324">
        <v>1.92</v>
      </c>
      <c r="M141" s="324">
        <v>1.98</v>
      </c>
      <c r="N141" s="333">
        <v>5.9999999999999995E-4</v>
      </c>
      <c r="O141" s="333">
        <v>0.2266</v>
      </c>
      <c r="P141" s="328">
        <f t="shared" si="70"/>
        <v>-6.7154605547245644E-2</v>
      </c>
      <c r="Q141" s="328">
        <f t="shared" si="71"/>
        <v>-6.6037735849056658E-2</v>
      </c>
      <c r="R141" s="328">
        <f t="shared" si="72"/>
        <v>-3.0000000000000003E-4</v>
      </c>
      <c r="S141" s="394">
        <f t="shared" si="73"/>
        <v>-8.6900000000000005E-2</v>
      </c>
    </row>
    <row r="142" spans="1:22" s="112" customFormat="1" ht="12" customHeight="1">
      <c r="A142" s="408">
        <v>119</v>
      </c>
      <c r="B142" s="383" t="s">
        <v>22</v>
      </c>
      <c r="C142" s="384" t="s">
        <v>5</v>
      </c>
      <c r="D142" s="325">
        <v>2131974676.52</v>
      </c>
      <c r="E142" s="332">
        <f t="shared" si="68"/>
        <v>5.2733748986074906E-2</v>
      </c>
      <c r="F142" s="324">
        <v>4815.17</v>
      </c>
      <c r="G142" s="324">
        <v>4855.76</v>
      </c>
      <c r="H142" s="333">
        <v>2.76E-2</v>
      </c>
      <c r="I142" s="333">
        <v>0.32050000000000001</v>
      </c>
      <c r="J142" s="325">
        <v>2088321719.49</v>
      </c>
      <c r="K142" s="332">
        <f t="shared" si="82"/>
        <v>5.220808552468615E-2</v>
      </c>
      <c r="L142" s="324">
        <v>4688.72</v>
      </c>
      <c r="M142" s="324">
        <v>4726.87</v>
      </c>
      <c r="N142" s="333">
        <v>-2.6499999999999999E-2</v>
      </c>
      <c r="O142" s="333">
        <v>0.28549999999999998</v>
      </c>
      <c r="P142" s="328">
        <f t="shared" si="70"/>
        <v>-2.0475363760536894E-2</v>
      </c>
      <c r="Q142" s="328">
        <f t="shared" si="71"/>
        <v>-2.6543733627691714E-2</v>
      </c>
      <c r="R142" s="328">
        <f t="shared" si="72"/>
        <v>-5.4099999999999995E-2</v>
      </c>
      <c r="S142" s="394">
        <f t="shared" si="73"/>
        <v>-3.5000000000000031E-2</v>
      </c>
      <c r="T142" s="111"/>
      <c r="V142" s="139"/>
    </row>
    <row r="143" spans="1:22" s="112" customFormat="1" ht="12" customHeight="1">
      <c r="A143" s="408">
        <v>120</v>
      </c>
      <c r="B143" s="383" t="s">
        <v>74</v>
      </c>
      <c r="C143" s="384" t="s">
        <v>41</v>
      </c>
      <c r="D143" s="324">
        <v>1576699720.26</v>
      </c>
      <c r="E143" s="332">
        <f t="shared" si="68"/>
        <v>3.8999190839509666E-2</v>
      </c>
      <c r="F143" s="324">
        <v>1.7536</v>
      </c>
      <c r="G143" s="324">
        <v>1.7653000000000001</v>
      </c>
      <c r="H143" s="333">
        <v>8.6E-3</v>
      </c>
      <c r="I143" s="333">
        <v>0.35210000000000002</v>
      </c>
      <c r="J143" s="324">
        <v>1561261931.1700001</v>
      </c>
      <c r="K143" s="313">
        <f t="shared" si="82"/>
        <v>3.9031580080901587E-2</v>
      </c>
      <c r="L143" s="324">
        <v>1.7354000000000001</v>
      </c>
      <c r="M143" s="324">
        <v>1.7467999999999999</v>
      </c>
      <c r="N143" s="333">
        <v>-1.04E-2</v>
      </c>
      <c r="O143" s="333">
        <v>0.33889999999999998</v>
      </c>
      <c r="P143" s="328">
        <f t="shared" si="70"/>
        <v>-9.7912043058231788E-3</v>
      </c>
      <c r="Q143" s="328">
        <f t="shared" si="71"/>
        <v>-1.0479805132272238E-2</v>
      </c>
      <c r="R143" s="328">
        <f t="shared" si="72"/>
        <v>-1.9E-2</v>
      </c>
      <c r="S143" s="394">
        <f t="shared" si="73"/>
        <v>-1.3200000000000045E-2</v>
      </c>
      <c r="T143" s="111"/>
      <c r="V143" s="139"/>
    </row>
    <row r="144" spans="1:22" s="112" customFormat="1" ht="12" customHeight="1">
      <c r="A144" s="408">
        <v>121</v>
      </c>
      <c r="B144" s="383" t="s">
        <v>238</v>
      </c>
      <c r="C144" s="384" t="s">
        <v>41</v>
      </c>
      <c r="D144" s="324">
        <v>831163622.34000003</v>
      </c>
      <c r="E144" s="332">
        <f t="shared" si="68"/>
        <v>2.0558580882573233E-2</v>
      </c>
      <c r="F144" s="324">
        <v>1.3596999999999999</v>
      </c>
      <c r="G144" s="324">
        <v>1.3715999999999999</v>
      </c>
      <c r="H144" s="333">
        <v>6.7000000000000002E-3</v>
      </c>
      <c r="I144" s="333">
        <v>0.26479999999999998</v>
      </c>
      <c r="J144" s="324">
        <v>826804083.75999999</v>
      </c>
      <c r="K144" s="313">
        <f t="shared" si="82"/>
        <v>2.0670118935335123E-2</v>
      </c>
      <c r="L144" s="324">
        <v>1.3539000000000001</v>
      </c>
      <c r="M144" s="324">
        <v>1.3656999999999999</v>
      </c>
      <c r="N144" s="333">
        <v>-4.3E-3</v>
      </c>
      <c r="O144" s="333">
        <v>0.25979999999999998</v>
      </c>
      <c r="P144" s="328">
        <f t="shared" si="70"/>
        <v>-5.2451027244509356E-3</v>
      </c>
      <c r="Q144" s="328">
        <f t="shared" si="71"/>
        <v>-4.3015456401283292E-3</v>
      </c>
      <c r="R144" s="328">
        <f t="shared" si="72"/>
        <v>-1.0999999999999999E-2</v>
      </c>
      <c r="S144" s="394">
        <f t="shared" si="73"/>
        <v>-5.0000000000000044E-3</v>
      </c>
      <c r="T144" s="111"/>
      <c r="U144" s="140"/>
      <c r="V144" s="139"/>
    </row>
    <row r="145" spans="1:25" s="311" customFormat="1" ht="12" customHeight="1">
      <c r="A145" s="408">
        <v>122</v>
      </c>
      <c r="B145" s="383" t="s">
        <v>157</v>
      </c>
      <c r="C145" s="384" t="s">
        <v>106</v>
      </c>
      <c r="D145" s="324">
        <v>6632673756.3100004</v>
      </c>
      <c r="E145" s="332">
        <f t="shared" si="68"/>
        <v>0.16405717986420792</v>
      </c>
      <c r="F145" s="324">
        <v>294.14</v>
      </c>
      <c r="G145" s="324">
        <v>297.52999999999997</v>
      </c>
      <c r="H145" s="333">
        <v>7.0000000000000001E-3</v>
      </c>
      <c r="I145" s="333">
        <v>7.0000000000000001E-3</v>
      </c>
      <c r="J145" s="324">
        <v>6659515846.54</v>
      </c>
      <c r="K145" s="313">
        <f t="shared" si="82"/>
        <v>0.16648803181248908</v>
      </c>
      <c r="L145" s="324">
        <v>295.38</v>
      </c>
      <c r="M145" s="324">
        <v>298.70999999999998</v>
      </c>
      <c r="N145" s="333">
        <v>4.0000000000000001E-3</v>
      </c>
      <c r="O145" s="333">
        <v>0.56659999999999999</v>
      </c>
      <c r="P145" s="328">
        <f t="shared" si="70"/>
        <v>4.0469486689984251E-3</v>
      </c>
      <c r="Q145" s="328">
        <f t="shared" si="71"/>
        <v>3.9659866231976839E-3</v>
      </c>
      <c r="R145" s="328">
        <f t="shared" si="72"/>
        <v>-3.0000000000000001E-3</v>
      </c>
      <c r="S145" s="394">
        <f t="shared" si="73"/>
        <v>0.55959999999999999</v>
      </c>
      <c r="T145" s="111"/>
      <c r="U145" s="312"/>
      <c r="V145" s="139"/>
    </row>
    <row r="146" spans="1:25" s="112" customFormat="1" ht="12" customHeight="1">
      <c r="A146" s="408">
        <v>123</v>
      </c>
      <c r="B146" s="383" t="s">
        <v>231</v>
      </c>
      <c r="C146" s="384" t="s">
        <v>9</v>
      </c>
      <c r="D146" s="325">
        <v>262370739.15000001</v>
      </c>
      <c r="E146" s="332">
        <f t="shared" si="68"/>
        <v>6.4896609007622248E-3</v>
      </c>
      <c r="F146" s="324">
        <v>189.41</v>
      </c>
      <c r="G146" s="324">
        <v>192.53</v>
      </c>
      <c r="H146" s="333">
        <v>1.3599999999999999E-2</v>
      </c>
      <c r="I146" s="333">
        <v>0.34189999999999998</v>
      </c>
      <c r="J146" s="325">
        <v>258967289.41999999</v>
      </c>
      <c r="K146" s="313">
        <f t="shared" si="82"/>
        <v>6.4741875104556909E-3</v>
      </c>
      <c r="L146" s="324">
        <v>186.6</v>
      </c>
      <c r="M146" s="324">
        <v>189.66</v>
      </c>
      <c r="N146" s="333">
        <v>1.6000000000000001E-3</v>
      </c>
      <c r="O146" s="333">
        <v>0.3236</v>
      </c>
      <c r="P146" s="328">
        <f t="shared" si="70"/>
        <v>-1.297191043874078E-2</v>
      </c>
      <c r="Q146" s="328">
        <f t="shared" si="71"/>
        <v>-1.4906767776450447E-2</v>
      </c>
      <c r="R146" s="328">
        <f t="shared" si="72"/>
        <v>-1.1999999999999999E-2</v>
      </c>
      <c r="S146" s="394">
        <f t="shared" si="73"/>
        <v>-1.8299999999999983E-2</v>
      </c>
      <c r="T146" s="111"/>
      <c r="U146" s="140"/>
      <c r="V146" s="139"/>
    </row>
    <row r="147" spans="1:25" s="112" customFormat="1" ht="12" customHeight="1">
      <c r="A147" s="289"/>
      <c r="C147" s="243" t="s">
        <v>42</v>
      </c>
      <c r="D147" s="215">
        <f>SUM(D123:D146)</f>
        <v>40429036765.108017</v>
      </c>
      <c r="E147" s="261">
        <f>(D147/$D$170)</f>
        <v>2.1216298643723409E-2</v>
      </c>
      <c r="F147" s="263"/>
      <c r="G147" s="182"/>
      <c r="H147" s="276"/>
      <c r="I147" s="276"/>
      <c r="J147" s="215">
        <f>SUM(J123:J146)</f>
        <v>39999967409.311623</v>
      </c>
      <c r="K147" s="261">
        <f>(J147/$J$170)</f>
        <v>2.0725002268859084E-2</v>
      </c>
      <c r="L147" s="263"/>
      <c r="M147" s="182"/>
      <c r="N147" s="276"/>
      <c r="O147" s="276"/>
      <c r="P147" s="265">
        <f t="shared" ref="P147" si="83">((J147-D147)/D147)</f>
        <v>-1.0612900779439284E-2</v>
      </c>
      <c r="Q147" s="265"/>
      <c r="R147" s="265">
        <f t="shared" ref="R147:S147" si="84">N147-H147</f>
        <v>0</v>
      </c>
      <c r="S147" s="394">
        <f t="shared" si="84"/>
        <v>0</v>
      </c>
      <c r="T147" s="111"/>
      <c r="U147" s="140"/>
      <c r="V147" s="139"/>
    </row>
    <row r="148" spans="1:25" s="112" customFormat="1" ht="5.25" customHeight="1">
      <c r="A148" s="414"/>
      <c r="B148" s="415"/>
      <c r="C148" s="416"/>
      <c r="D148" s="416"/>
      <c r="E148" s="416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29"/>
      <c r="T148" s="111"/>
      <c r="U148" s="140"/>
      <c r="V148" s="139"/>
    </row>
    <row r="149" spans="1:25" s="112" customFormat="1" ht="12" customHeight="1">
      <c r="A149" s="421" t="s">
        <v>66</v>
      </c>
      <c r="B149" s="422"/>
      <c r="C149" s="423"/>
      <c r="D149" s="423"/>
      <c r="E149" s="423"/>
      <c r="F149" s="423"/>
      <c r="G149" s="423"/>
      <c r="H149" s="423"/>
      <c r="I149" s="423"/>
      <c r="J149" s="423"/>
      <c r="K149" s="423"/>
      <c r="L149" s="423"/>
      <c r="M149" s="423"/>
      <c r="N149" s="423"/>
      <c r="O149" s="423"/>
      <c r="P149" s="423"/>
      <c r="Q149" s="423"/>
      <c r="R149" s="423"/>
      <c r="S149" s="424"/>
      <c r="U149" s="141"/>
      <c r="V149" s="139"/>
    </row>
    <row r="150" spans="1:25" s="112" customFormat="1" ht="12" customHeight="1">
      <c r="A150" s="398">
        <v>124</v>
      </c>
      <c r="B150" s="383" t="s">
        <v>26</v>
      </c>
      <c r="C150" s="384" t="s">
        <v>6</v>
      </c>
      <c r="D150" s="321">
        <v>669978595.96000004</v>
      </c>
      <c r="E150" s="332">
        <f>(D150/$D$153)</f>
        <v>0.16797003971630264</v>
      </c>
      <c r="F150" s="321">
        <v>50.930999999999997</v>
      </c>
      <c r="G150" s="321">
        <v>52.4666</v>
      </c>
      <c r="H150" s="314">
        <v>0.16539999999999999</v>
      </c>
      <c r="I150" s="314">
        <v>0.17119999999999999</v>
      </c>
      <c r="J150" s="321">
        <v>666981731.60000002</v>
      </c>
      <c r="K150" s="313">
        <f>(J150/$J$153)</f>
        <v>0.17158506138222121</v>
      </c>
      <c r="L150" s="321">
        <v>50.8446</v>
      </c>
      <c r="M150" s="321">
        <v>52.377600000000001</v>
      </c>
      <c r="N150" s="314">
        <v>-8.8499999999999995E-2</v>
      </c>
      <c r="O150" s="314">
        <v>0.16389999999999999</v>
      </c>
      <c r="P150" s="328">
        <f>((J150-D150)/D150)</f>
        <v>-4.4730747789126944E-3</v>
      </c>
      <c r="Q150" s="328">
        <f>((M150-G150)/G150)</f>
        <v>-1.696317276133743E-3</v>
      </c>
      <c r="R150" s="328">
        <f t="shared" ref="R150:S152" si="85">N150-H150</f>
        <v>-0.25390000000000001</v>
      </c>
      <c r="S150" s="394">
        <f t="shared" si="85"/>
        <v>-7.3000000000000009E-3</v>
      </c>
      <c r="U150" s="113"/>
      <c r="V150" s="139"/>
    </row>
    <row r="151" spans="1:25" s="112" customFormat="1" ht="11.25" customHeight="1">
      <c r="A151" s="399">
        <v>124</v>
      </c>
      <c r="B151" s="383" t="s">
        <v>282</v>
      </c>
      <c r="C151" s="384" t="s">
        <v>283</v>
      </c>
      <c r="D151" s="320">
        <v>806257084.20000005</v>
      </c>
      <c r="E151" s="332">
        <f>(D151/$D$153)</f>
        <v>0.20213635968560081</v>
      </c>
      <c r="F151" s="321">
        <v>20.790199999999999</v>
      </c>
      <c r="G151" s="321">
        <v>21.040099999999999</v>
      </c>
      <c r="H151" s="333">
        <v>8.4400000000000003E-2</v>
      </c>
      <c r="I151" s="333">
        <v>0.31659999999999999</v>
      </c>
      <c r="J151" s="320">
        <v>786368154.72000003</v>
      </c>
      <c r="K151" s="313">
        <f t="shared" ref="K151:K152" si="86">(J151/$J$153)</f>
        <v>0.20229793666608908</v>
      </c>
      <c r="L151" s="321">
        <v>21.550799999999999</v>
      </c>
      <c r="M151" s="321">
        <v>21.785900000000002</v>
      </c>
      <c r="N151" s="333">
        <v>-1.8499999999999999E-2</v>
      </c>
      <c r="O151" s="333">
        <v>0.36399999999999999</v>
      </c>
      <c r="P151" s="328">
        <f>((J151-D151)/D151)</f>
        <v>-2.4668222915194098E-2</v>
      </c>
      <c r="Q151" s="109">
        <f>((M151-G151)/G151)</f>
        <v>3.5446599588405125E-2</v>
      </c>
      <c r="R151" s="328">
        <f t="shared" si="85"/>
        <v>-0.10290000000000001</v>
      </c>
      <c r="S151" s="394">
        <f t="shared" si="85"/>
        <v>4.7399999999999998E-2</v>
      </c>
    </row>
    <row r="152" spans="1:25" s="112" customFormat="1" ht="12" customHeight="1">
      <c r="A152" s="406">
        <v>126</v>
      </c>
      <c r="B152" s="383" t="s">
        <v>25</v>
      </c>
      <c r="C152" s="384" t="s">
        <v>5</v>
      </c>
      <c r="D152" s="320">
        <v>2512443474.1199999</v>
      </c>
      <c r="E152" s="332">
        <f>(D152/$D$153)</f>
        <v>0.62989360059809663</v>
      </c>
      <c r="F152" s="321">
        <v>2</v>
      </c>
      <c r="G152" s="321">
        <v>2.0299999999999998</v>
      </c>
      <c r="H152" s="333">
        <v>3.0499999999999999E-2</v>
      </c>
      <c r="I152" s="333">
        <v>0.40970000000000001</v>
      </c>
      <c r="J152" s="320">
        <v>2433828439.27</v>
      </c>
      <c r="K152" s="313">
        <f t="shared" si="86"/>
        <v>0.62611700195168973</v>
      </c>
      <c r="L152" s="321">
        <v>1.94</v>
      </c>
      <c r="M152" s="321">
        <v>1.96</v>
      </c>
      <c r="N152" s="333">
        <v>-3.4500000000000003E-2</v>
      </c>
      <c r="O152" s="333">
        <v>0.36109999999999998</v>
      </c>
      <c r="P152" s="328">
        <f>((J152-D152)/D152)</f>
        <v>-3.1290270073652239E-2</v>
      </c>
      <c r="Q152" s="328">
        <f>((M152-G152)/G152)</f>
        <v>-3.4482758620689578E-2</v>
      </c>
      <c r="R152" s="328">
        <f t="shared" si="85"/>
        <v>-6.5000000000000002E-2</v>
      </c>
      <c r="S152" s="394">
        <f t="shared" si="85"/>
        <v>-4.8600000000000032E-2</v>
      </c>
      <c r="W152" s="180"/>
      <c r="X152" s="181"/>
      <c r="Y152" s="110"/>
    </row>
    <row r="153" spans="1:25" s="112" customFormat="1" ht="12.75" customHeight="1">
      <c r="A153" s="213"/>
      <c r="C153" s="285" t="s">
        <v>42</v>
      </c>
      <c r="D153" s="215">
        <f>SUM(D150:D152)</f>
        <v>3988679154.2799997</v>
      </c>
      <c r="E153" s="261">
        <f>(D153/$D$170)</f>
        <v>2.0931739883606028E-3</v>
      </c>
      <c r="F153" s="11"/>
      <c r="G153" s="11"/>
      <c r="H153" s="275"/>
      <c r="I153" s="275"/>
      <c r="J153" s="215">
        <f>SUM(J150:J152)</f>
        <v>3887178325.5900002</v>
      </c>
      <c r="K153" s="261">
        <f>(J153/$J$170)</f>
        <v>2.0140461314115611E-3</v>
      </c>
      <c r="L153" s="263"/>
      <c r="M153" s="182"/>
      <c r="N153" s="276"/>
      <c r="O153" s="276"/>
      <c r="P153" s="265">
        <f>((J153-D153)/D153)</f>
        <v>-2.54472282086378E-2</v>
      </c>
      <c r="Q153" s="265"/>
      <c r="R153" s="265">
        <f>N153-H153</f>
        <v>0</v>
      </c>
      <c r="S153" s="394">
        <f t="shared" ref="S153" si="87">O153-I153</f>
        <v>0</v>
      </c>
      <c r="V153" s="111"/>
    </row>
    <row r="154" spans="1:25" s="112" customFormat="1" ht="4.5" customHeight="1">
      <c r="A154" s="414"/>
      <c r="B154" s="415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29"/>
      <c r="V154" s="111"/>
    </row>
    <row r="155" spans="1:25" s="112" customFormat="1" ht="12.75" customHeight="1">
      <c r="A155" s="421" t="s">
        <v>196</v>
      </c>
      <c r="B155" s="422"/>
      <c r="C155" s="423"/>
      <c r="D155" s="423"/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3"/>
      <c r="R155" s="423"/>
      <c r="S155" s="424"/>
      <c r="V155" s="111"/>
    </row>
    <row r="156" spans="1:25" s="112" customFormat="1" ht="12.75" customHeight="1">
      <c r="A156" s="425" t="s">
        <v>197</v>
      </c>
      <c r="B156" s="426"/>
      <c r="C156" s="427"/>
      <c r="D156" s="427"/>
      <c r="E156" s="427"/>
      <c r="F156" s="427"/>
      <c r="G156" s="427"/>
      <c r="H156" s="427"/>
      <c r="I156" s="427"/>
      <c r="J156" s="427"/>
      <c r="K156" s="427"/>
      <c r="L156" s="427"/>
      <c r="M156" s="427"/>
      <c r="N156" s="427"/>
      <c r="O156" s="427"/>
      <c r="P156" s="427"/>
      <c r="Q156" s="427"/>
      <c r="R156" s="427"/>
      <c r="S156" s="428"/>
      <c r="V156" s="111"/>
    </row>
    <row r="157" spans="1:25" s="112" customFormat="1" ht="12" customHeight="1">
      <c r="A157" s="399">
        <v>127</v>
      </c>
      <c r="B157" s="383" t="s">
        <v>128</v>
      </c>
      <c r="C157" s="384" t="s">
        <v>23</v>
      </c>
      <c r="D157" s="315">
        <v>3665352380.4000001</v>
      </c>
      <c r="E157" s="332">
        <f>(D157/$D$169)</f>
        <v>0.13061425661132836</v>
      </c>
      <c r="F157" s="316">
        <v>1.8</v>
      </c>
      <c r="G157" s="316">
        <v>1.83</v>
      </c>
      <c r="H157" s="319">
        <v>2.3E-3</v>
      </c>
      <c r="I157" s="319">
        <v>0.125</v>
      </c>
      <c r="J157" s="315">
        <v>3662980447.79</v>
      </c>
      <c r="K157" s="332">
        <f>(J157/$J$169)</f>
        <v>0.13066305596658787</v>
      </c>
      <c r="L157" s="316">
        <v>1.81</v>
      </c>
      <c r="M157" s="316">
        <v>1.83</v>
      </c>
      <c r="N157" s="319">
        <v>-2.9999999999999997E-4</v>
      </c>
      <c r="O157" s="319">
        <v>0.12470000000000001</v>
      </c>
      <c r="P157" s="109">
        <f>((J157-D157)/D157)</f>
        <v>-6.4712266757317456E-4</v>
      </c>
      <c r="Q157" s="109">
        <f>((M157-G157)/G157)</f>
        <v>0</v>
      </c>
      <c r="R157" s="328">
        <f>N157-H157</f>
        <v>-2.5999999999999999E-3</v>
      </c>
      <c r="S157" s="394">
        <f t="shared" ref="S157" si="88">O157-I157</f>
        <v>-2.9999999999999472E-4</v>
      </c>
      <c r="V157" s="111"/>
    </row>
    <row r="158" spans="1:25" s="329" customFormat="1" ht="12" customHeight="1">
      <c r="A158" s="406">
        <v>128</v>
      </c>
      <c r="B158" s="383" t="s">
        <v>65</v>
      </c>
      <c r="C158" s="384" t="s">
        <v>5</v>
      </c>
      <c r="D158" s="315">
        <v>529669880.97000003</v>
      </c>
      <c r="E158" s="332">
        <f>(D158/$D$169)</f>
        <v>1.8874703049630785E-2</v>
      </c>
      <c r="F158" s="316">
        <v>390.02</v>
      </c>
      <c r="G158" s="316">
        <v>395.08</v>
      </c>
      <c r="H158" s="319">
        <v>4.0500000000000001E-2</v>
      </c>
      <c r="I158" s="319">
        <v>0.48809999999999998</v>
      </c>
      <c r="J158" s="315">
        <v>517837902.87</v>
      </c>
      <c r="K158" s="332">
        <f>(J158/$J$169)</f>
        <v>1.8471920297894642E-2</v>
      </c>
      <c r="L158" s="316">
        <v>378.88</v>
      </c>
      <c r="M158" s="316">
        <v>383.72</v>
      </c>
      <c r="N158" s="319">
        <v>-2.8799999999999999E-2</v>
      </c>
      <c r="O158" s="319">
        <v>0.44529999999999997</v>
      </c>
      <c r="P158" s="328">
        <f>((J158-D158)/D158)</f>
        <v>-2.2338400813600681E-2</v>
      </c>
      <c r="Q158" s="328">
        <f>((M158-G158)/G158)</f>
        <v>-2.8753670142755788E-2</v>
      </c>
      <c r="R158" s="328">
        <f>N158-H158</f>
        <v>-6.93E-2</v>
      </c>
      <c r="S158" s="394">
        <f t="shared" ref="S158" si="89">O158-I158</f>
        <v>-4.2800000000000005E-2</v>
      </c>
      <c r="V158" s="111"/>
    </row>
    <row r="159" spans="1:25" s="112" customFormat="1" ht="6" customHeight="1">
      <c r="A159" s="414"/>
      <c r="B159" s="415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29"/>
      <c r="T159" s="187"/>
    </row>
    <row r="160" spans="1:25" s="112" customFormat="1" ht="12" customHeight="1">
      <c r="A160" s="425" t="s">
        <v>198</v>
      </c>
      <c r="B160" s="426"/>
      <c r="C160" s="427"/>
      <c r="D160" s="427"/>
      <c r="E160" s="427"/>
      <c r="F160" s="427"/>
      <c r="G160" s="427"/>
      <c r="H160" s="427"/>
      <c r="I160" s="427"/>
      <c r="J160" s="427"/>
      <c r="K160" s="427"/>
      <c r="L160" s="427"/>
      <c r="M160" s="427"/>
      <c r="N160" s="427"/>
      <c r="O160" s="427"/>
      <c r="P160" s="427"/>
      <c r="Q160" s="427"/>
      <c r="R160" s="427"/>
      <c r="S160" s="428"/>
      <c r="T160" s="187"/>
    </row>
    <row r="161" spans="1:20" s="112" customFormat="1" ht="12" customHeight="1">
      <c r="A161" s="398">
        <v>129</v>
      </c>
      <c r="B161" s="383" t="s">
        <v>226</v>
      </c>
      <c r="C161" s="384" t="s">
        <v>227</v>
      </c>
      <c r="D161" s="325">
        <v>448123132.58999997</v>
      </c>
      <c r="E161" s="332">
        <f t="shared" ref="E161:E166" si="90">(D161/$D$169)</f>
        <v>1.5968797474035786E-2</v>
      </c>
      <c r="F161" s="325">
        <v>1034.44</v>
      </c>
      <c r="G161" s="325">
        <v>1034.44</v>
      </c>
      <c r="H161" s="333">
        <v>3.44E-2</v>
      </c>
      <c r="I161" s="333">
        <v>2.3999999999999998E-3</v>
      </c>
      <c r="J161" s="325">
        <v>449132137.16000003</v>
      </c>
      <c r="K161" s="332">
        <f t="shared" ref="K161:K166" si="91">(J161/$J$169)</f>
        <v>1.602110041552008E-2</v>
      </c>
      <c r="L161" s="325">
        <v>1036.77</v>
      </c>
      <c r="M161" s="325">
        <v>1036.77</v>
      </c>
      <c r="N161" s="333">
        <v>3.6799999999999999E-2</v>
      </c>
      <c r="O161" s="333">
        <v>2.3999999999999998E-3</v>
      </c>
      <c r="P161" s="328">
        <f t="shared" ref="P161:P166" si="92">((J161-D161)/D161)</f>
        <v>2.2516234860904139E-3</v>
      </c>
      <c r="Q161" s="328">
        <f t="shared" ref="Q161:Q166" si="93">((M161-G161)/G161)</f>
        <v>2.2524264336258528E-3</v>
      </c>
      <c r="R161" s="328">
        <f t="shared" ref="R161:S166" si="94">N161-H161</f>
        <v>2.3999999999999994E-3</v>
      </c>
      <c r="S161" s="394">
        <f t="shared" si="94"/>
        <v>0</v>
      </c>
      <c r="T161" s="187"/>
    </row>
    <row r="162" spans="1:20" s="112" customFormat="1" ht="12" customHeight="1">
      <c r="A162" s="404">
        <v>130</v>
      </c>
      <c r="B162" s="383" t="s">
        <v>229</v>
      </c>
      <c r="C162" s="384" t="s">
        <v>88</v>
      </c>
      <c r="D162" s="325">
        <v>47656031.539999999</v>
      </c>
      <c r="E162" s="332">
        <f t="shared" si="90"/>
        <v>1.6982152018802164E-3</v>
      </c>
      <c r="F162" s="321">
        <v>109.21</v>
      </c>
      <c r="G162" s="321">
        <v>109.21</v>
      </c>
      <c r="H162" s="333">
        <v>1.6000000000000001E-3</v>
      </c>
      <c r="I162" s="333">
        <v>0.1195</v>
      </c>
      <c r="J162" s="325">
        <v>47754112.850000001</v>
      </c>
      <c r="K162" s="332">
        <f t="shared" si="91"/>
        <v>1.7034484373835313E-3</v>
      </c>
      <c r="L162" s="321">
        <v>109.51</v>
      </c>
      <c r="M162" s="321">
        <v>109.51</v>
      </c>
      <c r="N162" s="333">
        <v>2.7000000000000001E-3</v>
      </c>
      <c r="O162" s="333">
        <v>0.1205</v>
      </c>
      <c r="P162" s="328">
        <f t="shared" si="92"/>
        <v>2.0581090542060353E-3</v>
      </c>
      <c r="Q162" s="328">
        <f t="shared" si="93"/>
        <v>2.7470011903672868E-3</v>
      </c>
      <c r="R162" s="328">
        <f t="shared" si="94"/>
        <v>1.1000000000000001E-3</v>
      </c>
      <c r="S162" s="394">
        <f t="shared" si="94"/>
        <v>1.0000000000000009E-3</v>
      </c>
      <c r="T162" s="187"/>
    </row>
    <row r="163" spans="1:20" s="112" customFormat="1" ht="12" customHeight="1">
      <c r="A163" s="406">
        <v>131</v>
      </c>
      <c r="B163" s="407" t="s">
        <v>233</v>
      </c>
      <c r="C163" s="384" t="s">
        <v>98</v>
      </c>
      <c r="D163" s="320">
        <v>53292006.890000001</v>
      </c>
      <c r="E163" s="332">
        <f t="shared" si="90"/>
        <v>1.8990522986233368E-3</v>
      </c>
      <c r="F163" s="321">
        <v>102.26</v>
      </c>
      <c r="G163" s="321">
        <v>107.95</v>
      </c>
      <c r="H163" s="333">
        <v>1.9E-3</v>
      </c>
      <c r="I163" s="333">
        <v>6.0299999999999999E-2</v>
      </c>
      <c r="J163" s="320">
        <v>53349143.259999998</v>
      </c>
      <c r="K163" s="332">
        <f t="shared" si="91"/>
        <v>1.903030111928823E-3</v>
      </c>
      <c r="L163" s="321">
        <v>102.37</v>
      </c>
      <c r="M163" s="321">
        <v>108.2</v>
      </c>
      <c r="N163" s="333">
        <v>1.8E-3</v>
      </c>
      <c r="O163" s="333">
        <v>6.2100000000000002E-2</v>
      </c>
      <c r="P163" s="328">
        <f t="shared" si="92"/>
        <v>1.0721377057150889E-3</v>
      </c>
      <c r="Q163" s="328">
        <f t="shared" si="93"/>
        <v>2.3158869847151459E-3</v>
      </c>
      <c r="R163" s="328">
        <f t="shared" si="94"/>
        <v>-1.0000000000000005E-4</v>
      </c>
      <c r="S163" s="394">
        <f t="shared" si="94"/>
        <v>1.800000000000003E-3</v>
      </c>
      <c r="T163" s="187"/>
    </row>
    <row r="164" spans="1:20" s="112" customFormat="1" ht="12" customHeight="1">
      <c r="A164" s="403">
        <v>132</v>
      </c>
      <c r="B164" s="383" t="s">
        <v>185</v>
      </c>
      <c r="C164" s="384" t="s">
        <v>184</v>
      </c>
      <c r="D164" s="325">
        <v>10170894257.049999</v>
      </c>
      <c r="E164" s="332">
        <f t="shared" si="90"/>
        <v>0.36243822000875103</v>
      </c>
      <c r="F164" s="321">
        <v>133.46</v>
      </c>
      <c r="G164" s="321">
        <v>133.46</v>
      </c>
      <c r="H164" s="333">
        <v>2.3999999999999998E-3</v>
      </c>
      <c r="I164" s="333">
        <v>0.13139999999999999</v>
      </c>
      <c r="J164" s="325">
        <v>10157425882.790001</v>
      </c>
      <c r="K164" s="332">
        <f t="shared" si="91"/>
        <v>0.36232798004701416</v>
      </c>
      <c r="L164" s="321">
        <v>133.78</v>
      </c>
      <c r="M164" s="321">
        <v>133.78</v>
      </c>
      <c r="N164" s="333">
        <v>2.3999999999999998E-3</v>
      </c>
      <c r="O164" s="333">
        <v>0.13139999999999999</v>
      </c>
      <c r="P164" s="328">
        <f t="shared" si="92"/>
        <v>-1.3242074806414058E-3</v>
      </c>
      <c r="Q164" s="328">
        <f t="shared" si="93"/>
        <v>2.3977221639442017E-3</v>
      </c>
      <c r="R164" s="328">
        <f t="shared" si="94"/>
        <v>0</v>
      </c>
      <c r="S164" s="394">
        <f t="shared" si="94"/>
        <v>0</v>
      </c>
      <c r="T164" s="187"/>
    </row>
    <row r="165" spans="1:20" s="112" customFormat="1" ht="12" customHeight="1">
      <c r="A165" s="401">
        <v>133</v>
      </c>
      <c r="B165" s="383" t="s">
        <v>172</v>
      </c>
      <c r="C165" s="384" t="s">
        <v>171</v>
      </c>
      <c r="D165" s="325">
        <v>695545937.29999995</v>
      </c>
      <c r="E165" s="332">
        <f t="shared" si="90"/>
        <v>2.4785670274232906E-2</v>
      </c>
      <c r="F165" s="326">
        <v>103.59</v>
      </c>
      <c r="G165" s="326">
        <v>103.59</v>
      </c>
      <c r="H165" s="333">
        <v>2E-3</v>
      </c>
      <c r="I165" s="333">
        <v>7.0099999999999996E-2</v>
      </c>
      <c r="J165" s="325">
        <v>693735502.30999994</v>
      </c>
      <c r="K165" s="332">
        <f t="shared" si="91"/>
        <v>2.4746405845281001E-2</v>
      </c>
      <c r="L165" s="326">
        <v>103.8</v>
      </c>
      <c r="M165" s="326">
        <v>103.8</v>
      </c>
      <c r="N165" s="333">
        <v>2E-3</v>
      </c>
      <c r="O165" s="333">
        <v>7.22E-2</v>
      </c>
      <c r="P165" s="328">
        <f t="shared" si="92"/>
        <v>-2.6028978000041717E-3</v>
      </c>
      <c r="Q165" s="328">
        <f t="shared" si="93"/>
        <v>2.0272227048942345E-3</v>
      </c>
      <c r="R165" s="328">
        <f t="shared" si="94"/>
        <v>0</v>
      </c>
      <c r="S165" s="394">
        <f t="shared" si="94"/>
        <v>2.1000000000000046E-3</v>
      </c>
      <c r="T165" s="187"/>
    </row>
    <row r="166" spans="1:20" s="317" customFormat="1" ht="12" customHeight="1">
      <c r="A166" s="406">
        <v>134</v>
      </c>
      <c r="B166" s="383" t="s">
        <v>130</v>
      </c>
      <c r="C166" s="384" t="s">
        <v>5</v>
      </c>
      <c r="D166" s="325">
        <v>8499519153.4200001</v>
      </c>
      <c r="E166" s="332">
        <f t="shared" si="90"/>
        <v>0.30287903059856652</v>
      </c>
      <c r="F166" s="326">
        <v>125.84</v>
      </c>
      <c r="G166" s="326">
        <v>125.84</v>
      </c>
      <c r="H166" s="333">
        <v>1.5E-3</v>
      </c>
      <c r="I166" s="333">
        <v>3.9800000000000002E-2</v>
      </c>
      <c r="J166" s="325">
        <v>8480954472.5100002</v>
      </c>
      <c r="K166" s="332">
        <f t="shared" si="91"/>
        <v>0.30252616542363492</v>
      </c>
      <c r="L166" s="326">
        <v>125.93</v>
      </c>
      <c r="M166" s="326">
        <v>125.93</v>
      </c>
      <c r="N166" s="333">
        <v>6.9999999999999999E-4</v>
      </c>
      <c r="O166" s="333">
        <v>4.0599999999999997E-2</v>
      </c>
      <c r="P166" s="328">
        <f t="shared" si="92"/>
        <v>-2.1842036678663018E-3</v>
      </c>
      <c r="Q166" s="328">
        <f t="shared" si="93"/>
        <v>7.1519389701210591E-4</v>
      </c>
      <c r="R166" s="328">
        <f t="shared" si="94"/>
        <v>-8.0000000000000004E-4</v>
      </c>
      <c r="S166" s="394">
        <f t="shared" si="94"/>
        <v>7.9999999999999516E-4</v>
      </c>
      <c r="T166" s="318"/>
    </row>
    <row r="167" spans="1:20" s="329" customFormat="1" ht="12" customHeight="1">
      <c r="A167" s="398">
        <v>135</v>
      </c>
      <c r="B167" s="383" t="s">
        <v>163</v>
      </c>
      <c r="C167" s="384" t="s">
        <v>41</v>
      </c>
      <c r="D167" s="325">
        <v>3636154105.5</v>
      </c>
      <c r="E167" s="332">
        <f t="shared" ref="E167" si="95">(D167/$D$169)</f>
        <v>0.1295737806694271</v>
      </c>
      <c r="F167" s="326">
        <v>1.1394</v>
      </c>
      <c r="G167" s="326">
        <v>1.1394</v>
      </c>
      <c r="H167" s="333">
        <v>9.5899999999999999E-2</v>
      </c>
      <c r="I167" s="333">
        <v>0.1139</v>
      </c>
      <c r="J167" s="325">
        <v>3654403630.3299999</v>
      </c>
      <c r="K167" s="332">
        <f t="shared" ref="K167" si="96">(J167/$J$169)</f>
        <v>0.13035711024949639</v>
      </c>
      <c r="L167" s="326">
        <v>1.1415</v>
      </c>
      <c r="M167" s="326">
        <v>1.1415</v>
      </c>
      <c r="N167" s="333">
        <v>0.1008</v>
      </c>
      <c r="O167" s="333">
        <v>0.1134</v>
      </c>
      <c r="P167" s="328">
        <f t="shared" ref="P167" si="97">((J167-D167)/D167)</f>
        <v>5.0189085227152304E-3</v>
      </c>
      <c r="Q167" s="328">
        <f t="shared" ref="Q167" si="98">((M167-G167)/G167)</f>
        <v>1.8430753027909345E-3</v>
      </c>
      <c r="R167" s="328">
        <f t="shared" ref="R167" si="99">N167-H167</f>
        <v>4.9000000000000016E-3</v>
      </c>
      <c r="S167" s="394">
        <f t="shared" ref="S167:S168" si="100">O167-I167</f>
        <v>-5.0000000000000044E-4</v>
      </c>
      <c r="T167" s="318"/>
    </row>
    <row r="168" spans="1:20" s="112" customFormat="1" ht="12" customHeight="1">
      <c r="A168" s="408">
        <v>136</v>
      </c>
      <c r="B168" s="383" t="s">
        <v>277</v>
      </c>
      <c r="C168" s="384" t="s">
        <v>278</v>
      </c>
      <c r="D168" s="315">
        <v>316215054.29000002</v>
      </c>
      <c r="E168" s="332">
        <f>(D168/$D$169)</f>
        <v>1.1268273813524004E-2</v>
      </c>
      <c r="F168" s="316">
        <v>98.984899999999996</v>
      </c>
      <c r="G168" s="316">
        <v>98.9876</v>
      </c>
      <c r="H168" s="319">
        <v>-4.8000000000000001E-5</v>
      </c>
      <c r="I168" s="319">
        <v>0</v>
      </c>
      <c r="J168" s="315">
        <v>316215054.29000002</v>
      </c>
      <c r="K168" s="332">
        <f>(J168/$J$169)</f>
        <v>1.1279783205258498E-2</v>
      </c>
      <c r="L168" s="316">
        <v>98.984899999999996</v>
      </c>
      <c r="M168" s="316">
        <v>98.9876</v>
      </c>
      <c r="N168" s="319">
        <v>-4.8000000000000001E-5</v>
      </c>
      <c r="O168" s="319">
        <v>0</v>
      </c>
      <c r="P168" s="328">
        <f>((J168-D168)/D168)</f>
        <v>0</v>
      </c>
      <c r="Q168" s="328">
        <f>((M168-G168)/G168)</f>
        <v>0</v>
      </c>
      <c r="R168" s="328">
        <f>N168-H168</f>
        <v>0</v>
      </c>
      <c r="S168" s="394">
        <f t="shared" si="100"/>
        <v>0</v>
      </c>
      <c r="T168" s="187"/>
    </row>
    <row r="169" spans="1:20" s="112" customFormat="1" ht="12" customHeight="1">
      <c r="A169" s="260"/>
      <c r="C169" s="285" t="s">
        <v>42</v>
      </c>
      <c r="D169" s="76">
        <f>SUM(D157:D168)</f>
        <v>28062421939.949997</v>
      </c>
      <c r="E169" s="261">
        <f>(D169/$D$170)</f>
        <v>1.4726562198434422E-2</v>
      </c>
      <c r="F169" s="262"/>
      <c r="G169" s="72"/>
      <c r="H169" s="244"/>
      <c r="I169" s="244"/>
      <c r="J169" s="76">
        <f>SUM(J157:J168)</f>
        <v>28033788286.160004</v>
      </c>
      <c r="K169" s="261">
        <f>(J169/$J$170)</f>
        <v>1.4525019980394528E-2</v>
      </c>
      <c r="L169" s="263"/>
      <c r="M169" s="72"/>
      <c r="N169" s="264"/>
      <c r="O169" s="264"/>
      <c r="P169" s="265">
        <f t="shared" ref="P169:P170" si="101">((J169-D169)/D169)</f>
        <v>-1.0203557572922841E-3</v>
      </c>
      <c r="Q169" s="265"/>
      <c r="R169" s="265">
        <f t="shared" ref="R169:S169" si="102">N169-H169</f>
        <v>0</v>
      </c>
      <c r="S169" s="394">
        <f t="shared" si="102"/>
        <v>0</v>
      </c>
      <c r="T169" s="137" t="s">
        <v>256</v>
      </c>
    </row>
    <row r="170" spans="1:20" s="112" customFormat="1" ht="12" customHeight="1">
      <c r="A170" s="266"/>
      <c r="B170" s="267"/>
      <c r="C170" s="267" t="s">
        <v>28</v>
      </c>
      <c r="D170" s="268">
        <f>SUM(D22,D54,D87,D113,D120,D147,D153,D169)</f>
        <v>1905565030169.3159</v>
      </c>
      <c r="E170" s="269"/>
      <c r="F170" s="269"/>
      <c r="G170" s="270"/>
      <c r="H170" s="271"/>
      <c r="I170" s="271"/>
      <c r="J170" s="268">
        <f>SUM(J22,J54,J87,J113,J120,J147,J153,J169)</f>
        <v>1930034404358.7712</v>
      </c>
      <c r="K170" s="269"/>
      <c r="L170" s="269"/>
      <c r="M170" s="270"/>
      <c r="N170" s="272"/>
      <c r="O170" s="272"/>
      <c r="P170" s="273">
        <f t="shared" si="101"/>
        <v>1.2841007156434402E-2</v>
      </c>
      <c r="Q170" s="273"/>
      <c r="R170" s="273"/>
      <c r="S170" s="274"/>
      <c r="T170" s="138">
        <f>((J170-D170)/D170)</f>
        <v>1.2841007156434402E-2</v>
      </c>
    </row>
    <row r="171" spans="1:20" s="112" customFormat="1" ht="6.75" customHeight="1">
      <c r="A171" s="414"/>
      <c r="B171" s="415"/>
      <c r="C171" s="416"/>
      <c r="D171" s="416"/>
      <c r="E171" s="416"/>
      <c r="F171" s="416"/>
      <c r="G171" s="416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363"/>
      <c r="T171" s="187"/>
    </row>
    <row r="172" spans="1:20" s="112" customFormat="1" ht="12" customHeight="1">
      <c r="A172" s="450" t="s">
        <v>199</v>
      </c>
      <c r="B172" s="451"/>
      <c r="C172" s="452"/>
      <c r="D172" s="452"/>
      <c r="E172" s="452"/>
      <c r="F172" s="452"/>
      <c r="G172" s="452"/>
      <c r="H172" s="452"/>
      <c r="I172" s="452"/>
      <c r="J172" s="452"/>
      <c r="K172" s="452"/>
      <c r="L172" s="452"/>
      <c r="M172" s="452"/>
      <c r="N172" s="452"/>
      <c r="O172" s="452"/>
      <c r="P172" s="452"/>
      <c r="Q172" s="452"/>
      <c r="R172" s="452"/>
      <c r="S172" s="453"/>
      <c r="T172" s="187"/>
    </row>
    <row r="173" spans="1:20" s="112" customFormat="1" ht="25.5" customHeight="1">
      <c r="A173" s="241"/>
      <c r="B173" s="242"/>
      <c r="C173" s="242"/>
      <c r="D173" s="256" t="s">
        <v>203</v>
      </c>
      <c r="E173" s="257"/>
      <c r="F173" s="257"/>
      <c r="G173" s="361" t="s">
        <v>204</v>
      </c>
      <c r="H173" s="258"/>
      <c r="I173" s="258"/>
      <c r="J173" s="259" t="s">
        <v>203</v>
      </c>
      <c r="K173" s="257"/>
      <c r="L173" s="255" t="s">
        <v>211</v>
      </c>
      <c r="M173" s="255" t="s">
        <v>212</v>
      </c>
      <c r="N173" s="361"/>
      <c r="O173" s="361"/>
      <c r="P173" s="413" t="s">
        <v>62</v>
      </c>
      <c r="Q173" s="413"/>
      <c r="R173" s="413"/>
      <c r="S173" s="362"/>
      <c r="T173" s="187"/>
    </row>
    <row r="174" spans="1:20" s="112" customFormat="1" ht="12" customHeight="1">
      <c r="A174" s="281" t="s">
        <v>1</v>
      </c>
      <c r="B174" s="283" t="s">
        <v>2</v>
      </c>
      <c r="C174" s="282" t="s">
        <v>192</v>
      </c>
      <c r="D174" s="197"/>
      <c r="E174" s="197"/>
      <c r="F174" s="197"/>
      <c r="G174" s="197"/>
      <c r="H174" s="197"/>
      <c r="I174" s="197"/>
      <c r="J174" s="224"/>
      <c r="K174" s="225"/>
      <c r="L174" s="225"/>
      <c r="M174" s="226"/>
      <c r="N174" s="226"/>
      <c r="O174" s="226"/>
      <c r="P174" s="298" t="s">
        <v>202</v>
      </c>
      <c r="Q174" s="296" t="s">
        <v>205</v>
      </c>
      <c r="R174" s="296" t="s">
        <v>213</v>
      </c>
      <c r="S174" s="364"/>
      <c r="T174" s="187"/>
    </row>
    <row r="175" spans="1:20" s="112" customFormat="1" ht="12" customHeight="1">
      <c r="A175" s="398">
        <v>1</v>
      </c>
      <c r="B175" s="383" t="s">
        <v>217</v>
      </c>
      <c r="C175" s="384" t="s">
        <v>117</v>
      </c>
      <c r="D175" s="325">
        <v>92548651821</v>
      </c>
      <c r="E175" s="332">
        <f>(D175/$D$177)</f>
        <v>0.97910943700217745</v>
      </c>
      <c r="F175" s="326">
        <v>108.39</v>
      </c>
      <c r="G175" s="326">
        <v>108.39</v>
      </c>
      <c r="H175" s="322">
        <v>0</v>
      </c>
      <c r="I175" s="322">
        <v>0.13800000000000001</v>
      </c>
      <c r="J175" s="325">
        <v>92548651821</v>
      </c>
      <c r="K175" s="332">
        <f>(J175/$J$177)</f>
        <v>0.97882732206079381</v>
      </c>
      <c r="L175" s="326">
        <v>108.39</v>
      </c>
      <c r="M175" s="326">
        <v>108.39</v>
      </c>
      <c r="N175" s="322">
        <v>0</v>
      </c>
      <c r="O175" s="322">
        <v>0.13800000000000001</v>
      </c>
      <c r="P175" s="328">
        <f>((J175-D175)/D175)</f>
        <v>0</v>
      </c>
      <c r="Q175" s="328">
        <f>((M175-G175)/G175)</f>
        <v>0</v>
      </c>
      <c r="R175" s="328">
        <f>N175-H175</f>
        <v>0</v>
      </c>
      <c r="S175" s="394">
        <f t="shared" ref="S175:S177" si="103">O175-I175</f>
        <v>0</v>
      </c>
      <c r="T175" s="187"/>
    </row>
    <row r="176" spans="1:20" s="112" customFormat="1" ht="12" customHeight="1">
      <c r="A176" s="398">
        <v>2</v>
      </c>
      <c r="B176" s="383" t="s">
        <v>241</v>
      </c>
      <c r="C176" s="384" t="s">
        <v>41</v>
      </c>
      <c r="D176" s="325">
        <v>1974644884.5899999</v>
      </c>
      <c r="E176" s="332">
        <f>(D176/$D$177)</f>
        <v>2.0890562997822545E-2</v>
      </c>
      <c r="F176" s="327">
        <v>1000000</v>
      </c>
      <c r="G176" s="327">
        <v>1000000</v>
      </c>
      <c r="H176" s="322">
        <v>0.16589999999999999</v>
      </c>
      <c r="I176" s="322">
        <v>0.16589999999999999</v>
      </c>
      <c r="J176" s="325">
        <v>2001888131.3900001</v>
      </c>
      <c r="K176" s="332">
        <f>(J176/$J$177)</f>
        <v>2.1172677939206179E-2</v>
      </c>
      <c r="L176" s="327">
        <v>1000000</v>
      </c>
      <c r="M176" s="327">
        <v>1000000</v>
      </c>
      <c r="N176" s="322">
        <v>0.18099999999999999</v>
      </c>
      <c r="O176" s="322">
        <v>0.18099999999999999</v>
      </c>
      <c r="P176" s="328">
        <f>((J176-D176)/D176)</f>
        <v>1.3796529701418576E-2</v>
      </c>
      <c r="Q176" s="328">
        <f>((M176-G176)/G176)</f>
        <v>0</v>
      </c>
      <c r="R176" s="328">
        <f>N176-H176</f>
        <v>1.5100000000000002E-2</v>
      </c>
      <c r="S176" s="394">
        <f t="shared" si="103"/>
        <v>1.5100000000000002E-2</v>
      </c>
      <c r="T176" s="137" t="s">
        <v>207</v>
      </c>
    </row>
    <row r="177" spans="1:21" s="112" customFormat="1" ht="12" customHeight="1">
      <c r="A177" s="267"/>
      <c r="B177" s="267"/>
      <c r="C177" s="267" t="s">
        <v>200</v>
      </c>
      <c r="D177" s="367">
        <f>SUM(D175:D176)</f>
        <v>94523296705.589996</v>
      </c>
      <c r="E177" s="367"/>
      <c r="F177" s="368"/>
      <c r="G177" s="368"/>
      <c r="H177" s="369"/>
      <c r="I177" s="369"/>
      <c r="J177" s="367">
        <f>SUM(J175:J176)</f>
        <v>94550539952.389999</v>
      </c>
      <c r="K177" s="370"/>
      <c r="L177" s="368"/>
      <c r="M177" s="368"/>
      <c r="N177" s="369"/>
      <c r="O177" s="369"/>
      <c r="P177" s="371">
        <f>((J177-D177)/D177)</f>
        <v>2.8821727287884491E-4</v>
      </c>
      <c r="Q177" s="372"/>
      <c r="R177" s="371">
        <f>N177-H177</f>
        <v>0</v>
      </c>
      <c r="S177" s="395">
        <f t="shared" si="103"/>
        <v>0</v>
      </c>
      <c r="T177" s="138">
        <f>((J177-D177)/D177)</f>
        <v>2.8821727287884491E-4</v>
      </c>
    </row>
    <row r="178" spans="1:21" s="112" customFormat="1" ht="7.5" customHeight="1">
      <c r="A178" s="454"/>
      <c r="B178" s="455"/>
      <c r="C178" s="456"/>
      <c r="D178" s="456"/>
      <c r="E178" s="456"/>
      <c r="F178" s="456"/>
      <c r="G178" s="456"/>
      <c r="H178" s="456"/>
      <c r="I178" s="456"/>
      <c r="J178" s="456"/>
      <c r="K178" s="456"/>
      <c r="L178" s="456"/>
      <c r="M178" s="456"/>
      <c r="N178" s="456"/>
      <c r="O178" s="456"/>
      <c r="P178" s="456"/>
      <c r="Q178" s="456"/>
      <c r="R178" s="456"/>
      <c r="S178" s="457"/>
      <c r="T178" s="187"/>
    </row>
    <row r="179" spans="1:21" s="112" customFormat="1" ht="12" customHeight="1">
      <c r="A179" s="450" t="s">
        <v>46</v>
      </c>
      <c r="B179" s="451"/>
      <c r="C179" s="452"/>
      <c r="D179" s="452"/>
      <c r="E179" s="452"/>
      <c r="F179" s="452"/>
      <c r="G179" s="452"/>
      <c r="H179" s="452"/>
      <c r="I179" s="452"/>
      <c r="J179" s="452"/>
      <c r="K179" s="452"/>
      <c r="L179" s="452"/>
      <c r="M179" s="452"/>
      <c r="N179" s="452"/>
      <c r="O179" s="452"/>
      <c r="P179" s="452"/>
      <c r="Q179" s="452"/>
      <c r="R179" s="452"/>
      <c r="S179" s="453"/>
      <c r="T179" s="187"/>
    </row>
    <row r="180" spans="1:21" s="112" customFormat="1" ht="25.5" customHeight="1">
      <c r="A180" s="250"/>
      <c r="B180" s="252" t="s">
        <v>46</v>
      </c>
      <c r="C180" s="251" t="s">
        <v>192</v>
      </c>
      <c r="D180" s="252" t="s">
        <v>72</v>
      </c>
      <c r="E180" s="253" t="s">
        <v>61</v>
      </c>
      <c r="F180" s="253"/>
      <c r="G180" s="253" t="s">
        <v>73</v>
      </c>
      <c r="H180" s="254"/>
      <c r="I180" s="254"/>
      <c r="J180" s="255" t="s">
        <v>72</v>
      </c>
      <c r="K180" s="253" t="s">
        <v>61</v>
      </c>
      <c r="L180" s="255" t="s">
        <v>211</v>
      </c>
      <c r="M180" s="255" t="s">
        <v>212</v>
      </c>
      <c r="N180" s="253"/>
      <c r="O180" s="253"/>
      <c r="P180" s="413" t="s">
        <v>62</v>
      </c>
      <c r="Q180" s="413"/>
      <c r="R180" s="413"/>
      <c r="S180" s="365"/>
      <c r="T180" s="187"/>
    </row>
    <row r="181" spans="1:21" s="112" customFormat="1" ht="12" customHeight="1">
      <c r="A181" s="188"/>
      <c r="B181" s="68"/>
      <c r="C181" s="68"/>
      <c r="D181" s="197"/>
      <c r="E181" s="197"/>
      <c r="F181" s="197"/>
      <c r="G181" s="197"/>
      <c r="H181" s="220"/>
      <c r="I181" s="220"/>
      <c r="J181" s="216"/>
      <c r="K181" s="197"/>
      <c r="L181" s="197"/>
      <c r="M181" s="197"/>
      <c r="N181" s="219"/>
      <c r="O181" s="219"/>
      <c r="P181" s="296" t="s">
        <v>202</v>
      </c>
      <c r="Q181" s="299" t="s">
        <v>119</v>
      </c>
      <c r="R181" s="296" t="s">
        <v>213</v>
      </c>
      <c r="S181" s="394">
        <f t="shared" ref="S181:S194" si="104">O181-I181</f>
        <v>0</v>
      </c>
      <c r="T181" s="187"/>
    </row>
    <row r="182" spans="1:21" s="112" customFormat="1" ht="12" customHeight="1">
      <c r="A182" s="398">
        <v>1</v>
      </c>
      <c r="B182" s="383" t="s">
        <v>221</v>
      </c>
      <c r="C182" s="384" t="s">
        <v>87</v>
      </c>
      <c r="D182" s="323">
        <v>693144591.02525568</v>
      </c>
      <c r="E182" s="192">
        <f t="shared" ref="E182:E193" si="105">(D182/$D$194)</f>
        <v>7.3031214389925589E-2</v>
      </c>
      <c r="F182" s="327">
        <v>159.58000000000001</v>
      </c>
      <c r="G182" s="327">
        <v>162.56</v>
      </c>
      <c r="H182" s="334">
        <v>1.0200000000000001E-2</v>
      </c>
      <c r="I182" s="334">
        <v>3.3799999999999997E-2</v>
      </c>
      <c r="J182" s="323">
        <v>684785503.34995151</v>
      </c>
      <c r="K182" s="192">
        <f t="shared" ref="K182:K192" si="106">(J182/$J$194)</f>
        <v>7.2417205474154575E-2</v>
      </c>
      <c r="L182" s="327">
        <v>157.66</v>
      </c>
      <c r="M182" s="327">
        <v>160.63</v>
      </c>
      <c r="N182" s="334">
        <v>9.9000000000000008E-3</v>
      </c>
      <c r="O182" s="334">
        <v>3.4700000000000002E-2</v>
      </c>
      <c r="P182" s="328">
        <f t="shared" ref="P182:P193" si="107">((J182-D182)/D182)</f>
        <v>-1.2059659389305685E-2</v>
      </c>
      <c r="Q182" s="328">
        <f t="shared" ref="Q182:Q193" si="108">((M182-G182)/G182)</f>
        <v>-1.1872539370078782E-2</v>
      </c>
      <c r="R182" s="328">
        <f t="shared" ref="R182:R193" si="109">N182-H182</f>
        <v>-2.9999999999999992E-4</v>
      </c>
      <c r="S182" s="394">
        <f t="shared" si="104"/>
        <v>9.0000000000000496E-4</v>
      </c>
      <c r="T182" s="187"/>
    </row>
    <row r="183" spans="1:21" s="112" customFormat="1" ht="12" customHeight="1">
      <c r="A183" s="399">
        <v>2</v>
      </c>
      <c r="B183" s="383" t="s">
        <v>96</v>
      </c>
      <c r="C183" s="384" t="s">
        <v>23</v>
      </c>
      <c r="D183" s="323">
        <v>723976732.95000005</v>
      </c>
      <c r="E183" s="192">
        <f t="shared" si="105"/>
        <v>7.6279755597866108E-2</v>
      </c>
      <c r="F183" s="327">
        <v>21.68</v>
      </c>
      <c r="G183" s="327">
        <v>21.68</v>
      </c>
      <c r="H183" s="334">
        <v>8.0000000000000004E-4</v>
      </c>
      <c r="I183" s="334">
        <v>0.39629999999999999</v>
      </c>
      <c r="J183" s="323">
        <v>718787830.10000002</v>
      </c>
      <c r="K183" s="192">
        <f t="shared" si="106"/>
        <v>7.6013008058776824E-2</v>
      </c>
      <c r="L183" s="327">
        <v>21.52</v>
      </c>
      <c r="M183" s="327">
        <v>21.52</v>
      </c>
      <c r="N183" s="334">
        <v>-7.1999999999999998E-3</v>
      </c>
      <c r="O183" s="334">
        <v>0.38629999999999998</v>
      </c>
      <c r="P183" s="328">
        <f t="shared" si="107"/>
        <v>-7.1672232184268065E-3</v>
      </c>
      <c r="Q183" s="328">
        <f t="shared" si="108"/>
        <v>-7.3800738007380141E-3</v>
      </c>
      <c r="R183" s="328">
        <f t="shared" si="109"/>
        <v>-8.0000000000000002E-3</v>
      </c>
      <c r="S183" s="394">
        <f t="shared" si="104"/>
        <v>-1.0000000000000009E-2</v>
      </c>
      <c r="T183" s="187"/>
    </row>
    <row r="184" spans="1:21" s="112" customFormat="1" ht="12" customHeight="1">
      <c r="A184" s="406">
        <v>3</v>
      </c>
      <c r="B184" s="383" t="s">
        <v>183</v>
      </c>
      <c r="C184" s="384" t="s">
        <v>54</v>
      </c>
      <c r="D184" s="323">
        <v>286927810.92000002</v>
      </c>
      <c r="E184" s="192">
        <f t="shared" si="105"/>
        <v>3.0231335200546983E-2</v>
      </c>
      <c r="F184" s="327">
        <v>19.149999999999999</v>
      </c>
      <c r="G184" s="327">
        <v>19.25</v>
      </c>
      <c r="H184" s="334">
        <v>1.6499290473954899E-2</v>
      </c>
      <c r="I184" s="334">
        <v>0.51209356164000797</v>
      </c>
      <c r="J184" s="323">
        <v>286927810.92000002</v>
      </c>
      <c r="K184" s="192">
        <f t="shared" si="106"/>
        <v>3.0343093038615921E-2</v>
      </c>
      <c r="L184" s="327">
        <v>19.149999999999999</v>
      </c>
      <c r="M184" s="327">
        <v>19.25</v>
      </c>
      <c r="N184" s="334">
        <v>1.6499290473954899E-2</v>
      </c>
      <c r="O184" s="334">
        <v>0.51209356164000797</v>
      </c>
      <c r="P184" s="328">
        <f t="shared" si="107"/>
        <v>0</v>
      </c>
      <c r="Q184" s="328">
        <f t="shared" si="108"/>
        <v>0</v>
      </c>
      <c r="R184" s="328">
        <f t="shared" si="109"/>
        <v>0</v>
      </c>
      <c r="S184" s="394">
        <f t="shared" si="104"/>
        <v>0</v>
      </c>
      <c r="T184" s="187"/>
      <c r="U184" s="392"/>
    </row>
    <row r="185" spans="1:21" s="112" customFormat="1" ht="12" customHeight="1">
      <c r="A185" s="406">
        <v>4</v>
      </c>
      <c r="B185" s="383" t="s">
        <v>182</v>
      </c>
      <c r="C185" s="384" t="s">
        <v>54</v>
      </c>
      <c r="D185" s="323">
        <v>404605814.07999998</v>
      </c>
      <c r="E185" s="192">
        <f t="shared" si="105"/>
        <v>4.2630144322095997E-2</v>
      </c>
      <c r="F185" s="327">
        <v>27.7</v>
      </c>
      <c r="G185" s="327">
        <v>27.8</v>
      </c>
      <c r="H185" s="334">
        <v>4.7172579447980902E-2</v>
      </c>
      <c r="I185" s="334">
        <v>0.74108747509158202</v>
      </c>
      <c r="J185" s="323">
        <v>404605814.07999998</v>
      </c>
      <c r="K185" s="192">
        <f t="shared" si="106"/>
        <v>4.2787737519167819E-2</v>
      </c>
      <c r="L185" s="327">
        <v>27.7</v>
      </c>
      <c r="M185" s="327">
        <v>27.8</v>
      </c>
      <c r="N185" s="334">
        <v>4.7172579447980902E-2</v>
      </c>
      <c r="O185" s="334">
        <v>0.74108747509158202</v>
      </c>
      <c r="P185" s="328">
        <f t="shared" si="107"/>
        <v>0</v>
      </c>
      <c r="Q185" s="328">
        <f t="shared" si="108"/>
        <v>0</v>
      </c>
      <c r="R185" s="328">
        <f t="shared" si="109"/>
        <v>0</v>
      </c>
      <c r="S185" s="394">
        <f t="shared" si="104"/>
        <v>0</v>
      </c>
      <c r="T185" s="187"/>
    </row>
    <row r="186" spans="1:21" s="112" customFormat="1" ht="12" customHeight="1">
      <c r="A186" s="398">
        <v>5</v>
      </c>
      <c r="B186" s="383" t="s">
        <v>32</v>
      </c>
      <c r="C186" s="384" t="s">
        <v>31</v>
      </c>
      <c r="D186" s="323">
        <v>577174000</v>
      </c>
      <c r="E186" s="192">
        <f t="shared" si="105"/>
        <v>6.0812301906508069E-2</v>
      </c>
      <c r="F186" s="327">
        <v>13000</v>
      </c>
      <c r="G186" s="327">
        <v>13000</v>
      </c>
      <c r="H186" s="334">
        <v>0</v>
      </c>
      <c r="I186" s="334">
        <v>0</v>
      </c>
      <c r="J186" s="323">
        <v>630380600</v>
      </c>
      <c r="K186" s="192">
        <f t="shared" si="106"/>
        <v>6.6663796493647079E-2</v>
      </c>
      <c r="L186" s="327">
        <v>14200</v>
      </c>
      <c r="M186" s="327">
        <v>14200</v>
      </c>
      <c r="N186" s="334">
        <v>0</v>
      </c>
      <c r="O186" s="334">
        <v>0</v>
      </c>
      <c r="P186" s="328">
        <f t="shared" si="107"/>
        <v>9.2184679143551163E-2</v>
      </c>
      <c r="Q186" s="328">
        <f t="shared" si="108"/>
        <v>9.2307692307692313E-2</v>
      </c>
      <c r="R186" s="328">
        <f t="shared" si="109"/>
        <v>0</v>
      </c>
      <c r="S186" s="394">
        <f t="shared" si="104"/>
        <v>0</v>
      </c>
      <c r="T186" s="187"/>
    </row>
    <row r="187" spans="1:21" s="112" customFormat="1" ht="12" customHeight="1">
      <c r="A187" s="406">
        <v>6</v>
      </c>
      <c r="B187" s="383" t="s">
        <v>94</v>
      </c>
      <c r="C187" s="384" t="s">
        <v>39</v>
      </c>
      <c r="D187" s="323">
        <v>885927492.50999999</v>
      </c>
      <c r="E187" s="192">
        <f t="shared" si="105"/>
        <v>9.3343238160058822E-2</v>
      </c>
      <c r="F187" s="327">
        <v>212.66</v>
      </c>
      <c r="G187" s="327">
        <v>212.66</v>
      </c>
      <c r="H187" s="334">
        <v>3.27E-2</v>
      </c>
      <c r="I187" s="334">
        <v>0.55089999999999995</v>
      </c>
      <c r="J187" s="323">
        <v>877612571.36000001</v>
      </c>
      <c r="K187" s="192">
        <f t="shared" si="106"/>
        <v>9.2808988502199083E-2</v>
      </c>
      <c r="L187" s="327">
        <v>205</v>
      </c>
      <c r="M187" s="327">
        <v>205</v>
      </c>
      <c r="N187" s="334">
        <v>-9.4000000000000004E-3</v>
      </c>
      <c r="O187" s="334">
        <v>0.53680000000000005</v>
      </c>
      <c r="P187" s="328">
        <f t="shared" si="107"/>
        <v>-9.3855549357004745E-3</v>
      </c>
      <c r="Q187" s="328">
        <f t="shared" si="108"/>
        <v>-3.6019937929088669E-2</v>
      </c>
      <c r="R187" s="328">
        <f t="shared" si="109"/>
        <v>-4.2099999999999999E-2</v>
      </c>
      <c r="S187" s="394">
        <f t="shared" si="104"/>
        <v>-1.409999999999989E-2</v>
      </c>
      <c r="T187" s="187"/>
    </row>
    <row r="188" spans="1:21" s="112" customFormat="1" ht="12" customHeight="1">
      <c r="A188" s="406">
        <v>7</v>
      </c>
      <c r="B188" s="383" t="s">
        <v>40</v>
      </c>
      <c r="C188" s="384" t="s">
        <v>39</v>
      </c>
      <c r="D188" s="323">
        <v>596822445.79999995</v>
      </c>
      <c r="E188" s="192">
        <f t="shared" si="105"/>
        <v>6.2882504684150964E-2</v>
      </c>
      <c r="F188" s="327">
        <v>253</v>
      </c>
      <c r="G188" s="327">
        <v>253</v>
      </c>
      <c r="H188" s="334">
        <v>2.3599999999999999E-2</v>
      </c>
      <c r="I188" s="334">
        <v>0.39290000000000003</v>
      </c>
      <c r="J188" s="323">
        <v>589894658.48000002</v>
      </c>
      <c r="K188" s="192">
        <f t="shared" si="106"/>
        <v>6.2382340867723665E-2</v>
      </c>
      <c r="L188" s="327">
        <v>280</v>
      </c>
      <c r="M188" s="327">
        <v>280</v>
      </c>
      <c r="N188" s="334">
        <v>-1.14E-2</v>
      </c>
      <c r="O188" s="334">
        <v>0.34699999999999998</v>
      </c>
      <c r="P188" s="328">
        <f t="shared" si="107"/>
        <v>-1.1607786149386028E-2</v>
      </c>
      <c r="Q188" s="328">
        <f t="shared" si="108"/>
        <v>0.1067193675889328</v>
      </c>
      <c r="R188" s="328">
        <f t="shared" si="109"/>
        <v>-3.5000000000000003E-2</v>
      </c>
      <c r="S188" s="394">
        <f t="shared" si="104"/>
        <v>-4.5900000000000052E-2</v>
      </c>
      <c r="T188" s="187"/>
    </row>
    <row r="189" spans="1:21" s="112" customFormat="1" ht="12" customHeight="1">
      <c r="A189" s="398">
        <v>8</v>
      </c>
      <c r="B189" s="383" t="s">
        <v>50</v>
      </c>
      <c r="C189" s="384" t="s">
        <v>29</v>
      </c>
      <c r="D189" s="323">
        <v>249157734.88</v>
      </c>
      <c r="E189" s="192">
        <f t="shared" si="105"/>
        <v>2.6251798237384664E-2</v>
      </c>
      <c r="F189" s="327">
        <v>10.98</v>
      </c>
      <c r="G189" s="327">
        <v>11.08</v>
      </c>
      <c r="H189" s="334">
        <v>2.2200000000000001E-2</v>
      </c>
      <c r="I189" s="334">
        <v>0.87590000000000001</v>
      </c>
      <c r="J189" s="323">
        <v>244398156.22</v>
      </c>
      <c r="K189" s="192">
        <f t="shared" si="106"/>
        <v>2.5845511346117959E-2</v>
      </c>
      <c r="L189" s="327">
        <v>10.77</v>
      </c>
      <c r="M189" s="327">
        <v>10.87</v>
      </c>
      <c r="N189" s="334">
        <v>-1.4500000000000001E-2</v>
      </c>
      <c r="O189" s="334">
        <v>0.84860000000000002</v>
      </c>
      <c r="P189" s="328">
        <f t="shared" si="107"/>
        <v>-1.9102672699654769E-2</v>
      </c>
      <c r="Q189" s="328">
        <f t="shared" si="108"/>
        <v>-1.895306859205784E-2</v>
      </c>
      <c r="R189" s="328">
        <f t="shared" si="109"/>
        <v>-3.6700000000000003E-2</v>
      </c>
      <c r="S189" s="394">
        <f t="shared" si="104"/>
        <v>-2.7299999999999991E-2</v>
      </c>
      <c r="T189" s="187"/>
    </row>
    <row r="190" spans="1:21" s="112" customFormat="1" ht="12" customHeight="1">
      <c r="A190" s="398">
        <v>9</v>
      </c>
      <c r="B190" s="383" t="s">
        <v>59</v>
      </c>
      <c r="C190" s="384" t="s">
        <v>29</v>
      </c>
      <c r="D190" s="75">
        <v>595799387.82000005</v>
      </c>
      <c r="E190" s="192">
        <f t="shared" si="105"/>
        <v>6.2774713081016356E-2</v>
      </c>
      <c r="F190" s="327">
        <v>7.09</v>
      </c>
      <c r="G190" s="327">
        <v>7.19</v>
      </c>
      <c r="H190" s="334">
        <v>5.5100000000000003E-2</v>
      </c>
      <c r="I190" s="334">
        <v>0.67610000000000003</v>
      </c>
      <c r="J190" s="75">
        <v>577269462.83000004</v>
      </c>
      <c r="K190" s="192">
        <f t="shared" si="106"/>
        <v>6.1047205437629405E-2</v>
      </c>
      <c r="L190" s="327">
        <v>6.86</v>
      </c>
      <c r="M190" s="327">
        <v>6.96</v>
      </c>
      <c r="N190" s="334">
        <v>-3.2399999999999998E-2</v>
      </c>
      <c r="O190" s="334">
        <v>0.62170000000000003</v>
      </c>
      <c r="P190" s="328">
        <f t="shared" si="107"/>
        <v>-3.110094667569242E-2</v>
      </c>
      <c r="Q190" s="328">
        <f t="shared" si="108"/>
        <v>-3.1988873435326901E-2</v>
      </c>
      <c r="R190" s="328">
        <f t="shared" si="109"/>
        <v>-8.7499999999999994E-2</v>
      </c>
      <c r="S190" s="394">
        <f t="shared" si="104"/>
        <v>-5.4400000000000004E-2</v>
      </c>
      <c r="T190" s="187"/>
    </row>
    <row r="191" spans="1:21" s="112" customFormat="1" ht="12" customHeight="1">
      <c r="A191" s="398">
        <v>10</v>
      </c>
      <c r="B191" s="383" t="s">
        <v>92</v>
      </c>
      <c r="C191" s="384" t="s">
        <v>29</v>
      </c>
      <c r="D191" s="323">
        <v>496447067.19999999</v>
      </c>
      <c r="E191" s="192">
        <f t="shared" si="105"/>
        <v>5.2306737536976546E-2</v>
      </c>
      <c r="F191" s="327">
        <v>140.02000000000001</v>
      </c>
      <c r="G191" s="327">
        <v>142.02000000000001</v>
      </c>
      <c r="H191" s="334">
        <v>0</v>
      </c>
      <c r="I191" s="334">
        <v>-0.1031</v>
      </c>
      <c r="J191" s="323">
        <v>493812313.94</v>
      </c>
      <c r="K191" s="192">
        <f t="shared" si="106"/>
        <v>5.2221473190249064E-2</v>
      </c>
      <c r="L191" s="327">
        <v>139.27000000000001</v>
      </c>
      <c r="M191" s="327">
        <v>141.27000000000001</v>
      </c>
      <c r="N191" s="334">
        <v>0</v>
      </c>
      <c r="O191" s="334">
        <v>-0.1031</v>
      </c>
      <c r="P191" s="328">
        <f t="shared" si="107"/>
        <v>-5.3072189042433137E-3</v>
      </c>
      <c r="Q191" s="328">
        <f t="shared" si="108"/>
        <v>-5.2809463455851281E-3</v>
      </c>
      <c r="R191" s="328">
        <f t="shared" si="109"/>
        <v>0</v>
      </c>
      <c r="S191" s="394">
        <f t="shared" si="104"/>
        <v>0</v>
      </c>
      <c r="T191" s="187"/>
    </row>
    <row r="192" spans="1:21" s="112" customFormat="1" ht="12" customHeight="1">
      <c r="A192" s="398">
        <v>11</v>
      </c>
      <c r="B192" s="383" t="s">
        <v>30</v>
      </c>
      <c r="C192" s="384" t="s">
        <v>29</v>
      </c>
      <c r="D192" s="323">
        <v>3677564501.5900002</v>
      </c>
      <c r="E192" s="192">
        <f t="shared" si="105"/>
        <v>0.38747615580630446</v>
      </c>
      <c r="F192" s="327">
        <v>25.33</v>
      </c>
      <c r="G192" s="327">
        <v>25.33</v>
      </c>
      <c r="H192" s="334">
        <v>4.8000000000000001E-2</v>
      </c>
      <c r="I192" s="334">
        <v>0.3533</v>
      </c>
      <c r="J192" s="323">
        <v>3644999523.2199998</v>
      </c>
      <c r="K192" s="192">
        <f t="shared" si="106"/>
        <v>0.38546475959980159</v>
      </c>
      <c r="L192" s="327">
        <v>25.06</v>
      </c>
      <c r="M192" s="327">
        <v>25.26</v>
      </c>
      <c r="N192" s="334">
        <v>0</v>
      </c>
      <c r="O192" s="334">
        <v>0.3533</v>
      </c>
      <c r="P192" s="328">
        <f t="shared" si="107"/>
        <v>-8.8550393489824179E-3</v>
      </c>
      <c r="Q192" s="328">
        <f t="shared" si="108"/>
        <v>-2.7635215159888169E-3</v>
      </c>
      <c r="R192" s="328">
        <f t="shared" si="109"/>
        <v>-4.8000000000000001E-2</v>
      </c>
      <c r="S192" s="394">
        <f t="shared" si="104"/>
        <v>0</v>
      </c>
      <c r="T192" s="187"/>
    </row>
    <row r="193" spans="1:20" s="112" customFormat="1" ht="12" customHeight="1">
      <c r="A193" s="398">
        <v>12</v>
      </c>
      <c r="B193" s="383" t="s">
        <v>51</v>
      </c>
      <c r="C193" s="384" t="s">
        <v>29</v>
      </c>
      <c r="D193" s="75">
        <v>303525475.61000001</v>
      </c>
      <c r="E193" s="192">
        <f t="shared" si="105"/>
        <v>3.1980101077165243E-2</v>
      </c>
      <c r="F193" s="327">
        <v>28.83</v>
      </c>
      <c r="G193" s="327">
        <v>29.03</v>
      </c>
      <c r="H193" s="334">
        <v>-4.7999999999999996E-3</v>
      </c>
      <c r="I193" s="334">
        <v>0.2059</v>
      </c>
      <c r="J193" s="75">
        <v>302641865.83999997</v>
      </c>
      <c r="K193" s="192">
        <v>0.24610000000000001</v>
      </c>
      <c r="L193" s="327">
        <v>28.75</v>
      </c>
      <c r="M193" s="327">
        <v>28.95</v>
      </c>
      <c r="N193" s="334">
        <v>-2.8E-3</v>
      </c>
      <c r="O193" s="334">
        <v>0.2026</v>
      </c>
      <c r="P193" s="328">
        <f t="shared" si="107"/>
        <v>-2.9111552110221914E-3</v>
      </c>
      <c r="Q193" s="328">
        <f t="shared" si="108"/>
        <v>-2.7557698932139801E-3</v>
      </c>
      <c r="R193" s="328">
        <f t="shared" si="109"/>
        <v>1.9999999999999996E-3</v>
      </c>
      <c r="S193" s="394">
        <f t="shared" si="104"/>
        <v>-3.2999999999999974E-3</v>
      </c>
      <c r="T193" s="189"/>
    </row>
    <row r="194" spans="1:20" s="112" customFormat="1" ht="12" customHeight="1">
      <c r="A194" s="373"/>
      <c r="B194" s="374"/>
      <c r="C194" s="374" t="s">
        <v>33</v>
      </c>
      <c r="D194" s="367">
        <f>SUM(D182:D193)</f>
        <v>9491073054.3852577</v>
      </c>
      <c r="E194" s="367"/>
      <c r="F194" s="370"/>
      <c r="G194" s="368"/>
      <c r="H194" s="369"/>
      <c r="I194" s="369"/>
      <c r="J194" s="367">
        <f>SUM(J182:J193)</f>
        <v>9456116110.3399506</v>
      </c>
      <c r="K194" s="370"/>
      <c r="L194" s="370"/>
      <c r="M194" s="368"/>
      <c r="N194" s="369"/>
      <c r="O194" s="369"/>
      <c r="P194" s="371">
        <f t="shared" ref="P194" si="110">((J194-D194)/D194)</f>
        <v>-3.683139287306997E-3</v>
      </c>
      <c r="Q194" s="372"/>
      <c r="R194" s="371">
        <f t="shared" ref="R194" si="111">N194-H194</f>
        <v>0</v>
      </c>
      <c r="S194" s="395">
        <f t="shared" si="104"/>
        <v>0</v>
      </c>
      <c r="T194" s="137" t="s">
        <v>255</v>
      </c>
    </row>
    <row r="195" spans="1:20" s="112" customFormat="1" ht="12" customHeight="1" thickBot="1">
      <c r="A195" s="245"/>
      <c r="B195" s="246"/>
      <c r="C195" s="246" t="s">
        <v>43</v>
      </c>
      <c r="D195" s="247">
        <f>SUM(D170,D177,D194)</f>
        <v>2009579399929.2913</v>
      </c>
      <c r="E195" s="247"/>
      <c r="F195" s="247"/>
      <c r="G195" s="248"/>
      <c r="H195" s="249"/>
      <c r="I195" s="249"/>
      <c r="J195" s="247">
        <f>SUM(J170,J177,J194)</f>
        <v>2034041060421.501</v>
      </c>
      <c r="K195" s="227"/>
      <c r="L195" s="227"/>
      <c r="M195" s="228"/>
      <c r="N195" s="229"/>
      <c r="O195" s="229"/>
      <c r="P195" s="210"/>
      <c r="Q195" s="214"/>
      <c r="R195" s="214"/>
      <c r="S195" s="211"/>
      <c r="T195" s="138">
        <f>((J194-D194)/D194)</f>
        <v>-3.683139287306997E-3</v>
      </c>
    </row>
    <row r="196" spans="1:20" ht="12" customHeight="1">
      <c r="A196" s="230"/>
      <c r="B196" s="92"/>
      <c r="C196" s="231"/>
      <c r="D196" s="66"/>
      <c r="E196" s="66"/>
      <c r="F196" s="66"/>
      <c r="G196" s="232"/>
      <c r="H196" s="233"/>
      <c r="I196" s="233"/>
      <c r="J196" s="7"/>
      <c r="K196" s="66"/>
      <c r="L196" s="66"/>
      <c r="M196" s="234"/>
      <c r="N196" s="235"/>
      <c r="O196" s="235"/>
    </row>
    <row r="197" spans="1:20" ht="12" customHeight="1">
      <c r="A197" s="235"/>
      <c r="B197" s="234"/>
      <c r="C197" s="237"/>
      <c r="D197" s="234"/>
      <c r="E197" s="234"/>
      <c r="F197" s="234"/>
      <c r="G197" s="234"/>
      <c r="H197" s="236"/>
      <c r="I197" s="236"/>
      <c r="J197" s="238"/>
      <c r="K197" s="234"/>
      <c r="L197" s="234"/>
      <c r="M197" s="234"/>
      <c r="N197" s="235"/>
      <c r="O197" s="235"/>
    </row>
    <row r="198" spans="1:20" ht="12" customHeight="1">
      <c r="A198" s="235"/>
      <c r="B198" s="237"/>
      <c r="C198" s="234"/>
      <c r="D198" s="234"/>
      <c r="E198" s="234"/>
      <c r="F198" s="234"/>
      <c r="G198" s="234"/>
      <c r="H198" s="236"/>
      <c r="I198" s="236"/>
      <c r="J198" s="238"/>
      <c r="K198" s="234"/>
      <c r="L198" s="234"/>
      <c r="M198" s="234"/>
      <c r="N198" s="235"/>
      <c r="O198" s="235"/>
    </row>
    <row r="199" spans="1:20" ht="12" customHeight="1">
      <c r="A199" s="235"/>
      <c r="B199" s="240"/>
      <c r="C199" s="239"/>
      <c r="D199" s="234"/>
      <c r="E199" s="234"/>
      <c r="F199" s="234"/>
      <c r="G199" s="234"/>
      <c r="H199" s="236"/>
      <c r="I199" s="236"/>
      <c r="J199" s="238"/>
      <c r="K199" s="234"/>
      <c r="L199" s="234"/>
      <c r="M199" s="234"/>
      <c r="N199" s="235"/>
      <c r="O199" s="235"/>
    </row>
    <row r="200" spans="1:20" ht="12" customHeight="1">
      <c r="A200" s="235"/>
      <c r="B200" s="239"/>
      <c r="C200" s="239"/>
      <c r="D200" s="234"/>
      <c r="E200" s="234"/>
      <c r="F200" s="234"/>
      <c r="G200" s="234"/>
      <c r="H200" s="236"/>
      <c r="I200" s="236"/>
      <c r="J200" s="238"/>
      <c r="K200" s="234"/>
      <c r="L200" s="234"/>
      <c r="M200" s="234"/>
      <c r="N200" s="235"/>
      <c r="O200" s="235"/>
    </row>
    <row r="201" spans="1:20" ht="12" customHeight="1">
      <c r="A201" s="235"/>
      <c r="B201" s="239"/>
      <c r="C201" s="239"/>
      <c r="D201" s="234"/>
      <c r="E201" s="234"/>
      <c r="F201" s="234"/>
      <c r="G201" s="234"/>
      <c r="H201" s="236"/>
      <c r="I201" s="236"/>
      <c r="J201" s="238"/>
      <c r="K201" s="234"/>
      <c r="L201" s="234"/>
      <c r="M201" s="234"/>
      <c r="N201" s="235"/>
      <c r="O201" s="235"/>
    </row>
    <row r="202" spans="1:20" ht="12" customHeight="1">
      <c r="A202" s="235"/>
      <c r="B202" s="239"/>
      <c r="C202" s="239"/>
      <c r="D202" s="234"/>
      <c r="E202" s="234"/>
      <c r="F202" s="234"/>
      <c r="G202" s="234"/>
      <c r="H202" s="236"/>
      <c r="I202" s="236"/>
      <c r="J202" s="238"/>
      <c r="K202" s="234"/>
      <c r="L202" s="234"/>
      <c r="M202" s="234"/>
      <c r="N202" s="235"/>
      <c r="O202" s="235"/>
    </row>
    <row r="203" spans="1:20" ht="12" customHeight="1">
      <c r="A203" s="235"/>
      <c r="B203" s="240"/>
      <c r="C203" s="239"/>
      <c r="D203" s="234"/>
      <c r="E203" s="234"/>
      <c r="F203" s="234"/>
      <c r="G203" s="234"/>
      <c r="H203" s="236"/>
      <c r="I203" s="236"/>
      <c r="J203" s="238"/>
      <c r="K203" s="234"/>
      <c r="L203" s="234"/>
      <c r="M203" s="234"/>
      <c r="N203" s="235"/>
      <c r="O203" s="235"/>
    </row>
    <row r="204" spans="1:20" ht="12" customHeight="1">
      <c r="B204" s="239"/>
      <c r="C204" s="239"/>
      <c r="D204" s="234"/>
      <c r="E204" s="234"/>
      <c r="F204" s="234"/>
      <c r="G204" s="234"/>
      <c r="H204" s="236"/>
      <c r="I204" s="236"/>
      <c r="J204" s="238"/>
      <c r="K204" s="234"/>
      <c r="L204" s="234"/>
      <c r="M204" s="234"/>
      <c r="N204" s="235"/>
      <c r="O204" s="235"/>
    </row>
    <row r="205" spans="1:20" ht="12" customHeight="1">
      <c r="B205" s="4"/>
      <c r="C205" s="4"/>
    </row>
    <row r="206" spans="1:20" ht="12" customHeight="1">
      <c r="B206" s="4"/>
      <c r="C206" s="4"/>
    </row>
    <row r="207" spans="1:20" ht="12" customHeight="1">
      <c r="B207" s="6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4"/>
      <c r="C238" s="4"/>
    </row>
    <row r="239" spans="2:3" ht="12" customHeight="1">
      <c r="B239" s="4"/>
      <c r="C239" s="4"/>
    </row>
    <row r="240" spans="2:3" ht="12" customHeight="1">
      <c r="B240" s="5"/>
      <c r="C240" s="5"/>
    </row>
    <row r="241" spans="2:3" ht="12" customHeight="1">
      <c r="B241" s="5"/>
      <c r="C241" s="5"/>
    </row>
    <row r="242" spans="2:3" ht="12" customHeight="1">
      <c r="B242" s="5"/>
      <c r="C242" s="5"/>
    </row>
  </sheetData>
  <protectedRanges>
    <protectedRange password="CADF" sqref="E47" name="Yield_1_1_2_1_1_1"/>
    <protectedRange password="CADF" sqref="E52" name="Yield_1_1_1_1"/>
    <protectedRange password="CADF" sqref="J10 D10" name="Fund Name_1_1_1_3_1_1"/>
    <protectedRange password="CADF" sqref="N10:O10 H10:I10" name="Yield_1_1_2_1_3"/>
    <protectedRange password="CADF" sqref="L10:M10 F10:G1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8 D78" name="Yield_2_1_2_1_1"/>
    <protectedRange password="CADF" sqref="N78:O78 H78:I78" name="Yield_1_1_2_1_2_1"/>
    <protectedRange password="CADF" sqref="L78:M78 F78:G78" name="Fund Name_2_2_1_1"/>
    <protectedRange password="CADF" sqref="M77 G77" name="BidOffer Prices_2_1_1_1_1_1_1_1_1_1"/>
    <protectedRange password="CADF" sqref="J137 J145:J146 D137 D145:D146" name="Fund Name_1_1_1_2"/>
    <protectedRange password="CADF" sqref="N137:O137 N145:O146 H137:I137 H145:I146" name="Yield_1_1_2_2"/>
    <protectedRange password="CADF" sqref="L137:M137 L145:M146 F137:G137 F145:G146" name="Fund Name_1_1_1_1_2"/>
    <protectedRange password="CADF" sqref="N47:O47 H47:I47" name="Yield_1_1_2_1_1_1_1_1"/>
    <protectedRange password="CADF" sqref="J94:J95 D94:D95" name="Yield_2_1_2_6_3"/>
    <protectedRange password="CADF" sqref="J17 D17" name="Yield_2_1_2_5"/>
  </protectedRanges>
  <mergeCells count="41">
    <mergeCell ref="A148:S148"/>
    <mergeCell ref="A179:S179"/>
    <mergeCell ref="A160:S160"/>
    <mergeCell ref="A159:S159"/>
    <mergeCell ref="A172:S172"/>
    <mergeCell ref="A178:S178"/>
    <mergeCell ref="A1:S1"/>
    <mergeCell ref="A56:S56"/>
    <mergeCell ref="A55:S55"/>
    <mergeCell ref="A89:S89"/>
    <mergeCell ref="A90:S90"/>
    <mergeCell ref="A88:S88"/>
    <mergeCell ref="D2:I2"/>
    <mergeCell ref="J2:O2"/>
    <mergeCell ref="U71:V71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W120:W122"/>
    <mergeCell ref="V72:V83"/>
    <mergeCell ref="T123:T124"/>
    <mergeCell ref="P180:R180"/>
    <mergeCell ref="P173:R173"/>
    <mergeCell ref="A171:R171"/>
    <mergeCell ref="A115:S115"/>
    <mergeCell ref="A155:S155"/>
    <mergeCell ref="A156:S156"/>
    <mergeCell ref="A154:S154"/>
    <mergeCell ref="A103:S103"/>
    <mergeCell ref="A102:S102"/>
    <mergeCell ref="A114:S114"/>
    <mergeCell ref="A122:S122"/>
    <mergeCell ref="A121:S121"/>
    <mergeCell ref="A149:S149"/>
  </mergeCells>
  <pageMargins left="0.44" right="0.49" top="0.17" bottom="0.69" header="0.33" footer="0.55000000000000004"/>
  <pageSetup paperSize="9" scale="89" orientation="landscape" r:id="rId1"/>
  <rowBreaks count="3" manualBreakCount="3">
    <brk id="45" max="16383" man="1"/>
    <brk id="89" max="16383" man="1"/>
    <brk id="101" max="16383" man="1"/>
  </rowBreaks>
  <colBreaks count="1" manualBreakCount="1">
    <brk id="11" max="19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A10" zoomScaleNormal="100" workbookViewId="0">
      <selection activeCell="A24" sqref="A24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3" t="s">
        <v>0</v>
      </c>
      <c r="F7" s="101">
        <f>'NAV Trend'!J2</f>
        <v>23086923138.879997</v>
      </c>
      <c r="G7" s="102"/>
    </row>
    <row r="8" spans="1:7">
      <c r="E8" s="193" t="s">
        <v>44</v>
      </c>
      <c r="F8" s="101">
        <f>'NAV Trend'!J3</f>
        <v>842459027080.45435</v>
      </c>
      <c r="G8" s="102"/>
    </row>
    <row r="9" spans="1:7">
      <c r="A9" s="102"/>
      <c r="B9" s="102"/>
      <c r="E9" s="193" t="s">
        <v>191</v>
      </c>
      <c r="F9" s="101">
        <f>'NAV Trend'!J4</f>
        <v>320114444673.33032</v>
      </c>
      <c r="G9" s="102"/>
    </row>
    <row r="10" spans="1:7">
      <c r="A10" s="458"/>
      <c r="B10" s="458"/>
      <c r="E10" s="193" t="s">
        <v>193</v>
      </c>
      <c r="F10" s="101">
        <f>'NAV Trend'!J5</f>
        <v>554560757841.43372</v>
      </c>
      <c r="G10" s="102"/>
    </row>
    <row r="11" spans="1:7">
      <c r="A11" s="95"/>
      <c r="B11" s="95"/>
      <c r="E11" s="193" t="s">
        <v>209</v>
      </c>
      <c r="F11" s="101">
        <f>'NAV Trend'!J6</f>
        <v>92863739575.880005</v>
      </c>
      <c r="G11" s="102"/>
    </row>
    <row r="12" spans="1:7">
      <c r="A12" s="96"/>
      <c r="B12" s="97"/>
      <c r="E12" s="193" t="s">
        <v>60</v>
      </c>
      <c r="F12" s="101">
        <f>'NAV Trend'!J7</f>
        <v>40429036765.108025</v>
      </c>
      <c r="G12" s="102"/>
    </row>
    <row r="13" spans="1:7">
      <c r="A13" s="96"/>
      <c r="B13" s="97"/>
      <c r="E13" s="193" t="s">
        <v>66</v>
      </c>
      <c r="F13" s="101">
        <f>'NAV Trend'!J8</f>
        <v>3988679154.2799997</v>
      </c>
      <c r="G13" s="102"/>
    </row>
    <row r="14" spans="1:7">
      <c r="A14" s="96"/>
      <c r="B14" s="97"/>
      <c r="E14" s="193" t="s">
        <v>206</v>
      </c>
      <c r="F14" s="194">
        <f>'NAV Trend'!J9</f>
        <v>28062421939.949997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5" t="s">
        <v>153</v>
      </c>
      <c r="M25" s="94"/>
    </row>
    <row r="26" spans="1:13" ht="43.5" customHeight="1">
      <c r="B26" s="459" t="s">
        <v>288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5" t="s">
        <v>64</v>
      </c>
      <c r="C1" s="339">
        <v>45128</v>
      </c>
      <c r="D1" s="339">
        <v>45135</v>
      </c>
      <c r="E1" s="339">
        <v>45142</v>
      </c>
      <c r="F1" s="339">
        <v>45149</v>
      </c>
      <c r="G1" s="339">
        <v>45156</v>
      </c>
      <c r="H1" s="339">
        <v>45163</v>
      </c>
      <c r="I1" s="339">
        <v>45170</v>
      </c>
      <c r="J1" s="339">
        <v>45177</v>
      </c>
      <c r="K1" s="339">
        <v>45184</v>
      </c>
      <c r="L1" s="303"/>
    </row>
    <row r="2" spans="2:24" s="108" customFormat="1" ht="16.5">
      <c r="B2" s="346" t="s">
        <v>0</v>
      </c>
      <c r="C2" s="340">
        <v>21667567762.559998</v>
      </c>
      <c r="D2" s="340">
        <v>21710538133.900002</v>
      </c>
      <c r="E2" s="340">
        <v>21798118395</v>
      </c>
      <c r="F2" s="340">
        <v>21799255745.139996</v>
      </c>
      <c r="G2" s="340">
        <v>21756530204.330006</v>
      </c>
      <c r="H2" s="340">
        <v>21948547893.360001</v>
      </c>
      <c r="I2" s="340">
        <v>22687921199.809998</v>
      </c>
      <c r="J2" s="340">
        <v>23086923138.879997</v>
      </c>
      <c r="K2" s="340">
        <v>22684841502.700001</v>
      </c>
    </row>
    <row r="3" spans="2:24" s="108" customFormat="1" ht="16.5">
      <c r="B3" s="346" t="s">
        <v>44</v>
      </c>
      <c r="C3" s="341">
        <v>847949243662.16028</v>
      </c>
      <c r="D3" s="341">
        <v>849994179796.46228</v>
      </c>
      <c r="E3" s="341">
        <v>856179741726.49231</v>
      </c>
      <c r="F3" s="341">
        <v>857163632618.47339</v>
      </c>
      <c r="G3" s="341">
        <v>855610980289.1698</v>
      </c>
      <c r="H3" s="341">
        <v>852824801464.56006</v>
      </c>
      <c r="I3" s="341">
        <v>854338532735.88501</v>
      </c>
      <c r="J3" s="341">
        <v>842459027080.45435</v>
      </c>
      <c r="K3" s="341">
        <v>842959336565.12207</v>
      </c>
    </row>
    <row r="4" spans="2:24" s="108" customFormat="1" ht="16.5">
      <c r="B4" s="346" t="s">
        <v>191</v>
      </c>
      <c r="C4" s="340">
        <v>319728597414.12091</v>
      </c>
      <c r="D4" s="340">
        <v>320399612573.65601</v>
      </c>
      <c r="E4" s="340">
        <v>320872331713.32611</v>
      </c>
      <c r="F4" s="340">
        <v>321156453816.64587</v>
      </c>
      <c r="G4" s="340">
        <v>320687160580.93243</v>
      </c>
      <c r="H4" s="340">
        <v>319581951019.79437</v>
      </c>
      <c r="I4" s="340">
        <v>319127187068.50275</v>
      </c>
      <c r="J4" s="340">
        <v>320114444673.33032</v>
      </c>
      <c r="K4" s="340">
        <v>320326205967.90063</v>
      </c>
    </row>
    <row r="5" spans="2:24" s="108" customFormat="1" ht="16.5">
      <c r="B5" s="346" t="s">
        <v>193</v>
      </c>
      <c r="C5" s="341">
        <v>568541591372.9552</v>
      </c>
      <c r="D5" s="341">
        <v>569956762301.13733</v>
      </c>
      <c r="E5" s="341">
        <v>553123134779.05676</v>
      </c>
      <c r="F5" s="341">
        <v>554621583051.02319</v>
      </c>
      <c r="G5" s="341">
        <v>555450233256.58521</v>
      </c>
      <c r="H5" s="341">
        <v>584920699343.90466</v>
      </c>
      <c r="I5" s="341">
        <v>561324750435.97546</v>
      </c>
      <c r="J5" s="341">
        <v>554560757841.43372</v>
      </c>
      <c r="K5" s="341">
        <v>579242821265.46704</v>
      </c>
    </row>
    <row r="6" spans="2:24" s="108" customFormat="1" ht="16.5">
      <c r="B6" s="346" t="s">
        <v>210</v>
      </c>
      <c r="C6" s="340">
        <v>93543514118.800003</v>
      </c>
      <c r="D6" s="340">
        <v>93558457831.729996</v>
      </c>
      <c r="E6" s="340">
        <v>93574800912.410004</v>
      </c>
      <c r="F6" s="340">
        <v>93594876666.309998</v>
      </c>
      <c r="G6" s="340">
        <v>93626727218.01001</v>
      </c>
      <c r="H6" s="340">
        <v>93509583223.449997</v>
      </c>
      <c r="I6" s="340">
        <v>93504922541.330002</v>
      </c>
      <c r="J6" s="340">
        <v>92863739575.880005</v>
      </c>
      <c r="K6" s="340">
        <v>92900265036.520004</v>
      </c>
    </row>
    <row r="7" spans="2:24" s="108" customFormat="1" ht="16.5">
      <c r="B7" s="346" t="s">
        <v>219</v>
      </c>
      <c r="C7" s="342">
        <v>38533905044.200745</v>
      </c>
      <c r="D7" s="342">
        <v>38690467865.717575</v>
      </c>
      <c r="E7" s="342">
        <v>38884096485.686134</v>
      </c>
      <c r="F7" s="342">
        <v>38936521066.392647</v>
      </c>
      <c r="G7" s="342">
        <v>38811275853.394905</v>
      </c>
      <c r="H7" s="342">
        <v>39079043179.509552</v>
      </c>
      <c r="I7" s="342">
        <v>39909523580.55719</v>
      </c>
      <c r="J7" s="342">
        <v>40429036765.108025</v>
      </c>
      <c r="K7" s="342">
        <v>39999967409.311623</v>
      </c>
    </row>
    <row r="8" spans="2:24" s="284" customFormat="1" ht="16.5">
      <c r="B8" s="346" t="s">
        <v>66</v>
      </c>
      <c r="C8" s="340">
        <v>3844664135.71</v>
      </c>
      <c r="D8" s="340">
        <v>3765883383.1199999</v>
      </c>
      <c r="E8" s="340">
        <v>3796886715.4300003</v>
      </c>
      <c r="F8" s="340">
        <v>3821769493.7000003</v>
      </c>
      <c r="G8" s="340">
        <v>3802289133.5500002</v>
      </c>
      <c r="H8" s="340">
        <v>3833193790.9099998</v>
      </c>
      <c r="I8" s="340">
        <v>3950705160.4500003</v>
      </c>
      <c r="J8" s="340">
        <v>3988679154.2799997</v>
      </c>
      <c r="K8" s="340">
        <v>3887178325.5900002</v>
      </c>
    </row>
    <row r="9" spans="2:24" ht="16.5">
      <c r="B9" s="346" t="s">
        <v>206</v>
      </c>
      <c r="C9" s="340">
        <v>27114196022.169998</v>
      </c>
      <c r="D9" s="340">
        <v>27315712442.810001</v>
      </c>
      <c r="E9" s="340">
        <v>27962550206.07</v>
      </c>
      <c r="F9" s="340">
        <v>27781533807.059998</v>
      </c>
      <c r="G9" s="340">
        <v>27801303893.869999</v>
      </c>
      <c r="H9" s="340">
        <v>27709525793.34</v>
      </c>
      <c r="I9" s="340">
        <v>27966500870.759998</v>
      </c>
      <c r="J9" s="340">
        <v>28062421939.949997</v>
      </c>
      <c r="K9" s="340">
        <v>28033788286.160004</v>
      </c>
    </row>
    <row r="10" spans="2:24" s="1" customFormat="1" ht="15.75">
      <c r="B10" s="347" t="s">
        <v>244</v>
      </c>
      <c r="C10" s="348">
        <f t="shared" ref="C10:J10" si="0">SUM(C2:C9)</f>
        <v>1920923279532.677</v>
      </c>
      <c r="D10" s="348">
        <f t="shared" si="0"/>
        <v>1925391614328.5334</v>
      </c>
      <c r="E10" s="348">
        <f t="shared" si="0"/>
        <v>1916191660933.4709</v>
      </c>
      <c r="F10" s="348">
        <f t="shared" si="0"/>
        <v>1918875626264.7451</v>
      </c>
      <c r="G10" s="348">
        <f t="shared" si="0"/>
        <v>1917546500429.8425</v>
      </c>
      <c r="H10" s="348">
        <f t="shared" si="0"/>
        <v>1943407345708.8286</v>
      </c>
      <c r="I10" s="348">
        <f t="shared" si="0"/>
        <v>1922810043593.2705</v>
      </c>
      <c r="J10" s="348">
        <f t="shared" si="0"/>
        <v>1905565030169.3159</v>
      </c>
      <c r="K10" s="348">
        <f t="shared" ref="K10" si="1">SUM(K2:K9)</f>
        <v>1930034404358.7712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3"/>
      <c r="C11" s="344"/>
      <c r="D11" s="344"/>
      <c r="E11" s="344"/>
      <c r="F11" s="344"/>
      <c r="G11" s="344"/>
      <c r="H11" s="344"/>
      <c r="I11" s="344"/>
      <c r="J11" s="343"/>
      <c r="K11" s="343"/>
    </row>
    <row r="12" spans="2:24" ht="15.75">
      <c r="B12" s="349" t="s">
        <v>114</v>
      </c>
      <c r="C12" s="350" t="s">
        <v>113</v>
      </c>
      <c r="D12" s="351">
        <f>(C10+D10)/2</f>
        <v>1923157446930.6052</v>
      </c>
      <c r="E12" s="352">
        <f t="shared" ref="E12:K12" si="2">(D10+E10)/2</f>
        <v>1920791637631.0022</v>
      </c>
      <c r="F12" s="352">
        <f t="shared" si="2"/>
        <v>1917533643599.1079</v>
      </c>
      <c r="G12" s="352">
        <f t="shared" si="2"/>
        <v>1918211063347.2939</v>
      </c>
      <c r="H12" s="352">
        <f>(G10+H10)/2</f>
        <v>1930476923069.3354</v>
      </c>
      <c r="I12" s="352">
        <f t="shared" si="2"/>
        <v>1933108694651.0496</v>
      </c>
      <c r="J12" s="352">
        <f t="shared" si="2"/>
        <v>1914187536881.2932</v>
      </c>
      <c r="K12" s="352">
        <f t="shared" si="2"/>
        <v>1917799717264.0435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6"/>
      <c r="I14" s="90"/>
      <c r="J14" s="89"/>
      <c r="L14" s="377"/>
    </row>
    <row r="15" spans="2:24" ht="16.5">
      <c r="B15" s="345" t="s">
        <v>64</v>
      </c>
      <c r="C15" s="339">
        <v>45177</v>
      </c>
      <c r="D15" s="339">
        <v>45184</v>
      </c>
      <c r="E15" s="10"/>
      <c r="F15" s="10"/>
      <c r="G15" s="10"/>
      <c r="H15" s="356"/>
      <c r="I15" s="356"/>
    </row>
    <row r="16" spans="2:24" ht="16.5">
      <c r="B16" s="346" t="s">
        <v>0</v>
      </c>
      <c r="C16" s="340">
        <v>23086923138.879997</v>
      </c>
      <c r="D16" s="340">
        <v>22684841502.700001</v>
      </c>
      <c r="E16" s="10"/>
      <c r="F16" s="10"/>
      <c r="G16" s="10"/>
      <c r="H16" s="358"/>
      <c r="I16" s="358"/>
      <c r="J16" s="90"/>
    </row>
    <row r="17" spans="2:10" ht="16.5">
      <c r="B17" s="346" t="s">
        <v>44</v>
      </c>
      <c r="C17" s="341">
        <v>842459027080.45435</v>
      </c>
      <c r="D17" s="341">
        <v>842959336565.12207</v>
      </c>
      <c r="E17" s="10"/>
      <c r="F17" s="10"/>
      <c r="G17" s="10"/>
      <c r="H17" s="359"/>
      <c r="I17" s="359"/>
    </row>
    <row r="18" spans="2:10" ht="16.5">
      <c r="B18" s="346" t="s">
        <v>191</v>
      </c>
      <c r="C18" s="340">
        <v>320114444673.33032</v>
      </c>
      <c r="D18" s="340">
        <v>320326205967.90063</v>
      </c>
      <c r="E18" s="9"/>
      <c r="F18" s="9"/>
      <c r="G18" s="9"/>
      <c r="H18" s="358"/>
      <c r="I18" s="358"/>
    </row>
    <row r="19" spans="2:10" ht="16.5">
      <c r="B19" s="346" t="s">
        <v>193</v>
      </c>
      <c r="C19" s="341">
        <v>554560757841.43372</v>
      </c>
      <c r="D19" s="341">
        <v>579242821265.46704</v>
      </c>
      <c r="E19" s="8"/>
      <c r="F19" s="8"/>
      <c r="G19" s="8"/>
      <c r="H19" s="359"/>
      <c r="I19" s="359"/>
    </row>
    <row r="20" spans="2:10" ht="16.5">
      <c r="B20" s="346" t="s">
        <v>210</v>
      </c>
      <c r="C20" s="340">
        <v>92863739575.880005</v>
      </c>
      <c r="D20" s="340">
        <v>92900265036.520004</v>
      </c>
      <c r="E20" s="8"/>
      <c r="F20" s="8"/>
      <c r="G20" s="8"/>
      <c r="H20" s="358"/>
      <c r="I20" s="358"/>
      <c r="J20" s="91"/>
    </row>
    <row r="21" spans="2:10" ht="16.5">
      <c r="B21" s="346" t="s">
        <v>219</v>
      </c>
      <c r="C21" s="342">
        <v>40429036765.108025</v>
      </c>
      <c r="D21" s="342">
        <v>39999967409.311623</v>
      </c>
      <c r="E21" s="8"/>
      <c r="F21" s="8"/>
      <c r="G21" s="8"/>
      <c r="H21" s="360"/>
      <c r="I21" s="360"/>
    </row>
    <row r="22" spans="2:10" ht="16.5">
      <c r="B22" s="346" t="s">
        <v>66</v>
      </c>
      <c r="C22" s="340">
        <v>3988679154.2799997</v>
      </c>
      <c r="D22" s="340">
        <v>3887178325.5900002</v>
      </c>
      <c r="E22" s="8"/>
      <c r="F22" s="8"/>
      <c r="G22" s="8"/>
      <c r="H22" s="358"/>
      <c r="I22" s="358"/>
    </row>
    <row r="23" spans="2:10" ht="16.5">
      <c r="B23" s="346" t="s">
        <v>206</v>
      </c>
      <c r="C23" s="340">
        <v>28062421939.949997</v>
      </c>
      <c r="D23" s="340">
        <v>28033788286.160004</v>
      </c>
      <c r="E23" s="8"/>
      <c r="F23" s="8"/>
      <c r="G23" s="8"/>
      <c r="H23" s="358"/>
      <c r="I23" s="358"/>
    </row>
    <row r="24" spans="2:10" ht="16.5">
      <c r="B24" s="357"/>
      <c r="C24" s="358"/>
      <c r="D24" s="8"/>
      <c r="E24" s="8"/>
      <c r="F24" s="8"/>
      <c r="G24" s="8"/>
      <c r="H24" s="358"/>
    </row>
    <row r="25" spans="2:10" ht="16.5">
      <c r="B25" s="357"/>
      <c r="C25" s="358"/>
      <c r="D25" s="8"/>
      <c r="E25" s="8"/>
      <c r="F25" s="8"/>
      <c r="G25" s="8"/>
      <c r="H25" s="358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0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0.42578125" style="366" customWidth="1"/>
    <col min="3" max="3" width="9.28515625" style="366" customWidth="1"/>
    <col min="4" max="4" width="20.140625" style="366" customWidth="1"/>
    <col min="5" max="7" width="9.28515625" style="366" customWidth="1"/>
    <col min="8" max="8" width="20.42578125" style="366" customWidth="1"/>
    <col min="9" max="9" width="10" style="366" customWidth="1"/>
    <col min="10" max="11" width="9.28515625" style="366" customWidth="1"/>
    <col min="12" max="12" width="19.7109375" style="366" customWidth="1"/>
    <col min="13" max="15" width="9.28515625" style="366" customWidth="1"/>
    <col min="16" max="16" width="20.5703125" style="366" customWidth="1"/>
    <col min="17" max="19" width="9.28515625" style="366" customWidth="1"/>
    <col min="20" max="20" width="22.7109375" style="366" customWidth="1"/>
    <col min="21" max="23" width="9.28515625" style="366" customWidth="1"/>
    <col min="24" max="24" width="21.28515625" style="366" customWidth="1"/>
    <col min="25" max="25" width="9.5703125" style="366" customWidth="1"/>
    <col min="26" max="27" width="9.28515625" style="366" customWidth="1"/>
    <col min="28" max="28" width="20" style="366" customWidth="1"/>
    <col min="29" max="29" width="10.42578125" style="366" customWidth="1"/>
    <col min="30" max="31" width="9.28515625" style="366" customWidth="1"/>
    <col min="32" max="32" width="21.28515625" style="366" customWidth="1"/>
    <col min="33" max="33" width="10" style="366" customWidth="1"/>
    <col min="34" max="35" width="9.28515625" style="36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4" t="s">
        <v>71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6"/>
    </row>
    <row r="2" spans="1:49" ht="30.75" customHeight="1">
      <c r="A2" s="198"/>
      <c r="B2" s="460" t="s">
        <v>268</v>
      </c>
      <c r="C2" s="460"/>
      <c r="D2" s="460" t="s">
        <v>269</v>
      </c>
      <c r="E2" s="460"/>
      <c r="F2" s="460" t="s">
        <v>62</v>
      </c>
      <c r="G2" s="460"/>
      <c r="H2" s="460" t="s">
        <v>270</v>
      </c>
      <c r="I2" s="460"/>
      <c r="J2" s="460" t="s">
        <v>62</v>
      </c>
      <c r="K2" s="460"/>
      <c r="L2" s="460" t="s">
        <v>271</v>
      </c>
      <c r="M2" s="460"/>
      <c r="N2" s="460" t="s">
        <v>62</v>
      </c>
      <c r="O2" s="460"/>
      <c r="P2" s="460" t="s">
        <v>273</v>
      </c>
      <c r="Q2" s="460"/>
      <c r="R2" s="460" t="s">
        <v>62</v>
      </c>
      <c r="S2" s="460"/>
      <c r="T2" s="460" t="s">
        <v>274</v>
      </c>
      <c r="U2" s="460"/>
      <c r="V2" s="460" t="s">
        <v>62</v>
      </c>
      <c r="W2" s="460"/>
      <c r="X2" s="460" t="s">
        <v>275</v>
      </c>
      <c r="Y2" s="460"/>
      <c r="Z2" s="460" t="s">
        <v>62</v>
      </c>
      <c r="AA2" s="460"/>
      <c r="AB2" s="460" t="s">
        <v>279</v>
      </c>
      <c r="AC2" s="460"/>
      <c r="AD2" s="460" t="s">
        <v>62</v>
      </c>
      <c r="AE2" s="460"/>
      <c r="AF2" s="460" t="s">
        <v>287</v>
      </c>
      <c r="AG2" s="460"/>
      <c r="AH2" s="460" t="s">
        <v>62</v>
      </c>
      <c r="AI2" s="460"/>
      <c r="AJ2" s="460" t="s">
        <v>78</v>
      </c>
      <c r="AK2" s="460"/>
      <c r="AL2" s="460" t="s">
        <v>79</v>
      </c>
      <c r="AM2" s="460"/>
      <c r="AN2" s="460" t="s">
        <v>70</v>
      </c>
      <c r="AO2" s="467"/>
      <c r="AP2" s="14"/>
      <c r="AQ2" s="461" t="s">
        <v>83</v>
      </c>
      <c r="AR2" s="462"/>
      <c r="AS2" s="14"/>
      <c r="AT2" s="14"/>
    </row>
    <row r="3" spans="1:49" ht="27.75" customHeight="1">
      <c r="A3" s="199" t="s">
        <v>2</v>
      </c>
      <c r="B3" s="190" t="s">
        <v>58</v>
      </c>
      <c r="C3" s="191" t="s">
        <v>3</v>
      </c>
      <c r="D3" s="190" t="s">
        <v>58</v>
      </c>
      <c r="E3" s="191" t="s">
        <v>3</v>
      </c>
      <c r="F3" s="195" t="s">
        <v>58</v>
      </c>
      <c r="G3" s="196" t="s">
        <v>3</v>
      </c>
      <c r="H3" s="190" t="s">
        <v>58</v>
      </c>
      <c r="I3" s="191" t="s">
        <v>3</v>
      </c>
      <c r="J3" s="195" t="s">
        <v>58</v>
      </c>
      <c r="K3" s="196" t="s">
        <v>3</v>
      </c>
      <c r="L3" s="190" t="s">
        <v>58</v>
      </c>
      <c r="M3" s="191" t="s">
        <v>3</v>
      </c>
      <c r="N3" s="195" t="s">
        <v>58</v>
      </c>
      <c r="O3" s="196" t="s">
        <v>3</v>
      </c>
      <c r="P3" s="190" t="s">
        <v>58</v>
      </c>
      <c r="Q3" s="191" t="s">
        <v>3</v>
      </c>
      <c r="R3" s="195" t="s">
        <v>58</v>
      </c>
      <c r="S3" s="196" t="s">
        <v>3</v>
      </c>
      <c r="T3" s="190" t="s">
        <v>58</v>
      </c>
      <c r="U3" s="191" t="s">
        <v>3</v>
      </c>
      <c r="V3" s="195" t="s">
        <v>58</v>
      </c>
      <c r="W3" s="196" t="s">
        <v>3</v>
      </c>
      <c r="X3" s="190" t="s">
        <v>58</v>
      </c>
      <c r="Y3" s="191" t="s">
        <v>3</v>
      </c>
      <c r="Z3" s="195" t="s">
        <v>58</v>
      </c>
      <c r="AA3" s="196" t="s">
        <v>3</v>
      </c>
      <c r="AB3" s="190" t="s">
        <v>58</v>
      </c>
      <c r="AC3" s="191" t="s">
        <v>3</v>
      </c>
      <c r="AD3" s="195" t="s">
        <v>58</v>
      </c>
      <c r="AE3" s="196" t="s">
        <v>3</v>
      </c>
      <c r="AF3" s="190" t="s">
        <v>58</v>
      </c>
      <c r="AG3" s="191" t="s">
        <v>3</v>
      </c>
      <c r="AH3" s="195" t="s">
        <v>58</v>
      </c>
      <c r="AI3" s="196" t="s">
        <v>3</v>
      </c>
      <c r="AJ3" s="195" t="s">
        <v>58</v>
      </c>
      <c r="AK3" s="196" t="s">
        <v>3</v>
      </c>
      <c r="AL3" s="195" t="s">
        <v>58</v>
      </c>
      <c r="AM3" s="196" t="s">
        <v>3</v>
      </c>
      <c r="AN3" s="195" t="s">
        <v>58</v>
      </c>
      <c r="AO3" s="378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0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1" t="s">
        <v>13</v>
      </c>
      <c r="B5" s="325">
        <v>613895855.03999996</v>
      </c>
      <c r="C5" s="324">
        <v>262.24189999999999</v>
      </c>
      <c r="D5" s="325">
        <v>612427190.11000001</v>
      </c>
      <c r="E5" s="324">
        <v>260.09980000000002</v>
      </c>
      <c r="F5" s="23">
        <f t="shared" ref="F5:F20" si="0">((D5-B5)/B5)</f>
        <v>-2.3923682135046391E-3</v>
      </c>
      <c r="G5" s="23">
        <f t="shared" ref="G5:G20" si="1">((E5-C5)/C5)</f>
        <v>-8.1684124466760311E-3</v>
      </c>
      <c r="H5" s="325">
        <v>621969400.20000005</v>
      </c>
      <c r="I5" s="324">
        <v>259.68880000000001</v>
      </c>
      <c r="J5" s="23">
        <f t="shared" ref="J5:J20" si="2">((H5-D5)/D5)</f>
        <v>1.5580970675528182E-2</v>
      </c>
      <c r="K5" s="23">
        <f t="shared" ref="K5:K20" si="3">((I5-E5)/E5)</f>
        <v>-1.5801626913976917E-3</v>
      </c>
      <c r="L5" s="325">
        <v>628602252.70000005</v>
      </c>
      <c r="M5" s="324">
        <v>260.66609999999997</v>
      </c>
      <c r="N5" s="23">
        <f t="shared" ref="N5:N20" si="4">((L5-H5)/H5)</f>
        <v>1.0664274637734821E-2</v>
      </c>
      <c r="O5" s="23">
        <f t="shared" ref="O5:O20" si="5">((M5-I5)/I5)</f>
        <v>3.7633505950197196E-3</v>
      </c>
      <c r="P5" s="325">
        <v>623207876.88</v>
      </c>
      <c r="Q5" s="324">
        <v>259.41590000000002</v>
      </c>
      <c r="R5" s="23">
        <f t="shared" ref="R5:R20" si="6">((P5-L5)/L5)</f>
        <v>-8.5815407069094844E-3</v>
      </c>
      <c r="S5" s="23">
        <f t="shared" ref="S5:S20" si="7">((Q5-M5)/M5)</f>
        <v>-4.7961741093297131E-3</v>
      </c>
      <c r="T5" s="325">
        <v>631067890.95000005</v>
      </c>
      <c r="U5" s="324">
        <v>264.0881</v>
      </c>
      <c r="V5" s="23">
        <f t="shared" ref="V5:V20" si="8">((T5-P5)/P5)</f>
        <v>1.2612186658086022E-2</v>
      </c>
      <c r="W5" s="23">
        <f t="shared" ref="W5:W20" si="9">((U5-Q5)/Q5)</f>
        <v>1.8010461193781781E-2</v>
      </c>
      <c r="X5" s="325">
        <v>663599274.85000002</v>
      </c>
      <c r="Y5" s="324">
        <v>276.63319999999999</v>
      </c>
      <c r="Z5" s="23">
        <f t="shared" ref="Z5:Z20" si="10">((X5-T5)/T5)</f>
        <v>5.154973714639121E-2</v>
      </c>
      <c r="AA5" s="23">
        <f t="shared" ref="AA5:AA20" si="11">((Y5-U5)/U5)</f>
        <v>4.7503465699514635E-2</v>
      </c>
      <c r="AB5" s="325">
        <v>676823035.13</v>
      </c>
      <c r="AC5" s="324">
        <v>281.70780000000002</v>
      </c>
      <c r="AD5" s="23">
        <f t="shared" ref="AD5:AD20" si="12">((AB5-X5)/X5)</f>
        <v>1.992732780334799E-2</v>
      </c>
      <c r="AE5" s="23">
        <f t="shared" ref="AE5:AE20" si="13">((AC5-Y5)/Y5)</f>
        <v>1.8344146689551481E-2</v>
      </c>
      <c r="AF5" s="325">
        <v>684549382</v>
      </c>
      <c r="AG5" s="324">
        <v>275.67899999999997</v>
      </c>
      <c r="AH5" s="23">
        <f t="shared" ref="AH5:AH20" si="14">((AF5-AB5)/AB5)</f>
        <v>1.141560861402416E-2</v>
      </c>
      <c r="AI5" s="23">
        <f t="shared" ref="AI5:AI20" si="15">((AG5-AC5)/AC5)</f>
        <v>-2.1400898377680867E-2</v>
      </c>
      <c r="AJ5" s="24">
        <f>AVERAGE(F5,J5,N5,R5,V5,Z5,AD5,AH5)</f>
        <v>1.3847024576837282E-2</v>
      </c>
      <c r="AK5" s="24">
        <f>AVERAGE(G5,K5,O5,S5,W5,AA5,AE5,AI5)</f>
        <v>6.4594720690979131E-3</v>
      </c>
      <c r="AL5" s="25">
        <f>((AF5-D5)/D5)</f>
        <v>0.11776451642691743</v>
      </c>
      <c r="AM5" s="25">
        <f>((AG5-E5)/E5)</f>
        <v>5.9897008763559051E-2</v>
      </c>
      <c r="AN5" s="379">
        <f>STDEV(F5,J5,N5,R5,V5,Z5,AD5,AH5)</f>
        <v>1.7911672633999027E-2</v>
      </c>
      <c r="AO5" s="380">
        <f>STDEV(G5,K5,O5,S5,W5,AA5,AE5,AH5)</f>
        <v>1.7975370157810415E-2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1" t="s">
        <v>135</v>
      </c>
      <c r="B6" s="324">
        <v>524343598.63</v>
      </c>
      <c r="C6" s="324">
        <v>182.36279999999999</v>
      </c>
      <c r="D6" s="324">
        <v>518294394.38999999</v>
      </c>
      <c r="E6" s="324">
        <v>188.03749999999999</v>
      </c>
      <c r="F6" s="23">
        <f t="shared" si="0"/>
        <v>-1.1536718014304576E-2</v>
      </c>
      <c r="G6" s="23">
        <f t="shared" si="1"/>
        <v>3.1117640220483571E-2</v>
      </c>
      <c r="H6" s="324">
        <v>510579594.36000001</v>
      </c>
      <c r="I6" s="324">
        <v>188.75640000000001</v>
      </c>
      <c r="J6" s="23">
        <f t="shared" si="2"/>
        <v>-1.4884976788297715E-2</v>
      </c>
      <c r="K6" s="23">
        <f t="shared" si="3"/>
        <v>3.8231735691020099E-3</v>
      </c>
      <c r="L6" s="324">
        <v>511617940.92000002</v>
      </c>
      <c r="M6" s="324">
        <v>189.21789999999999</v>
      </c>
      <c r="N6" s="23">
        <f t="shared" si="4"/>
        <v>2.0336624719629586E-3</v>
      </c>
      <c r="O6" s="23">
        <f t="shared" si="5"/>
        <v>2.4449502109595883E-3</v>
      </c>
      <c r="P6" s="324">
        <v>508348620.04000002</v>
      </c>
      <c r="Q6" s="324">
        <v>188.1045</v>
      </c>
      <c r="R6" s="23">
        <f t="shared" si="6"/>
        <v>-6.3901607401043196E-3</v>
      </c>
      <c r="S6" s="23">
        <f t="shared" si="7"/>
        <v>-5.8842213130997885E-3</v>
      </c>
      <c r="T6" s="324">
        <v>506604063.85000002</v>
      </c>
      <c r="U6" s="324">
        <v>187.60990000000001</v>
      </c>
      <c r="V6" s="23">
        <f t="shared" si="8"/>
        <v>-3.4318106142645281E-3</v>
      </c>
      <c r="W6" s="23">
        <f t="shared" si="9"/>
        <v>-2.6293895148706771E-3</v>
      </c>
      <c r="X6" s="324">
        <v>519049234.76999998</v>
      </c>
      <c r="Y6" s="324">
        <v>192.2671</v>
      </c>
      <c r="Z6" s="23">
        <f t="shared" si="10"/>
        <v>2.4565872656885826E-2</v>
      </c>
      <c r="AA6" s="23">
        <f t="shared" si="11"/>
        <v>2.4823849914103621E-2</v>
      </c>
      <c r="AB6" s="324">
        <v>531115431.49000001</v>
      </c>
      <c r="AC6" s="324">
        <v>196.2141</v>
      </c>
      <c r="AD6" s="23">
        <f t="shared" si="12"/>
        <v>2.3246728656380309E-2</v>
      </c>
      <c r="AE6" s="23">
        <f t="shared" si="13"/>
        <v>2.0528733205004927E-2</v>
      </c>
      <c r="AF6" s="324">
        <v>531115431.49000001</v>
      </c>
      <c r="AG6" s="324">
        <v>196.2141</v>
      </c>
      <c r="AH6" s="23">
        <f t="shared" si="14"/>
        <v>0</v>
      </c>
      <c r="AI6" s="23">
        <f t="shared" si="15"/>
        <v>0</v>
      </c>
      <c r="AJ6" s="24">
        <f t="shared" ref="AJ6:AJ69" si="16">AVERAGE(F6,J6,N6,R6,V6,Z6,AD6,AH6)</f>
        <v>1.7003247035322446E-3</v>
      </c>
      <c r="AK6" s="24">
        <f t="shared" ref="AK6:AK69" si="17">AVERAGE(G6,K6,O6,S6,W6,AA6,AE6,AI6)</f>
        <v>9.2780920364604058E-3</v>
      </c>
      <c r="AL6" s="25">
        <f t="shared" ref="AL6:AL69" si="18">((AF6-D6)/D6)</f>
        <v>2.473697813207025E-2</v>
      </c>
      <c r="AM6" s="25">
        <f t="shared" ref="AM6:AM69" si="19">((AG6-E6)/E6)</f>
        <v>4.3483879545303507E-2</v>
      </c>
      <c r="AN6" s="379">
        <f t="shared" ref="AN6:AN69" si="20">STDEV(F6,J6,N6,R6,V6,Z6,AD6,AH6)</f>
        <v>1.4794638593540417E-2</v>
      </c>
      <c r="AO6" s="380">
        <f t="shared" ref="AO6:AO69" si="21">STDEV(G6,K6,O6,S6,W6,AA6,AE6,AH6)</f>
        <v>1.4037847805697241E-2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1" t="s">
        <v>11</v>
      </c>
      <c r="B7" s="324">
        <v>3225385897.1399999</v>
      </c>
      <c r="C7" s="324">
        <v>29.868099999999998</v>
      </c>
      <c r="D7" s="324">
        <v>3218728320.0500002</v>
      </c>
      <c r="E7" s="324">
        <v>29.732199999999999</v>
      </c>
      <c r="F7" s="23">
        <f t="shared" si="0"/>
        <v>-2.0641180008578366E-3</v>
      </c>
      <c r="G7" s="23">
        <f t="shared" si="1"/>
        <v>-4.5500048546777156E-3</v>
      </c>
      <c r="H7" s="324">
        <v>3206531932.8299999</v>
      </c>
      <c r="I7" s="324">
        <v>29.638500000000001</v>
      </c>
      <c r="J7" s="23">
        <f t="shared" si="2"/>
        <v>-3.7891943672371847E-3</v>
      </c>
      <c r="K7" s="23">
        <f t="shared" si="3"/>
        <v>-3.1514654146009491E-3</v>
      </c>
      <c r="L7" s="324">
        <v>3211342345.2600002</v>
      </c>
      <c r="M7" s="324">
        <v>29.691299999999998</v>
      </c>
      <c r="N7" s="23">
        <f t="shared" si="4"/>
        <v>1.5001916496601869E-3</v>
      </c>
      <c r="O7" s="23">
        <f t="shared" si="5"/>
        <v>1.7814666734145702E-3</v>
      </c>
      <c r="P7" s="324">
        <v>3208966322.8099999</v>
      </c>
      <c r="Q7" s="324">
        <v>29.677700000000002</v>
      </c>
      <c r="R7" s="23">
        <f t="shared" si="6"/>
        <v>-7.3988450764439311E-4</v>
      </c>
      <c r="S7" s="23">
        <f t="shared" si="7"/>
        <v>-4.5804663318873629E-4</v>
      </c>
      <c r="T7" s="324">
        <v>3236722755.8800001</v>
      </c>
      <c r="U7" s="324">
        <v>29.9483</v>
      </c>
      <c r="V7" s="23">
        <f t="shared" si="8"/>
        <v>8.6496492258898681E-3</v>
      </c>
      <c r="W7" s="23">
        <f t="shared" si="9"/>
        <v>9.117957254099817E-3</v>
      </c>
      <c r="X7" s="324">
        <v>3287674125.29</v>
      </c>
      <c r="Y7" s="324">
        <v>30.401199999999999</v>
      </c>
      <c r="Z7" s="23">
        <f t="shared" si="10"/>
        <v>1.5741653905154192E-2</v>
      </c>
      <c r="AA7" s="23">
        <f t="shared" si="11"/>
        <v>1.512272816820987E-2</v>
      </c>
      <c r="AB7" s="324">
        <v>3305314654.4299998</v>
      </c>
      <c r="AC7" s="324">
        <v>30.571899999999999</v>
      </c>
      <c r="AD7" s="23">
        <f t="shared" si="12"/>
        <v>5.365656226175952E-3</v>
      </c>
      <c r="AE7" s="23">
        <f t="shared" si="13"/>
        <v>5.6149099377656173E-3</v>
      </c>
      <c r="AF7" s="324">
        <v>3271006234.54</v>
      </c>
      <c r="AG7" s="324">
        <v>30.237500000000001</v>
      </c>
      <c r="AH7" s="23">
        <f t="shared" si="14"/>
        <v>-1.0379774235417336E-2</v>
      </c>
      <c r="AI7" s="23">
        <f t="shared" si="15"/>
        <v>-1.0938149084616877E-2</v>
      </c>
      <c r="AJ7" s="24">
        <f t="shared" si="16"/>
        <v>1.785522486965431E-3</v>
      </c>
      <c r="AK7" s="24">
        <f t="shared" si="17"/>
        <v>1.5674245058006995E-3</v>
      </c>
      <c r="AL7" s="25">
        <f t="shared" si="18"/>
        <v>1.6241791568537129E-2</v>
      </c>
      <c r="AM7" s="25">
        <f t="shared" si="19"/>
        <v>1.6995042411930564E-2</v>
      </c>
      <c r="AN7" s="379">
        <f t="shared" si="20"/>
        <v>8.0627710235659563E-3</v>
      </c>
      <c r="AO7" s="380">
        <f t="shared" si="21"/>
        <v>8.1387497888985322E-3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1" t="s">
        <v>81</v>
      </c>
      <c r="B8" s="324">
        <v>346572210.31999999</v>
      </c>
      <c r="C8" s="324">
        <v>170.92</v>
      </c>
      <c r="D8" s="324">
        <v>352680850.66000003</v>
      </c>
      <c r="E8" s="324">
        <v>173.42</v>
      </c>
      <c r="F8" s="23">
        <f t="shared" si="0"/>
        <v>1.7625880431554948E-2</v>
      </c>
      <c r="G8" s="23">
        <f t="shared" si="1"/>
        <v>1.4626725953662533E-2</v>
      </c>
      <c r="H8" s="324">
        <v>360548914.51999998</v>
      </c>
      <c r="I8" s="324">
        <v>174.23</v>
      </c>
      <c r="J8" s="23">
        <f t="shared" si="2"/>
        <v>2.2309302717388298E-2</v>
      </c>
      <c r="K8" s="23">
        <f t="shared" si="3"/>
        <v>4.6707415523007858E-3</v>
      </c>
      <c r="L8" s="324">
        <v>355115026.75999999</v>
      </c>
      <c r="M8" s="324">
        <v>175.14</v>
      </c>
      <c r="N8" s="23">
        <f t="shared" si="4"/>
        <v>-1.5071152737303741E-2</v>
      </c>
      <c r="O8" s="23">
        <f t="shared" si="5"/>
        <v>5.2229811169144042E-3</v>
      </c>
      <c r="P8" s="324">
        <v>362161349.74000001</v>
      </c>
      <c r="Q8" s="324">
        <v>176.22</v>
      </c>
      <c r="R8" s="23">
        <f t="shared" si="6"/>
        <v>1.9842367821742975E-2</v>
      </c>
      <c r="S8" s="23">
        <f t="shared" si="7"/>
        <v>6.1664953751285403E-3</v>
      </c>
      <c r="T8" s="324">
        <v>390975487.38999999</v>
      </c>
      <c r="U8" s="324">
        <v>180.24</v>
      </c>
      <c r="V8" s="23">
        <f t="shared" si="8"/>
        <v>7.956160333145984E-2</v>
      </c>
      <c r="W8" s="23">
        <f t="shared" si="9"/>
        <v>2.2812393598910512E-2</v>
      </c>
      <c r="X8" s="324">
        <v>415720670.63</v>
      </c>
      <c r="Y8" s="324">
        <v>182.88</v>
      </c>
      <c r="Z8" s="23">
        <f t="shared" si="10"/>
        <v>6.329088149538277E-2</v>
      </c>
      <c r="AA8" s="23">
        <f t="shared" si="11"/>
        <v>1.4647137150465969E-2</v>
      </c>
      <c r="AB8" s="324">
        <v>425086144.97000003</v>
      </c>
      <c r="AC8" s="324">
        <v>185.47</v>
      </c>
      <c r="AD8" s="23">
        <f t="shared" si="12"/>
        <v>2.2528286423206267E-2</v>
      </c>
      <c r="AE8" s="23">
        <f t="shared" si="13"/>
        <v>1.4162292213473334E-2</v>
      </c>
      <c r="AF8" s="324">
        <v>416547539.07999998</v>
      </c>
      <c r="AG8" s="324">
        <v>181.33</v>
      </c>
      <c r="AH8" s="23">
        <f t="shared" si="14"/>
        <v>-2.0086765920358678E-2</v>
      </c>
      <c r="AI8" s="23">
        <f t="shared" si="15"/>
        <v>-2.2321669272658579E-2</v>
      </c>
      <c r="AJ8" s="24">
        <f t="shared" si="16"/>
        <v>2.3750050445384082E-2</v>
      </c>
      <c r="AK8" s="24">
        <f t="shared" si="17"/>
        <v>7.498387211024686E-3</v>
      </c>
      <c r="AL8" s="25">
        <f t="shared" si="18"/>
        <v>0.18108918672641594</v>
      </c>
      <c r="AM8" s="25">
        <f t="shared" si="19"/>
        <v>4.5611809479875594E-2</v>
      </c>
      <c r="AN8" s="379">
        <f t="shared" si="20"/>
        <v>3.4149885890840864E-2</v>
      </c>
      <c r="AO8" s="380">
        <f t="shared" si="21"/>
        <v>1.2851389993420203E-2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366" customFormat="1">
      <c r="A9" s="201" t="s">
        <v>286</v>
      </c>
      <c r="B9" s="74">
        <v>69843586.170000002</v>
      </c>
      <c r="C9" s="324">
        <v>130.66200000000001</v>
      </c>
      <c r="D9" s="74">
        <v>69684504.700000003</v>
      </c>
      <c r="E9" s="324">
        <v>130.1129</v>
      </c>
      <c r="F9" s="23">
        <f t="shared" si="0"/>
        <v>-2.2776818706415343E-3</v>
      </c>
      <c r="G9" s="23">
        <f t="shared" si="1"/>
        <v>-4.2024460057247699E-3</v>
      </c>
      <c r="H9" s="74">
        <v>71901495.480000004</v>
      </c>
      <c r="I9" s="324">
        <v>128.4442</v>
      </c>
      <c r="J9" s="23">
        <f t="shared" ref="J9" si="22">((H9-D9)/D9)</f>
        <v>3.1814688065078561E-2</v>
      </c>
      <c r="K9" s="23">
        <f t="shared" ref="K9" si="23">((I9-E9)/E9)</f>
        <v>-1.2825015813189939E-2</v>
      </c>
      <c r="L9" s="74">
        <v>72537474.200000003</v>
      </c>
      <c r="M9" s="324">
        <v>129.20670000000001</v>
      </c>
      <c r="N9" s="23">
        <f t="shared" ref="N9" si="24">((L9-H9)/H9)</f>
        <v>8.8451389745697502E-3</v>
      </c>
      <c r="O9" s="23">
        <f t="shared" ref="O9" si="25">((M9-I9)/I9)</f>
        <v>5.9364299828253602E-3</v>
      </c>
      <c r="P9" s="74">
        <v>72135357.400000006</v>
      </c>
      <c r="Q9" s="324">
        <v>128.48689999999999</v>
      </c>
      <c r="R9" s="23">
        <f t="shared" ref="R9" si="26">((P9-L9)/L9)</f>
        <v>-5.5435732279743065E-3</v>
      </c>
      <c r="S9" s="23">
        <f t="shared" ref="S9" si="27">((Q9-M9)/M9)</f>
        <v>-5.5709185359584341E-3</v>
      </c>
      <c r="T9" s="74">
        <v>71865969.430000007</v>
      </c>
      <c r="U9" s="324">
        <v>128.00309999999999</v>
      </c>
      <c r="V9" s="23">
        <f t="shared" ref="V9" si="28">((T9-P9)/P9)</f>
        <v>-3.7344788978615194E-3</v>
      </c>
      <c r="W9" s="23">
        <f t="shared" ref="W9" si="29">((U9-Q9)/Q9)</f>
        <v>-3.7653644067994654E-3</v>
      </c>
      <c r="X9" s="74">
        <v>73406882.510000005</v>
      </c>
      <c r="Y9" s="324">
        <v>130.34989999999999</v>
      </c>
      <c r="Z9" s="23">
        <f t="shared" ref="Z9" si="30">((X9-T9)/T9)</f>
        <v>2.1441484644563264E-2</v>
      </c>
      <c r="AA9" s="23">
        <f t="shared" ref="AA9" si="31">((Y9-U9)/U9)</f>
        <v>1.833393097510921E-2</v>
      </c>
      <c r="AB9" s="74">
        <v>75819162.890000001</v>
      </c>
      <c r="AC9" s="324">
        <v>133.14189999999999</v>
      </c>
      <c r="AD9" s="23">
        <f t="shared" ref="AD9" si="32">((AB9-X9)/X9)</f>
        <v>3.2861773957930676E-2</v>
      </c>
      <c r="AE9" s="23">
        <f t="shared" ref="AE9" si="33">((AC9-Y9)/Y9)</f>
        <v>2.1419272281758574E-2</v>
      </c>
      <c r="AF9" s="74">
        <v>74463521.510000005</v>
      </c>
      <c r="AG9" s="324">
        <v>130.54300000000001</v>
      </c>
      <c r="AH9" s="23">
        <f t="shared" si="14"/>
        <v>-1.7879930723671899E-2</v>
      </c>
      <c r="AI9" s="23">
        <f t="shared" si="15"/>
        <v>-1.9519775517699435E-2</v>
      </c>
      <c r="AJ9" s="24">
        <f t="shared" si="16"/>
        <v>8.1909276152491231E-3</v>
      </c>
      <c r="AK9" s="24">
        <f t="shared" si="17"/>
        <v>-2.423587995986241E-5</v>
      </c>
      <c r="AL9" s="25">
        <f t="shared" si="18"/>
        <v>6.858076742561682E-2</v>
      </c>
      <c r="AM9" s="25">
        <f t="shared" si="19"/>
        <v>3.3055907600246415E-3</v>
      </c>
      <c r="AN9" s="379">
        <f t="shared" si="20"/>
        <v>1.8757365197842057E-2</v>
      </c>
      <c r="AO9" s="380">
        <f t="shared" si="21"/>
        <v>1.4025205422309893E-2</v>
      </c>
      <c r="AP9" s="30"/>
      <c r="AQ9" s="33"/>
      <c r="AR9" s="34"/>
      <c r="AS9" s="29"/>
      <c r="AT9" s="29"/>
      <c r="AU9" s="91"/>
    </row>
    <row r="10" spans="1:49" s="86" customFormat="1">
      <c r="A10" s="201" t="s">
        <v>52</v>
      </c>
      <c r="B10" s="324">
        <v>578928099.95000005</v>
      </c>
      <c r="C10" s="324">
        <v>251.2</v>
      </c>
      <c r="D10" s="324">
        <v>572941963.38999999</v>
      </c>
      <c r="E10" s="324">
        <v>239.8</v>
      </c>
      <c r="F10" s="23">
        <f t="shared" si="0"/>
        <v>-1.0340034557861439E-2</v>
      </c>
      <c r="G10" s="23">
        <f t="shared" si="1"/>
        <v>-4.5382165605095455E-2</v>
      </c>
      <c r="H10" s="324">
        <v>565564799.84000003</v>
      </c>
      <c r="I10" s="324">
        <v>237.83</v>
      </c>
      <c r="J10" s="23">
        <f t="shared" si="2"/>
        <v>-1.2875935123254949E-2</v>
      </c>
      <c r="K10" s="23">
        <f t="shared" si="3"/>
        <v>-8.2151793160967421E-3</v>
      </c>
      <c r="L10" s="324">
        <v>589060642.75</v>
      </c>
      <c r="M10" s="324">
        <v>239.28</v>
      </c>
      <c r="N10" s="23">
        <f t="shared" si="4"/>
        <v>4.154403335682668E-2</v>
      </c>
      <c r="O10" s="23">
        <f t="shared" si="5"/>
        <v>6.0967918260942206E-3</v>
      </c>
      <c r="P10" s="324">
        <v>588294579.13</v>
      </c>
      <c r="Q10" s="324">
        <v>237.84</v>
      </c>
      <c r="R10" s="23">
        <f t="shared" si="6"/>
        <v>-1.3004834551900723E-3</v>
      </c>
      <c r="S10" s="23">
        <f t="shared" si="7"/>
        <v>-6.0180541624874524E-3</v>
      </c>
      <c r="T10" s="324">
        <v>603953308.50999999</v>
      </c>
      <c r="U10" s="324">
        <v>241.46</v>
      </c>
      <c r="V10" s="23">
        <f t="shared" si="8"/>
        <v>2.6617157348546236E-2</v>
      </c>
      <c r="W10" s="23">
        <f t="shared" si="9"/>
        <v>1.5220316178943847E-2</v>
      </c>
      <c r="X10" s="324">
        <v>663235844.59000003</v>
      </c>
      <c r="Y10" s="324">
        <v>251.68</v>
      </c>
      <c r="Z10" s="23">
        <f t="shared" si="10"/>
        <v>9.8157482117706571E-2</v>
      </c>
      <c r="AA10" s="23">
        <f t="shared" si="11"/>
        <v>4.2325851072641425E-2</v>
      </c>
      <c r="AB10" s="324">
        <v>685567088.65999997</v>
      </c>
      <c r="AC10" s="324">
        <v>257.08999999999997</v>
      </c>
      <c r="AD10" s="23">
        <f t="shared" si="12"/>
        <v>3.3670140497012328E-2</v>
      </c>
      <c r="AE10" s="23">
        <f t="shared" si="13"/>
        <v>2.1495549904640688E-2</v>
      </c>
      <c r="AF10" s="324">
        <v>682849073.95000005</v>
      </c>
      <c r="AG10" s="324">
        <v>253.82</v>
      </c>
      <c r="AH10" s="23">
        <f t="shared" si="14"/>
        <v>-3.9646225073501021E-3</v>
      </c>
      <c r="AI10" s="23">
        <f t="shared" si="15"/>
        <v>-1.2719281185576966E-2</v>
      </c>
      <c r="AJ10" s="24">
        <f t="shared" si="16"/>
        <v>2.1438467209554408E-2</v>
      </c>
      <c r="AK10" s="24">
        <f t="shared" si="17"/>
        <v>1.6004785891329445E-3</v>
      </c>
      <c r="AL10" s="25">
        <f t="shared" si="18"/>
        <v>0.19182939561574164</v>
      </c>
      <c r="AM10" s="25">
        <f t="shared" si="19"/>
        <v>5.8465387823185909E-2</v>
      </c>
      <c r="AN10" s="379">
        <f t="shared" si="20"/>
        <v>3.7447490719071774E-2</v>
      </c>
      <c r="AO10" s="380">
        <f t="shared" si="21"/>
        <v>2.5754984306208626E-2</v>
      </c>
      <c r="AP10" s="30"/>
      <c r="AQ10" s="33"/>
      <c r="AR10" s="34"/>
      <c r="AS10" s="29"/>
      <c r="AT10" s="29"/>
    </row>
    <row r="11" spans="1:49">
      <c r="A11" s="201" t="s">
        <v>8</v>
      </c>
      <c r="B11" s="325">
        <v>315305307.26999998</v>
      </c>
      <c r="C11" s="324">
        <v>166.99</v>
      </c>
      <c r="D11" s="325">
        <v>309368782.70999998</v>
      </c>
      <c r="E11" s="324">
        <v>163.79</v>
      </c>
      <c r="F11" s="23">
        <f t="shared" si="0"/>
        <v>-1.8827861197136399E-2</v>
      </c>
      <c r="G11" s="23">
        <f t="shared" si="1"/>
        <v>-1.9162824121204965E-2</v>
      </c>
      <c r="H11" s="325">
        <v>319107515.81</v>
      </c>
      <c r="I11" s="324">
        <v>165.09</v>
      </c>
      <c r="J11" s="23">
        <f t="shared" si="2"/>
        <v>3.1479365871019509E-2</v>
      </c>
      <c r="K11" s="23">
        <f t="shared" si="3"/>
        <v>7.9369924903840983E-3</v>
      </c>
      <c r="L11" s="325">
        <v>322785456.94</v>
      </c>
      <c r="M11" s="324">
        <v>166.94</v>
      </c>
      <c r="N11" s="23">
        <f t="shared" si="4"/>
        <v>1.1525711391234922E-2</v>
      </c>
      <c r="O11" s="23">
        <f t="shared" si="5"/>
        <v>1.1206008843660999E-2</v>
      </c>
      <c r="P11" s="325">
        <v>319891885.48000002</v>
      </c>
      <c r="Q11" s="324">
        <v>165.37</v>
      </c>
      <c r="R11" s="23">
        <f t="shared" si="6"/>
        <v>-8.9643798931679924E-3</v>
      </c>
      <c r="S11" s="23">
        <f t="shared" si="7"/>
        <v>-9.4045764945488997E-3</v>
      </c>
      <c r="T11" s="325">
        <v>316963138.69999999</v>
      </c>
      <c r="U11" s="324">
        <v>163.82</v>
      </c>
      <c r="V11" s="23">
        <f t="shared" si="8"/>
        <v>-9.1554269205842021E-3</v>
      </c>
      <c r="W11" s="23">
        <f t="shared" si="9"/>
        <v>-9.3729213279313741E-3</v>
      </c>
      <c r="X11" s="325">
        <v>327853460.63999999</v>
      </c>
      <c r="Y11" s="324">
        <v>169.53</v>
      </c>
      <c r="Z11" s="23">
        <f t="shared" si="10"/>
        <v>3.4358323130777343E-2</v>
      </c>
      <c r="AA11" s="23">
        <f t="shared" si="11"/>
        <v>3.4855329019655767E-2</v>
      </c>
      <c r="AB11" s="325">
        <v>327504561.19</v>
      </c>
      <c r="AC11" s="324">
        <v>169.35</v>
      </c>
      <c r="AD11" s="23">
        <f t="shared" si="12"/>
        <v>-1.0641932811046265E-3</v>
      </c>
      <c r="AE11" s="23">
        <f t="shared" si="13"/>
        <v>-1.0617589807114186E-3</v>
      </c>
      <c r="AF11" s="325">
        <v>316716491.19999999</v>
      </c>
      <c r="AG11" s="324">
        <v>163.76</v>
      </c>
      <c r="AH11" s="23">
        <f t="shared" si="14"/>
        <v>-3.2940212957038389E-2</v>
      </c>
      <c r="AI11" s="23">
        <f t="shared" si="15"/>
        <v>-3.3008562149394766E-2</v>
      </c>
      <c r="AJ11" s="24">
        <f t="shared" si="16"/>
        <v>8.0141576800002098E-4</v>
      </c>
      <c r="AK11" s="24">
        <f t="shared" si="17"/>
        <v>-2.2515390900113199E-3</v>
      </c>
      <c r="AL11" s="25">
        <f t="shared" si="18"/>
        <v>2.375064615646013E-2</v>
      </c>
      <c r="AM11" s="25">
        <f t="shared" si="19"/>
        <v>-1.831613651627153E-4</v>
      </c>
      <c r="AN11" s="379">
        <f t="shared" si="20"/>
        <v>2.3616002965390355E-2</v>
      </c>
      <c r="AO11" s="380">
        <f t="shared" si="21"/>
        <v>2.0677498881735833E-2</v>
      </c>
      <c r="AP11" s="30"/>
      <c r="AQ11" s="28">
        <v>1147996444.8800001</v>
      </c>
      <c r="AR11" s="32">
        <v>0.69840000000000002</v>
      </c>
      <c r="AS11" s="29" t="e">
        <f>(#REF!/AQ11)-1</f>
        <v>#REF!</v>
      </c>
      <c r="AT11" s="29" t="e">
        <f>(#REF!/AR11)-1</f>
        <v>#REF!</v>
      </c>
    </row>
    <row r="12" spans="1:49">
      <c r="A12" s="201" t="s">
        <v>215</v>
      </c>
      <c r="B12" s="74">
        <v>38643496.630000003</v>
      </c>
      <c r="C12" s="324">
        <v>155.08000000000001</v>
      </c>
      <c r="D12" s="74">
        <v>37600681.560000002</v>
      </c>
      <c r="E12" s="324">
        <v>150.88</v>
      </c>
      <c r="F12" s="23">
        <f t="shared" si="0"/>
        <v>-2.6985525662562182E-2</v>
      </c>
      <c r="G12" s="23">
        <f t="shared" si="1"/>
        <v>-2.7082795976270418E-2</v>
      </c>
      <c r="H12" s="74">
        <v>37284486.909999996</v>
      </c>
      <c r="I12" s="324">
        <v>149.61000000000001</v>
      </c>
      <c r="J12" s="23">
        <f t="shared" si="2"/>
        <v>-8.4092797492367043E-3</v>
      </c>
      <c r="K12" s="23">
        <f t="shared" si="3"/>
        <v>-8.417285259808999E-3</v>
      </c>
      <c r="L12" s="74">
        <v>37880552.880000003</v>
      </c>
      <c r="M12" s="324">
        <v>152.01</v>
      </c>
      <c r="N12" s="23">
        <f t="shared" si="4"/>
        <v>1.5986969900882199E-2</v>
      </c>
      <c r="O12" s="23">
        <f t="shared" si="5"/>
        <v>1.6041708441948913E-2</v>
      </c>
      <c r="P12" s="74">
        <v>37074334.420000002</v>
      </c>
      <c r="Q12" s="324">
        <v>148.76</v>
      </c>
      <c r="R12" s="23">
        <f t="shared" si="6"/>
        <v>-2.1283175632467191E-2</v>
      </c>
      <c r="S12" s="23">
        <f t="shared" si="7"/>
        <v>-2.1380172357081773E-2</v>
      </c>
      <c r="T12" s="74">
        <v>32783864.77</v>
      </c>
      <c r="U12" s="324">
        <v>131.75</v>
      </c>
      <c r="V12" s="23">
        <f t="shared" si="8"/>
        <v>-0.11572614093067789</v>
      </c>
      <c r="W12" s="23">
        <f t="shared" si="9"/>
        <v>-0.11434525410056462</v>
      </c>
      <c r="X12" s="74">
        <v>32783864.77</v>
      </c>
      <c r="Y12" s="324">
        <v>131.75</v>
      </c>
      <c r="Z12" s="23">
        <f t="shared" si="10"/>
        <v>0</v>
      </c>
      <c r="AA12" s="23">
        <f t="shared" si="11"/>
        <v>0</v>
      </c>
      <c r="AB12" s="74">
        <v>36302130.390000001</v>
      </c>
      <c r="AC12" s="324">
        <v>145.85</v>
      </c>
      <c r="AD12" s="23">
        <f t="shared" si="12"/>
        <v>0.10731698793546485</v>
      </c>
      <c r="AE12" s="23">
        <f t="shared" si="13"/>
        <v>0.1070208728652751</v>
      </c>
      <c r="AF12" s="74">
        <v>36302130.390000001</v>
      </c>
      <c r="AG12" s="324">
        <v>145.85</v>
      </c>
      <c r="AH12" s="23">
        <f t="shared" si="14"/>
        <v>0</v>
      </c>
      <c r="AI12" s="23">
        <f t="shared" si="15"/>
        <v>0</v>
      </c>
      <c r="AJ12" s="24">
        <f t="shared" si="16"/>
        <v>-6.1375205173246142E-3</v>
      </c>
      <c r="AK12" s="24">
        <f t="shared" si="17"/>
        <v>-6.020365798312723E-3</v>
      </c>
      <c r="AL12" s="25">
        <f t="shared" si="18"/>
        <v>-3.4535309364748697E-2</v>
      </c>
      <c r="AM12" s="25">
        <f t="shared" si="19"/>
        <v>-3.3337751855779439E-2</v>
      </c>
      <c r="AN12" s="379">
        <f t="shared" si="20"/>
        <v>6.1080291048800285E-2</v>
      </c>
      <c r="AO12" s="380">
        <f t="shared" si="21"/>
        <v>6.0659615464605236E-2</v>
      </c>
      <c r="AP12" s="30"/>
      <c r="AQ12" s="28">
        <v>2845469436.1399999</v>
      </c>
      <c r="AR12" s="32">
        <v>13.0688</v>
      </c>
      <c r="AS12" s="29" t="e">
        <f>(#REF!/AQ12)-1</f>
        <v>#REF!</v>
      </c>
      <c r="AT12" s="29" t="e">
        <f>(#REF!/AR12)-1</f>
        <v>#REF!</v>
      </c>
    </row>
    <row r="13" spans="1:49" s="366" customFormat="1">
      <c r="A13" s="201" t="s">
        <v>263</v>
      </c>
      <c r="B13" s="325">
        <v>443207692.70999998</v>
      </c>
      <c r="C13" s="324">
        <v>1.63</v>
      </c>
      <c r="D13" s="325">
        <v>464858734.13</v>
      </c>
      <c r="E13" s="324">
        <v>1.7</v>
      </c>
      <c r="F13" s="23">
        <f t="shared" si="0"/>
        <v>4.8850779840066416E-2</v>
      </c>
      <c r="G13" s="23">
        <f t="shared" si="1"/>
        <v>4.2944785276073663E-2</v>
      </c>
      <c r="H13" s="325">
        <v>465808101.41000003</v>
      </c>
      <c r="I13" s="324">
        <v>1.66</v>
      </c>
      <c r="J13" s="23">
        <f t="shared" si="2"/>
        <v>2.0422705013315632E-3</v>
      </c>
      <c r="K13" s="23">
        <f t="shared" si="3"/>
        <v>-2.3529411764705903E-2</v>
      </c>
      <c r="L13" s="325">
        <v>479673295.69</v>
      </c>
      <c r="M13" s="324">
        <v>1.71</v>
      </c>
      <c r="N13" s="23">
        <f t="shared" si="4"/>
        <v>2.9765893375469556E-2</v>
      </c>
      <c r="O13" s="23">
        <f t="shared" si="5"/>
        <v>3.0120481927710871E-2</v>
      </c>
      <c r="P13" s="325">
        <v>478737717.83999997</v>
      </c>
      <c r="Q13" s="324">
        <v>1.7</v>
      </c>
      <c r="R13" s="23">
        <f t="shared" si="6"/>
        <v>-1.9504480620590201E-3</v>
      </c>
      <c r="S13" s="23">
        <f t="shared" si="7"/>
        <v>-5.8479532163742748E-3</v>
      </c>
      <c r="T13" s="325">
        <v>506139694.81999999</v>
      </c>
      <c r="U13" s="324">
        <v>1.69</v>
      </c>
      <c r="V13" s="23">
        <f t="shared" si="8"/>
        <v>5.7237973860998555E-2</v>
      </c>
      <c r="W13" s="23">
        <f t="shared" si="9"/>
        <v>-5.8823529411764757E-3</v>
      </c>
      <c r="X13" s="325">
        <v>504097381.72000003</v>
      </c>
      <c r="Y13" s="324">
        <v>1.68</v>
      </c>
      <c r="Z13" s="23">
        <f t="shared" si="10"/>
        <v>-4.0350779061624053E-3</v>
      </c>
      <c r="AA13" s="23">
        <f t="shared" si="11"/>
        <v>-5.9171597633136145E-3</v>
      </c>
      <c r="AB13" s="325">
        <v>516714253.85000002</v>
      </c>
      <c r="AC13" s="324">
        <v>1.71</v>
      </c>
      <c r="AD13" s="23">
        <f t="shared" si="12"/>
        <v>2.5028640472106269E-2</v>
      </c>
      <c r="AE13" s="23">
        <f t="shared" si="13"/>
        <v>1.7857142857142873E-2</v>
      </c>
      <c r="AF13" s="325">
        <v>505487024.75999999</v>
      </c>
      <c r="AG13" s="324">
        <v>1.67</v>
      </c>
      <c r="AH13" s="23">
        <f t="shared" si="14"/>
        <v>-2.1728119567723886E-2</v>
      </c>
      <c r="AI13" s="23">
        <f t="shared" si="15"/>
        <v>-2.3391812865497099E-2</v>
      </c>
      <c r="AJ13" s="24">
        <f t="shared" si="16"/>
        <v>1.6901489064253383E-2</v>
      </c>
      <c r="AK13" s="24">
        <f t="shared" si="17"/>
        <v>3.2942149387325055E-3</v>
      </c>
      <c r="AL13" s="25">
        <f t="shared" si="18"/>
        <v>8.7399219692058314E-2</v>
      </c>
      <c r="AM13" s="25">
        <f t="shared" si="19"/>
        <v>-1.7647058823529429E-2</v>
      </c>
      <c r="AN13" s="379">
        <f t="shared" si="20"/>
        <v>2.7738861559721235E-2</v>
      </c>
      <c r="AO13" s="380">
        <f t="shared" si="21"/>
        <v>2.4206880509428676E-2</v>
      </c>
      <c r="AP13" s="30"/>
      <c r="AQ13" s="28"/>
      <c r="AR13" s="32"/>
      <c r="AS13" s="29"/>
      <c r="AT13" s="29"/>
    </row>
    <row r="14" spans="1:49" ht="12.75" customHeight="1">
      <c r="A14" s="201" t="s">
        <v>45</v>
      </c>
      <c r="B14" s="325">
        <v>1329197960.7</v>
      </c>
      <c r="C14" s="324">
        <v>2.71</v>
      </c>
      <c r="D14" s="325">
        <v>1312949517.6400001</v>
      </c>
      <c r="E14" s="324">
        <v>2.68</v>
      </c>
      <c r="F14" s="23">
        <f t="shared" si="0"/>
        <v>-1.2224246154758596E-2</v>
      </c>
      <c r="G14" s="23">
        <f t="shared" si="1"/>
        <v>-1.1070110701106939E-2</v>
      </c>
      <c r="H14" s="325">
        <v>1312949517.6400001</v>
      </c>
      <c r="I14" s="324">
        <v>2.67</v>
      </c>
      <c r="J14" s="23">
        <f t="shared" si="2"/>
        <v>0</v>
      </c>
      <c r="K14" s="23">
        <f t="shared" si="3"/>
        <v>-3.7313432835821753E-3</v>
      </c>
      <c r="L14" s="325">
        <v>1319364817.4000001</v>
      </c>
      <c r="M14" s="324">
        <v>2.69</v>
      </c>
      <c r="N14" s="23">
        <f t="shared" si="4"/>
        <v>4.8861739722722624E-3</v>
      </c>
      <c r="O14" s="23">
        <f t="shared" si="5"/>
        <v>7.4906367041198572E-3</v>
      </c>
      <c r="P14" s="325">
        <v>1304727065.6300001</v>
      </c>
      <c r="Q14" s="324">
        <v>2.66</v>
      </c>
      <c r="R14" s="23">
        <f t="shared" si="6"/>
        <v>-1.1094544569443495E-2</v>
      </c>
      <c r="S14" s="23">
        <f t="shared" si="7"/>
        <v>-1.1152416356877252E-2</v>
      </c>
      <c r="T14" s="325">
        <v>1295094686.1099999</v>
      </c>
      <c r="U14" s="324">
        <v>2.64</v>
      </c>
      <c r="V14" s="23">
        <f t="shared" si="8"/>
        <v>-7.3826777827661078E-3</v>
      </c>
      <c r="W14" s="23">
        <f t="shared" si="9"/>
        <v>-7.5187969924812095E-3</v>
      </c>
      <c r="X14" s="325">
        <v>1324910856.03</v>
      </c>
      <c r="Y14" s="324">
        <v>2.7</v>
      </c>
      <c r="Z14" s="23">
        <f t="shared" si="10"/>
        <v>2.3022386115687927E-2</v>
      </c>
      <c r="AA14" s="23">
        <f t="shared" si="11"/>
        <v>2.2727272727272745E-2</v>
      </c>
      <c r="AB14" s="325">
        <v>1338084482.5</v>
      </c>
      <c r="AC14" s="324">
        <v>2.73</v>
      </c>
      <c r="AD14" s="23">
        <f t="shared" si="12"/>
        <v>9.9430285517275122E-3</v>
      </c>
      <c r="AE14" s="23">
        <f t="shared" si="13"/>
        <v>1.1111111111111039E-2</v>
      </c>
      <c r="AF14" s="325">
        <v>1312765042.4200001</v>
      </c>
      <c r="AG14" s="324">
        <v>2.68</v>
      </c>
      <c r="AH14" s="23">
        <f t="shared" si="14"/>
        <v>-1.8922153579342418E-2</v>
      </c>
      <c r="AI14" s="23">
        <f t="shared" si="15"/>
        <v>-1.831501831501825E-2</v>
      </c>
      <c r="AJ14" s="24">
        <f t="shared" si="16"/>
        <v>-1.4715041808278644E-3</v>
      </c>
      <c r="AK14" s="24">
        <f t="shared" si="17"/>
        <v>-1.3073331383202729E-3</v>
      </c>
      <c r="AL14" s="25">
        <f t="shared" si="18"/>
        <v>-1.405044272620771E-4</v>
      </c>
      <c r="AM14" s="25">
        <f t="shared" si="19"/>
        <v>0</v>
      </c>
      <c r="AN14" s="379">
        <f t="shared" si="20"/>
        <v>1.3734831214699136E-2</v>
      </c>
      <c r="AO14" s="380">
        <f t="shared" si="21"/>
        <v>1.3919235048109119E-2</v>
      </c>
      <c r="AP14" s="30"/>
      <c r="AQ14" s="33">
        <v>155057555.75</v>
      </c>
      <c r="AR14" s="33">
        <v>111.51</v>
      </c>
      <c r="AS14" s="29" t="e">
        <f>(#REF!/AQ14)-1</f>
        <v>#REF!</v>
      </c>
      <c r="AT14" s="29" t="e">
        <f>(#REF!/AR14)-1</f>
        <v>#REF!</v>
      </c>
      <c r="AU14" s="81"/>
      <c r="AV14" s="82"/>
      <c r="AW14" s="87"/>
    </row>
    <row r="15" spans="1:49" ht="12.75" customHeight="1">
      <c r="A15" s="201" t="s">
        <v>53</v>
      </c>
      <c r="B15" s="324">
        <v>410470714.75</v>
      </c>
      <c r="C15" s="324">
        <v>16.178854000000001</v>
      </c>
      <c r="D15" s="324">
        <v>408928035.31999999</v>
      </c>
      <c r="E15" s="324">
        <v>16.093239000000001</v>
      </c>
      <c r="F15" s="23">
        <f t="shared" si="0"/>
        <v>-3.7583178886210836E-3</v>
      </c>
      <c r="G15" s="23">
        <f t="shared" si="1"/>
        <v>-5.2917839545372405E-3</v>
      </c>
      <c r="H15" s="324">
        <v>408936246.33999997</v>
      </c>
      <c r="I15" s="324">
        <v>16.071612999999999</v>
      </c>
      <c r="J15" s="23">
        <f t="shared" si="2"/>
        <v>2.0079376542514446E-5</v>
      </c>
      <c r="K15" s="23">
        <f t="shared" si="3"/>
        <v>-1.3437941237311678E-3</v>
      </c>
      <c r="L15" s="324">
        <v>411222973.30000001</v>
      </c>
      <c r="M15" s="324">
        <v>16.169574000000001</v>
      </c>
      <c r="N15" s="23">
        <f t="shared" si="4"/>
        <v>5.5918911088619801E-3</v>
      </c>
      <c r="O15" s="23">
        <f t="shared" si="5"/>
        <v>6.0952811643735774E-3</v>
      </c>
      <c r="P15" s="324">
        <v>409404644.50999999</v>
      </c>
      <c r="Q15" s="324">
        <v>16.053937000000001</v>
      </c>
      <c r="R15" s="23">
        <f t="shared" si="6"/>
        <v>-4.4217587733686604E-3</v>
      </c>
      <c r="S15" s="23">
        <f t="shared" si="7"/>
        <v>-7.1515180300977341E-3</v>
      </c>
      <c r="T15" s="324">
        <v>406811110.36000001</v>
      </c>
      <c r="U15" s="324">
        <v>15.973378</v>
      </c>
      <c r="V15" s="23">
        <f t="shared" si="8"/>
        <v>-6.3348918601157378E-3</v>
      </c>
      <c r="W15" s="23">
        <f t="shared" si="9"/>
        <v>-5.0180214361125828E-3</v>
      </c>
      <c r="X15" s="324">
        <v>417854314.31</v>
      </c>
      <c r="Y15" s="324">
        <v>16.429981000000002</v>
      </c>
      <c r="Z15" s="23">
        <f t="shared" si="10"/>
        <v>2.7145777656434968E-2</v>
      </c>
      <c r="AA15" s="23">
        <f t="shared" si="11"/>
        <v>2.8585249782481902E-2</v>
      </c>
      <c r="AB15" s="324">
        <v>427742462.5</v>
      </c>
      <c r="AC15" s="324">
        <v>16.766660000000002</v>
      </c>
      <c r="AD15" s="23">
        <f t="shared" si="12"/>
        <v>2.366410457273423E-2</v>
      </c>
      <c r="AE15" s="23">
        <f t="shared" si="13"/>
        <v>2.0491746156005911E-2</v>
      </c>
      <c r="AF15" s="324">
        <v>427742462.5</v>
      </c>
      <c r="AG15" s="324">
        <v>16.766660000000002</v>
      </c>
      <c r="AH15" s="23">
        <f t="shared" si="14"/>
        <v>0</v>
      </c>
      <c r="AI15" s="23">
        <f t="shared" si="15"/>
        <v>0</v>
      </c>
      <c r="AJ15" s="24">
        <f t="shared" si="16"/>
        <v>5.2383605240585267E-3</v>
      </c>
      <c r="AK15" s="24">
        <f t="shared" si="17"/>
        <v>4.5458949447978337E-3</v>
      </c>
      <c r="AL15" s="25">
        <f t="shared" si="18"/>
        <v>4.6009139885156279E-2</v>
      </c>
      <c r="AM15" s="25">
        <f t="shared" si="19"/>
        <v>4.1844963589989632E-2</v>
      </c>
      <c r="AN15" s="379">
        <f t="shared" si="20"/>
        <v>1.2996906940816297E-2</v>
      </c>
      <c r="AO15" s="380">
        <f t="shared" si="21"/>
        <v>1.3174612169218789E-2</v>
      </c>
      <c r="AP15" s="30"/>
      <c r="AQ15" s="38">
        <v>212579164.06</v>
      </c>
      <c r="AR15" s="38">
        <v>9.9</v>
      </c>
      <c r="AS15" s="29" t="e">
        <f>(#REF!/AQ15)-1</f>
        <v>#REF!</v>
      </c>
      <c r="AT15" s="29" t="e">
        <f>(#REF!/AR15)-1</f>
        <v>#REF!</v>
      </c>
    </row>
    <row r="16" spans="1:49" ht="12.75" customHeight="1">
      <c r="A16" s="201" t="s">
        <v>125</v>
      </c>
      <c r="B16" s="324">
        <v>389845702.42000002</v>
      </c>
      <c r="C16" s="324">
        <v>2.015333</v>
      </c>
      <c r="D16" s="324">
        <v>379252284.41000003</v>
      </c>
      <c r="E16" s="324">
        <v>2.1379790000000001</v>
      </c>
      <c r="F16" s="23">
        <f t="shared" si="0"/>
        <v>-2.7173361009857122E-2</v>
      </c>
      <c r="G16" s="23">
        <f t="shared" si="1"/>
        <v>6.0856444071525663E-2</v>
      </c>
      <c r="H16" s="324">
        <v>379915413.87</v>
      </c>
      <c r="I16" s="324">
        <v>2.1423709999999998</v>
      </c>
      <c r="J16" s="23">
        <f t="shared" si="2"/>
        <v>1.7485180373576501E-3</v>
      </c>
      <c r="K16" s="23">
        <f t="shared" si="3"/>
        <v>2.054276491957933E-3</v>
      </c>
      <c r="L16" s="324">
        <v>351599144.61000001</v>
      </c>
      <c r="M16" s="324">
        <v>2.1636139999999999</v>
      </c>
      <c r="N16" s="23">
        <f t="shared" si="4"/>
        <v>-7.4533088751406365E-2</v>
      </c>
      <c r="O16" s="23">
        <f t="shared" si="5"/>
        <v>9.9156495303568456E-3</v>
      </c>
      <c r="P16" s="324">
        <v>347394259.76999998</v>
      </c>
      <c r="Q16" s="324">
        <v>1.96</v>
      </c>
      <c r="R16" s="23">
        <f t="shared" si="6"/>
        <v>-1.1959314760745979E-2</v>
      </c>
      <c r="S16" s="23">
        <f t="shared" si="7"/>
        <v>-9.4108283640242651E-2</v>
      </c>
      <c r="T16" s="324">
        <v>343596394.29000002</v>
      </c>
      <c r="U16" s="324">
        <v>1.9431369999999999</v>
      </c>
      <c r="V16" s="23">
        <f t="shared" si="8"/>
        <v>-1.0932435908740748E-2</v>
      </c>
      <c r="W16" s="23">
        <f t="shared" si="9"/>
        <v>-8.6035714285714656E-3</v>
      </c>
      <c r="X16" s="324">
        <v>358116699.97000003</v>
      </c>
      <c r="Y16" s="324">
        <v>2.0251769999999998</v>
      </c>
      <c r="Z16" s="23">
        <f t="shared" si="10"/>
        <v>4.2259773156247592E-2</v>
      </c>
      <c r="AA16" s="23">
        <f t="shared" si="11"/>
        <v>4.2220388989556525E-2</v>
      </c>
      <c r="AB16" s="324">
        <v>364635999.43000001</v>
      </c>
      <c r="AC16" s="324">
        <v>2.0619619999999999</v>
      </c>
      <c r="AD16" s="23">
        <f t="shared" si="12"/>
        <v>1.8204399461254139E-2</v>
      </c>
      <c r="AE16" s="23">
        <f t="shared" si="13"/>
        <v>1.8163844444214046E-2</v>
      </c>
      <c r="AF16" s="324">
        <v>351576771.43000001</v>
      </c>
      <c r="AG16" s="324">
        <v>1.99</v>
      </c>
      <c r="AH16" s="23">
        <f t="shared" si="14"/>
        <v>-3.5814423206743766E-2</v>
      </c>
      <c r="AI16" s="23">
        <f t="shared" si="15"/>
        <v>-3.4899770218849747E-2</v>
      </c>
      <c r="AJ16" s="24">
        <f t="shared" si="16"/>
        <v>-1.2274991622829325E-2</v>
      </c>
      <c r="AK16" s="24">
        <f t="shared" si="17"/>
        <v>-5.5012772000660737E-4</v>
      </c>
      <c r="AL16" s="25">
        <f t="shared" si="18"/>
        <v>-7.2973886032234744E-2</v>
      </c>
      <c r="AM16" s="25">
        <f t="shared" si="19"/>
        <v>-6.9214431011717176E-2</v>
      </c>
      <c r="AN16" s="379">
        <f t="shared" si="20"/>
        <v>3.5362877406033839E-2</v>
      </c>
      <c r="AO16" s="380">
        <f t="shared" si="21"/>
        <v>4.800009640598276E-2</v>
      </c>
      <c r="AP16" s="30"/>
      <c r="AQ16" s="28">
        <v>305162610.31</v>
      </c>
      <c r="AR16" s="28">
        <v>1481.86</v>
      </c>
      <c r="AS16" s="29" t="e">
        <f>(#REF!/AQ16)-1</f>
        <v>#REF!</v>
      </c>
      <c r="AT16" s="29" t="e">
        <f>(#REF!/AR16)-1</f>
        <v>#REF!</v>
      </c>
    </row>
    <row r="17" spans="1:46" s="86" customFormat="1" ht="12.75" customHeight="1">
      <c r="A17" s="201" t="s">
        <v>10</v>
      </c>
      <c r="B17" s="325">
        <v>965271704.38999999</v>
      </c>
      <c r="C17" s="324">
        <v>23.88</v>
      </c>
      <c r="D17" s="325">
        <v>997332344.42999995</v>
      </c>
      <c r="E17" s="324">
        <v>23.88</v>
      </c>
      <c r="F17" s="23">
        <f t="shared" si="0"/>
        <v>3.3214109451452915E-2</v>
      </c>
      <c r="G17" s="23">
        <f t="shared" si="1"/>
        <v>0</v>
      </c>
      <c r="H17" s="325">
        <v>1005680298.39</v>
      </c>
      <c r="I17" s="324">
        <v>24.67</v>
      </c>
      <c r="J17" s="23">
        <f t="shared" si="2"/>
        <v>8.370282992046247E-3</v>
      </c>
      <c r="K17" s="23">
        <f t="shared" si="3"/>
        <v>3.3082077051926416E-2</v>
      </c>
      <c r="L17" s="325">
        <v>999557046.71000004</v>
      </c>
      <c r="M17" s="324">
        <v>24.74</v>
      </c>
      <c r="N17" s="23">
        <f t="shared" si="4"/>
        <v>-6.0886662389655049E-3</v>
      </c>
      <c r="O17" s="23">
        <f t="shared" si="5"/>
        <v>2.8374543980541843E-3</v>
      </c>
      <c r="P17" s="325">
        <v>996431665.01999998</v>
      </c>
      <c r="Q17" s="324">
        <v>24.52</v>
      </c>
      <c r="R17" s="23">
        <f t="shared" si="6"/>
        <v>-3.1267667015975921E-3</v>
      </c>
      <c r="S17" s="23">
        <f t="shared" si="7"/>
        <v>-8.8924818108326135E-3</v>
      </c>
      <c r="T17" s="325">
        <v>984257839.70000005</v>
      </c>
      <c r="U17" s="324">
        <v>24.22</v>
      </c>
      <c r="V17" s="23">
        <f t="shared" si="8"/>
        <v>-1.2217421171330987E-2</v>
      </c>
      <c r="W17" s="23">
        <f t="shared" si="9"/>
        <v>-1.2234910277324661E-2</v>
      </c>
      <c r="X17" s="325">
        <v>1005757250.91</v>
      </c>
      <c r="Y17" s="324">
        <v>24.74</v>
      </c>
      <c r="Z17" s="23">
        <f t="shared" si="10"/>
        <v>2.1843271491292261E-2</v>
      </c>
      <c r="AA17" s="23">
        <f t="shared" si="11"/>
        <v>2.1469859620148621E-2</v>
      </c>
      <c r="AB17" s="325">
        <v>1029094116.39</v>
      </c>
      <c r="AC17" s="324">
        <v>25.39</v>
      </c>
      <c r="AD17" s="23">
        <f t="shared" si="12"/>
        <v>2.3203278384406414E-2</v>
      </c>
      <c r="AE17" s="23">
        <f t="shared" si="13"/>
        <v>2.6273241713823853E-2</v>
      </c>
      <c r="AF17" s="325">
        <v>1004741488.83</v>
      </c>
      <c r="AG17" s="324">
        <v>24.72</v>
      </c>
      <c r="AH17" s="23">
        <f t="shared" si="14"/>
        <v>-2.3664140307620735E-2</v>
      </c>
      <c r="AI17" s="23">
        <f t="shared" si="15"/>
        <v>-2.6388341866876788E-2</v>
      </c>
      <c r="AJ17" s="24">
        <f t="shared" si="16"/>
        <v>5.191743487460378E-3</v>
      </c>
      <c r="AK17" s="24">
        <f t="shared" si="17"/>
        <v>4.5183623536148767E-3</v>
      </c>
      <c r="AL17" s="25">
        <f t="shared" si="18"/>
        <v>7.4289623126928706E-3</v>
      </c>
      <c r="AM17" s="25">
        <f t="shared" si="19"/>
        <v>3.5175879396984917E-2</v>
      </c>
      <c r="AN17" s="379">
        <f t="shared" si="20"/>
        <v>1.9745636700229253E-2</v>
      </c>
      <c r="AO17" s="380">
        <f t="shared" si="21"/>
        <v>2.0190533725585443E-2</v>
      </c>
      <c r="AP17" s="30"/>
      <c r="AQ17" s="28"/>
      <c r="AR17" s="28"/>
      <c r="AS17" s="29"/>
      <c r="AT17" s="29"/>
    </row>
    <row r="18" spans="1:46" s="366" customFormat="1" ht="12.75" customHeight="1">
      <c r="A18" s="202" t="s">
        <v>67</v>
      </c>
      <c r="B18" s="325">
        <v>462568951.51999998</v>
      </c>
      <c r="C18" s="324">
        <v>4802.83</v>
      </c>
      <c r="D18" s="325">
        <v>454152055.87</v>
      </c>
      <c r="E18" s="324">
        <v>4714.97</v>
      </c>
      <c r="F18" s="23">
        <f t="shared" si="0"/>
        <v>-1.8195980561043032E-2</v>
      </c>
      <c r="G18" s="23">
        <f t="shared" si="1"/>
        <v>-1.82933811940043E-2</v>
      </c>
      <c r="H18" s="325">
        <v>455991554.86000001</v>
      </c>
      <c r="I18" s="324">
        <v>4734.1099999999997</v>
      </c>
      <c r="J18" s="23">
        <f t="shared" si="2"/>
        <v>4.0504033092532378E-3</v>
      </c>
      <c r="K18" s="23">
        <f t="shared" si="3"/>
        <v>4.0594107703759335E-3</v>
      </c>
      <c r="L18" s="325">
        <v>458558410.11000001</v>
      </c>
      <c r="M18" s="324">
        <v>4726.08</v>
      </c>
      <c r="N18" s="23">
        <f t="shared" si="4"/>
        <v>5.6291727832285931E-3</v>
      </c>
      <c r="O18" s="23">
        <f t="shared" si="5"/>
        <v>-1.6962005530077979E-3</v>
      </c>
      <c r="P18" s="325">
        <v>457079062.67000002</v>
      </c>
      <c r="Q18" s="324">
        <v>4653.3500000000004</v>
      </c>
      <c r="R18" s="23">
        <f t="shared" si="6"/>
        <v>-3.2260828879904927E-3</v>
      </c>
      <c r="S18" s="23">
        <f t="shared" si="7"/>
        <v>-1.5389075089714852E-2</v>
      </c>
      <c r="T18" s="325">
        <v>461584380.60000002</v>
      </c>
      <c r="U18" s="324">
        <v>4757.37</v>
      </c>
      <c r="V18" s="23">
        <f t="shared" si="8"/>
        <v>9.8567584865569251E-3</v>
      </c>
      <c r="W18" s="23">
        <f t="shared" si="9"/>
        <v>2.2353788131131234E-2</v>
      </c>
      <c r="X18" s="325">
        <v>503313596.73000002</v>
      </c>
      <c r="Y18" s="324">
        <v>4972.4799999999996</v>
      </c>
      <c r="Z18" s="23">
        <f t="shared" si="10"/>
        <v>9.0404307172953752E-2</v>
      </c>
      <c r="AA18" s="23">
        <f t="shared" si="11"/>
        <v>4.5216159348547551E-2</v>
      </c>
      <c r="AB18" s="325">
        <v>518461516.25</v>
      </c>
      <c r="AC18" s="324">
        <v>5122.4399999999996</v>
      </c>
      <c r="AD18" s="23">
        <f t="shared" si="12"/>
        <v>3.0096384477620232E-2</v>
      </c>
      <c r="AE18" s="23">
        <f t="shared" si="13"/>
        <v>3.015798957461871E-2</v>
      </c>
      <c r="AF18" s="325">
        <v>504670079.80000001</v>
      </c>
      <c r="AG18" s="324">
        <v>4924.97</v>
      </c>
      <c r="AH18" s="23">
        <f t="shared" si="14"/>
        <v>-2.6600694589161783E-2</v>
      </c>
      <c r="AI18" s="23">
        <f t="shared" si="15"/>
        <v>-3.8549987896393002E-2</v>
      </c>
      <c r="AJ18" s="24">
        <f t="shared" si="16"/>
        <v>1.1501783523927177E-2</v>
      </c>
      <c r="AK18" s="24">
        <f t="shared" si="17"/>
        <v>3.4823378864441848E-3</v>
      </c>
      <c r="AL18" s="25">
        <f t="shared" si="18"/>
        <v>0.11123592479004582</v>
      </c>
      <c r="AM18" s="25">
        <f t="shared" si="19"/>
        <v>4.4538989643624453E-2</v>
      </c>
      <c r="AN18" s="379">
        <f t="shared" si="20"/>
        <v>3.628212907844286E-2</v>
      </c>
      <c r="AO18" s="380">
        <f t="shared" si="21"/>
        <v>2.5506405261192761E-2</v>
      </c>
      <c r="AP18" s="30"/>
      <c r="AQ18" s="28"/>
      <c r="AR18" s="28"/>
      <c r="AS18" s="29"/>
      <c r="AT18" s="29"/>
    </row>
    <row r="19" spans="1:46" s="86" customFormat="1" ht="12.75" customHeight="1">
      <c r="A19" s="201" t="s">
        <v>223</v>
      </c>
      <c r="B19" s="325">
        <v>9500114364.0699997</v>
      </c>
      <c r="C19" s="324">
        <v>16627.22</v>
      </c>
      <c r="D19" s="325">
        <v>9455283943.4599991</v>
      </c>
      <c r="E19" s="324">
        <v>16409.68</v>
      </c>
      <c r="F19" s="23">
        <f t="shared" si="0"/>
        <v>-4.718934835095453E-3</v>
      </c>
      <c r="G19" s="23">
        <f t="shared" si="1"/>
        <v>-1.3083365709962391E-2</v>
      </c>
      <c r="H19" s="325">
        <v>9558347137.9400005</v>
      </c>
      <c r="I19" s="324">
        <v>16516.150000000001</v>
      </c>
      <c r="J19" s="23">
        <f t="shared" si="2"/>
        <v>1.0900063403308779E-2</v>
      </c>
      <c r="K19" s="23">
        <f t="shared" si="3"/>
        <v>6.4882435245538711E-3</v>
      </c>
      <c r="L19" s="325">
        <v>9559132163.5599995</v>
      </c>
      <c r="M19" s="324">
        <v>16585.96</v>
      </c>
      <c r="N19" s="23">
        <f t="shared" si="4"/>
        <v>8.2129850346502413E-5</v>
      </c>
      <c r="O19" s="23">
        <f t="shared" si="5"/>
        <v>4.226771977730746E-3</v>
      </c>
      <c r="P19" s="325">
        <v>9534981134.7900009</v>
      </c>
      <c r="Q19" s="324">
        <v>16532.98</v>
      </c>
      <c r="R19" s="23">
        <f t="shared" si="6"/>
        <v>-2.5264875887022211E-3</v>
      </c>
      <c r="S19" s="23">
        <f t="shared" si="7"/>
        <v>-3.1942679229902621E-3</v>
      </c>
      <c r="T19" s="325">
        <v>9653440415.4500008</v>
      </c>
      <c r="U19" s="324">
        <v>16719.23</v>
      </c>
      <c r="V19" s="23">
        <f t="shared" si="8"/>
        <v>1.2423651288389131E-2</v>
      </c>
      <c r="W19" s="23">
        <f t="shared" si="9"/>
        <v>1.1265361719423843E-2</v>
      </c>
      <c r="X19" s="325">
        <v>10013206518.469999</v>
      </c>
      <c r="Y19" s="324">
        <v>17335.61</v>
      </c>
      <c r="Z19" s="23">
        <f t="shared" si="10"/>
        <v>3.7268174613084598E-2</v>
      </c>
      <c r="AA19" s="23">
        <f t="shared" si="11"/>
        <v>3.6866530336624417E-2</v>
      </c>
      <c r="AB19" s="325">
        <v>10232929140.35</v>
      </c>
      <c r="AC19" s="324">
        <v>17698.47</v>
      </c>
      <c r="AD19" s="23">
        <f t="shared" si="12"/>
        <v>2.1943282751105617E-2</v>
      </c>
      <c r="AE19" s="23">
        <f t="shared" si="13"/>
        <v>2.0931481499641521E-2</v>
      </c>
      <c r="AF19" s="325">
        <v>10012748126.92</v>
      </c>
      <c r="AG19" s="324">
        <v>17282.53</v>
      </c>
      <c r="AH19" s="23">
        <f t="shared" si="14"/>
        <v>-2.1516909812440015E-2</v>
      </c>
      <c r="AI19" s="23">
        <f t="shared" si="15"/>
        <v>-2.350146651094712E-2</v>
      </c>
      <c r="AJ19" s="24">
        <f t="shared" si="16"/>
        <v>6.7318712087496169E-3</v>
      </c>
      <c r="AK19" s="24">
        <f t="shared" si="17"/>
        <v>4.9999111142593287E-3</v>
      </c>
      <c r="AL19" s="25">
        <f t="shared" si="18"/>
        <v>5.8957952695390607E-2</v>
      </c>
      <c r="AM19" s="25">
        <f t="shared" si="19"/>
        <v>5.3191165214678073E-2</v>
      </c>
      <c r="AN19" s="379">
        <f t="shared" si="20"/>
        <v>1.8018537713584942E-2</v>
      </c>
      <c r="AO19" s="380">
        <f t="shared" si="21"/>
        <v>1.8547868799694226E-2</v>
      </c>
      <c r="AP19" s="30"/>
      <c r="AQ19" s="28"/>
      <c r="AR19" s="28"/>
      <c r="AS19" s="29"/>
      <c r="AT19" s="29"/>
    </row>
    <row r="20" spans="1:46" s="301" customFormat="1" ht="12.75" customHeight="1">
      <c r="A20" s="201" t="s">
        <v>75</v>
      </c>
      <c r="B20" s="324">
        <v>2453972620.8499999</v>
      </c>
      <c r="C20" s="309">
        <v>1.2358</v>
      </c>
      <c r="D20" s="324">
        <v>2546054531.0700002</v>
      </c>
      <c r="E20" s="309">
        <v>1.252</v>
      </c>
      <c r="F20" s="23">
        <f t="shared" si="0"/>
        <v>3.75236094476495E-2</v>
      </c>
      <c r="G20" s="23">
        <f t="shared" si="1"/>
        <v>1.3108917300534061E-2</v>
      </c>
      <c r="H20" s="324">
        <v>2517001984.5999999</v>
      </c>
      <c r="I20" s="309">
        <v>1.2625</v>
      </c>
      <c r="J20" s="23">
        <f t="shared" si="2"/>
        <v>-1.1410810772301369E-2</v>
      </c>
      <c r="K20" s="23">
        <f t="shared" si="3"/>
        <v>8.3865814696485255E-3</v>
      </c>
      <c r="L20" s="324">
        <v>2491206201.3499999</v>
      </c>
      <c r="M20" s="309">
        <v>1.2504</v>
      </c>
      <c r="N20" s="23">
        <f t="shared" si="4"/>
        <v>-1.0248614585061381E-2</v>
      </c>
      <c r="O20" s="23">
        <f t="shared" si="5"/>
        <v>-9.584158415841584E-3</v>
      </c>
      <c r="P20" s="324">
        <v>2507694328.1999998</v>
      </c>
      <c r="Q20" s="309">
        <v>1.2558</v>
      </c>
      <c r="R20" s="23">
        <f t="shared" si="6"/>
        <v>6.6185315535361496E-3</v>
      </c>
      <c r="S20" s="23">
        <f t="shared" si="7"/>
        <v>4.3186180422265449E-3</v>
      </c>
      <c r="T20" s="324">
        <v>2506686892.5500002</v>
      </c>
      <c r="U20" s="309">
        <v>1.2544</v>
      </c>
      <c r="V20" s="23">
        <f t="shared" si="8"/>
        <v>-4.0173781894811185E-4</v>
      </c>
      <c r="W20" s="23">
        <f t="shared" si="9"/>
        <v>-1.1148272017837775E-3</v>
      </c>
      <c r="X20" s="324">
        <v>2577341223.6199999</v>
      </c>
      <c r="Y20" s="309">
        <v>1.2544</v>
      </c>
      <c r="Z20" s="23">
        <f t="shared" si="10"/>
        <v>2.8186340815036744E-2</v>
      </c>
      <c r="AA20" s="23">
        <f t="shared" si="11"/>
        <v>0</v>
      </c>
      <c r="AB20" s="324">
        <v>2595728958.46</v>
      </c>
      <c r="AC20" s="309">
        <v>1.3035000000000001</v>
      </c>
      <c r="AD20" s="23">
        <f t="shared" si="12"/>
        <v>7.1343812264693818E-3</v>
      </c>
      <c r="AE20" s="23">
        <f t="shared" si="13"/>
        <v>3.9142219387755216E-2</v>
      </c>
      <c r="AF20" s="324">
        <v>2551560701.8800001</v>
      </c>
      <c r="AG20" s="309">
        <v>1.2806999999999999</v>
      </c>
      <c r="AH20" s="23">
        <f t="shared" si="14"/>
        <v>-1.7015742894128733E-2</v>
      </c>
      <c r="AI20" s="23">
        <f t="shared" si="15"/>
        <v>-1.7491369390103685E-2</v>
      </c>
      <c r="AJ20" s="24">
        <f t="shared" si="16"/>
        <v>5.0482446215315228E-3</v>
      </c>
      <c r="AK20" s="24">
        <f t="shared" si="17"/>
        <v>4.5957476490544125E-3</v>
      </c>
      <c r="AL20" s="25">
        <f t="shared" si="18"/>
        <v>2.1626287822224806E-3</v>
      </c>
      <c r="AM20" s="25">
        <f t="shared" si="19"/>
        <v>2.2923322683706029E-2</v>
      </c>
      <c r="AN20" s="379">
        <f t="shared" si="20"/>
        <v>1.934002084047105E-2</v>
      </c>
      <c r="AO20" s="380">
        <f t="shared" si="21"/>
        <v>1.6912419496164822E-2</v>
      </c>
      <c r="AP20" s="30"/>
      <c r="AQ20" s="28"/>
      <c r="AR20" s="28"/>
      <c r="AS20" s="29"/>
      <c r="AT20" s="29"/>
    </row>
    <row r="21" spans="1:46">
      <c r="A21" s="203" t="s">
        <v>42</v>
      </c>
      <c r="B21" s="70">
        <f>SUM(B5:B20)</f>
        <v>21667567762.559998</v>
      </c>
      <c r="C21" s="85"/>
      <c r="D21" s="70">
        <f>SUM(D5:D20)</f>
        <v>21710538133.900002</v>
      </c>
      <c r="E21" s="85"/>
      <c r="F21" s="23">
        <f>((D21-B21)/B21)</f>
        <v>1.9831654300513455E-3</v>
      </c>
      <c r="G21" s="23"/>
      <c r="H21" s="70">
        <f>SUM(H5:H20)</f>
        <v>21798118395</v>
      </c>
      <c r="I21" s="85"/>
      <c r="J21" s="23">
        <f>((H21-D21)/D21)</f>
        <v>4.0339977093080872E-3</v>
      </c>
      <c r="K21" s="23"/>
      <c r="L21" s="70">
        <f>SUM(L5:L20)</f>
        <v>21799255745.139999</v>
      </c>
      <c r="M21" s="85"/>
      <c r="N21" s="23">
        <f>((L21-H21)/H21)</f>
        <v>5.2176528239257217E-5</v>
      </c>
      <c r="O21" s="23"/>
      <c r="P21" s="70">
        <f>SUM(P5:P20)</f>
        <v>21756530204.330002</v>
      </c>
      <c r="Q21" s="85"/>
      <c r="R21" s="23">
        <f>((P21-L21)/L21)</f>
        <v>-1.9599541062094716E-3</v>
      </c>
      <c r="S21" s="23"/>
      <c r="T21" s="70">
        <f>SUM(T5:T20)</f>
        <v>21948547893.360001</v>
      </c>
      <c r="U21" s="85"/>
      <c r="V21" s="23">
        <f>((T21-P21)/P21)</f>
        <v>8.8257496589131332E-3</v>
      </c>
      <c r="W21" s="23"/>
      <c r="X21" s="70">
        <f>SUM(X5:X20)</f>
        <v>22687921199.810001</v>
      </c>
      <c r="Y21" s="85"/>
      <c r="Z21" s="23">
        <f>((X21-T21)/T21)</f>
        <v>3.3686661643510377E-2</v>
      </c>
      <c r="AA21" s="23"/>
      <c r="AB21" s="70">
        <f>SUM(AB5:AB20)</f>
        <v>23086923138.879997</v>
      </c>
      <c r="AC21" s="85"/>
      <c r="AD21" s="23">
        <f>((AB21-X21)/X21)</f>
        <v>1.7586535829176686E-2</v>
      </c>
      <c r="AE21" s="23"/>
      <c r="AF21" s="70">
        <f>SUM(AF5:AF20)</f>
        <v>22684841502.700001</v>
      </c>
      <c r="AG21" s="85"/>
      <c r="AH21" s="23">
        <f>((AF21-AB21)/AB21)</f>
        <v>-1.7415990591784957E-2</v>
      </c>
      <c r="AI21" s="23"/>
      <c r="AJ21" s="24">
        <f t="shared" si="16"/>
        <v>5.8490427626505578E-3</v>
      </c>
      <c r="AK21" s="24"/>
      <c r="AL21" s="25">
        <f t="shared" si="18"/>
        <v>4.4876979225064423E-2</v>
      </c>
      <c r="AM21" s="25"/>
      <c r="AN21" s="379">
        <f t="shared" si="20"/>
        <v>1.5003084519552718E-2</v>
      </c>
      <c r="AO21" s="380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3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79"/>
      <c r="AO22" s="380"/>
      <c r="AP22" s="30"/>
      <c r="AQ22" s="40"/>
      <c r="AR22" s="41"/>
      <c r="AS22" s="29"/>
      <c r="AT22" s="29"/>
    </row>
    <row r="23" spans="1:46">
      <c r="A23" s="200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79"/>
      <c r="AO23" s="380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1" t="s">
        <v>115</v>
      </c>
      <c r="B24" s="320">
        <v>840701123.40999997</v>
      </c>
      <c r="C24" s="309">
        <v>100</v>
      </c>
      <c r="D24" s="320">
        <v>835877117.96000004</v>
      </c>
      <c r="E24" s="309">
        <v>100</v>
      </c>
      <c r="F24" s="23">
        <f t="shared" ref="F24:F52" si="34">((D24-B24)/B24)</f>
        <v>-5.7380742283691683E-3</v>
      </c>
      <c r="G24" s="23">
        <f t="shared" ref="G24:G52" si="35">((E24-C24)/C24)</f>
        <v>0</v>
      </c>
      <c r="H24" s="320">
        <v>813920925.62</v>
      </c>
      <c r="I24" s="309">
        <v>100</v>
      </c>
      <c r="J24" s="23">
        <f t="shared" ref="J24:J52" si="36">((H24-D24)/D24)</f>
        <v>-2.6267248939156537E-2</v>
      </c>
      <c r="K24" s="23">
        <f t="shared" ref="K24:K52" si="37">((I24-E24)/E24)</f>
        <v>0</v>
      </c>
      <c r="L24" s="320">
        <v>820355097.73000002</v>
      </c>
      <c r="M24" s="309">
        <v>100</v>
      </c>
      <c r="N24" s="23">
        <f t="shared" ref="N24:N52" si="38">((L24-H24)/H24)</f>
        <v>7.9051562719054287E-3</v>
      </c>
      <c r="O24" s="23">
        <f t="shared" ref="O24:O52" si="39">((M24-I24)/I24)</f>
        <v>0</v>
      </c>
      <c r="P24" s="320">
        <v>817264743.45000005</v>
      </c>
      <c r="Q24" s="309">
        <v>100</v>
      </c>
      <c r="R24" s="23">
        <f t="shared" ref="R24:R52" si="40">((P24-L24)/L24)</f>
        <v>-3.7670934069298444E-3</v>
      </c>
      <c r="S24" s="23">
        <f t="shared" ref="S24:S52" si="41">((Q24-M24)/M24)</f>
        <v>0</v>
      </c>
      <c r="T24" s="320">
        <v>778910456.5</v>
      </c>
      <c r="U24" s="309">
        <v>100</v>
      </c>
      <c r="V24" s="23">
        <f t="shared" ref="V24:V52" si="42">((T24-P24)/P24)</f>
        <v>-4.6930064287480852E-2</v>
      </c>
      <c r="W24" s="23">
        <f t="shared" ref="W24:W52" si="43">((U24-Q24)/Q24)</f>
        <v>0</v>
      </c>
      <c r="X24" s="320">
        <v>764393523.69000006</v>
      </c>
      <c r="Y24" s="309">
        <v>100</v>
      </c>
      <c r="Z24" s="23">
        <f t="shared" ref="Z24:Z52" si="44">((X24-T24)/T24)</f>
        <v>-1.8637486104925518E-2</v>
      </c>
      <c r="AA24" s="23">
        <f t="shared" ref="AA24:AA52" si="45">((Y24-U24)/U24)</f>
        <v>0</v>
      </c>
      <c r="AB24" s="320">
        <v>771122352.47000003</v>
      </c>
      <c r="AC24" s="309">
        <v>100</v>
      </c>
      <c r="AD24" s="23">
        <f t="shared" ref="AD24:AD52" si="46">((AB24-X24)/X24)</f>
        <v>8.8028333200908301E-3</v>
      </c>
      <c r="AE24" s="23">
        <f t="shared" ref="AE24:AE52" si="47">((AC24-Y24)/Y24)</f>
        <v>0</v>
      </c>
      <c r="AF24" s="320">
        <v>775235970.98000002</v>
      </c>
      <c r="AG24" s="309">
        <v>100</v>
      </c>
      <c r="AH24" s="23">
        <f t="shared" ref="AH24:AH52" si="48">((AF24-AB24)/AB24)</f>
        <v>5.3345860054809235E-3</v>
      </c>
      <c r="AI24" s="23">
        <f t="shared" ref="AI24:AI52" si="49">((AG24-AC24)/AC24)</f>
        <v>0</v>
      </c>
      <c r="AJ24" s="24">
        <f t="shared" si="16"/>
        <v>-9.9121739211730925E-3</v>
      </c>
      <c r="AK24" s="24">
        <f t="shared" si="17"/>
        <v>0</v>
      </c>
      <c r="AL24" s="25">
        <f t="shared" si="18"/>
        <v>-7.2547920833145638E-2</v>
      </c>
      <c r="AM24" s="25">
        <f t="shared" si="19"/>
        <v>0</v>
      </c>
      <c r="AN24" s="379">
        <f t="shared" si="20"/>
        <v>1.9527640926215898E-2</v>
      </c>
      <c r="AO24" s="380">
        <f t="shared" si="21"/>
        <v>1.886060969649209E-3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1" t="s">
        <v>37</v>
      </c>
      <c r="B25" s="320">
        <v>3287387390.23</v>
      </c>
      <c r="C25" s="309">
        <v>100</v>
      </c>
      <c r="D25" s="320">
        <v>3341828994.2600002</v>
      </c>
      <c r="E25" s="309">
        <v>100</v>
      </c>
      <c r="F25" s="23">
        <f t="shared" si="34"/>
        <v>1.656075100604168E-2</v>
      </c>
      <c r="G25" s="23">
        <f t="shared" si="35"/>
        <v>0</v>
      </c>
      <c r="H25" s="320">
        <v>3433386374.0999999</v>
      </c>
      <c r="I25" s="309">
        <v>100</v>
      </c>
      <c r="J25" s="23">
        <f t="shared" si="36"/>
        <v>2.7397386280764414E-2</v>
      </c>
      <c r="K25" s="23">
        <f t="shared" si="37"/>
        <v>0</v>
      </c>
      <c r="L25" s="320">
        <v>3478682817.5300002</v>
      </c>
      <c r="M25" s="309">
        <v>100</v>
      </c>
      <c r="N25" s="23">
        <f t="shared" si="38"/>
        <v>1.3192935048527402E-2</v>
      </c>
      <c r="O25" s="23">
        <f t="shared" si="39"/>
        <v>0</v>
      </c>
      <c r="P25" s="320">
        <v>3505742280.1999998</v>
      </c>
      <c r="Q25" s="309">
        <v>100</v>
      </c>
      <c r="R25" s="23">
        <f t="shared" si="40"/>
        <v>7.7786518890540493E-3</v>
      </c>
      <c r="S25" s="23">
        <f t="shared" si="41"/>
        <v>0</v>
      </c>
      <c r="T25" s="320">
        <v>3549493180.1500001</v>
      </c>
      <c r="U25" s="309">
        <v>100</v>
      </c>
      <c r="V25" s="23">
        <f t="shared" si="42"/>
        <v>1.2479782155436802E-2</v>
      </c>
      <c r="W25" s="23">
        <f t="shared" si="43"/>
        <v>0</v>
      </c>
      <c r="X25" s="320">
        <v>3564098875.8400002</v>
      </c>
      <c r="Y25" s="309">
        <v>100</v>
      </c>
      <c r="Z25" s="23">
        <f t="shared" si="44"/>
        <v>4.1148679399301809E-3</v>
      </c>
      <c r="AA25" s="23">
        <f t="shared" si="45"/>
        <v>0</v>
      </c>
      <c r="AB25" s="320">
        <v>3599877469.0100002</v>
      </c>
      <c r="AC25" s="309">
        <v>100</v>
      </c>
      <c r="AD25" s="23">
        <f t="shared" si="46"/>
        <v>1.0038608471985122E-2</v>
      </c>
      <c r="AE25" s="23">
        <f t="shared" si="47"/>
        <v>0</v>
      </c>
      <c r="AF25" s="320">
        <v>3643032341.1500001</v>
      </c>
      <c r="AG25" s="309">
        <v>100</v>
      </c>
      <c r="AH25" s="23">
        <f t="shared" si="48"/>
        <v>1.19878725071906E-2</v>
      </c>
      <c r="AI25" s="23">
        <f t="shared" si="49"/>
        <v>0</v>
      </c>
      <c r="AJ25" s="24">
        <f t="shared" si="16"/>
        <v>1.2943856912366282E-2</v>
      </c>
      <c r="AK25" s="24">
        <f t="shared" si="17"/>
        <v>0</v>
      </c>
      <c r="AL25" s="25">
        <f t="shared" si="18"/>
        <v>9.0131286612017983E-2</v>
      </c>
      <c r="AM25" s="25">
        <f t="shared" si="19"/>
        <v>0</v>
      </c>
      <c r="AN25" s="379">
        <f t="shared" si="20"/>
        <v>6.9307658129476625E-3</v>
      </c>
      <c r="AO25" s="380">
        <f t="shared" si="21"/>
        <v>4.2383529709171261E-3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1" t="s">
        <v>138</v>
      </c>
      <c r="B26" s="320">
        <v>453417157.98000002</v>
      </c>
      <c r="C26" s="309">
        <v>100</v>
      </c>
      <c r="D26" s="320">
        <v>424945120.56</v>
      </c>
      <c r="E26" s="309">
        <v>100</v>
      </c>
      <c r="F26" s="23">
        <f t="shared" si="34"/>
        <v>-6.2794353762095398E-2</v>
      </c>
      <c r="G26" s="23">
        <f t="shared" si="35"/>
        <v>0</v>
      </c>
      <c r="H26" s="320">
        <v>419760490.38999999</v>
      </c>
      <c r="I26" s="309">
        <v>100</v>
      </c>
      <c r="J26" s="23">
        <f t="shared" si="36"/>
        <v>-1.2200705265582581E-2</v>
      </c>
      <c r="K26" s="23">
        <f t="shared" si="37"/>
        <v>0</v>
      </c>
      <c r="L26" s="320">
        <v>460835854.98000002</v>
      </c>
      <c r="M26" s="309">
        <v>100</v>
      </c>
      <c r="N26" s="23">
        <f t="shared" si="38"/>
        <v>9.785428960176043E-2</v>
      </c>
      <c r="O26" s="23">
        <f t="shared" si="39"/>
        <v>0</v>
      </c>
      <c r="P26" s="320">
        <v>407435868.10000002</v>
      </c>
      <c r="Q26" s="309">
        <v>100</v>
      </c>
      <c r="R26" s="23">
        <f t="shared" si="40"/>
        <v>-0.1158763718207593</v>
      </c>
      <c r="S26" s="23">
        <f t="shared" si="41"/>
        <v>0</v>
      </c>
      <c r="T26" s="320">
        <v>412686488.06999999</v>
      </c>
      <c r="U26" s="309">
        <v>100</v>
      </c>
      <c r="V26" s="23">
        <f t="shared" si="42"/>
        <v>1.2886985121082344E-2</v>
      </c>
      <c r="W26" s="23">
        <f t="shared" si="43"/>
        <v>0</v>
      </c>
      <c r="X26" s="320">
        <v>392680518.31</v>
      </c>
      <c r="Y26" s="309">
        <v>100</v>
      </c>
      <c r="Z26" s="23">
        <f t="shared" si="44"/>
        <v>-4.8477404369504269E-2</v>
      </c>
      <c r="AA26" s="23">
        <f t="shared" si="45"/>
        <v>0</v>
      </c>
      <c r="AB26" s="320">
        <v>334301583.01999998</v>
      </c>
      <c r="AC26" s="309">
        <v>100</v>
      </c>
      <c r="AD26" s="23">
        <f t="shared" si="46"/>
        <v>-0.14866776569728629</v>
      </c>
      <c r="AE26" s="23">
        <f t="shared" si="47"/>
        <v>0</v>
      </c>
      <c r="AF26" s="320">
        <v>334301583.01999998</v>
      </c>
      <c r="AG26" s="309">
        <v>100</v>
      </c>
      <c r="AH26" s="23">
        <f t="shared" si="48"/>
        <v>0</v>
      </c>
      <c r="AI26" s="23">
        <f t="shared" si="49"/>
        <v>0</v>
      </c>
      <c r="AJ26" s="24">
        <f t="shared" si="16"/>
        <v>-3.465941577404813E-2</v>
      </c>
      <c r="AK26" s="24">
        <f t="shared" si="17"/>
        <v>0</v>
      </c>
      <c r="AL26" s="25">
        <f t="shared" si="18"/>
        <v>-0.21330645571491302</v>
      </c>
      <c r="AM26" s="25">
        <f t="shared" si="19"/>
        <v>0</v>
      </c>
      <c r="AN26" s="379">
        <f t="shared" si="20"/>
        <v>7.7554423725846339E-2</v>
      </c>
      <c r="AO26" s="380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1" t="s">
        <v>15</v>
      </c>
      <c r="B27" s="320">
        <v>79663888467.130005</v>
      </c>
      <c r="C27" s="309">
        <v>1</v>
      </c>
      <c r="D27" s="320">
        <v>79461020448.75</v>
      </c>
      <c r="E27" s="309">
        <v>1</v>
      </c>
      <c r="F27" s="23">
        <f t="shared" si="34"/>
        <v>-2.5465492870550745E-3</v>
      </c>
      <c r="G27" s="23">
        <f t="shared" si="35"/>
        <v>0</v>
      </c>
      <c r="H27" s="320">
        <v>79179387352.850006</v>
      </c>
      <c r="I27" s="309">
        <v>1</v>
      </c>
      <c r="J27" s="23">
        <f t="shared" si="36"/>
        <v>-3.5442924632668026E-3</v>
      </c>
      <c r="K27" s="23">
        <f t="shared" si="37"/>
        <v>0</v>
      </c>
      <c r="L27" s="320">
        <v>79269414960.279999</v>
      </c>
      <c r="M27" s="309">
        <v>1</v>
      </c>
      <c r="N27" s="23">
        <f t="shared" si="38"/>
        <v>1.1370081335537411E-3</v>
      </c>
      <c r="O27" s="23">
        <f t="shared" si="39"/>
        <v>0</v>
      </c>
      <c r="P27" s="320">
        <v>78401545605.860001</v>
      </c>
      <c r="Q27" s="309">
        <v>1</v>
      </c>
      <c r="R27" s="23">
        <f t="shared" si="40"/>
        <v>-1.0948350695597624E-2</v>
      </c>
      <c r="S27" s="23">
        <f t="shared" si="41"/>
        <v>0</v>
      </c>
      <c r="T27" s="320">
        <v>78345275800.529999</v>
      </c>
      <c r="U27" s="309">
        <v>1</v>
      </c>
      <c r="V27" s="23">
        <f t="shared" si="42"/>
        <v>-7.1771295954905297E-4</v>
      </c>
      <c r="W27" s="23">
        <f t="shared" si="43"/>
        <v>0</v>
      </c>
      <c r="X27" s="320">
        <v>78442219240.309998</v>
      </c>
      <c r="Y27" s="309">
        <v>1</v>
      </c>
      <c r="Z27" s="23">
        <f t="shared" si="44"/>
        <v>1.2373871786069196E-3</v>
      </c>
      <c r="AA27" s="23">
        <f t="shared" si="45"/>
        <v>0</v>
      </c>
      <c r="AB27" s="320">
        <v>79015930645.460007</v>
      </c>
      <c r="AC27" s="309">
        <v>1</v>
      </c>
      <c r="AD27" s="23">
        <f t="shared" si="46"/>
        <v>7.3138089501576667E-3</v>
      </c>
      <c r="AE27" s="23">
        <f t="shared" si="47"/>
        <v>0</v>
      </c>
      <c r="AF27" s="320">
        <v>78937493127.25</v>
      </c>
      <c r="AG27" s="309">
        <v>1</v>
      </c>
      <c r="AH27" s="23">
        <f t="shared" si="48"/>
        <v>-9.9267979974761557E-4</v>
      </c>
      <c r="AI27" s="23">
        <f t="shared" si="49"/>
        <v>0</v>
      </c>
      <c r="AJ27" s="24">
        <f t="shared" si="16"/>
        <v>-1.1326726178622301E-3</v>
      </c>
      <c r="AK27" s="24">
        <f t="shared" si="17"/>
        <v>0</v>
      </c>
      <c r="AL27" s="25">
        <f t="shared" si="18"/>
        <v>-6.5884797167645179E-3</v>
      </c>
      <c r="AM27" s="25">
        <f t="shared" si="19"/>
        <v>0</v>
      </c>
      <c r="AN27" s="379">
        <f t="shared" si="20"/>
        <v>5.1612009701288205E-3</v>
      </c>
      <c r="AO27" s="380">
        <f t="shared" si="21"/>
        <v>3.5096530897422149E-4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1" t="s">
        <v>82</v>
      </c>
      <c r="B28" s="320">
        <v>40195248956.879997</v>
      </c>
      <c r="C28" s="309">
        <v>1</v>
      </c>
      <c r="D28" s="320">
        <v>40095551080.629997</v>
      </c>
      <c r="E28" s="309">
        <v>1</v>
      </c>
      <c r="F28" s="23">
        <f t="shared" si="34"/>
        <v>-2.4803398122238839E-3</v>
      </c>
      <c r="G28" s="23">
        <f t="shared" si="35"/>
        <v>0</v>
      </c>
      <c r="H28" s="320">
        <v>39990420892.980003</v>
      </c>
      <c r="I28" s="309">
        <v>1</v>
      </c>
      <c r="J28" s="23">
        <f t="shared" si="36"/>
        <v>-2.6219913386046931E-3</v>
      </c>
      <c r="K28" s="23">
        <f t="shared" si="37"/>
        <v>0</v>
      </c>
      <c r="L28" s="320">
        <v>39724226551.019997</v>
      </c>
      <c r="M28" s="309">
        <v>1</v>
      </c>
      <c r="N28" s="23">
        <f t="shared" si="38"/>
        <v>-6.6564526208008727E-3</v>
      </c>
      <c r="O28" s="23">
        <f t="shared" si="39"/>
        <v>0</v>
      </c>
      <c r="P28" s="320">
        <v>39885395596.620003</v>
      </c>
      <c r="Q28" s="309">
        <v>1</v>
      </c>
      <c r="R28" s="23">
        <f t="shared" si="40"/>
        <v>4.0571978259415038E-3</v>
      </c>
      <c r="S28" s="23">
        <f t="shared" si="41"/>
        <v>0</v>
      </c>
      <c r="T28" s="320">
        <v>40957926644.699997</v>
      </c>
      <c r="U28" s="309">
        <v>1</v>
      </c>
      <c r="V28" s="23">
        <f t="shared" si="42"/>
        <v>2.6890319928803297E-2</v>
      </c>
      <c r="W28" s="23">
        <f t="shared" si="43"/>
        <v>0</v>
      </c>
      <c r="X28" s="320">
        <v>40307316221.290001</v>
      </c>
      <c r="Y28" s="309">
        <v>1</v>
      </c>
      <c r="Z28" s="23">
        <f t="shared" si="44"/>
        <v>-1.5884847615795655E-2</v>
      </c>
      <c r="AA28" s="23">
        <f t="shared" si="45"/>
        <v>0</v>
      </c>
      <c r="AB28" s="320">
        <v>40934896304.379997</v>
      </c>
      <c r="AC28" s="309">
        <v>1</v>
      </c>
      <c r="AD28" s="23">
        <f t="shared" si="46"/>
        <v>1.5569880158841079E-2</v>
      </c>
      <c r="AE28" s="23">
        <f t="shared" si="47"/>
        <v>0</v>
      </c>
      <c r="AF28" s="320">
        <v>40720712051.089996</v>
      </c>
      <c r="AG28" s="309">
        <v>1</v>
      </c>
      <c r="AH28" s="23">
        <f t="shared" si="48"/>
        <v>-5.2323145439868478E-3</v>
      </c>
      <c r="AI28" s="23">
        <f t="shared" si="49"/>
        <v>0</v>
      </c>
      <c r="AJ28" s="24">
        <f t="shared" si="16"/>
        <v>1.705181497771741E-3</v>
      </c>
      <c r="AK28" s="24">
        <f t="shared" si="17"/>
        <v>0</v>
      </c>
      <c r="AL28" s="25">
        <f t="shared" si="18"/>
        <v>1.5591778978242099E-2</v>
      </c>
      <c r="AM28" s="25">
        <f t="shared" si="19"/>
        <v>0</v>
      </c>
      <c r="AN28" s="379">
        <f t="shared" si="20"/>
        <v>1.3605413636969248E-2</v>
      </c>
      <c r="AO28" s="380">
        <f t="shared" si="21"/>
        <v>1.8499025476770492E-3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1" t="s">
        <v>97</v>
      </c>
      <c r="B29" s="320">
        <v>5762076009.1499996</v>
      </c>
      <c r="C29" s="309">
        <v>100</v>
      </c>
      <c r="D29" s="320">
        <v>6073036021.4700003</v>
      </c>
      <c r="E29" s="309">
        <v>100</v>
      </c>
      <c r="F29" s="23">
        <f t="shared" si="34"/>
        <v>5.3966662679597717E-2</v>
      </c>
      <c r="G29" s="23">
        <f t="shared" si="35"/>
        <v>0</v>
      </c>
      <c r="H29" s="320">
        <v>6278151194.9899998</v>
      </c>
      <c r="I29" s="309">
        <v>100</v>
      </c>
      <c r="J29" s="23">
        <f t="shared" si="36"/>
        <v>3.377473355910552E-2</v>
      </c>
      <c r="K29" s="23">
        <f t="shared" si="37"/>
        <v>0</v>
      </c>
      <c r="L29" s="320">
        <v>6351808725.8100004</v>
      </c>
      <c r="M29" s="309">
        <v>100</v>
      </c>
      <c r="N29" s="23">
        <f t="shared" si="38"/>
        <v>1.173236013793038E-2</v>
      </c>
      <c r="O29" s="23">
        <f t="shared" si="39"/>
        <v>0</v>
      </c>
      <c r="P29" s="320">
        <v>6401922730.7700005</v>
      </c>
      <c r="Q29" s="309">
        <v>100</v>
      </c>
      <c r="R29" s="23">
        <f t="shared" si="40"/>
        <v>7.889721986804531E-3</v>
      </c>
      <c r="S29" s="23">
        <f t="shared" si="41"/>
        <v>0</v>
      </c>
      <c r="T29" s="320">
        <v>6396492471.5900002</v>
      </c>
      <c r="U29" s="309">
        <v>100</v>
      </c>
      <c r="V29" s="23">
        <f t="shared" si="42"/>
        <v>-8.4822316800239991E-4</v>
      </c>
      <c r="W29" s="23">
        <f t="shared" si="43"/>
        <v>0</v>
      </c>
      <c r="X29" s="320">
        <v>6519318026.6800003</v>
      </c>
      <c r="Y29" s="309">
        <v>100</v>
      </c>
      <c r="Z29" s="23">
        <f t="shared" si="44"/>
        <v>1.9202016673282966E-2</v>
      </c>
      <c r="AA29" s="23">
        <f t="shared" si="45"/>
        <v>0</v>
      </c>
      <c r="AB29" s="320">
        <v>6584038357.3299999</v>
      </c>
      <c r="AC29" s="309">
        <v>100</v>
      </c>
      <c r="AD29" s="23">
        <f t="shared" si="46"/>
        <v>9.9274694661519395E-3</v>
      </c>
      <c r="AE29" s="23">
        <f t="shared" si="47"/>
        <v>0</v>
      </c>
      <c r="AF29" s="320">
        <v>6708779236.3699999</v>
      </c>
      <c r="AG29" s="309">
        <v>100</v>
      </c>
      <c r="AH29" s="23">
        <f t="shared" si="48"/>
        <v>1.8945952661579824E-2</v>
      </c>
      <c r="AI29" s="23">
        <f t="shared" si="49"/>
        <v>0</v>
      </c>
      <c r="AJ29" s="24">
        <f t="shared" si="16"/>
        <v>1.932383674955631E-2</v>
      </c>
      <c r="AK29" s="24">
        <f t="shared" si="17"/>
        <v>0</v>
      </c>
      <c r="AL29" s="25">
        <f t="shared" si="18"/>
        <v>0.10468293167576433</v>
      </c>
      <c r="AM29" s="25">
        <f t="shared" si="19"/>
        <v>0</v>
      </c>
      <c r="AN29" s="379">
        <f t="shared" si="20"/>
        <v>1.7290313805832652E-2</v>
      </c>
      <c r="AO29" s="380">
        <f t="shared" si="21"/>
        <v>6.6984058015212063E-3</v>
      </c>
      <c r="AP29" s="30"/>
      <c r="AQ29" s="38"/>
      <c r="AR29" s="35"/>
      <c r="AS29" s="29"/>
      <c r="AT29" s="29"/>
    </row>
    <row r="30" spans="1:46" ht="15.75" customHeight="1">
      <c r="A30" s="201" t="s">
        <v>228</v>
      </c>
      <c r="B30" s="320">
        <v>12754115327.99</v>
      </c>
      <c r="C30" s="309">
        <v>100</v>
      </c>
      <c r="D30" s="320">
        <v>12818435327.519999</v>
      </c>
      <c r="E30" s="309">
        <v>100</v>
      </c>
      <c r="F30" s="23">
        <f t="shared" si="34"/>
        <v>5.0430780870267828E-3</v>
      </c>
      <c r="G30" s="23">
        <f t="shared" si="35"/>
        <v>0</v>
      </c>
      <c r="H30" s="320">
        <v>12742981407.68</v>
      </c>
      <c r="I30" s="309">
        <v>100</v>
      </c>
      <c r="J30" s="23">
        <f t="shared" si="36"/>
        <v>-5.8863595994439067E-3</v>
      </c>
      <c r="K30" s="23">
        <f t="shared" si="37"/>
        <v>0</v>
      </c>
      <c r="L30" s="320">
        <v>12822705616.629999</v>
      </c>
      <c r="M30" s="309">
        <v>100</v>
      </c>
      <c r="N30" s="23">
        <f t="shared" si="38"/>
        <v>6.2563231004912467E-3</v>
      </c>
      <c r="O30" s="23">
        <f t="shared" si="39"/>
        <v>0</v>
      </c>
      <c r="P30" s="320">
        <v>12722309306.74</v>
      </c>
      <c r="Q30" s="309">
        <v>100</v>
      </c>
      <c r="R30" s="23">
        <f t="shared" si="40"/>
        <v>-7.8295730161498517E-3</v>
      </c>
      <c r="S30" s="23">
        <f t="shared" si="41"/>
        <v>0</v>
      </c>
      <c r="T30" s="320">
        <v>12482804303.57</v>
      </c>
      <c r="U30" s="309">
        <v>100</v>
      </c>
      <c r="V30" s="23">
        <f t="shared" si="42"/>
        <v>-1.8825591910669518E-2</v>
      </c>
      <c r="W30" s="23">
        <f t="shared" si="43"/>
        <v>0</v>
      </c>
      <c r="X30" s="320">
        <v>12481388892.640001</v>
      </c>
      <c r="Y30" s="309">
        <v>100</v>
      </c>
      <c r="Z30" s="23">
        <f t="shared" si="44"/>
        <v>-1.1338885843092162E-4</v>
      </c>
      <c r="AA30" s="23">
        <f t="shared" si="45"/>
        <v>0</v>
      </c>
      <c r="AB30" s="320">
        <v>12518887422.59</v>
      </c>
      <c r="AC30" s="309">
        <v>100</v>
      </c>
      <c r="AD30" s="23">
        <f t="shared" si="46"/>
        <v>3.0043555466900728E-3</v>
      </c>
      <c r="AE30" s="23">
        <f t="shared" si="47"/>
        <v>0</v>
      </c>
      <c r="AF30" s="320">
        <v>12664877324.02</v>
      </c>
      <c r="AG30" s="309">
        <v>100</v>
      </c>
      <c r="AH30" s="23">
        <f t="shared" si="48"/>
        <v>1.1661571552002729E-2</v>
      </c>
      <c r="AI30" s="23">
        <f t="shared" si="49"/>
        <v>0</v>
      </c>
      <c r="AJ30" s="24">
        <f t="shared" si="16"/>
        <v>-8.361981373104213E-4</v>
      </c>
      <c r="AK30" s="24">
        <f t="shared" si="17"/>
        <v>0</v>
      </c>
      <c r="AL30" s="25">
        <f t="shared" si="18"/>
        <v>-1.1979465478935891E-2</v>
      </c>
      <c r="AM30" s="25">
        <f t="shared" si="19"/>
        <v>0</v>
      </c>
      <c r="AN30" s="379">
        <f t="shared" si="20"/>
        <v>9.6685499785477864E-3</v>
      </c>
      <c r="AO30" s="380">
        <f t="shared" si="21"/>
        <v>4.1229881618566307E-3</v>
      </c>
      <c r="AP30" s="30"/>
      <c r="AQ30" s="38"/>
      <c r="AR30" s="35"/>
      <c r="AS30" s="29"/>
      <c r="AT30" s="29"/>
    </row>
    <row r="31" spans="1:46">
      <c r="A31" s="201" t="s">
        <v>89</v>
      </c>
      <c r="B31" s="320">
        <v>5370357225.0799999</v>
      </c>
      <c r="C31" s="309">
        <v>100</v>
      </c>
      <c r="D31" s="320">
        <v>5360735339.1700001</v>
      </c>
      <c r="E31" s="309">
        <v>100</v>
      </c>
      <c r="F31" s="23">
        <f t="shared" si="34"/>
        <v>-1.7916658998147956E-3</v>
      </c>
      <c r="G31" s="23">
        <f t="shared" si="35"/>
        <v>0</v>
      </c>
      <c r="H31" s="320">
        <v>5563436722.6800003</v>
      </c>
      <c r="I31" s="309">
        <v>100</v>
      </c>
      <c r="J31" s="23">
        <f t="shared" si="36"/>
        <v>3.7812234830713429E-2</v>
      </c>
      <c r="K31" s="23">
        <f t="shared" si="37"/>
        <v>0</v>
      </c>
      <c r="L31" s="320">
        <v>5739491026.8999996</v>
      </c>
      <c r="M31" s="309">
        <v>100</v>
      </c>
      <c r="N31" s="23">
        <f t="shared" si="38"/>
        <v>3.1644883009506221E-2</v>
      </c>
      <c r="O31" s="23">
        <f t="shared" si="39"/>
        <v>0</v>
      </c>
      <c r="P31" s="320">
        <v>5817272654.2399998</v>
      </c>
      <c r="Q31" s="309">
        <v>100</v>
      </c>
      <c r="R31" s="23">
        <f t="shared" si="40"/>
        <v>1.3552007830563921E-2</v>
      </c>
      <c r="S31" s="23">
        <f t="shared" si="41"/>
        <v>0</v>
      </c>
      <c r="T31" s="320">
        <v>5695909796.8400002</v>
      </c>
      <c r="U31" s="309">
        <v>100</v>
      </c>
      <c r="V31" s="23">
        <f t="shared" si="42"/>
        <v>-2.0862501143305123E-2</v>
      </c>
      <c r="W31" s="23">
        <f t="shared" si="43"/>
        <v>0</v>
      </c>
      <c r="X31" s="320">
        <v>5656213747.3999996</v>
      </c>
      <c r="Y31" s="309">
        <v>100</v>
      </c>
      <c r="Z31" s="23">
        <f t="shared" si="44"/>
        <v>-6.9692201695369669E-3</v>
      </c>
      <c r="AA31" s="23">
        <f t="shared" si="45"/>
        <v>0</v>
      </c>
      <c r="AB31" s="320">
        <v>6053981270.9899998</v>
      </c>
      <c r="AC31" s="309">
        <v>100</v>
      </c>
      <c r="AD31" s="23">
        <f t="shared" si="46"/>
        <v>7.0323990809725415E-2</v>
      </c>
      <c r="AE31" s="23">
        <f t="shared" si="47"/>
        <v>0</v>
      </c>
      <c r="AF31" s="320">
        <v>6112797574.9899998</v>
      </c>
      <c r="AG31" s="309">
        <v>100</v>
      </c>
      <c r="AH31" s="23">
        <f t="shared" si="48"/>
        <v>9.7153098708516235E-3</v>
      </c>
      <c r="AI31" s="23">
        <f t="shared" si="49"/>
        <v>0</v>
      </c>
      <c r="AJ31" s="24">
        <f t="shared" si="16"/>
        <v>1.6678129892337967E-2</v>
      </c>
      <c r="AK31" s="24">
        <f t="shared" si="17"/>
        <v>0</v>
      </c>
      <c r="AL31" s="25">
        <f t="shared" si="18"/>
        <v>0.14029087209823737</v>
      </c>
      <c r="AM31" s="25">
        <f t="shared" si="19"/>
        <v>0</v>
      </c>
      <c r="AN31" s="379">
        <f t="shared" si="20"/>
        <v>2.9072361656213963E-2</v>
      </c>
      <c r="AO31" s="380">
        <f t="shared" si="21"/>
        <v>3.4348807455038921E-3</v>
      </c>
      <c r="AP31" s="30"/>
      <c r="AQ31" s="38"/>
      <c r="AR31" s="35"/>
      <c r="AS31" s="29"/>
      <c r="AT31" s="29"/>
    </row>
    <row r="32" spans="1:46">
      <c r="A32" s="201" t="s">
        <v>178</v>
      </c>
      <c r="B32" s="320">
        <v>44514190.369999997</v>
      </c>
      <c r="C32" s="309">
        <v>100</v>
      </c>
      <c r="D32" s="320">
        <v>44514190.369999997</v>
      </c>
      <c r="E32" s="309">
        <v>100</v>
      </c>
      <c r="F32" s="23">
        <f t="shared" si="34"/>
        <v>0</v>
      </c>
      <c r="G32" s="23">
        <f t="shared" si="35"/>
        <v>0</v>
      </c>
      <c r="H32" s="320">
        <v>44514190.369999997</v>
      </c>
      <c r="I32" s="309">
        <v>100</v>
      </c>
      <c r="J32" s="23">
        <f t="shared" si="36"/>
        <v>0</v>
      </c>
      <c r="K32" s="23">
        <f t="shared" si="37"/>
        <v>0</v>
      </c>
      <c r="L32" s="320">
        <v>44514190.369999997</v>
      </c>
      <c r="M32" s="309">
        <v>100</v>
      </c>
      <c r="N32" s="23">
        <f t="shared" si="38"/>
        <v>0</v>
      </c>
      <c r="O32" s="23">
        <f t="shared" si="39"/>
        <v>0</v>
      </c>
      <c r="P32" s="320">
        <v>44514190.369999997</v>
      </c>
      <c r="Q32" s="309">
        <v>100</v>
      </c>
      <c r="R32" s="23">
        <f t="shared" si="40"/>
        <v>0</v>
      </c>
      <c r="S32" s="23">
        <f t="shared" si="41"/>
        <v>0</v>
      </c>
      <c r="T32" s="320">
        <v>44514190.369999997</v>
      </c>
      <c r="U32" s="309">
        <v>100</v>
      </c>
      <c r="V32" s="23">
        <f t="shared" si="42"/>
        <v>0</v>
      </c>
      <c r="W32" s="23">
        <f t="shared" si="43"/>
        <v>0</v>
      </c>
      <c r="X32" s="320">
        <v>44514190.369999997</v>
      </c>
      <c r="Y32" s="309">
        <v>100</v>
      </c>
      <c r="Z32" s="23">
        <f t="shared" si="44"/>
        <v>0</v>
      </c>
      <c r="AA32" s="23">
        <f t="shared" si="45"/>
        <v>0</v>
      </c>
      <c r="AB32" s="320">
        <v>44514190.369999997</v>
      </c>
      <c r="AC32" s="309">
        <v>100</v>
      </c>
      <c r="AD32" s="23">
        <f t="shared" si="46"/>
        <v>0</v>
      </c>
      <c r="AE32" s="23">
        <f t="shared" si="47"/>
        <v>0</v>
      </c>
      <c r="AF32" s="320">
        <v>44514190.369999997</v>
      </c>
      <c r="AG32" s="309">
        <v>100</v>
      </c>
      <c r="AH32" s="23">
        <f t="shared" si="48"/>
        <v>0</v>
      </c>
      <c r="AI32" s="23">
        <f t="shared" si="49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79">
        <f t="shared" si="20"/>
        <v>0</v>
      </c>
      <c r="AO32" s="380">
        <f t="shared" si="21"/>
        <v>0</v>
      </c>
      <c r="AP32" s="30"/>
      <c r="AQ32" s="38"/>
      <c r="AR32" s="35"/>
      <c r="AS32" s="29"/>
      <c r="AT32" s="29"/>
    </row>
    <row r="33" spans="1:47">
      <c r="A33" s="201" t="s">
        <v>108</v>
      </c>
      <c r="B33" s="320">
        <v>5019305636.8000002</v>
      </c>
      <c r="C33" s="309">
        <v>1</v>
      </c>
      <c r="D33" s="320">
        <v>4745469606.2600002</v>
      </c>
      <c r="E33" s="309">
        <v>1</v>
      </c>
      <c r="F33" s="23">
        <f t="shared" si="34"/>
        <v>-5.4556556295818827E-2</v>
      </c>
      <c r="G33" s="23">
        <f t="shared" si="35"/>
        <v>0</v>
      </c>
      <c r="H33" s="320">
        <v>4754926961.3400002</v>
      </c>
      <c r="I33" s="309">
        <v>1</v>
      </c>
      <c r="J33" s="23">
        <f t="shared" si="36"/>
        <v>1.992922906412513E-3</v>
      </c>
      <c r="K33" s="23">
        <f t="shared" si="37"/>
        <v>0</v>
      </c>
      <c r="L33" s="320">
        <v>4801181951.0500002</v>
      </c>
      <c r="M33" s="309">
        <v>1</v>
      </c>
      <c r="N33" s="23">
        <f t="shared" si="38"/>
        <v>9.7278023587064281E-3</v>
      </c>
      <c r="O33" s="23">
        <f t="shared" si="39"/>
        <v>0</v>
      </c>
      <c r="P33" s="320">
        <v>4849586512.3000002</v>
      </c>
      <c r="Q33" s="309">
        <v>1</v>
      </c>
      <c r="R33" s="23">
        <f t="shared" si="40"/>
        <v>1.0081801053054052E-2</v>
      </c>
      <c r="S33" s="23">
        <f t="shared" si="41"/>
        <v>0</v>
      </c>
      <c r="T33" s="320">
        <v>4956810236.1300001</v>
      </c>
      <c r="U33" s="309">
        <v>1</v>
      </c>
      <c r="V33" s="23">
        <f t="shared" si="42"/>
        <v>2.2109869276081277E-2</v>
      </c>
      <c r="W33" s="23">
        <f t="shared" si="43"/>
        <v>0</v>
      </c>
      <c r="X33" s="320">
        <v>5117027630.4200001</v>
      </c>
      <c r="Y33" s="309">
        <v>1</v>
      </c>
      <c r="Z33" s="23">
        <f t="shared" si="44"/>
        <v>3.2322680646957494E-2</v>
      </c>
      <c r="AA33" s="23">
        <f t="shared" si="45"/>
        <v>0</v>
      </c>
      <c r="AB33" s="320">
        <v>5124692682.4300003</v>
      </c>
      <c r="AC33" s="309">
        <v>1</v>
      </c>
      <c r="AD33" s="23">
        <f t="shared" si="46"/>
        <v>1.4979500920480841E-3</v>
      </c>
      <c r="AE33" s="23">
        <f t="shared" si="47"/>
        <v>0</v>
      </c>
      <c r="AF33" s="320">
        <v>5210909185.3500004</v>
      </c>
      <c r="AG33" s="309">
        <v>1</v>
      </c>
      <c r="AH33" s="23">
        <f t="shared" si="48"/>
        <v>1.6823741102679816E-2</v>
      </c>
      <c r="AI33" s="23">
        <f t="shared" si="49"/>
        <v>0</v>
      </c>
      <c r="AJ33" s="24">
        <f t="shared" si="16"/>
        <v>5.0000263925151049E-3</v>
      </c>
      <c r="AK33" s="24">
        <f t="shared" si="17"/>
        <v>0</v>
      </c>
      <c r="AL33" s="25">
        <f t="shared" si="18"/>
        <v>9.8080826073780797E-2</v>
      </c>
      <c r="AM33" s="25">
        <f t="shared" si="19"/>
        <v>0</v>
      </c>
      <c r="AN33" s="379">
        <f t="shared" si="20"/>
        <v>2.617399046803431E-2</v>
      </c>
      <c r="AO33" s="380">
        <f t="shared" si="21"/>
        <v>5.9480907093158713E-3</v>
      </c>
      <c r="AP33" s="30"/>
      <c r="AQ33" s="38"/>
      <c r="AR33" s="35"/>
      <c r="AS33" s="29"/>
      <c r="AT33" s="29"/>
    </row>
    <row r="34" spans="1:47">
      <c r="A34" s="201" t="s">
        <v>100</v>
      </c>
      <c r="B34" s="320">
        <v>13412684841.01</v>
      </c>
      <c r="C34" s="69">
        <v>100</v>
      </c>
      <c r="D34" s="320">
        <v>13539988654.25</v>
      </c>
      <c r="E34" s="69">
        <v>100</v>
      </c>
      <c r="F34" s="23">
        <f t="shared" si="34"/>
        <v>9.4912998217002425E-3</v>
      </c>
      <c r="G34" s="23">
        <f t="shared" si="35"/>
        <v>0</v>
      </c>
      <c r="H34" s="320">
        <v>14527961910.5</v>
      </c>
      <c r="I34" s="69">
        <v>100</v>
      </c>
      <c r="J34" s="23">
        <f t="shared" si="36"/>
        <v>7.2967066773714756E-2</v>
      </c>
      <c r="K34" s="23">
        <f t="shared" si="37"/>
        <v>0</v>
      </c>
      <c r="L34" s="320">
        <v>13879060473.77</v>
      </c>
      <c r="M34" s="69">
        <v>100</v>
      </c>
      <c r="N34" s="23">
        <f t="shared" si="38"/>
        <v>-4.4665689566614972E-2</v>
      </c>
      <c r="O34" s="23">
        <f t="shared" si="39"/>
        <v>0</v>
      </c>
      <c r="P34" s="320">
        <v>14105826545.83</v>
      </c>
      <c r="Q34" s="69">
        <v>100</v>
      </c>
      <c r="R34" s="23">
        <f t="shared" si="40"/>
        <v>1.6338719215797357E-2</v>
      </c>
      <c r="S34" s="23">
        <f t="shared" si="41"/>
        <v>0</v>
      </c>
      <c r="T34" s="320">
        <v>13889082591.969999</v>
      </c>
      <c r="U34" s="69">
        <v>100</v>
      </c>
      <c r="V34" s="23">
        <f t="shared" si="42"/>
        <v>-1.5365562106963169E-2</v>
      </c>
      <c r="W34" s="23">
        <f t="shared" si="43"/>
        <v>0</v>
      </c>
      <c r="X34" s="320">
        <v>14189585200.16</v>
      </c>
      <c r="Y34" s="69">
        <v>100</v>
      </c>
      <c r="Z34" s="23">
        <f t="shared" si="44"/>
        <v>2.1635886042159238E-2</v>
      </c>
      <c r="AA34" s="23">
        <f t="shared" si="45"/>
        <v>0</v>
      </c>
      <c r="AB34" s="320">
        <v>14061388982.280001</v>
      </c>
      <c r="AC34" s="69">
        <v>100</v>
      </c>
      <c r="AD34" s="23">
        <f t="shared" si="46"/>
        <v>-9.034528921856971E-3</v>
      </c>
      <c r="AE34" s="23">
        <f t="shared" si="47"/>
        <v>0</v>
      </c>
      <c r="AF34" s="320">
        <v>14176719275.27</v>
      </c>
      <c r="AG34" s="69">
        <v>100</v>
      </c>
      <c r="AH34" s="23">
        <f t="shared" si="48"/>
        <v>8.2019132772258602E-3</v>
      </c>
      <c r="AI34" s="23">
        <f t="shared" si="49"/>
        <v>0</v>
      </c>
      <c r="AJ34" s="24">
        <f t="shared" si="16"/>
        <v>7.446138066895292E-3</v>
      </c>
      <c r="AK34" s="24">
        <f t="shared" si="17"/>
        <v>0</v>
      </c>
      <c r="AL34" s="25">
        <f t="shared" si="18"/>
        <v>4.7025934605945202E-2</v>
      </c>
      <c r="AM34" s="25">
        <f t="shared" si="19"/>
        <v>0</v>
      </c>
      <c r="AN34" s="379">
        <f t="shared" si="20"/>
        <v>3.3986975566254261E-2</v>
      </c>
      <c r="AO34" s="380">
        <f t="shared" si="21"/>
        <v>2.8998142485151925E-3</v>
      </c>
      <c r="AP34" s="30"/>
      <c r="AQ34" s="38"/>
      <c r="AR34" s="35"/>
      <c r="AS34" s="29"/>
      <c r="AT34" s="29"/>
    </row>
    <row r="35" spans="1:47">
      <c r="A35" s="201" t="s">
        <v>99</v>
      </c>
      <c r="B35" s="320">
        <v>1088848164.1300001</v>
      </c>
      <c r="C35" s="69">
        <v>1000000</v>
      </c>
      <c r="D35" s="320">
        <v>1080347151.77</v>
      </c>
      <c r="E35" s="69">
        <v>1000000</v>
      </c>
      <c r="F35" s="23">
        <f t="shared" si="34"/>
        <v>-7.8073441642733743E-3</v>
      </c>
      <c r="G35" s="23">
        <f t="shared" si="35"/>
        <v>0</v>
      </c>
      <c r="H35" s="320">
        <v>1081979680.1500001</v>
      </c>
      <c r="I35" s="69">
        <v>1000000</v>
      </c>
      <c r="J35" s="23">
        <f t="shared" si="36"/>
        <v>1.5111146239664183E-3</v>
      </c>
      <c r="K35" s="23">
        <f t="shared" si="37"/>
        <v>0</v>
      </c>
      <c r="L35" s="320">
        <v>1121619605.54</v>
      </c>
      <c r="M35" s="69">
        <v>1000000</v>
      </c>
      <c r="N35" s="23">
        <f t="shared" si="38"/>
        <v>3.6636478593114051E-2</v>
      </c>
      <c r="O35" s="23">
        <f t="shared" si="39"/>
        <v>0</v>
      </c>
      <c r="P35" s="320">
        <v>1123251933.9200001</v>
      </c>
      <c r="Q35" s="69">
        <v>1000000</v>
      </c>
      <c r="R35" s="23">
        <f t="shared" si="40"/>
        <v>1.4553315330238326E-3</v>
      </c>
      <c r="S35" s="23">
        <f t="shared" si="41"/>
        <v>0</v>
      </c>
      <c r="T35" s="320">
        <v>1124632940.49</v>
      </c>
      <c r="U35" s="69">
        <v>1000000</v>
      </c>
      <c r="V35" s="23">
        <f t="shared" si="42"/>
        <v>1.2294717937234292E-3</v>
      </c>
      <c r="W35" s="23">
        <f t="shared" si="43"/>
        <v>0</v>
      </c>
      <c r="X35" s="320">
        <v>1126503090.6099999</v>
      </c>
      <c r="Y35" s="69">
        <v>1000000</v>
      </c>
      <c r="Z35" s="23">
        <f t="shared" si="44"/>
        <v>1.6628982245398801E-3</v>
      </c>
      <c r="AA35" s="23">
        <f t="shared" si="45"/>
        <v>0</v>
      </c>
      <c r="AB35" s="320">
        <v>1228392489.0999999</v>
      </c>
      <c r="AC35" s="69">
        <v>1000000</v>
      </c>
      <c r="AD35" s="23">
        <f t="shared" si="46"/>
        <v>9.0447509056390638E-2</v>
      </c>
      <c r="AE35" s="23">
        <f t="shared" si="47"/>
        <v>0</v>
      </c>
      <c r="AF35" s="320">
        <v>1230331119.48</v>
      </c>
      <c r="AG35" s="69">
        <v>1000000</v>
      </c>
      <c r="AH35" s="23">
        <f t="shared" si="48"/>
        <v>1.5781848205702405E-3</v>
      </c>
      <c r="AI35" s="23">
        <f t="shared" si="49"/>
        <v>0</v>
      </c>
      <c r="AJ35" s="24">
        <f t="shared" si="16"/>
        <v>1.5839205560131891E-2</v>
      </c>
      <c r="AK35" s="24">
        <f t="shared" si="17"/>
        <v>0</v>
      </c>
      <c r="AL35" s="25">
        <f t="shared" si="18"/>
        <v>0.13882941928830189</v>
      </c>
      <c r="AM35" s="25">
        <f t="shared" si="19"/>
        <v>0</v>
      </c>
      <c r="AN35" s="379">
        <f t="shared" si="20"/>
        <v>3.2924293191030317E-2</v>
      </c>
      <c r="AO35" s="380">
        <f t="shared" si="21"/>
        <v>5.5797259429544587E-4</v>
      </c>
      <c r="AP35" s="30"/>
      <c r="AQ35" s="38"/>
      <c r="AR35" s="35"/>
      <c r="AS35" s="29"/>
      <c r="AT35" s="29"/>
    </row>
    <row r="36" spans="1:47">
      <c r="A36" s="201" t="s">
        <v>168</v>
      </c>
      <c r="B36" s="320">
        <v>2340588445.8200002</v>
      </c>
      <c r="C36" s="309">
        <v>1</v>
      </c>
      <c r="D36" s="320">
        <v>2370574483</v>
      </c>
      <c r="E36" s="309">
        <v>1</v>
      </c>
      <c r="F36" s="23">
        <f t="shared" si="34"/>
        <v>1.2811324106786547E-2</v>
      </c>
      <c r="G36" s="23">
        <f t="shared" si="35"/>
        <v>0</v>
      </c>
      <c r="H36" s="320">
        <v>2489458643.8299999</v>
      </c>
      <c r="I36" s="309">
        <v>1</v>
      </c>
      <c r="J36" s="23">
        <f t="shared" si="36"/>
        <v>5.0149936938302865E-2</v>
      </c>
      <c r="K36" s="23">
        <f t="shared" si="37"/>
        <v>0</v>
      </c>
      <c r="L36" s="320">
        <v>2522730068.8200002</v>
      </c>
      <c r="M36" s="309">
        <v>1</v>
      </c>
      <c r="N36" s="23">
        <f t="shared" si="38"/>
        <v>1.3364923764635267E-2</v>
      </c>
      <c r="O36" s="23">
        <f t="shared" si="39"/>
        <v>0</v>
      </c>
      <c r="P36" s="320">
        <v>2575467291.23</v>
      </c>
      <c r="Q36" s="309">
        <v>1</v>
      </c>
      <c r="R36" s="23">
        <f t="shared" si="40"/>
        <v>2.0904821749188382E-2</v>
      </c>
      <c r="S36" s="23">
        <f t="shared" si="41"/>
        <v>0</v>
      </c>
      <c r="T36" s="320">
        <v>2636152448.2399998</v>
      </c>
      <c r="U36" s="309">
        <v>1</v>
      </c>
      <c r="V36" s="23">
        <f t="shared" si="42"/>
        <v>2.3562775274469722E-2</v>
      </c>
      <c r="W36" s="23">
        <f t="shared" si="43"/>
        <v>0</v>
      </c>
      <c r="X36" s="320">
        <v>2633343876.3299999</v>
      </c>
      <c r="Y36" s="309">
        <v>1</v>
      </c>
      <c r="Z36" s="23">
        <f t="shared" si="44"/>
        <v>-1.0654057248756467E-3</v>
      </c>
      <c r="AA36" s="23">
        <f t="shared" si="45"/>
        <v>0</v>
      </c>
      <c r="AB36" s="320">
        <v>2616061714.6500001</v>
      </c>
      <c r="AC36" s="309">
        <v>1</v>
      </c>
      <c r="AD36" s="23">
        <f t="shared" si="46"/>
        <v>-6.5628199322320859E-3</v>
      </c>
      <c r="AE36" s="23">
        <f t="shared" si="47"/>
        <v>0</v>
      </c>
      <c r="AF36" s="320">
        <v>2612554028.3499999</v>
      </c>
      <c r="AG36" s="309">
        <v>1</v>
      </c>
      <c r="AH36" s="23">
        <f t="shared" si="48"/>
        <v>-1.3408270456148166E-3</v>
      </c>
      <c r="AI36" s="23">
        <f t="shared" si="49"/>
        <v>0</v>
      </c>
      <c r="AJ36" s="24">
        <f t="shared" si="16"/>
        <v>1.3978091141332529E-2</v>
      </c>
      <c r="AK36" s="24">
        <f t="shared" si="17"/>
        <v>0</v>
      </c>
      <c r="AL36" s="25">
        <f t="shared" si="18"/>
        <v>0.10207633090008246</v>
      </c>
      <c r="AM36" s="25">
        <f t="shared" si="19"/>
        <v>0</v>
      </c>
      <c r="AN36" s="379">
        <f t="shared" si="20"/>
        <v>1.8255686373857244E-2</v>
      </c>
      <c r="AO36" s="380">
        <f t="shared" si="21"/>
        <v>4.7405394817628054E-4</v>
      </c>
      <c r="AP36" s="30"/>
      <c r="AQ36" s="38"/>
      <c r="AR36" s="35"/>
      <c r="AS36" s="29"/>
      <c r="AT36" s="29"/>
      <c r="AU36" s="88"/>
    </row>
    <row r="37" spans="1:47" s="84" customFormat="1">
      <c r="A37" s="201" t="s">
        <v>14</v>
      </c>
      <c r="B37" s="320">
        <v>200337515700.42999</v>
      </c>
      <c r="C37" s="309">
        <v>100</v>
      </c>
      <c r="D37" s="320">
        <v>202577681162.17001</v>
      </c>
      <c r="E37" s="309">
        <v>100</v>
      </c>
      <c r="F37" s="23">
        <f t="shared" si="34"/>
        <v>1.1181956878659709E-2</v>
      </c>
      <c r="G37" s="23">
        <f t="shared" si="35"/>
        <v>0</v>
      </c>
      <c r="H37" s="320">
        <v>205188776678.94</v>
      </c>
      <c r="I37" s="309">
        <v>100</v>
      </c>
      <c r="J37" s="23">
        <f t="shared" si="36"/>
        <v>1.2889354354291983E-2</v>
      </c>
      <c r="K37" s="23">
        <f t="shared" si="37"/>
        <v>0</v>
      </c>
      <c r="L37" s="320">
        <v>205180309926.07999</v>
      </c>
      <c r="M37" s="309">
        <v>100</v>
      </c>
      <c r="N37" s="23">
        <f t="shared" si="38"/>
        <v>-4.126323572396868E-5</v>
      </c>
      <c r="O37" s="23">
        <f t="shared" si="39"/>
        <v>0</v>
      </c>
      <c r="P37" s="320">
        <v>203955960526.35001</v>
      </c>
      <c r="Q37" s="309">
        <v>100</v>
      </c>
      <c r="R37" s="23">
        <f t="shared" si="40"/>
        <v>-5.9671875930544949E-3</v>
      </c>
      <c r="S37" s="23">
        <f t="shared" si="41"/>
        <v>0</v>
      </c>
      <c r="T37" s="320">
        <v>203061336001.59</v>
      </c>
      <c r="U37" s="309">
        <v>100</v>
      </c>
      <c r="V37" s="23">
        <f t="shared" si="42"/>
        <v>-4.3863612637318784E-3</v>
      </c>
      <c r="W37" s="23">
        <f t="shared" si="43"/>
        <v>0</v>
      </c>
      <c r="X37" s="320">
        <v>203435732498.82001</v>
      </c>
      <c r="Y37" s="309">
        <v>100</v>
      </c>
      <c r="Z37" s="23">
        <f t="shared" si="44"/>
        <v>1.8437606321425927E-3</v>
      </c>
      <c r="AA37" s="23">
        <f t="shared" si="45"/>
        <v>0</v>
      </c>
      <c r="AB37" s="320">
        <v>200705395227.67001</v>
      </c>
      <c r="AC37" s="309">
        <v>100</v>
      </c>
      <c r="AD37" s="23">
        <f t="shared" si="46"/>
        <v>-1.3421129305127509E-2</v>
      </c>
      <c r="AE37" s="23">
        <f t="shared" si="47"/>
        <v>0</v>
      </c>
      <c r="AF37" s="320">
        <v>197035337241.79999</v>
      </c>
      <c r="AG37" s="309">
        <v>100</v>
      </c>
      <c r="AH37" s="23">
        <f t="shared" si="48"/>
        <v>-1.8285796361910939E-2</v>
      </c>
      <c r="AI37" s="23">
        <f t="shared" si="49"/>
        <v>0</v>
      </c>
      <c r="AJ37" s="24">
        <f t="shared" si="16"/>
        <v>-2.0233332368068129E-3</v>
      </c>
      <c r="AK37" s="24">
        <f t="shared" si="17"/>
        <v>0</v>
      </c>
      <c r="AL37" s="25">
        <f t="shared" si="18"/>
        <v>-2.7359104362208585E-2</v>
      </c>
      <c r="AM37" s="25">
        <f t="shared" si="19"/>
        <v>0</v>
      </c>
      <c r="AN37" s="379">
        <f t="shared" si="20"/>
        <v>1.0896698749447885E-2</v>
      </c>
      <c r="AO37" s="380">
        <f t="shared" si="21"/>
        <v>6.4650053034517622E-3</v>
      </c>
      <c r="AP37" s="30"/>
      <c r="AQ37" s="38"/>
      <c r="AR37" s="35"/>
      <c r="AS37" s="29"/>
      <c r="AT37" s="29"/>
    </row>
    <row r="38" spans="1:47" s="366" customFormat="1">
      <c r="A38" s="201" t="s">
        <v>257</v>
      </c>
      <c r="B38" s="320">
        <v>268609226.94999999</v>
      </c>
      <c r="C38" s="309">
        <v>1</v>
      </c>
      <c r="D38" s="320">
        <v>268706599.25999999</v>
      </c>
      <c r="E38" s="309">
        <v>1</v>
      </c>
      <c r="F38" s="23">
        <f t="shared" si="34"/>
        <v>3.6250545487824087E-4</v>
      </c>
      <c r="G38" s="23">
        <f t="shared" si="35"/>
        <v>0</v>
      </c>
      <c r="H38" s="320">
        <v>268855979.88</v>
      </c>
      <c r="I38" s="309">
        <v>1</v>
      </c>
      <c r="J38" s="23">
        <f t="shared" si="36"/>
        <v>5.5592464201247385E-4</v>
      </c>
      <c r="K38" s="23">
        <f t="shared" si="37"/>
        <v>0</v>
      </c>
      <c r="L38" s="376">
        <v>238133032.34999999</v>
      </c>
      <c r="M38" s="309">
        <v>1</v>
      </c>
      <c r="N38" s="23">
        <f t="shared" si="38"/>
        <v>-0.1142728815022554</v>
      </c>
      <c r="O38" s="23">
        <f t="shared" si="39"/>
        <v>0</v>
      </c>
      <c r="P38" s="320">
        <v>270827759.00999999</v>
      </c>
      <c r="Q38" s="309">
        <v>1</v>
      </c>
      <c r="R38" s="23">
        <f t="shared" si="40"/>
        <v>0.13729605816275994</v>
      </c>
      <c r="S38" s="23">
        <f t="shared" si="41"/>
        <v>0</v>
      </c>
      <c r="T38" s="320">
        <v>316090651.86000001</v>
      </c>
      <c r="U38" s="309">
        <v>1</v>
      </c>
      <c r="V38" s="23">
        <f t="shared" si="42"/>
        <v>0.16712796729351789</v>
      </c>
      <c r="W38" s="23">
        <f t="shared" si="43"/>
        <v>0</v>
      </c>
      <c r="X38" s="376">
        <v>282212950.04000002</v>
      </c>
      <c r="Y38" s="309">
        <v>1</v>
      </c>
      <c r="Z38" s="23">
        <f t="shared" si="44"/>
        <v>-0.10717717091805927</v>
      </c>
      <c r="AA38" s="23">
        <f t="shared" si="45"/>
        <v>0</v>
      </c>
      <c r="AB38" s="320">
        <v>292233591.13999999</v>
      </c>
      <c r="AC38" s="309">
        <v>1</v>
      </c>
      <c r="AD38" s="23">
        <f t="shared" si="46"/>
        <v>3.5507375188061602E-2</v>
      </c>
      <c r="AE38" s="23">
        <f t="shared" si="47"/>
        <v>0</v>
      </c>
      <c r="AF38" s="376">
        <v>282092191.77999997</v>
      </c>
      <c r="AG38" s="309">
        <v>1</v>
      </c>
      <c r="AH38" s="23">
        <f t="shared" si="48"/>
        <v>-3.4703058332337937E-2</v>
      </c>
      <c r="AI38" s="23">
        <f t="shared" si="49"/>
        <v>0</v>
      </c>
      <c r="AJ38" s="24">
        <f t="shared" si="16"/>
        <v>1.0587089998572195E-2</v>
      </c>
      <c r="AK38" s="24">
        <f t="shared" si="17"/>
        <v>0</v>
      </c>
      <c r="AL38" s="25">
        <f t="shared" si="18"/>
        <v>4.9814900552733007E-2</v>
      </c>
      <c r="AM38" s="25">
        <f t="shared" si="19"/>
        <v>0</v>
      </c>
      <c r="AN38" s="379">
        <f t="shared" si="20"/>
        <v>0.10204762688302207</v>
      </c>
      <c r="AO38" s="380">
        <f t="shared" si="21"/>
        <v>1.2269383937354236E-2</v>
      </c>
      <c r="AP38" s="30"/>
      <c r="AQ38" s="38"/>
      <c r="AR38" s="35"/>
      <c r="AS38" s="29"/>
      <c r="AT38" s="29"/>
    </row>
    <row r="39" spans="1:47" s="86" customFormat="1">
      <c r="A39" s="201" t="s">
        <v>122</v>
      </c>
      <c r="B39" s="320">
        <v>632899599.01999998</v>
      </c>
      <c r="C39" s="309">
        <v>10</v>
      </c>
      <c r="D39" s="320">
        <v>618707415.85000002</v>
      </c>
      <c r="E39" s="309">
        <v>10</v>
      </c>
      <c r="F39" s="23">
        <f t="shared" si="34"/>
        <v>-2.2424067248542335E-2</v>
      </c>
      <c r="G39" s="23">
        <f t="shared" si="35"/>
        <v>0</v>
      </c>
      <c r="H39" s="320">
        <v>627642877.64999998</v>
      </c>
      <c r="I39" s="309">
        <v>10</v>
      </c>
      <c r="J39" s="23">
        <f t="shared" si="36"/>
        <v>1.4442144333641337E-2</v>
      </c>
      <c r="K39" s="23">
        <f t="shared" si="37"/>
        <v>0</v>
      </c>
      <c r="L39" s="320">
        <v>603439230.46000004</v>
      </c>
      <c r="M39" s="309">
        <v>10</v>
      </c>
      <c r="N39" s="23">
        <f t="shared" si="38"/>
        <v>-3.8562768816277251E-2</v>
      </c>
      <c r="O39" s="23">
        <f t="shared" si="39"/>
        <v>0</v>
      </c>
      <c r="P39" s="320">
        <v>603439230.46000004</v>
      </c>
      <c r="Q39" s="309">
        <v>10</v>
      </c>
      <c r="R39" s="23">
        <f t="shared" si="40"/>
        <v>0</v>
      </c>
      <c r="S39" s="23">
        <f t="shared" si="41"/>
        <v>0</v>
      </c>
      <c r="T39" s="320">
        <v>607579274.76999998</v>
      </c>
      <c r="U39" s="309">
        <v>10</v>
      </c>
      <c r="V39" s="23">
        <f t="shared" si="42"/>
        <v>6.8607476959096584E-3</v>
      </c>
      <c r="W39" s="23">
        <f t="shared" si="43"/>
        <v>0</v>
      </c>
      <c r="X39" s="320">
        <v>612928918.5</v>
      </c>
      <c r="Y39" s="309">
        <v>10</v>
      </c>
      <c r="Z39" s="23">
        <f t="shared" si="44"/>
        <v>8.804848934363561E-3</v>
      </c>
      <c r="AA39" s="23">
        <f t="shared" si="45"/>
        <v>0</v>
      </c>
      <c r="AB39" s="320">
        <v>614828792.12</v>
      </c>
      <c r="AC39" s="309">
        <v>10</v>
      </c>
      <c r="AD39" s="23">
        <f t="shared" si="46"/>
        <v>3.0996638642038633E-3</v>
      </c>
      <c r="AE39" s="23">
        <f t="shared" si="47"/>
        <v>0</v>
      </c>
      <c r="AF39" s="320">
        <v>582641695.84000003</v>
      </c>
      <c r="AG39" s="309">
        <v>10</v>
      </c>
      <c r="AH39" s="23">
        <f t="shared" si="48"/>
        <v>-5.2351315833819662E-2</v>
      </c>
      <c r="AI39" s="23">
        <f t="shared" si="49"/>
        <v>0</v>
      </c>
      <c r="AJ39" s="24">
        <f t="shared" si="16"/>
        <v>-1.0016343383815103E-2</v>
      </c>
      <c r="AK39" s="24">
        <f t="shared" si="17"/>
        <v>0</v>
      </c>
      <c r="AL39" s="25">
        <f t="shared" si="18"/>
        <v>-5.8292044165094987E-2</v>
      </c>
      <c r="AM39" s="25">
        <f t="shared" si="19"/>
        <v>0</v>
      </c>
      <c r="AN39" s="379">
        <f t="shared" si="20"/>
        <v>2.4700340641797491E-2</v>
      </c>
      <c r="AO39" s="380">
        <f t="shared" si="21"/>
        <v>1.8508985215066279E-2</v>
      </c>
      <c r="AP39" s="30"/>
      <c r="AQ39" s="38"/>
      <c r="AR39" s="35"/>
      <c r="AS39" s="29"/>
      <c r="AT39" s="29"/>
    </row>
    <row r="40" spans="1:47" s="86" customFormat="1">
      <c r="A40" s="201" t="s">
        <v>86</v>
      </c>
      <c r="B40" s="320">
        <v>2462043061.5500002</v>
      </c>
      <c r="C40" s="309">
        <v>100</v>
      </c>
      <c r="D40" s="320">
        <v>3139377470.432292</v>
      </c>
      <c r="E40" s="309">
        <v>100</v>
      </c>
      <c r="F40" s="23">
        <f t="shared" si="34"/>
        <v>0.2751107076315189</v>
      </c>
      <c r="G40" s="23">
        <f t="shared" si="35"/>
        <v>0</v>
      </c>
      <c r="H40" s="320">
        <v>3139377470.432292</v>
      </c>
      <c r="I40" s="309">
        <v>100</v>
      </c>
      <c r="J40" s="23">
        <f t="shared" si="36"/>
        <v>0</v>
      </c>
      <c r="K40" s="23">
        <f t="shared" si="37"/>
        <v>0</v>
      </c>
      <c r="L40" s="320">
        <v>3437109711.7933283</v>
      </c>
      <c r="M40" s="309">
        <v>100</v>
      </c>
      <c r="N40" s="23">
        <f t="shared" si="38"/>
        <v>9.4837987519875586E-2</v>
      </c>
      <c r="O40" s="23">
        <f t="shared" si="39"/>
        <v>0</v>
      </c>
      <c r="P40" s="320">
        <v>3445072577.5697169</v>
      </c>
      <c r="Q40" s="309">
        <v>100</v>
      </c>
      <c r="R40" s="23">
        <f t="shared" si="40"/>
        <v>2.3167330821785093E-3</v>
      </c>
      <c r="S40" s="23">
        <f t="shared" si="41"/>
        <v>0</v>
      </c>
      <c r="T40" s="320">
        <v>2945831507.4202838</v>
      </c>
      <c r="U40" s="309">
        <v>100</v>
      </c>
      <c r="V40" s="23">
        <f t="shared" si="42"/>
        <v>-0.14491452905808344</v>
      </c>
      <c r="W40" s="23">
        <f t="shared" si="43"/>
        <v>0</v>
      </c>
      <c r="X40" s="320">
        <v>2943431124.5049682</v>
      </c>
      <c r="Y40" s="309">
        <v>100</v>
      </c>
      <c r="Z40" s="23">
        <f t="shared" si="44"/>
        <v>-8.1484053289174218E-4</v>
      </c>
      <c r="AA40" s="23">
        <f t="shared" si="45"/>
        <v>0</v>
      </c>
      <c r="AB40" s="320">
        <v>3671206553.7942152</v>
      </c>
      <c r="AC40" s="309">
        <v>100</v>
      </c>
      <c r="AD40" s="23">
        <f t="shared" si="46"/>
        <v>0.24725410532976058</v>
      </c>
      <c r="AE40" s="23">
        <f t="shared" si="47"/>
        <v>0</v>
      </c>
      <c r="AF40" s="320">
        <v>3664356200.4320264</v>
      </c>
      <c r="AG40" s="309">
        <v>100</v>
      </c>
      <c r="AH40" s="23">
        <f t="shared" si="48"/>
        <v>-1.8659678396762865E-3</v>
      </c>
      <c r="AI40" s="23">
        <f t="shared" si="49"/>
        <v>0</v>
      </c>
      <c r="AJ40" s="24">
        <f t="shared" si="16"/>
        <v>5.8990524516585263E-2</v>
      </c>
      <c r="AK40" s="24">
        <f t="shared" si="17"/>
        <v>0</v>
      </c>
      <c r="AL40" s="25">
        <f t="shared" si="18"/>
        <v>0.16722383177689201</v>
      </c>
      <c r="AM40" s="25">
        <f t="shared" si="19"/>
        <v>0</v>
      </c>
      <c r="AN40" s="379">
        <f t="shared" si="20"/>
        <v>0.14090798205931296</v>
      </c>
      <c r="AO40" s="380">
        <f t="shared" si="21"/>
        <v>6.5971925645555733E-4</v>
      </c>
      <c r="AP40" s="30"/>
      <c r="AQ40" s="38"/>
      <c r="AR40" s="35"/>
      <c r="AS40" s="29"/>
      <c r="AT40" s="29"/>
    </row>
    <row r="41" spans="1:47" s="366" customFormat="1">
      <c r="A41" s="201" t="s">
        <v>264</v>
      </c>
      <c r="B41" s="320">
        <v>20971225675.27</v>
      </c>
      <c r="C41" s="309">
        <v>100</v>
      </c>
      <c r="D41" s="320">
        <v>20964679811.240002</v>
      </c>
      <c r="E41" s="309">
        <v>100</v>
      </c>
      <c r="F41" s="23">
        <f t="shared" si="34"/>
        <v>-3.1213550086955054E-4</v>
      </c>
      <c r="G41" s="23">
        <f t="shared" si="35"/>
        <v>0</v>
      </c>
      <c r="H41" s="320">
        <v>21087722544.799999</v>
      </c>
      <c r="I41" s="309">
        <v>100</v>
      </c>
      <c r="J41" s="23">
        <f t="shared" si="36"/>
        <v>5.86904902282502E-3</v>
      </c>
      <c r="K41" s="23">
        <f t="shared" si="37"/>
        <v>0</v>
      </c>
      <c r="L41" s="320">
        <v>20698333560.200001</v>
      </c>
      <c r="M41" s="309">
        <v>100</v>
      </c>
      <c r="N41" s="23">
        <f t="shared" si="38"/>
        <v>-1.8465198589973742E-2</v>
      </c>
      <c r="O41" s="23">
        <f t="shared" si="39"/>
        <v>0</v>
      </c>
      <c r="P41" s="320">
        <v>20606333065.869999</v>
      </c>
      <c r="Q41" s="309">
        <v>100</v>
      </c>
      <c r="R41" s="23">
        <f t="shared" si="40"/>
        <v>-4.4448261529085563E-3</v>
      </c>
      <c r="S41" s="23">
        <f t="shared" si="41"/>
        <v>0</v>
      </c>
      <c r="T41" s="320">
        <v>20603590791.360001</v>
      </c>
      <c r="U41" s="309">
        <v>100</v>
      </c>
      <c r="V41" s="23">
        <f t="shared" si="42"/>
        <v>-1.3307920925243681E-4</v>
      </c>
      <c r="W41" s="23">
        <f t="shared" si="43"/>
        <v>0</v>
      </c>
      <c r="X41" s="320">
        <v>20576158727.080002</v>
      </c>
      <c r="Y41" s="309">
        <v>100</v>
      </c>
      <c r="Z41" s="23">
        <f t="shared" si="44"/>
        <v>-1.331421525392664E-3</v>
      </c>
      <c r="AA41" s="23">
        <f t="shared" si="45"/>
        <v>0</v>
      </c>
      <c r="AB41" s="320">
        <v>20633982628.639999</v>
      </c>
      <c r="AC41" s="309">
        <v>100</v>
      </c>
      <c r="AD41" s="23">
        <f t="shared" si="46"/>
        <v>2.8102379227808111E-3</v>
      </c>
      <c r="AE41" s="23">
        <f t="shared" si="47"/>
        <v>0</v>
      </c>
      <c r="AF41" s="320">
        <v>20727741540.740002</v>
      </c>
      <c r="AG41" s="309">
        <v>100</v>
      </c>
      <c r="AH41" s="23">
        <f t="shared" si="48"/>
        <v>4.5439076782910915E-3</v>
      </c>
      <c r="AI41" s="23">
        <f t="shared" si="49"/>
        <v>0</v>
      </c>
      <c r="AJ41" s="24">
        <f t="shared" si="16"/>
        <v>-1.4329332943125034E-3</v>
      </c>
      <c r="AK41" s="24">
        <f t="shared" si="17"/>
        <v>0</v>
      </c>
      <c r="AL41" s="25">
        <f t="shared" si="18"/>
        <v>-1.1301783410637541E-2</v>
      </c>
      <c r="AM41" s="25">
        <f t="shared" si="19"/>
        <v>0</v>
      </c>
      <c r="AN41" s="379">
        <f t="shared" si="20"/>
        <v>7.6454631590810842E-3</v>
      </c>
      <c r="AO41" s="380">
        <f t="shared" si="21"/>
        <v>1.6065139662026261E-3</v>
      </c>
      <c r="AP41" s="30"/>
      <c r="AQ41" s="38"/>
      <c r="AR41" s="35"/>
      <c r="AS41" s="29"/>
      <c r="AT41" s="29"/>
    </row>
    <row r="42" spans="1:47" s="86" customFormat="1">
      <c r="A42" s="201" t="s">
        <v>121</v>
      </c>
      <c r="B42" s="320">
        <v>3255040109.9000001</v>
      </c>
      <c r="C42" s="309">
        <v>1</v>
      </c>
      <c r="D42" s="320">
        <v>3317170674.1900001</v>
      </c>
      <c r="E42" s="309">
        <v>1</v>
      </c>
      <c r="F42" s="23">
        <f t="shared" si="34"/>
        <v>1.9087495758050341E-2</v>
      </c>
      <c r="G42" s="23">
        <f t="shared" si="35"/>
        <v>0</v>
      </c>
      <c r="H42" s="320">
        <v>3307850359.5</v>
      </c>
      <c r="I42" s="309">
        <v>1</v>
      </c>
      <c r="J42" s="23">
        <f t="shared" si="36"/>
        <v>-2.8097181620827904E-3</v>
      </c>
      <c r="K42" s="23">
        <f t="shared" si="37"/>
        <v>0</v>
      </c>
      <c r="L42" s="320">
        <v>3308995362.3699999</v>
      </c>
      <c r="M42" s="309">
        <v>1</v>
      </c>
      <c r="N42" s="23">
        <f t="shared" si="38"/>
        <v>3.4614711838807581E-4</v>
      </c>
      <c r="O42" s="23">
        <f t="shared" si="39"/>
        <v>0</v>
      </c>
      <c r="P42" s="320">
        <v>3266987392.04</v>
      </c>
      <c r="Q42" s="309">
        <v>1</v>
      </c>
      <c r="R42" s="23">
        <f t="shared" si="40"/>
        <v>-1.269508286645424E-2</v>
      </c>
      <c r="S42" s="23">
        <f t="shared" si="41"/>
        <v>0</v>
      </c>
      <c r="T42" s="320">
        <v>3238069703.6799998</v>
      </c>
      <c r="U42" s="309">
        <v>1</v>
      </c>
      <c r="V42" s="23">
        <f t="shared" si="42"/>
        <v>-8.8514845298937953E-3</v>
      </c>
      <c r="W42" s="23">
        <f t="shared" si="43"/>
        <v>0</v>
      </c>
      <c r="X42" s="320">
        <v>3190831257.6599998</v>
      </c>
      <c r="Y42" s="309">
        <v>1</v>
      </c>
      <c r="Z42" s="23">
        <f t="shared" si="44"/>
        <v>-1.4588458662985066E-2</v>
      </c>
      <c r="AA42" s="23">
        <f t="shared" si="45"/>
        <v>0</v>
      </c>
      <c r="AB42" s="320">
        <v>3162708156.3899999</v>
      </c>
      <c r="AC42" s="309">
        <v>1</v>
      </c>
      <c r="AD42" s="23">
        <f t="shared" si="46"/>
        <v>-8.8137225064744071E-3</v>
      </c>
      <c r="AE42" s="23">
        <f t="shared" si="47"/>
        <v>0</v>
      </c>
      <c r="AF42" s="320">
        <v>3120431897.5</v>
      </c>
      <c r="AG42" s="309">
        <v>1</v>
      </c>
      <c r="AH42" s="23">
        <f t="shared" si="48"/>
        <v>-1.3367107175091085E-2</v>
      </c>
      <c r="AI42" s="23">
        <f t="shared" si="49"/>
        <v>0</v>
      </c>
      <c r="AJ42" s="24">
        <f t="shared" si="16"/>
        <v>-5.2114913783178713E-3</v>
      </c>
      <c r="AK42" s="24">
        <f t="shared" si="17"/>
        <v>0</v>
      </c>
      <c r="AL42" s="25">
        <f t="shared" si="18"/>
        <v>-5.9309211377265213E-2</v>
      </c>
      <c r="AM42" s="25">
        <f t="shared" si="19"/>
        <v>0</v>
      </c>
      <c r="AN42" s="379">
        <f t="shared" si="20"/>
        <v>1.1108349378369551E-2</v>
      </c>
      <c r="AO42" s="380">
        <f t="shared" si="21"/>
        <v>4.7259860641771312E-3</v>
      </c>
      <c r="AP42" s="30"/>
      <c r="AQ42" s="38"/>
      <c r="AR42" s="35"/>
      <c r="AS42" s="29"/>
      <c r="AT42" s="29"/>
    </row>
    <row r="43" spans="1:47" s="86" customFormat="1">
      <c r="A43" s="201" t="s">
        <v>55</v>
      </c>
      <c r="B43" s="315">
        <v>3141693568.02</v>
      </c>
      <c r="C43" s="309">
        <v>10</v>
      </c>
      <c r="D43" s="315">
        <v>3218146936.1100001</v>
      </c>
      <c r="E43" s="309">
        <v>10</v>
      </c>
      <c r="F43" s="23">
        <f t="shared" si="34"/>
        <v>2.4335081202137614E-2</v>
      </c>
      <c r="G43" s="23">
        <f t="shared" si="35"/>
        <v>0</v>
      </c>
      <c r="H43" s="315">
        <v>3291678950.0100002</v>
      </c>
      <c r="I43" s="309">
        <v>10</v>
      </c>
      <c r="J43" s="23">
        <f t="shared" si="36"/>
        <v>2.2849178536541094E-2</v>
      </c>
      <c r="K43" s="23">
        <f t="shared" si="37"/>
        <v>0</v>
      </c>
      <c r="L43" s="315">
        <v>3272362488.4099998</v>
      </c>
      <c r="M43" s="309">
        <v>10</v>
      </c>
      <c r="N43" s="23">
        <f t="shared" si="38"/>
        <v>-5.8682702333232402E-3</v>
      </c>
      <c r="O43" s="23">
        <f t="shared" si="39"/>
        <v>0</v>
      </c>
      <c r="P43" s="315">
        <v>3234712239.6900001</v>
      </c>
      <c r="Q43" s="309">
        <v>10</v>
      </c>
      <c r="R43" s="23">
        <f t="shared" si="40"/>
        <v>-1.1505525091840781E-2</v>
      </c>
      <c r="S43" s="23">
        <f t="shared" si="41"/>
        <v>0</v>
      </c>
      <c r="T43" s="315">
        <v>3273308949.3600001</v>
      </c>
      <c r="U43" s="309">
        <v>10</v>
      </c>
      <c r="V43" s="23">
        <f t="shared" si="42"/>
        <v>1.1932038094893724E-2</v>
      </c>
      <c r="W43" s="23">
        <f t="shared" si="43"/>
        <v>0</v>
      </c>
      <c r="X43" s="315">
        <v>3305960850.2199998</v>
      </c>
      <c r="Y43" s="309">
        <v>10</v>
      </c>
      <c r="Z43" s="23">
        <f t="shared" si="44"/>
        <v>9.9751967703457321E-3</v>
      </c>
      <c r="AA43" s="23">
        <f t="shared" si="45"/>
        <v>0</v>
      </c>
      <c r="AB43" s="315">
        <v>3256369220.0500002</v>
      </c>
      <c r="AC43" s="309">
        <v>10</v>
      </c>
      <c r="AD43" s="23">
        <f t="shared" si="46"/>
        <v>-1.5000670732897353E-2</v>
      </c>
      <c r="AE43" s="23">
        <f t="shared" si="47"/>
        <v>0</v>
      </c>
      <c r="AF43" s="315">
        <v>3256369220.0500002</v>
      </c>
      <c r="AG43" s="309">
        <v>10</v>
      </c>
      <c r="AH43" s="23">
        <f t="shared" si="48"/>
        <v>0</v>
      </c>
      <c r="AI43" s="23">
        <f t="shared" si="49"/>
        <v>0</v>
      </c>
      <c r="AJ43" s="24">
        <f t="shared" si="16"/>
        <v>4.5896285682320986E-3</v>
      </c>
      <c r="AK43" s="24">
        <f t="shared" si="17"/>
        <v>0</v>
      </c>
      <c r="AL43" s="25">
        <f t="shared" si="18"/>
        <v>1.1877109622036716E-2</v>
      </c>
      <c r="AM43" s="25">
        <f t="shared" si="19"/>
        <v>0</v>
      </c>
      <c r="AN43" s="379">
        <f t="shared" si="20"/>
        <v>1.5021296896011645E-2</v>
      </c>
      <c r="AO43" s="380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1" t="s">
        <v>187</v>
      </c>
      <c r="B44" s="320">
        <v>4322112616.21</v>
      </c>
      <c r="C44" s="309">
        <v>100</v>
      </c>
      <c r="D44" s="320">
        <v>4486353598.1300001</v>
      </c>
      <c r="E44" s="309">
        <v>100</v>
      </c>
      <c r="F44" s="23">
        <f t="shared" si="34"/>
        <v>3.8000162537185508E-2</v>
      </c>
      <c r="G44" s="23">
        <f t="shared" si="35"/>
        <v>0</v>
      </c>
      <c r="H44" s="320">
        <v>4547333981.5799999</v>
      </c>
      <c r="I44" s="309">
        <v>100</v>
      </c>
      <c r="J44" s="23">
        <f t="shared" si="36"/>
        <v>1.3592415781809447E-2</v>
      </c>
      <c r="K44" s="23">
        <f t="shared" si="37"/>
        <v>0</v>
      </c>
      <c r="L44" s="320">
        <v>4673306983.1400003</v>
      </c>
      <c r="M44" s="309">
        <v>100</v>
      </c>
      <c r="N44" s="23">
        <f t="shared" si="38"/>
        <v>2.7702605981940721E-2</v>
      </c>
      <c r="O44" s="23">
        <f t="shared" si="39"/>
        <v>0</v>
      </c>
      <c r="P44" s="320">
        <v>4751906089.3000002</v>
      </c>
      <c r="Q44" s="309">
        <v>100</v>
      </c>
      <c r="R44" s="23">
        <f t="shared" si="40"/>
        <v>1.6818733809604997E-2</v>
      </c>
      <c r="S44" s="23">
        <f t="shared" si="41"/>
        <v>0</v>
      </c>
      <c r="T44" s="320">
        <v>4871521801.3699999</v>
      </c>
      <c r="U44" s="309">
        <v>100</v>
      </c>
      <c r="V44" s="23">
        <f t="shared" si="42"/>
        <v>2.5172154041373365E-2</v>
      </c>
      <c r="W44" s="23">
        <f t="shared" si="43"/>
        <v>0</v>
      </c>
      <c r="X44" s="320">
        <v>4962422555.4399996</v>
      </c>
      <c r="Y44" s="309">
        <v>100</v>
      </c>
      <c r="Z44" s="23">
        <f t="shared" si="44"/>
        <v>1.8659621731434317E-2</v>
      </c>
      <c r="AA44" s="23">
        <f t="shared" si="45"/>
        <v>0</v>
      </c>
      <c r="AB44" s="320">
        <v>5028188588.3800001</v>
      </c>
      <c r="AC44" s="309">
        <v>100</v>
      </c>
      <c r="AD44" s="23">
        <f t="shared" si="46"/>
        <v>1.3252807918967978E-2</v>
      </c>
      <c r="AE44" s="23">
        <f t="shared" si="47"/>
        <v>0</v>
      </c>
      <c r="AF44" s="320">
        <v>5124066632.3999996</v>
      </c>
      <c r="AG44" s="309">
        <v>100</v>
      </c>
      <c r="AH44" s="23">
        <f t="shared" si="48"/>
        <v>1.9068108193390144E-2</v>
      </c>
      <c r="AI44" s="23">
        <f t="shared" si="49"/>
        <v>0</v>
      </c>
      <c r="AJ44" s="24">
        <f t="shared" si="16"/>
        <v>2.1533326249463313E-2</v>
      </c>
      <c r="AK44" s="24">
        <f t="shared" si="17"/>
        <v>0</v>
      </c>
      <c r="AL44" s="25">
        <f t="shared" si="18"/>
        <v>0.14214506732947013</v>
      </c>
      <c r="AM44" s="25">
        <f t="shared" si="19"/>
        <v>0</v>
      </c>
      <c r="AN44" s="379">
        <f t="shared" si="20"/>
        <v>8.3721108442191151E-3</v>
      </c>
      <c r="AO44" s="380">
        <f t="shared" si="21"/>
        <v>6.7415943039724696E-3</v>
      </c>
      <c r="AP44" s="30"/>
      <c r="AQ44" s="38"/>
      <c r="AR44" s="35"/>
      <c r="AS44" s="29"/>
      <c r="AT44" s="29"/>
    </row>
    <row r="45" spans="1:47" s="86" customFormat="1">
      <c r="A45" s="201" t="s">
        <v>161</v>
      </c>
      <c r="B45" s="320">
        <v>142632701.99000001</v>
      </c>
      <c r="C45" s="309">
        <v>1</v>
      </c>
      <c r="D45" s="320">
        <v>143812692.97</v>
      </c>
      <c r="E45" s="309">
        <v>1</v>
      </c>
      <c r="F45" s="23">
        <f t="shared" si="34"/>
        <v>8.2729343519182472E-3</v>
      </c>
      <c r="G45" s="23">
        <f t="shared" si="35"/>
        <v>0</v>
      </c>
      <c r="H45" s="320">
        <v>143692693.72</v>
      </c>
      <c r="I45" s="309">
        <v>1</v>
      </c>
      <c r="J45" s="23">
        <f t="shared" si="36"/>
        <v>-8.3441348271694215E-4</v>
      </c>
      <c r="K45" s="23">
        <f t="shared" si="37"/>
        <v>0</v>
      </c>
      <c r="L45" s="320">
        <v>143692693.59999999</v>
      </c>
      <c r="M45" s="309">
        <v>1</v>
      </c>
      <c r="N45" s="23">
        <f t="shared" si="38"/>
        <v>-8.3511556267574707E-10</v>
      </c>
      <c r="O45" s="23">
        <f t="shared" si="39"/>
        <v>0</v>
      </c>
      <c r="P45" s="320">
        <v>143622694.03</v>
      </c>
      <c r="Q45" s="309">
        <v>1</v>
      </c>
      <c r="R45" s="23">
        <f t="shared" si="40"/>
        <v>-4.87147733446016E-4</v>
      </c>
      <c r="S45" s="23">
        <f t="shared" si="41"/>
        <v>0</v>
      </c>
      <c r="T45" s="320">
        <v>143622693.86000001</v>
      </c>
      <c r="U45" s="309">
        <v>1</v>
      </c>
      <c r="V45" s="23">
        <f t="shared" si="42"/>
        <v>-1.1836568589325337E-9</v>
      </c>
      <c r="W45" s="23">
        <f t="shared" si="43"/>
        <v>0</v>
      </c>
      <c r="X45" s="320">
        <v>162642550.00999999</v>
      </c>
      <c r="Y45" s="309">
        <v>1</v>
      </c>
      <c r="Z45" s="23">
        <f t="shared" si="44"/>
        <v>0.13242932324149329</v>
      </c>
      <c r="AA45" s="23">
        <f t="shared" si="45"/>
        <v>0</v>
      </c>
      <c r="AB45" s="320">
        <v>161220534.56</v>
      </c>
      <c r="AC45" s="309">
        <v>1</v>
      </c>
      <c r="AD45" s="23">
        <f t="shared" si="46"/>
        <v>-8.7431945079104838E-3</v>
      </c>
      <c r="AE45" s="23">
        <f t="shared" si="47"/>
        <v>0</v>
      </c>
      <c r="AF45" s="320">
        <v>160860537.30000001</v>
      </c>
      <c r="AG45" s="309">
        <v>1</v>
      </c>
      <c r="AH45" s="23">
        <f t="shared" si="48"/>
        <v>-2.232949177240282E-3</v>
      </c>
      <c r="AI45" s="23">
        <f t="shared" si="49"/>
        <v>0</v>
      </c>
      <c r="AJ45" s="24">
        <f t="shared" si="16"/>
        <v>1.6050568834165675E-2</v>
      </c>
      <c r="AK45" s="24">
        <f t="shared" si="17"/>
        <v>0</v>
      </c>
      <c r="AL45" s="25">
        <f t="shared" si="18"/>
        <v>0.11854200055593336</v>
      </c>
      <c r="AM45" s="25">
        <f t="shared" si="19"/>
        <v>0</v>
      </c>
      <c r="AN45" s="379">
        <f t="shared" si="20"/>
        <v>4.7249133157270536E-2</v>
      </c>
      <c r="AO45" s="380">
        <f t="shared" si="21"/>
        <v>7.8946675263576269E-4</v>
      </c>
      <c r="AP45" s="30"/>
      <c r="AQ45" s="38"/>
      <c r="AR45" s="35"/>
      <c r="AS45" s="29"/>
      <c r="AT45" s="29"/>
    </row>
    <row r="46" spans="1:47" s="86" customFormat="1">
      <c r="A46" s="201" t="s">
        <v>95</v>
      </c>
      <c r="B46" s="315">
        <v>737242694.67999995</v>
      </c>
      <c r="C46" s="309">
        <v>10</v>
      </c>
      <c r="D46" s="315">
        <v>739073419.46000004</v>
      </c>
      <c r="E46" s="309">
        <v>10</v>
      </c>
      <c r="F46" s="23">
        <f t="shared" si="34"/>
        <v>2.4832050466023488E-3</v>
      </c>
      <c r="G46" s="23">
        <f t="shared" si="35"/>
        <v>0</v>
      </c>
      <c r="H46" s="315">
        <v>729188172.07000005</v>
      </c>
      <c r="I46" s="309">
        <v>10</v>
      </c>
      <c r="J46" s="23">
        <f t="shared" si="36"/>
        <v>-1.3375189973984706E-2</v>
      </c>
      <c r="K46" s="23">
        <f t="shared" si="37"/>
        <v>0</v>
      </c>
      <c r="L46" s="315">
        <v>740865324.75999999</v>
      </c>
      <c r="M46" s="309">
        <v>10</v>
      </c>
      <c r="N46" s="23">
        <f t="shared" si="38"/>
        <v>1.6013908531800711E-2</v>
      </c>
      <c r="O46" s="23">
        <f t="shared" si="39"/>
        <v>0</v>
      </c>
      <c r="P46" s="315">
        <v>790149065.83000004</v>
      </c>
      <c r="Q46" s="309">
        <v>10</v>
      </c>
      <c r="R46" s="23">
        <f t="shared" si="40"/>
        <v>6.6521862237195806E-2</v>
      </c>
      <c r="S46" s="23">
        <f t="shared" si="41"/>
        <v>0</v>
      </c>
      <c r="T46" s="315">
        <v>781578474.37</v>
      </c>
      <c r="U46" s="309">
        <v>10</v>
      </c>
      <c r="V46" s="23">
        <f t="shared" si="42"/>
        <v>-1.0846803256037759E-2</v>
      </c>
      <c r="W46" s="23">
        <f t="shared" si="43"/>
        <v>0</v>
      </c>
      <c r="X46" s="315">
        <v>787700205.16999996</v>
      </c>
      <c r="Y46" s="309">
        <v>10</v>
      </c>
      <c r="Z46" s="23">
        <f t="shared" si="44"/>
        <v>7.8325222619960739E-3</v>
      </c>
      <c r="AA46" s="23">
        <f t="shared" si="45"/>
        <v>0</v>
      </c>
      <c r="AB46" s="315">
        <v>677429034.36000001</v>
      </c>
      <c r="AC46" s="309">
        <v>10</v>
      </c>
      <c r="AD46" s="23">
        <f t="shared" si="46"/>
        <v>-0.1399912937514107</v>
      </c>
      <c r="AE46" s="23">
        <f t="shared" si="47"/>
        <v>0</v>
      </c>
      <c r="AF46" s="315">
        <v>444577124.85000002</v>
      </c>
      <c r="AG46" s="309">
        <v>10</v>
      </c>
      <c r="AH46" s="23">
        <f t="shared" si="48"/>
        <v>-0.34372885970260553</v>
      </c>
      <c r="AI46" s="23">
        <f t="shared" si="49"/>
        <v>0</v>
      </c>
      <c r="AJ46" s="24">
        <f t="shared" si="16"/>
        <v>-5.1886331075805467E-2</v>
      </c>
      <c r="AK46" s="24">
        <f t="shared" si="17"/>
        <v>0</v>
      </c>
      <c r="AL46" s="25">
        <f t="shared" si="18"/>
        <v>-0.3984669003861242</v>
      </c>
      <c r="AM46" s="25">
        <f t="shared" si="19"/>
        <v>0</v>
      </c>
      <c r="AN46" s="379">
        <f t="shared" si="20"/>
        <v>0.13161373543200208</v>
      </c>
      <c r="AO46" s="380">
        <f t="shared" si="21"/>
        <v>0.12152650379261588</v>
      </c>
      <c r="AP46" s="30"/>
      <c r="AQ46" s="38"/>
      <c r="AR46" s="35"/>
      <c r="AS46" s="29"/>
      <c r="AT46" s="29"/>
    </row>
    <row r="47" spans="1:47" s="93" customFormat="1">
      <c r="A47" s="201" t="s">
        <v>34</v>
      </c>
      <c r="B47" s="320">
        <v>364274293935.89001</v>
      </c>
      <c r="C47" s="309">
        <v>100</v>
      </c>
      <c r="D47" s="320">
        <v>363736924253.53998</v>
      </c>
      <c r="E47" s="309">
        <v>100</v>
      </c>
      <c r="F47" s="23">
        <f t="shared" si="34"/>
        <v>-1.4751787081759063E-3</v>
      </c>
      <c r="G47" s="23">
        <f t="shared" si="35"/>
        <v>0</v>
      </c>
      <c r="H47" s="320">
        <v>367815111680.13</v>
      </c>
      <c r="I47" s="309">
        <v>100</v>
      </c>
      <c r="J47" s="23">
        <f t="shared" si="36"/>
        <v>1.1211914861157616E-2</v>
      </c>
      <c r="K47" s="23">
        <f t="shared" si="37"/>
        <v>0</v>
      </c>
      <c r="L47" s="320">
        <v>371110503640.84003</v>
      </c>
      <c r="M47" s="309">
        <v>100</v>
      </c>
      <c r="N47" s="23">
        <f t="shared" si="38"/>
        <v>8.959370770975434E-3</v>
      </c>
      <c r="O47" s="23">
        <f t="shared" si="39"/>
        <v>0</v>
      </c>
      <c r="P47" s="320">
        <v>370747418001.91998</v>
      </c>
      <c r="Q47" s="309">
        <v>100</v>
      </c>
      <c r="R47" s="23">
        <f t="shared" si="40"/>
        <v>-9.7837607763168427E-4</v>
      </c>
      <c r="S47" s="23">
        <f t="shared" si="41"/>
        <v>0</v>
      </c>
      <c r="T47" s="320">
        <v>368203375485.37</v>
      </c>
      <c r="U47" s="309">
        <v>100</v>
      </c>
      <c r="V47" s="23">
        <f t="shared" si="42"/>
        <v>-6.8619291545189212E-3</v>
      </c>
      <c r="W47" s="23">
        <f t="shared" si="43"/>
        <v>0</v>
      </c>
      <c r="X47" s="320">
        <v>368704616512.65002</v>
      </c>
      <c r="Y47" s="309">
        <v>100</v>
      </c>
      <c r="Z47" s="23">
        <f t="shared" si="44"/>
        <v>1.3613156767487194E-3</v>
      </c>
      <c r="AA47" s="23">
        <f t="shared" si="45"/>
        <v>0</v>
      </c>
      <c r="AB47" s="320">
        <v>356507879773.73999</v>
      </c>
      <c r="AC47" s="309">
        <v>100</v>
      </c>
      <c r="AD47" s="23">
        <f t="shared" si="46"/>
        <v>-3.30799675205357E-2</v>
      </c>
      <c r="AE47" s="23">
        <f t="shared" si="47"/>
        <v>0</v>
      </c>
      <c r="AF47" s="320">
        <v>359487869924.65002</v>
      </c>
      <c r="AG47" s="309">
        <v>100</v>
      </c>
      <c r="AH47" s="23">
        <f t="shared" si="48"/>
        <v>8.3588338995516844E-3</v>
      </c>
      <c r="AI47" s="23">
        <f t="shared" si="49"/>
        <v>0</v>
      </c>
      <c r="AJ47" s="24">
        <f t="shared" si="16"/>
        <v>-1.563002031553595E-3</v>
      </c>
      <c r="AK47" s="24">
        <f t="shared" si="17"/>
        <v>0</v>
      </c>
      <c r="AL47" s="25">
        <f t="shared" si="18"/>
        <v>-1.1681668935893303E-2</v>
      </c>
      <c r="AM47" s="25">
        <f t="shared" si="19"/>
        <v>0</v>
      </c>
      <c r="AN47" s="379">
        <f t="shared" si="20"/>
        <v>1.4155566981853858E-2</v>
      </c>
      <c r="AO47" s="380">
        <f t="shared" si="21"/>
        <v>2.9552940665924943E-3</v>
      </c>
      <c r="AP47" s="30"/>
      <c r="AQ47" s="38"/>
      <c r="AR47" s="35"/>
      <c r="AS47" s="29"/>
      <c r="AT47" s="29"/>
    </row>
    <row r="48" spans="1:47" s="93" customFormat="1">
      <c r="A48" s="201" t="s">
        <v>150</v>
      </c>
      <c r="B48" s="320">
        <v>1949568377.29</v>
      </c>
      <c r="C48" s="309">
        <v>1</v>
      </c>
      <c r="D48" s="320">
        <v>2066333206.0599999</v>
      </c>
      <c r="E48" s="309">
        <v>1</v>
      </c>
      <c r="F48" s="23">
        <f t="shared" si="34"/>
        <v>5.9892656308012687E-2</v>
      </c>
      <c r="G48" s="23">
        <f t="shared" si="35"/>
        <v>0</v>
      </c>
      <c r="H48" s="320">
        <v>2204045949.0900002</v>
      </c>
      <c r="I48" s="309">
        <v>1</v>
      </c>
      <c r="J48" s="23">
        <f t="shared" si="36"/>
        <v>6.6645951691685426E-2</v>
      </c>
      <c r="K48" s="23">
        <f t="shared" si="37"/>
        <v>0</v>
      </c>
      <c r="L48" s="320">
        <v>2217937381.2800002</v>
      </c>
      <c r="M48" s="309">
        <v>1</v>
      </c>
      <c r="N48" s="23">
        <f t="shared" si="38"/>
        <v>6.302696273521661E-3</v>
      </c>
      <c r="O48" s="23">
        <f t="shared" si="39"/>
        <v>0</v>
      </c>
      <c r="P48" s="320">
        <v>2220382480.3699999</v>
      </c>
      <c r="Q48" s="309">
        <v>1</v>
      </c>
      <c r="R48" s="23">
        <f t="shared" si="40"/>
        <v>1.1024202534467306E-3</v>
      </c>
      <c r="S48" s="23">
        <f t="shared" si="41"/>
        <v>0</v>
      </c>
      <c r="T48" s="320">
        <v>2267497561.25</v>
      </c>
      <c r="U48" s="309">
        <v>1</v>
      </c>
      <c r="V48" s="23">
        <f t="shared" si="42"/>
        <v>2.1219353555766193E-2</v>
      </c>
      <c r="W48" s="23">
        <f t="shared" si="43"/>
        <v>0</v>
      </c>
      <c r="X48" s="320">
        <v>2354870884.7600002</v>
      </c>
      <c r="Y48" s="309">
        <v>1</v>
      </c>
      <c r="Z48" s="23">
        <f t="shared" si="44"/>
        <v>3.8532929429848678E-2</v>
      </c>
      <c r="AA48" s="23">
        <f t="shared" si="45"/>
        <v>0</v>
      </c>
      <c r="AB48" s="320">
        <v>2384849989.5300002</v>
      </c>
      <c r="AC48" s="309">
        <v>1</v>
      </c>
      <c r="AD48" s="23">
        <f t="shared" si="46"/>
        <v>1.2730678766303292E-2</v>
      </c>
      <c r="AE48" s="23">
        <f t="shared" si="47"/>
        <v>0</v>
      </c>
      <c r="AF48" s="320">
        <v>2465904567.0599999</v>
      </c>
      <c r="AG48" s="309">
        <v>1</v>
      </c>
      <c r="AH48" s="23">
        <f t="shared" si="48"/>
        <v>3.3987285525650085E-2</v>
      </c>
      <c r="AI48" s="23">
        <f t="shared" si="49"/>
        <v>0</v>
      </c>
      <c r="AJ48" s="24">
        <f t="shared" si="16"/>
        <v>3.0051746475529349E-2</v>
      </c>
      <c r="AK48" s="24">
        <f t="shared" si="17"/>
        <v>0</v>
      </c>
      <c r="AL48" s="25">
        <f t="shared" si="18"/>
        <v>0.19337218209926868</v>
      </c>
      <c r="AM48" s="25">
        <f t="shared" si="19"/>
        <v>0</v>
      </c>
      <c r="AN48" s="379">
        <f t="shared" si="20"/>
        <v>2.4193110331068943E-2</v>
      </c>
      <c r="AO48" s="380">
        <f t="shared" si="21"/>
        <v>1.2016320034655284E-2</v>
      </c>
      <c r="AP48" s="30"/>
      <c r="AQ48" s="38"/>
      <c r="AR48" s="35"/>
      <c r="AS48" s="29"/>
      <c r="AT48" s="29"/>
    </row>
    <row r="49" spans="1:48" s="103" customFormat="1">
      <c r="A49" s="201" t="s">
        <v>76</v>
      </c>
      <c r="B49" s="320">
        <v>46061441509.559998</v>
      </c>
      <c r="C49" s="309">
        <v>1</v>
      </c>
      <c r="D49" s="320">
        <v>45367611149.040001</v>
      </c>
      <c r="E49" s="309">
        <v>1</v>
      </c>
      <c r="F49" s="23">
        <f t="shared" si="34"/>
        <v>-1.5063149084815181E-2</v>
      </c>
      <c r="G49" s="23">
        <f t="shared" si="35"/>
        <v>0</v>
      </c>
      <c r="H49" s="320">
        <v>43700670576.059998</v>
      </c>
      <c r="I49" s="309">
        <v>1</v>
      </c>
      <c r="J49" s="23">
        <f t="shared" si="36"/>
        <v>-3.6742965537767278E-2</v>
      </c>
      <c r="K49" s="23">
        <f t="shared" si="37"/>
        <v>0</v>
      </c>
      <c r="L49" s="320">
        <v>41624918409.989998</v>
      </c>
      <c r="M49" s="309">
        <v>1</v>
      </c>
      <c r="N49" s="23">
        <f t="shared" si="38"/>
        <v>-4.7499320690221482E-2</v>
      </c>
      <c r="O49" s="23">
        <f t="shared" si="39"/>
        <v>0</v>
      </c>
      <c r="P49" s="320">
        <v>41299684175.300003</v>
      </c>
      <c r="Q49" s="309">
        <v>1</v>
      </c>
      <c r="R49" s="23">
        <f t="shared" si="40"/>
        <v>-7.8134503829306833E-3</v>
      </c>
      <c r="S49" s="23">
        <f t="shared" si="41"/>
        <v>0</v>
      </c>
      <c r="T49" s="320">
        <v>41366140057.080002</v>
      </c>
      <c r="U49" s="309">
        <v>1</v>
      </c>
      <c r="V49" s="23">
        <f t="shared" si="42"/>
        <v>1.6091135587846426E-3</v>
      </c>
      <c r="W49" s="23">
        <f t="shared" si="43"/>
        <v>0</v>
      </c>
      <c r="X49" s="320">
        <v>43139073604.129997</v>
      </c>
      <c r="Y49" s="309">
        <v>1</v>
      </c>
      <c r="Z49" s="23">
        <f t="shared" si="44"/>
        <v>4.2859535470400986E-2</v>
      </c>
      <c r="AA49" s="23">
        <f t="shared" si="45"/>
        <v>0</v>
      </c>
      <c r="AB49" s="320">
        <v>43803472232.389999</v>
      </c>
      <c r="AC49" s="309">
        <v>1</v>
      </c>
      <c r="AD49" s="23">
        <f t="shared" si="46"/>
        <v>1.5401318868293795E-2</v>
      </c>
      <c r="AE49" s="23">
        <f t="shared" si="47"/>
        <v>0</v>
      </c>
      <c r="AF49" s="320">
        <v>44142719365.25</v>
      </c>
      <c r="AG49" s="309">
        <v>1</v>
      </c>
      <c r="AH49" s="23">
        <f t="shared" si="48"/>
        <v>7.7447543669642701E-3</v>
      </c>
      <c r="AI49" s="23">
        <f t="shared" si="49"/>
        <v>0</v>
      </c>
      <c r="AJ49" s="24">
        <f t="shared" si="16"/>
        <v>-4.9380204289113678E-3</v>
      </c>
      <c r="AK49" s="24">
        <f t="shared" si="17"/>
        <v>0</v>
      </c>
      <c r="AL49" s="25">
        <f t="shared" si="18"/>
        <v>-2.6999256799438518E-2</v>
      </c>
      <c r="AM49" s="25">
        <f t="shared" si="19"/>
        <v>0</v>
      </c>
      <c r="AN49" s="379">
        <f t="shared" si="20"/>
        <v>2.8873660646736441E-2</v>
      </c>
      <c r="AO49" s="380">
        <f t="shared" si="21"/>
        <v>2.7381841657522815E-3</v>
      </c>
      <c r="AP49" s="30"/>
      <c r="AQ49" s="38"/>
      <c r="AR49" s="35"/>
      <c r="AS49" s="29"/>
      <c r="AT49" s="29"/>
    </row>
    <row r="50" spans="1:48" s="103" customFormat="1">
      <c r="A50" s="201" t="s">
        <v>158</v>
      </c>
      <c r="B50" s="320">
        <v>1916078314.4000001</v>
      </c>
      <c r="C50" s="309">
        <v>1</v>
      </c>
      <c r="D50" s="320">
        <v>1922732430.3199999</v>
      </c>
      <c r="E50" s="309">
        <v>1</v>
      </c>
      <c r="F50" s="23">
        <f t="shared" si="34"/>
        <v>3.4727786802824416E-3</v>
      </c>
      <c r="G50" s="23">
        <f t="shared" si="35"/>
        <v>0</v>
      </c>
      <c r="H50" s="320">
        <v>1812692246.1099999</v>
      </c>
      <c r="I50" s="309">
        <v>1</v>
      </c>
      <c r="J50" s="23">
        <f t="shared" si="36"/>
        <v>-5.7231147961490446E-2</v>
      </c>
      <c r="K50" s="23">
        <f t="shared" si="37"/>
        <v>0</v>
      </c>
      <c r="L50" s="320">
        <v>1825603714.75</v>
      </c>
      <c r="M50" s="309">
        <v>1</v>
      </c>
      <c r="N50" s="23">
        <f t="shared" si="38"/>
        <v>7.1228134106646347E-3</v>
      </c>
      <c r="O50" s="23">
        <f t="shared" si="39"/>
        <v>0</v>
      </c>
      <c r="P50" s="320">
        <v>1835379862.0699999</v>
      </c>
      <c r="Q50" s="309">
        <v>1</v>
      </c>
      <c r="R50" s="23">
        <f t="shared" si="40"/>
        <v>5.3550215969727522E-3</v>
      </c>
      <c r="S50" s="23">
        <f t="shared" si="41"/>
        <v>0</v>
      </c>
      <c r="T50" s="320">
        <v>1837960263.51</v>
      </c>
      <c r="U50" s="309">
        <v>1</v>
      </c>
      <c r="V50" s="23">
        <f t="shared" si="42"/>
        <v>1.4059222798106753E-3</v>
      </c>
      <c r="W50" s="23">
        <f t="shared" si="43"/>
        <v>0</v>
      </c>
      <c r="X50" s="320">
        <v>1966527852.01</v>
      </c>
      <c r="Y50" s="309">
        <v>1</v>
      </c>
      <c r="Z50" s="23">
        <f t="shared" si="44"/>
        <v>6.9951234013335611E-2</v>
      </c>
      <c r="AA50" s="23">
        <f t="shared" si="45"/>
        <v>0</v>
      </c>
      <c r="AB50" s="320">
        <v>1961246177.6400001</v>
      </c>
      <c r="AC50" s="309">
        <v>1</v>
      </c>
      <c r="AD50" s="23">
        <f t="shared" si="46"/>
        <v>-2.6857867101152187E-3</v>
      </c>
      <c r="AE50" s="23">
        <f t="shared" si="47"/>
        <v>0</v>
      </c>
      <c r="AF50" s="320">
        <v>1967988588.8</v>
      </c>
      <c r="AG50" s="309">
        <v>1</v>
      </c>
      <c r="AH50" s="23">
        <f t="shared" si="48"/>
        <v>3.4378199110695539E-3</v>
      </c>
      <c r="AI50" s="23">
        <f t="shared" si="49"/>
        <v>0</v>
      </c>
      <c r="AJ50" s="24">
        <f t="shared" si="16"/>
        <v>3.8535819025662509E-3</v>
      </c>
      <c r="AK50" s="24">
        <f t="shared" si="17"/>
        <v>0</v>
      </c>
      <c r="AL50" s="25">
        <f t="shared" si="18"/>
        <v>2.3537418814155043E-2</v>
      </c>
      <c r="AM50" s="25">
        <f t="shared" si="19"/>
        <v>0</v>
      </c>
      <c r="AN50" s="379">
        <f t="shared" si="20"/>
        <v>3.4147282430126165E-2</v>
      </c>
      <c r="AO50" s="380">
        <f t="shared" si="21"/>
        <v>1.2154528858077077E-3</v>
      </c>
      <c r="AP50" s="30"/>
      <c r="AQ50" s="38"/>
      <c r="AR50" s="35"/>
      <c r="AS50" s="29"/>
      <c r="AT50" s="29"/>
    </row>
    <row r="51" spans="1:48" s="108" customFormat="1">
      <c r="A51" s="201" t="s">
        <v>131</v>
      </c>
      <c r="B51" s="320">
        <v>1477682132.3</v>
      </c>
      <c r="C51" s="309">
        <v>1</v>
      </c>
      <c r="D51" s="320">
        <v>1468513939</v>
      </c>
      <c r="E51" s="309">
        <v>1</v>
      </c>
      <c r="F51" s="23">
        <f t="shared" si="34"/>
        <v>-6.2044421459774542E-3</v>
      </c>
      <c r="G51" s="23">
        <f t="shared" si="35"/>
        <v>0</v>
      </c>
      <c r="H51" s="320">
        <v>1554579584.01</v>
      </c>
      <c r="I51" s="309">
        <v>1</v>
      </c>
      <c r="J51" s="23">
        <f t="shared" si="36"/>
        <v>5.8607305470050421E-2</v>
      </c>
      <c r="K51" s="23">
        <f t="shared" si="37"/>
        <v>0</v>
      </c>
      <c r="L51" s="320">
        <v>1560718698.23</v>
      </c>
      <c r="M51" s="309">
        <v>1</v>
      </c>
      <c r="N51" s="23">
        <f t="shared" si="38"/>
        <v>3.9490511023979446E-3</v>
      </c>
      <c r="O51" s="23">
        <f t="shared" si="39"/>
        <v>0</v>
      </c>
      <c r="P51" s="320">
        <v>1562465172.55</v>
      </c>
      <c r="Q51" s="309">
        <v>1</v>
      </c>
      <c r="R51" s="23">
        <f t="shared" si="40"/>
        <v>1.1190192838597996E-3</v>
      </c>
      <c r="S51" s="23">
        <f t="shared" si="41"/>
        <v>0</v>
      </c>
      <c r="T51" s="320">
        <v>1518842420.6900001</v>
      </c>
      <c r="U51" s="309">
        <v>1</v>
      </c>
      <c r="V51" s="23">
        <f t="shared" si="42"/>
        <v>-2.7919183496938994E-2</v>
      </c>
      <c r="W51" s="23">
        <f t="shared" si="43"/>
        <v>0</v>
      </c>
      <c r="X51" s="320">
        <v>1061752178.8</v>
      </c>
      <c r="Y51" s="309">
        <v>1</v>
      </c>
      <c r="Z51" s="23">
        <f t="shared" si="44"/>
        <v>-0.30094645478913279</v>
      </c>
      <c r="AA51" s="23">
        <f t="shared" si="45"/>
        <v>0</v>
      </c>
      <c r="AB51" s="320">
        <v>1016768939.3099999</v>
      </c>
      <c r="AC51" s="309">
        <v>1</v>
      </c>
      <c r="AD51" s="23">
        <f t="shared" si="46"/>
        <v>-4.2366985807215762E-2</v>
      </c>
      <c r="AE51" s="23">
        <f t="shared" si="47"/>
        <v>0</v>
      </c>
      <c r="AF51" s="320">
        <v>1015207083.27</v>
      </c>
      <c r="AG51" s="309">
        <v>1</v>
      </c>
      <c r="AH51" s="23">
        <f t="shared" si="48"/>
        <v>-1.5360973173117081E-3</v>
      </c>
      <c r="AI51" s="23">
        <f t="shared" si="49"/>
        <v>0</v>
      </c>
      <c r="AJ51" s="24">
        <f t="shared" si="16"/>
        <v>-3.9412223462533563E-2</v>
      </c>
      <c r="AK51" s="24">
        <f t="shared" si="17"/>
        <v>0</v>
      </c>
      <c r="AL51" s="25">
        <f t="shared" si="18"/>
        <v>-0.30868406740400711</v>
      </c>
      <c r="AM51" s="25">
        <f t="shared" si="19"/>
        <v>0</v>
      </c>
      <c r="AN51" s="379">
        <f t="shared" si="20"/>
        <v>0.10968079805776949</v>
      </c>
      <c r="AO51" s="380">
        <f t="shared" si="21"/>
        <v>5.4309241481678629E-4</v>
      </c>
      <c r="AP51" s="30"/>
      <c r="AQ51" s="38"/>
      <c r="AR51" s="35"/>
      <c r="AS51" s="29"/>
      <c r="AT51" s="29"/>
    </row>
    <row r="52" spans="1:48">
      <c r="A52" s="201" t="s">
        <v>112</v>
      </c>
      <c r="B52" s="320">
        <v>25766031502.720001</v>
      </c>
      <c r="C52" s="309">
        <v>1</v>
      </c>
      <c r="D52" s="320">
        <v>25766031502.720001</v>
      </c>
      <c r="E52" s="309">
        <v>1</v>
      </c>
      <c r="F52" s="23">
        <f t="shared" si="34"/>
        <v>0</v>
      </c>
      <c r="G52" s="23">
        <f t="shared" si="35"/>
        <v>0</v>
      </c>
      <c r="H52" s="320">
        <v>25440235235.029999</v>
      </c>
      <c r="I52" s="309">
        <v>1</v>
      </c>
      <c r="J52" s="23">
        <f t="shared" si="36"/>
        <v>-1.2644410050325742E-2</v>
      </c>
      <c r="K52" s="23">
        <f t="shared" si="37"/>
        <v>0</v>
      </c>
      <c r="L52" s="320">
        <v>25728908552.139999</v>
      </c>
      <c r="M52" s="309">
        <v>1</v>
      </c>
      <c r="N52" s="23">
        <f t="shared" si="38"/>
        <v>1.1347116661583032E-2</v>
      </c>
      <c r="O52" s="23">
        <f t="shared" si="39"/>
        <v>0</v>
      </c>
      <c r="P52" s="320">
        <v>26219104697.18</v>
      </c>
      <c r="Q52" s="309">
        <v>1</v>
      </c>
      <c r="R52" s="23">
        <f t="shared" si="40"/>
        <v>1.9052348996717504E-2</v>
      </c>
      <c r="S52" s="23">
        <f t="shared" si="41"/>
        <v>0</v>
      </c>
      <c r="T52" s="320">
        <v>26517764277.869999</v>
      </c>
      <c r="U52" s="309">
        <v>1</v>
      </c>
      <c r="V52" s="23">
        <f t="shared" si="42"/>
        <v>1.1390914531193775E-2</v>
      </c>
      <c r="W52" s="23">
        <f t="shared" si="43"/>
        <v>0</v>
      </c>
      <c r="X52" s="320">
        <v>25613067032.040001</v>
      </c>
      <c r="Y52" s="309">
        <v>1</v>
      </c>
      <c r="Z52" s="23">
        <f t="shared" si="44"/>
        <v>-3.4116648611474364E-2</v>
      </c>
      <c r="AA52" s="23">
        <f t="shared" si="45"/>
        <v>0</v>
      </c>
      <c r="AB52" s="320">
        <v>25693162176.66</v>
      </c>
      <c r="AC52" s="309">
        <v>1</v>
      </c>
      <c r="AD52" s="23">
        <f t="shared" si="46"/>
        <v>3.1271204077124382E-3</v>
      </c>
      <c r="AE52" s="23">
        <f t="shared" si="47"/>
        <v>0</v>
      </c>
      <c r="AF52" s="320">
        <v>26308915745.709999</v>
      </c>
      <c r="AG52" s="309">
        <v>1</v>
      </c>
      <c r="AH52" s="23">
        <f t="shared" si="48"/>
        <v>2.3965659221555753E-2</v>
      </c>
      <c r="AI52" s="23">
        <f t="shared" si="49"/>
        <v>0</v>
      </c>
      <c r="AJ52" s="24">
        <f t="shared" si="16"/>
        <v>2.7652626446202995E-3</v>
      </c>
      <c r="AK52" s="24">
        <f t="shared" si="17"/>
        <v>0</v>
      </c>
      <c r="AL52" s="25">
        <f t="shared" si="18"/>
        <v>2.1069765552863197E-2</v>
      </c>
      <c r="AM52" s="25">
        <f t="shared" si="19"/>
        <v>0</v>
      </c>
      <c r="AN52" s="379">
        <f t="shared" si="20"/>
        <v>1.8777977582792735E-2</v>
      </c>
      <c r="AO52" s="380">
        <f t="shared" si="21"/>
        <v>8.4731400755839945E-3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3" t="s">
        <v>42</v>
      </c>
      <c r="B53" s="76">
        <f>SUM(B24:B52)</f>
        <v>847949243662.16028</v>
      </c>
      <c r="C53" s="85"/>
      <c r="D53" s="76">
        <f>SUM(D24:D52)</f>
        <v>849994179796.46228</v>
      </c>
      <c r="E53" s="85"/>
      <c r="F53" s="23">
        <f>((D53-B53)/B53)</f>
        <v>2.4116256363060627E-3</v>
      </c>
      <c r="G53" s="23"/>
      <c r="H53" s="76">
        <f>SUM(H24:H52)</f>
        <v>856179741726.49231</v>
      </c>
      <c r="I53" s="85"/>
      <c r="J53" s="23">
        <f>((H53-D53)/D53)</f>
        <v>7.2771815114207137E-3</v>
      </c>
      <c r="K53" s="23"/>
      <c r="L53" s="76">
        <f>SUM(L24:L52)</f>
        <v>857401765650.82336</v>
      </c>
      <c r="M53" s="85"/>
      <c r="N53" s="23">
        <f>((L53-H53)/H53)</f>
        <v>1.427298340260697E-3</v>
      </c>
      <c r="O53" s="23"/>
      <c r="P53" s="76">
        <f>SUM(P24:P52)</f>
        <v>855610980289.1698</v>
      </c>
      <c r="Q53" s="85"/>
      <c r="R53" s="23">
        <f>((P53-L53)/L53)</f>
        <v>-2.0886187005857665E-3</v>
      </c>
      <c r="S53" s="23"/>
      <c r="T53" s="76">
        <f>SUM(T24:T52)</f>
        <v>852824801464.56006</v>
      </c>
      <c r="U53" s="85"/>
      <c r="V53" s="23">
        <f>((T53-P53)/P53)</f>
        <v>-3.2563616980091814E-3</v>
      </c>
      <c r="W53" s="23"/>
      <c r="X53" s="76">
        <f>SUM(X24:X52)</f>
        <v>854338532735.88501</v>
      </c>
      <c r="Y53" s="85"/>
      <c r="Z53" s="23">
        <f>((X53-T53)/T53)</f>
        <v>1.7749615967141356E-3</v>
      </c>
      <c r="AA53" s="23"/>
      <c r="AB53" s="76">
        <f>SUM(AB24:AB52)</f>
        <v>842459027080.45435</v>
      </c>
      <c r="AC53" s="85"/>
      <c r="AD53" s="23">
        <f>((AB53-X53)/X53)</f>
        <v>-1.3904916143005293E-2</v>
      </c>
      <c r="AE53" s="23"/>
      <c r="AF53" s="76">
        <f>SUM(AF24:AF52)</f>
        <v>842959336565.12207</v>
      </c>
      <c r="AG53" s="85"/>
      <c r="AH53" s="23">
        <f>((AF53-AB53)/AB53)</f>
        <v>5.9386803225499219E-4</v>
      </c>
      <c r="AI53" s="23"/>
      <c r="AJ53" s="24">
        <f t="shared" si="16"/>
        <v>-7.2062017808045505E-4</v>
      </c>
      <c r="AK53" s="24"/>
      <c r="AL53" s="25">
        <f t="shared" si="18"/>
        <v>-8.276342825105882E-3</v>
      </c>
      <c r="AM53" s="25"/>
      <c r="AN53" s="379">
        <f t="shared" si="20"/>
        <v>6.1929939957729753E-3</v>
      </c>
      <c r="AO53" s="380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3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79"/>
      <c r="AO54" s="380"/>
      <c r="AP54" s="30"/>
      <c r="AQ54" s="43"/>
      <c r="AR54" s="44"/>
      <c r="AS54" s="29"/>
      <c r="AT54" s="29"/>
    </row>
    <row r="55" spans="1:48">
      <c r="A55" s="204" t="s">
        <v>191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79"/>
      <c r="AO55" s="380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1" t="s">
        <v>137</v>
      </c>
      <c r="B56" s="325">
        <v>489124343.69</v>
      </c>
      <c r="C56" s="326">
        <v>1.3573</v>
      </c>
      <c r="D56" s="325">
        <v>477880682.05000001</v>
      </c>
      <c r="E56" s="326">
        <v>1.3258000000000001</v>
      </c>
      <c r="F56" s="23">
        <f t="shared" ref="F56:F85" si="50">((D56-B56)/B56)</f>
        <v>-2.2987327834016084E-2</v>
      </c>
      <c r="G56" s="23">
        <f t="shared" ref="G56:G85" si="51">((E56-C56)/C56)</f>
        <v>-2.3207839092315524E-2</v>
      </c>
      <c r="H56" s="325">
        <v>473172465.54000002</v>
      </c>
      <c r="I56" s="326">
        <v>1.3137000000000001</v>
      </c>
      <c r="J56" s="23">
        <f t="shared" ref="J56:J82" si="52">((H56-D56)/D56)</f>
        <v>-9.852284653572534E-3</v>
      </c>
      <c r="K56" s="23">
        <f t="shared" ref="K56:K82" si="53">((I56-E56)/E56)</f>
        <v>-9.1265650927741734E-3</v>
      </c>
      <c r="L56" s="325">
        <v>470593172.81</v>
      </c>
      <c r="M56" s="326">
        <v>1.3069999999999999</v>
      </c>
      <c r="N56" s="23">
        <f t="shared" ref="N56:N82" si="54">((L56-H56)/H56)</f>
        <v>-5.4510625994613725E-3</v>
      </c>
      <c r="O56" s="23">
        <f t="shared" ref="O56:O82" si="55">((M56-I56)/I56)</f>
        <v>-5.1000989571440584E-3</v>
      </c>
      <c r="P56" s="325">
        <v>459467449.86000001</v>
      </c>
      <c r="Q56" s="326">
        <v>1.2759</v>
      </c>
      <c r="R56" s="23">
        <f t="shared" ref="R56:R82" si="56">((P56-L56)/L56)</f>
        <v>-2.3641913212565775E-2</v>
      </c>
      <c r="S56" s="23">
        <f t="shared" ref="S56:S82" si="57">((Q56-M56)/M56)</f>
        <v>-2.3794950267788759E-2</v>
      </c>
      <c r="T56" s="325">
        <v>458213460.79000002</v>
      </c>
      <c r="U56" s="326">
        <v>1.2724</v>
      </c>
      <c r="V56" s="23">
        <f t="shared" ref="V56:V82" si="58">((T56-P56)/P56)</f>
        <v>-2.7292228652586467E-3</v>
      </c>
      <c r="W56" s="23">
        <f t="shared" ref="W56:W82" si="59">((U56-Q56)/Q56)</f>
        <v>-2.7431616897876467E-3</v>
      </c>
      <c r="X56" s="325">
        <v>462174838.54000002</v>
      </c>
      <c r="Y56" s="326">
        <v>1.2790999999999999</v>
      </c>
      <c r="Z56" s="23">
        <f t="shared" ref="Z56:Z82" si="60">((X56-T56)/T56)</f>
        <v>8.6452670839705127E-3</v>
      </c>
      <c r="AA56" s="23">
        <f t="shared" ref="AA56:AA82" si="61">((Y56-U56)/U56)</f>
        <v>5.2656397359320409E-3</v>
      </c>
      <c r="AB56" s="325">
        <v>460243201.17000002</v>
      </c>
      <c r="AC56" s="326">
        <v>1.2744</v>
      </c>
      <c r="AD56" s="23">
        <f t="shared" ref="AD56:AD82" si="62">((AB56-X56)/X56)</f>
        <v>-4.179451603427837E-3</v>
      </c>
      <c r="AE56" s="23">
        <f t="shared" ref="AE56:AE82" si="63">((AC56-Y56)/Y56)</f>
        <v>-3.6744586037056734E-3</v>
      </c>
      <c r="AF56" s="325">
        <v>460243201.17000002</v>
      </c>
      <c r="AG56" s="326">
        <v>1.2744</v>
      </c>
      <c r="AH56" s="23">
        <f t="shared" ref="AH56:AH82" si="64">((AF56-AB56)/AB56)</f>
        <v>0</v>
      </c>
      <c r="AI56" s="23">
        <f t="shared" ref="AI56:AI64" si="65">((AG56-AC56)/AC56)</f>
        <v>0</v>
      </c>
      <c r="AJ56" s="24">
        <f t="shared" si="16"/>
        <v>-7.5244994605414665E-3</v>
      </c>
      <c r="AK56" s="24">
        <f t="shared" si="17"/>
        <v>-7.7976792459479739E-3</v>
      </c>
      <c r="AL56" s="25">
        <f t="shared" si="18"/>
        <v>-3.6907708435375948E-2</v>
      </c>
      <c r="AM56" s="25">
        <f t="shared" si="19"/>
        <v>-3.8769045104842442E-2</v>
      </c>
      <c r="AN56" s="379">
        <f t="shared" si="20"/>
        <v>1.1089578613085413E-2</v>
      </c>
      <c r="AO56" s="380">
        <f t="shared" si="21"/>
        <v>1.053180071620128E-2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1" t="s">
        <v>143</v>
      </c>
      <c r="B57" s="325">
        <v>569767074.63999999</v>
      </c>
      <c r="C57" s="326">
        <v>1.1335</v>
      </c>
      <c r="D57" s="325">
        <v>623338591.72000003</v>
      </c>
      <c r="E57" s="326">
        <v>1.1334</v>
      </c>
      <c r="F57" s="23">
        <f t="shared" si="50"/>
        <v>9.4023539555788682E-2</v>
      </c>
      <c r="G57" s="23">
        <f t="shared" si="51"/>
        <v>-8.8222320247012784E-5</v>
      </c>
      <c r="H57" s="325">
        <v>661378218.15999997</v>
      </c>
      <c r="I57" s="326">
        <v>1.1339999999999999</v>
      </c>
      <c r="J57" s="23">
        <f t="shared" si="52"/>
        <v>6.1025623866855193E-2</v>
      </c>
      <c r="K57" s="23">
        <f t="shared" si="53"/>
        <v>5.2938062466907881E-4</v>
      </c>
      <c r="L57" s="325">
        <v>661827691.75</v>
      </c>
      <c r="M57" s="326">
        <v>1.1347</v>
      </c>
      <c r="N57" s="23">
        <f t="shared" si="54"/>
        <v>6.7960144083743801E-4</v>
      </c>
      <c r="O57" s="23">
        <f t="shared" si="55"/>
        <v>6.1728395061741187E-4</v>
      </c>
      <c r="P57" s="325">
        <v>661196282.23000002</v>
      </c>
      <c r="Q57" s="326">
        <v>1.1356999999999999</v>
      </c>
      <c r="R57" s="23">
        <f t="shared" si="56"/>
        <v>-9.5403913718148064E-4</v>
      </c>
      <c r="S57" s="23">
        <f t="shared" si="57"/>
        <v>8.8129020886568241E-4</v>
      </c>
      <c r="T57" s="325">
        <v>661125277.86000001</v>
      </c>
      <c r="U57" s="326">
        <v>1.1366000000000001</v>
      </c>
      <c r="V57" s="23">
        <f t="shared" si="58"/>
        <v>-1.0738773327722008E-4</v>
      </c>
      <c r="W57" s="23">
        <f t="shared" si="59"/>
        <v>7.9246279827430047E-4</v>
      </c>
      <c r="X57" s="325">
        <v>660789415.90999997</v>
      </c>
      <c r="Y57" s="326">
        <v>1.1366000000000001</v>
      </c>
      <c r="Z57" s="23">
        <f t="shared" si="60"/>
        <v>-5.0801559288006807E-4</v>
      </c>
      <c r="AA57" s="23">
        <f t="shared" si="61"/>
        <v>0</v>
      </c>
      <c r="AB57" s="325">
        <v>660102436.40999997</v>
      </c>
      <c r="AC57" s="326">
        <v>1.1375999999999999</v>
      </c>
      <c r="AD57" s="23">
        <f t="shared" si="62"/>
        <v>-1.0396345393243512E-3</v>
      </c>
      <c r="AE57" s="23">
        <f t="shared" si="63"/>
        <v>8.7981699806430563E-4</v>
      </c>
      <c r="AF57" s="325">
        <v>861675753.65999997</v>
      </c>
      <c r="AG57" s="326">
        <v>1.1385000000000001</v>
      </c>
      <c r="AH57" s="23">
        <f t="shared" si="64"/>
        <v>0.30536672208978133</v>
      </c>
      <c r="AI57" s="23">
        <f t="shared" si="65"/>
        <v>7.911392405064372E-4</v>
      </c>
      <c r="AJ57" s="24">
        <f t="shared" si="16"/>
        <v>5.7310801243824941E-2</v>
      </c>
      <c r="AK57" s="24">
        <f t="shared" si="17"/>
        <v>5.5039393759377545E-4</v>
      </c>
      <c r="AL57" s="25">
        <f t="shared" si="18"/>
        <v>0.38235585780490161</v>
      </c>
      <c r="AM57" s="25">
        <f t="shared" si="19"/>
        <v>4.4997353096877576E-3</v>
      </c>
      <c r="AN57" s="379">
        <f t="shared" si="20"/>
        <v>0.10659662732929139</v>
      </c>
      <c r="AO57" s="380">
        <f t="shared" si="21"/>
        <v>0.10778165792070961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1" t="s">
        <v>224</v>
      </c>
      <c r="B58" s="325">
        <v>591140241.47000003</v>
      </c>
      <c r="C58" s="326">
        <v>1.0327</v>
      </c>
      <c r="D58" s="325">
        <v>713060097.32000005</v>
      </c>
      <c r="E58" s="326">
        <v>1.0341</v>
      </c>
      <c r="F58" s="23">
        <f t="shared" si="50"/>
        <v>0.20624523132923506</v>
      </c>
      <c r="G58" s="23">
        <f t="shared" si="51"/>
        <v>1.3556696039508744E-3</v>
      </c>
      <c r="H58" s="325">
        <v>861113040.15999997</v>
      </c>
      <c r="I58" s="326">
        <v>1.0356000000000001</v>
      </c>
      <c r="J58" s="23">
        <f t="shared" si="52"/>
        <v>0.20763038542816986</v>
      </c>
      <c r="K58" s="23">
        <f t="shared" si="53"/>
        <v>1.4505366985785289E-3</v>
      </c>
      <c r="L58" s="325">
        <v>862677742.75</v>
      </c>
      <c r="M58" s="326">
        <v>1.0369999999999999</v>
      </c>
      <c r="N58" s="23">
        <f t="shared" si="54"/>
        <v>1.8170699049096994E-3</v>
      </c>
      <c r="O58" s="23">
        <f t="shared" si="55"/>
        <v>1.3518733101582133E-3</v>
      </c>
      <c r="P58" s="325">
        <v>863835392.26999998</v>
      </c>
      <c r="Q58" s="326">
        <v>1.0385</v>
      </c>
      <c r="R58" s="23">
        <f t="shared" si="56"/>
        <v>1.341925799904939E-3</v>
      </c>
      <c r="S58" s="23">
        <f t="shared" si="57"/>
        <v>1.446480231436892E-3</v>
      </c>
      <c r="T58" s="325">
        <v>857853958.87</v>
      </c>
      <c r="U58" s="326">
        <v>1.0399</v>
      </c>
      <c r="V58" s="23">
        <f t="shared" si="58"/>
        <v>-6.9242745244344215E-3</v>
      </c>
      <c r="W58" s="23">
        <f t="shared" si="59"/>
        <v>1.3480982185845622E-3</v>
      </c>
      <c r="X58" s="325">
        <v>859134898.64999998</v>
      </c>
      <c r="Y58" s="326">
        <v>1.0412999999999999</v>
      </c>
      <c r="Z58" s="23">
        <f t="shared" si="60"/>
        <v>1.4931909642140922E-3</v>
      </c>
      <c r="AA58" s="23">
        <f t="shared" si="61"/>
        <v>1.3462832964706661E-3</v>
      </c>
      <c r="AB58" s="325">
        <v>859068256.92999995</v>
      </c>
      <c r="AC58" s="326">
        <v>1.0427</v>
      </c>
      <c r="AD58" s="23">
        <f t="shared" si="62"/>
        <v>-7.7568400614089767E-5</v>
      </c>
      <c r="AE58" s="23">
        <f t="shared" si="63"/>
        <v>1.3444732545856795E-3</v>
      </c>
      <c r="AF58" s="325">
        <v>935116612.34000003</v>
      </c>
      <c r="AG58" s="326">
        <v>1.0439000000000001</v>
      </c>
      <c r="AH58" s="23">
        <f t="shared" si="64"/>
        <v>8.8524229357245104E-2</v>
      </c>
      <c r="AI58" s="23">
        <f t="shared" si="65"/>
        <v>1.1508583485183561E-3</v>
      </c>
      <c r="AJ58" s="24">
        <f t="shared" si="16"/>
        <v>6.2506273732328782E-2</v>
      </c>
      <c r="AK58" s="24">
        <f t="shared" si="17"/>
        <v>1.3492841202854715E-3</v>
      </c>
      <c r="AL58" s="25">
        <f t="shared" si="18"/>
        <v>0.31141346410293896</v>
      </c>
      <c r="AM58" s="25">
        <f t="shared" si="19"/>
        <v>9.4768397640460598E-3</v>
      </c>
      <c r="AN58" s="379">
        <f t="shared" si="20"/>
        <v>9.4326955136211171E-2</v>
      </c>
      <c r="AO58" s="380">
        <f t="shared" si="21"/>
        <v>3.0811008264883446E-2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1" t="s">
        <v>166</v>
      </c>
      <c r="B59" s="325">
        <v>260272906.19</v>
      </c>
      <c r="C59" s="74">
        <v>1137.06</v>
      </c>
      <c r="D59" s="325">
        <v>260835562.18000001</v>
      </c>
      <c r="E59" s="74">
        <v>1137.06</v>
      </c>
      <c r="F59" s="23">
        <f t="shared" si="50"/>
        <v>2.161792397973491E-3</v>
      </c>
      <c r="G59" s="23">
        <f t="shared" si="51"/>
        <v>0</v>
      </c>
      <c r="H59" s="325">
        <v>268855979.88</v>
      </c>
      <c r="I59" s="74">
        <v>1137.8599999999999</v>
      </c>
      <c r="J59" s="23">
        <f t="shared" si="52"/>
        <v>3.0748942486857594E-2</v>
      </c>
      <c r="K59" s="23">
        <f t="shared" si="53"/>
        <v>7.0356885300683738E-4</v>
      </c>
      <c r="L59" s="325">
        <v>258755565.19999999</v>
      </c>
      <c r="M59" s="74">
        <v>1131.47</v>
      </c>
      <c r="N59" s="23">
        <f t="shared" si="54"/>
        <v>-3.7568123589842344E-2</v>
      </c>
      <c r="O59" s="23">
        <f t="shared" si="55"/>
        <v>-5.6158051078338926E-3</v>
      </c>
      <c r="P59" s="325">
        <v>258900164.36000001</v>
      </c>
      <c r="Q59" s="74">
        <v>1131.1099999999999</v>
      </c>
      <c r="R59" s="23">
        <f t="shared" si="56"/>
        <v>5.5882531410778036E-4</v>
      </c>
      <c r="S59" s="23">
        <f t="shared" si="57"/>
        <v>-3.1817016801163737E-4</v>
      </c>
      <c r="T59" s="325">
        <v>255082567.96000001</v>
      </c>
      <c r="U59" s="74">
        <v>1114.1400000000001</v>
      </c>
      <c r="V59" s="23">
        <f t="shared" si="58"/>
        <v>-1.4745438302200721E-2</v>
      </c>
      <c r="W59" s="23">
        <f t="shared" si="59"/>
        <v>-1.5002961692496576E-2</v>
      </c>
      <c r="X59" s="325">
        <v>257266645.24000001</v>
      </c>
      <c r="Y59" s="74">
        <v>1116.46</v>
      </c>
      <c r="Z59" s="23">
        <f t="shared" si="60"/>
        <v>8.5622365239105269E-3</v>
      </c>
      <c r="AA59" s="23">
        <f t="shared" si="61"/>
        <v>2.0823235859047662E-3</v>
      </c>
      <c r="AB59" s="325">
        <v>256994167.81999999</v>
      </c>
      <c r="AC59" s="74">
        <v>1115.18</v>
      </c>
      <c r="AD59" s="23">
        <f t="shared" si="62"/>
        <v>-1.0591245505060588E-3</v>
      </c>
      <c r="AE59" s="23">
        <f t="shared" si="63"/>
        <v>-1.1464808412302927E-3</v>
      </c>
      <c r="AF59" s="325">
        <v>254744993.72</v>
      </c>
      <c r="AG59" s="74">
        <v>1115.69</v>
      </c>
      <c r="AH59" s="23">
        <f t="shared" si="64"/>
        <v>-8.7518488029476489E-3</v>
      </c>
      <c r="AI59" s="23">
        <f t="shared" si="65"/>
        <v>4.5732527484351483E-4</v>
      </c>
      <c r="AJ59" s="24">
        <f t="shared" si="16"/>
        <v>-2.5115923153309224E-3</v>
      </c>
      <c r="AK59" s="24">
        <f t="shared" si="17"/>
        <v>-2.3550250119771603E-3</v>
      </c>
      <c r="AL59" s="25">
        <f t="shared" si="18"/>
        <v>-2.33502226808972E-2</v>
      </c>
      <c r="AM59" s="25">
        <f t="shared" si="19"/>
        <v>-1.8794082985946117E-2</v>
      </c>
      <c r="AN59" s="379">
        <f t="shared" si="20"/>
        <v>1.9566146733056452E-2</v>
      </c>
      <c r="AO59" s="380">
        <f t="shared" si="21"/>
        <v>5.8690689369465931E-3</v>
      </c>
      <c r="AP59" s="30"/>
      <c r="AQ59" s="31"/>
      <c r="AR59" s="31"/>
      <c r="AS59" s="29"/>
      <c r="AT59" s="29"/>
    </row>
    <row r="60" spans="1:48">
      <c r="A60" s="201" t="s">
        <v>175</v>
      </c>
      <c r="B60" s="325">
        <v>1395618096.4100001</v>
      </c>
      <c r="C60" s="74">
        <v>1.0135000000000001</v>
      </c>
      <c r="D60" s="325">
        <v>1396131107.73</v>
      </c>
      <c r="E60" s="74">
        <v>1.0163</v>
      </c>
      <c r="F60" s="23">
        <f t="shared" si="50"/>
        <v>3.6758717970164701E-4</v>
      </c>
      <c r="G60" s="23">
        <f t="shared" si="51"/>
        <v>2.7627035027132842E-3</v>
      </c>
      <c r="H60" s="325">
        <v>1410950897.8699999</v>
      </c>
      <c r="I60" s="74">
        <v>1.0163</v>
      </c>
      <c r="J60" s="23">
        <f t="shared" si="52"/>
        <v>1.0614898599384184E-2</v>
      </c>
      <c r="K60" s="23">
        <f t="shared" si="53"/>
        <v>0</v>
      </c>
      <c r="L60" s="325">
        <v>1401472994.8900001</v>
      </c>
      <c r="M60" s="74">
        <v>1.0182</v>
      </c>
      <c r="N60" s="23">
        <f t="shared" si="54"/>
        <v>-6.7173868306174339E-3</v>
      </c>
      <c r="O60" s="23">
        <f t="shared" si="55"/>
        <v>1.8695267145528022E-3</v>
      </c>
      <c r="P60" s="325">
        <v>1406660666.28</v>
      </c>
      <c r="Q60" s="74">
        <v>1.0196000000000001</v>
      </c>
      <c r="R60" s="23">
        <f t="shared" si="56"/>
        <v>3.7015849815979084E-3</v>
      </c>
      <c r="S60" s="23">
        <f t="shared" si="57"/>
        <v>1.3749754468670868E-3</v>
      </c>
      <c r="T60" s="325">
        <v>1423892073.73</v>
      </c>
      <c r="U60" s="74">
        <v>1.0209999999999999</v>
      </c>
      <c r="V60" s="23">
        <f t="shared" si="58"/>
        <v>1.2249867976737813E-2</v>
      </c>
      <c r="W60" s="23">
        <f t="shared" si="59"/>
        <v>1.373087485288197E-3</v>
      </c>
      <c r="X60" s="325">
        <v>1417694377.5799999</v>
      </c>
      <c r="Y60" s="74">
        <v>1.0221</v>
      </c>
      <c r="Z60" s="23">
        <f t="shared" si="60"/>
        <v>-4.3526446030173697E-3</v>
      </c>
      <c r="AA60" s="23">
        <f t="shared" si="61"/>
        <v>1.0773751224290901E-3</v>
      </c>
      <c r="AB60" s="325">
        <v>1394817955.4400001</v>
      </c>
      <c r="AC60" s="74">
        <v>1.0235000000000001</v>
      </c>
      <c r="AD60" s="23">
        <f t="shared" si="62"/>
        <v>-1.6136356680097618E-2</v>
      </c>
      <c r="AE60" s="23">
        <f t="shared" si="63"/>
        <v>1.3697289893357478E-3</v>
      </c>
      <c r="AF60" s="325">
        <v>1395601657.3800001</v>
      </c>
      <c r="AG60" s="74">
        <v>1.0244</v>
      </c>
      <c r="AH60" s="23">
        <f t="shared" si="64"/>
        <v>5.6186682781326526E-4</v>
      </c>
      <c r="AI60" s="23">
        <f t="shared" si="65"/>
        <v>8.7933561309223331E-4</v>
      </c>
      <c r="AJ60" s="24">
        <f t="shared" si="16"/>
        <v>3.6177181437799548E-5</v>
      </c>
      <c r="AK60" s="24">
        <f t="shared" si="17"/>
        <v>1.3383416092848052E-3</v>
      </c>
      <c r="AL60" s="25">
        <f t="shared" si="18"/>
        <v>-3.7922681263133622E-4</v>
      </c>
      <c r="AM60" s="25">
        <f t="shared" si="19"/>
        <v>7.9700875725671524E-3</v>
      </c>
      <c r="AN60" s="379">
        <f t="shared" si="20"/>
        <v>9.2684427821166336E-3</v>
      </c>
      <c r="AO60" s="380">
        <f t="shared" si="21"/>
        <v>8.249740648784286E-4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1" t="s">
        <v>105</v>
      </c>
      <c r="B61" s="325">
        <v>430422416.88999999</v>
      </c>
      <c r="C61" s="74">
        <v>2.222</v>
      </c>
      <c r="D61" s="325">
        <v>431078132.06999999</v>
      </c>
      <c r="E61" s="74">
        <v>2.2252000000000001</v>
      </c>
      <c r="F61" s="23">
        <f t="shared" si="50"/>
        <v>1.5234224665570419E-3</v>
      </c>
      <c r="G61" s="23">
        <f t="shared" si="51"/>
        <v>1.4401440144014815E-3</v>
      </c>
      <c r="H61" s="325">
        <v>431820071.91000003</v>
      </c>
      <c r="I61" s="74">
        <v>2.2288999999999999</v>
      </c>
      <c r="J61" s="23">
        <f t="shared" si="52"/>
        <v>1.7211261365481527E-3</v>
      </c>
      <c r="K61" s="23">
        <f t="shared" si="53"/>
        <v>1.6627718856731144E-3</v>
      </c>
      <c r="L61" s="325">
        <v>432624499.88</v>
      </c>
      <c r="M61" s="74">
        <v>2.2330999999999999</v>
      </c>
      <c r="N61" s="23">
        <f t="shared" si="54"/>
        <v>1.8628776713455505E-3</v>
      </c>
      <c r="O61" s="23">
        <f t="shared" si="55"/>
        <v>1.8843375656153179E-3</v>
      </c>
      <c r="P61" s="325">
        <v>433207287.08999997</v>
      </c>
      <c r="Q61" s="74">
        <v>2.2361</v>
      </c>
      <c r="R61" s="23">
        <f t="shared" si="56"/>
        <v>1.3470971019016033E-3</v>
      </c>
      <c r="S61" s="23">
        <f t="shared" si="57"/>
        <v>1.3434239398146584E-3</v>
      </c>
      <c r="T61" s="325">
        <v>434071209.89999998</v>
      </c>
      <c r="U61" s="74">
        <v>2.2403</v>
      </c>
      <c r="V61" s="23">
        <f t="shared" si="58"/>
        <v>1.9942481018804287E-3</v>
      </c>
      <c r="W61" s="23">
        <f t="shared" si="59"/>
        <v>1.8782702025848493E-3</v>
      </c>
      <c r="X61" s="325">
        <v>434413059.51999998</v>
      </c>
      <c r="Y61" s="74">
        <v>2.2446999999999999</v>
      </c>
      <c r="Z61" s="23">
        <f t="shared" si="60"/>
        <v>7.875427169628667E-4</v>
      </c>
      <c r="AA61" s="23">
        <f t="shared" si="61"/>
        <v>1.9640226755345087E-3</v>
      </c>
      <c r="AB61" s="325">
        <v>433191603.01999998</v>
      </c>
      <c r="AC61" s="74">
        <v>2.2490000000000001</v>
      </c>
      <c r="AD61" s="23">
        <f t="shared" si="62"/>
        <v>-2.8117398251093907E-3</v>
      </c>
      <c r="AE61" s="23">
        <f t="shared" si="63"/>
        <v>1.9156234686150456E-3</v>
      </c>
      <c r="AF61" s="325">
        <v>441185862.17000002</v>
      </c>
      <c r="AG61" s="74">
        <v>2.2905000000000002</v>
      </c>
      <c r="AH61" s="23">
        <f t="shared" si="64"/>
        <v>1.8454326201773005E-2</v>
      </c>
      <c r="AI61" s="23">
        <f t="shared" si="65"/>
        <v>1.845264562027572E-2</v>
      </c>
      <c r="AJ61" s="24">
        <f t="shared" si="16"/>
        <v>3.1098625714824071E-3</v>
      </c>
      <c r="AK61" s="24">
        <f t="shared" si="17"/>
        <v>3.8176549215643372E-3</v>
      </c>
      <c r="AL61" s="25">
        <f t="shared" si="18"/>
        <v>2.344755938201638E-2</v>
      </c>
      <c r="AM61" s="25">
        <f t="shared" si="19"/>
        <v>2.9345676793097311E-2</v>
      </c>
      <c r="AN61" s="379">
        <f t="shared" si="20"/>
        <v>6.3949019732267853E-3</v>
      </c>
      <c r="AO61" s="380">
        <f t="shared" si="21"/>
        <v>5.9185259870233606E-3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2" t="s">
        <v>18</v>
      </c>
      <c r="B62" s="325">
        <v>3366659469.3608599</v>
      </c>
      <c r="C62" s="325">
        <v>3869.9492439026999</v>
      </c>
      <c r="D62" s="325">
        <v>3370302141.3460202</v>
      </c>
      <c r="E62" s="325">
        <v>3875.4492330304602</v>
      </c>
      <c r="F62" s="23">
        <f t="shared" si="50"/>
        <v>1.0819840908507122E-3</v>
      </c>
      <c r="G62" s="23">
        <f t="shared" si="51"/>
        <v>1.4212044606077929E-3</v>
      </c>
      <c r="H62" s="325">
        <v>3375017543.3560901</v>
      </c>
      <c r="I62" s="325">
        <v>3880.9153313414599</v>
      </c>
      <c r="J62" s="23">
        <f t="shared" si="52"/>
        <v>1.3991036448104991E-3</v>
      </c>
      <c r="K62" s="23">
        <f t="shared" si="53"/>
        <v>1.4104425015846432E-3</v>
      </c>
      <c r="L62" s="325">
        <v>3380141543.6657</v>
      </c>
      <c r="M62" s="325">
        <v>3886.3767302992701</v>
      </c>
      <c r="N62" s="23">
        <f t="shared" si="54"/>
        <v>1.5182144222321955E-3</v>
      </c>
      <c r="O62" s="23">
        <f t="shared" si="55"/>
        <v>1.407245067601719E-3</v>
      </c>
      <c r="P62" s="325">
        <v>2785469286.5824199</v>
      </c>
      <c r="Q62" s="325">
        <v>3891.8491831138399</v>
      </c>
      <c r="R62" s="23">
        <f t="shared" si="56"/>
        <v>-0.17593117015992449</v>
      </c>
      <c r="S62" s="23">
        <f t="shared" si="57"/>
        <v>1.408111769480567E-3</v>
      </c>
      <c r="T62" s="325">
        <v>2784388646.39433</v>
      </c>
      <c r="U62" s="325">
        <v>3896.9828473200701</v>
      </c>
      <c r="V62" s="23">
        <f t="shared" si="58"/>
        <v>-3.8795623893441637E-4</v>
      </c>
      <c r="W62" s="23">
        <f t="shared" si="59"/>
        <v>1.3190809727428193E-3</v>
      </c>
      <c r="X62" s="325">
        <v>2788765458.8727798</v>
      </c>
      <c r="Y62" s="325">
        <v>3902.0575035516099</v>
      </c>
      <c r="Z62" s="23">
        <f t="shared" si="60"/>
        <v>1.5719114801439863E-3</v>
      </c>
      <c r="AA62" s="23">
        <f t="shared" si="61"/>
        <v>1.3022013260924809E-3</v>
      </c>
      <c r="AB62" s="325">
        <v>2782742512.0703502</v>
      </c>
      <c r="AC62" s="325">
        <v>3907.2528530935701</v>
      </c>
      <c r="AD62" s="23">
        <f t="shared" si="62"/>
        <v>-2.1597179437471067E-3</v>
      </c>
      <c r="AE62" s="23">
        <f t="shared" si="63"/>
        <v>1.3314384878314813E-3</v>
      </c>
      <c r="AF62" s="325">
        <v>2348226752.8206201</v>
      </c>
      <c r="AG62" s="325">
        <v>3912.2057688055502</v>
      </c>
      <c r="AH62" s="23">
        <f t="shared" si="64"/>
        <v>-0.15614659184778543</v>
      </c>
      <c r="AI62" s="23">
        <f t="shared" si="65"/>
        <v>1.2676209854344507E-3</v>
      </c>
      <c r="AJ62" s="24">
        <f t="shared" si="16"/>
        <v>-4.1131777819044257E-2</v>
      </c>
      <c r="AK62" s="24">
        <f t="shared" si="17"/>
        <v>1.3584181964219942E-3</v>
      </c>
      <c r="AL62" s="25">
        <f t="shared" si="18"/>
        <v>-0.30325927636778793</v>
      </c>
      <c r="AM62" s="25">
        <f t="shared" si="19"/>
        <v>9.4844580756764923E-3</v>
      </c>
      <c r="AN62" s="379">
        <f t="shared" si="20"/>
        <v>7.7285804055958751E-2</v>
      </c>
      <c r="AO62" s="380">
        <f t="shared" si="21"/>
        <v>5.5691036501916154E-2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1" t="s">
        <v>220</v>
      </c>
      <c r="B63" s="325">
        <v>308410493.52999997</v>
      </c>
      <c r="C63" s="326">
        <v>107.02</v>
      </c>
      <c r="D63" s="325">
        <v>343654046.68000001</v>
      </c>
      <c r="E63" s="326">
        <v>104.34</v>
      </c>
      <c r="F63" s="23">
        <f t="shared" si="50"/>
        <v>0.11427481842984631</v>
      </c>
      <c r="G63" s="23">
        <f t="shared" si="51"/>
        <v>-2.5042048215286793E-2</v>
      </c>
      <c r="H63" s="325">
        <v>344472162.74000001</v>
      </c>
      <c r="I63" s="326">
        <v>107.1</v>
      </c>
      <c r="J63" s="23">
        <f t="shared" si="52"/>
        <v>2.3806385168564791E-3</v>
      </c>
      <c r="K63" s="23">
        <f t="shared" si="53"/>
        <v>2.645198389879232E-2</v>
      </c>
      <c r="L63" s="325">
        <v>345064318.92000002</v>
      </c>
      <c r="M63" s="326">
        <v>107.24</v>
      </c>
      <c r="N63" s="23">
        <f t="shared" si="54"/>
        <v>1.7190247690550065E-3</v>
      </c>
      <c r="O63" s="23">
        <f t="shared" si="55"/>
        <v>1.3071895424836655E-3</v>
      </c>
      <c r="P63" s="325">
        <v>345923420.13</v>
      </c>
      <c r="Q63" s="326">
        <v>107.43</v>
      </c>
      <c r="R63" s="23">
        <f t="shared" si="56"/>
        <v>2.489684278829053E-3</v>
      </c>
      <c r="S63" s="23">
        <f t="shared" si="57"/>
        <v>1.7717269675495333E-3</v>
      </c>
      <c r="T63" s="325">
        <v>346627846.39999998</v>
      </c>
      <c r="U63" s="326">
        <v>107.79</v>
      </c>
      <c r="V63" s="23">
        <f t="shared" si="58"/>
        <v>2.036364781937151E-3</v>
      </c>
      <c r="W63" s="23">
        <f t="shared" si="59"/>
        <v>3.3510192683607874E-3</v>
      </c>
      <c r="X63" s="325">
        <v>347006894.05000001</v>
      </c>
      <c r="Y63" s="326">
        <v>107.86</v>
      </c>
      <c r="Z63" s="23">
        <f t="shared" si="60"/>
        <v>1.0935291377676107E-3</v>
      </c>
      <c r="AA63" s="23">
        <f t="shared" si="61"/>
        <v>6.4941089154831782E-4</v>
      </c>
      <c r="AB63" s="325">
        <v>346662137.54000002</v>
      </c>
      <c r="AC63" s="326">
        <v>108.05</v>
      </c>
      <c r="AD63" s="23">
        <f t="shared" si="62"/>
        <v>-9.9351487221552054E-4</v>
      </c>
      <c r="AE63" s="23">
        <f t="shared" si="63"/>
        <v>1.7615427405896322E-3</v>
      </c>
      <c r="AF63" s="325">
        <v>336186984.89999998</v>
      </c>
      <c r="AG63" s="326">
        <v>109.51</v>
      </c>
      <c r="AH63" s="23">
        <f t="shared" si="64"/>
        <v>-3.0217181242619431E-2</v>
      </c>
      <c r="AI63" s="23">
        <f t="shared" si="65"/>
        <v>1.351226284127726E-2</v>
      </c>
      <c r="AJ63" s="24">
        <f t="shared" si="16"/>
        <v>1.1597920474932081E-2</v>
      </c>
      <c r="AK63" s="24">
        <f t="shared" si="17"/>
        <v>2.9703859919143405E-3</v>
      </c>
      <c r="AL63" s="25">
        <f t="shared" si="18"/>
        <v>-2.172842674817424E-2</v>
      </c>
      <c r="AM63" s="25">
        <f t="shared" si="19"/>
        <v>4.9549549549549564E-2</v>
      </c>
      <c r="AN63" s="379">
        <f t="shared" si="20"/>
        <v>4.2956570705930515E-2</v>
      </c>
      <c r="AO63" s="380">
        <f t="shared" si="21"/>
        <v>1.7766982256156093E-2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1" t="s">
        <v>110</v>
      </c>
      <c r="B64" s="325">
        <v>356783397.56</v>
      </c>
      <c r="C64" s="326">
        <v>1.4185000000000001</v>
      </c>
      <c r="D64" s="325">
        <v>353572578.68000001</v>
      </c>
      <c r="E64" s="326">
        <v>1.4056</v>
      </c>
      <c r="F64" s="23">
        <f t="shared" si="50"/>
        <v>-8.9993505918672528E-3</v>
      </c>
      <c r="G64" s="23">
        <f t="shared" si="51"/>
        <v>-9.0941135001763353E-3</v>
      </c>
      <c r="H64" s="325">
        <v>352680830.77999997</v>
      </c>
      <c r="I64" s="326">
        <v>1.4020999999999999</v>
      </c>
      <c r="J64" s="23">
        <f t="shared" si="52"/>
        <v>-2.5221070687359778E-3</v>
      </c>
      <c r="K64" s="23">
        <f t="shared" si="53"/>
        <v>-2.4900398406374918E-3</v>
      </c>
      <c r="L64" s="325">
        <v>352216284.05000001</v>
      </c>
      <c r="M64" s="326">
        <v>1.4006000000000001</v>
      </c>
      <c r="N64" s="23">
        <f t="shared" si="54"/>
        <v>-1.3171873531446362E-3</v>
      </c>
      <c r="O64" s="23">
        <f t="shared" si="55"/>
        <v>-1.069823835674941E-3</v>
      </c>
      <c r="P64" s="325">
        <v>348751041.39999998</v>
      </c>
      <c r="Q64" s="326">
        <v>1.3871</v>
      </c>
      <c r="R64" s="23">
        <f t="shared" si="56"/>
        <v>-9.8383942109505525E-3</v>
      </c>
      <c r="S64" s="23">
        <f t="shared" si="57"/>
        <v>-9.6387262601742591E-3</v>
      </c>
      <c r="T64" s="325">
        <v>348365262.30000001</v>
      </c>
      <c r="U64" s="326">
        <v>1.3854</v>
      </c>
      <c r="V64" s="23">
        <f t="shared" si="58"/>
        <v>-1.1061733276876296E-3</v>
      </c>
      <c r="W64" s="23">
        <f t="shared" si="59"/>
        <v>-1.225578545166199E-3</v>
      </c>
      <c r="X64" s="325">
        <v>349676794.25</v>
      </c>
      <c r="Y64" s="326">
        <v>1.3914</v>
      </c>
      <c r="Z64" s="23">
        <f t="shared" si="60"/>
        <v>3.7648184016423041E-3</v>
      </c>
      <c r="AA64" s="23">
        <f t="shared" si="61"/>
        <v>4.3308791684712033E-3</v>
      </c>
      <c r="AB64" s="325">
        <v>349136292.39999998</v>
      </c>
      <c r="AC64" s="326">
        <v>1.3914</v>
      </c>
      <c r="AD64" s="23">
        <f t="shared" si="62"/>
        <v>-1.5457183859149493E-3</v>
      </c>
      <c r="AE64" s="23">
        <f t="shared" si="63"/>
        <v>0</v>
      </c>
      <c r="AF64" s="325">
        <v>348015758.39999998</v>
      </c>
      <c r="AG64" s="326">
        <v>1.3849</v>
      </c>
      <c r="AH64" s="23">
        <f t="shared" si="64"/>
        <v>-3.2094457791750327E-3</v>
      </c>
      <c r="AI64" s="23">
        <f t="shared" si="65"/>
        <v>-4.6715538306741052E-3</v>
      </c>
      <c r="AJ64" s="24">
        <f t="shared" si="16"/>
        <v>-3.096694789479216E-3</v>
      </c>
      <c r="AK64" s="24">
        <f t="shared" si="17"/>
        <v>-2.9823695805040163E-3</v>
      </c>
      <c r="AL64" s="25">
        <f t="shared" si="18"/>
        <v>-1.5716208255587654E-2</v>
      </c>
      <c r="AM64" s="25">
        <f t="shared" si="19"/>
        <v>-1.4726807057484307E-2</v>
      </c>
      <c r="AN64" s="379">
        <f t="shared" si="20"/>
        <v>4.4279862228397294E-3</v>
      </c>
      <c r="AO64" s="380">
        <f t="shared" si="21"/>
        <v>4.6415747283519793E-3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 s="366" customFormat="1">
      <c r="A65" s="201" t="s">
        <v>285</v>
      </c>
      <c r="B65" s="325">
        <v>70500045.230000004</v>
      </c>
      <c r="C65" s="74">
        <v>106.7653</v>
      </c>
      <c r="D65" s="325">
        <v>70376907.129999995</v>
      </c>
      <c r="E65" s="74">
        <v>106.9906</v>
      </c>
      <c r="F65" s="23">
        <f t="shared" si="50"/>
        <v>-1.7466385957382305E-3</v>
      </c>
      <c r="G65" s="23">
        <f t="shared" si="51"/>
        <v>2.1102361909722004E-3</v>
      </c>
      <c r="H65" s="325">
        <v>70523055.129999995</v>
      </c>
      <c r="I65" s="74">
        <v>107.23560000000001</v>
      </c>
      <c r="J65" s="23">
        <f t="shared" ref="J65" si="66">((H65-D65)/D65)</f>
        <v>2.0766470986006234E-3</v>
      </c>
      <c r="K65" s="23">
        <f>((I65-E65)/E65)</f>
        <v>2.2899207967803205E-3</v>
      </c>
      <c r="L65" s="325">
        <v>70726143.450000003</v>
      </c>
      <c r="M65" s="74">
        <v>107.47580000000001</v>
      </c>
      <c r="N65" s="23">
        <f t="shared" ref="N65" si="67">((L65-H65)/H65)</f>
        <v>2.8797436473170525E-3</v>
      </c>
      <c r="O65" s="23">
        <f>((M65-I65)/I65)</f>
        <v>2.2399277851758324E-3</v>
      </c>
      <c r="P65" s="325">
        <v>70758634.269999996</v>
      </c>
      <c r="Q65" s="74">
        <v>107.7166</v>
      </c>
      <c r="R65" s="23">
        <f t="shared" ref="R65" si="68">((P65-L65)/L65)</f>
        <v>4.5938910868174653E-4</v>
      </c>
      <c r="S65" s="23">
        <f>((Q65-M65)/M65)</f>
        <v>2.2405043740078511E-3</v>
      </c>
      <c r="T65" s="325">
        <v>70885238.5</v>
      </c>
      <c r="U65" s="74">
        <v>107.9577</v>
      </c>
      <c r="V65" s="23">
        <f t="shared" ref="V65" si="69">((T65-P65)/P65)</f>
        <v>1.7892407238515823E-3</v>
      </c>
      <c r="W65" s="23">
        <f>((U65-Q65)/Q65)</f>
        <v>2.2382808220831607E-3</v>
      </c>
      <c r="X65" s="325">
        <v>71487402.939999998</v>
      </c>
      <c r="Y65" s="74">
        <v>108.1883</v>
      </c>
      <c r="Z65" s="23">
        <f t="shared" ref="Z65" si="70">((X65-T65)/T65)</f>
        <v>8.4949201377095968E-3</v>
      </c>
      <c r="AA65" s="23">
        <f>((Y65-U65)/U65)</f>
        <v>2.1360217937210174E-3</v>
      </c>
      <c r="AB65" s="325">
        <v>71718859.969999999</v>
      </c>
      <c r="AC65" s="74">
        <v>108.41589999999999</v>
      </c>
      <c r="AD65" s="23">
        <f t="shared" ref="AD65" si="71">((AB65-X65)/X65)</f>
        <v>3.2377316909143433E-3</v>
      </c>
      <c r="AE65" s="23">
        <f>((AC65-Y65)/Y65)</f>
        <v>2.1037394986333584E-3</v>
      </c>
      <c r="AF65" s="325">
        <v>71914070.189999998</v>
      </c>
      <c r="AG65" s="74">
        <v>108.67319999999999</v>
      </c>
      <c r="AH65" s="23">
        <f t="shared" si="64"/>
        <v>2.7218812468806008E-3</v>
      </c>
      <c r="AI65" s="23">
        <f>((AG65-AC65)/AC65)</f>
        <v>2.373268127645491E-3</v>
      </c>
      <c r="AJ65" s="24">
        <f t="shared" si="16"/>
        <v>2.4891143822771645E-3</v>
      </c>
      <c r="AK65" s="24">
        <f t="shared" si="17"/>
        <v>2.216487423627404E-3</v>
      </c>
      <c r="AL65" s="25">
        <f t="shared" si="18"/>
        <v>2.1841867207386078E-2</v>
      </c>
      <c r="AM65" s="25">
        <f t="shared" si="19"/>
        <v>1.5726615235357067E-2</v>
      </c>
      <c r="AN65" s="379">
        <f t="shared" si="20"/>
        <v>2.9169025317385467E-3</v>
      </c>
      <c r="AO65" s="380">
        <f t="shared" si="21"/>
        <v>1.9917735880044157E-4</v>
      </c>
      <c r="AP65" s="30"/>
      <c r="AQ65" s="36"/>
      <c r="AR65" s="37"/>
      <c r="AS65" s="29"/>
      <c r="AT65" s="29"/>
    </row>
    <row r="66" spans="1:46">
      <c r="A66" s="201" t="s">
        <v>236</v>
      </c>
      <c r="B66" s="325">
        <v>665352920.03000009</v>
      </c>
      <c r="C66" s="74">
        <v>1000</v>
      </c>
      <c r="D66" s="325">
        <v>670873390.58000004</v>
      </c>
      <c r="E66" s="74">
        <v>1000</v>
      </c>
      <c r="F66" s="23">
        <f t="shared" si="50"/>
        <v>8.2970561694552109E-3</v>
      </c>
      <c r="G66" s="23">
        <f t="shared" si="51"/>
        <v>0</v>
      </c>
      <c r="H66" s="325">
        <v>680887582.63000011</v>
      </c>
      <c r="I66" s="74">
        <v>1000</v>
      </c>
      <c r="J66" s="23">
        <f t="shared" si="52"/>
        <v>1.4927096812324535E-2</v>
      </c>
      <c r="K66" s="23">
        <f t="shared" si="53"/>
        <v>0</v>
      </c>
      <c r="L66" s="325">
        <v>690280439.20020008</v>
      </c>
      <c r="M66" s="74">
        <v>1000</v>
      </c>
      <c r="N66" s="23">
        <f t="shared" si="54"/>
        <v>1.3795018164260049E-2</v>
      </c>
      <c r="O66" s="23">
        <f t="shared" si="55"/>
        <v>0</v>
      </c>
      <c r="P66" s="325">
        <v>684086957.47000003</v>
      </c>
      <c r="Q66" s="74">
        <v>1000</v>
      </c>
      <c r="R66" s="23">
        <f t="shared" si="56"/>
        <v>-8.972413787903635E-3</v>
      </c>
      <c r="S66" s="23">
        <f t="shared" si="57"/>
        <v>0</v>
      </c>
      <c r="T66" s="325">
        <v>691368696.91000009</v>
      </c>
      <c r="U66" s="74">
        <v>1000</v>
      </c>
      <c r="V66" s="23">
        <f t="shared" si="58"/>
        <v>1.0644464655386141E-2</v>
      </c>
      <c r="W66" s="23">
        <f t="shared" si="59"/>
        <v>0</v>
      </c>
      <c r="X66" s="325">
        <v>833956636.2700001</v>
      </c>
      <c r="Y66" s="74">
        <v>1000</v>
      </c>
      <c r="Z66" s="23">
        <f t="shared" si="60"/>
        <v>0.20624008578531522</v>
      </c>
      <c r="AA66" s="23">
        <f t="shared" si="61"/>
        <v>0</v>
      </c>
      <c r="AB66" s="325">
        <v>844789670.44000006</v>
      </c>
      <c r="AC66" s="74">
        <v>1000</v>
      </c>
      <c r="AD66" s="23">
        <f t="shared" si="62"/>
        <v>1.2989925013910048E-2</v>
      </c>
      <c r="AE66" s="23">
        <f t="shared" si="63"/>
        <v>0</v>
      </c>
      <c r="AF66" s="325">
        <v>846444700.48000002</v>
      </c>
      <c r="AG66" s="74">
        <v>1000</v>
      </c>
      <c r="AH66" s="23">
        <f t="shared" si="64"/>
        <v>1.9591030737129591E-3</v>
      </c>
      <c r="AI66" s="23">
        <f t="shared" ref="AI66:AI82" si="72">((AG66-AC66)/AC66)</f>
        <v>0</v>
      </c>
      <c r="AJ66" s="24">
        <f t="shared" si="16"/>
        <v>3.248504198580756E-2</v>
      </c>
      <c r="AK66" s="24">
        <f t="shared" si="17"/>
        <v>0</v>
      </c>
      <c r="AL66" s="25">
        <f t="shared" si="18"/>
        <v>0.2617055801664912</v>
      </c>
      <c r="AM66" s="25">
        <f t="shared" si="19"/>
        <v>0</v>
      </c>
      <c r="AN66" s="379">
        <f t="shared" si="20"/>
        <v>7.0651151362930653E-2</v>
      </c>
      <c r="AO66" s="380">
        <f t="shared" si="21"/>
        <v>6.9264753423292104E-4</v>
      </c>
      <c r="AP66" s="30"/>
      <c r="AQ66" s="28">
        <v>3320655667.8400002</v>
      </c>
      <c r="AR66" s="32">
        <v>177.09</v>
      </c>
      <c r="AS66" s="29" t="e">
        <f>(#REF!/AQ66)-1</f>
        <v>#REF!</v>
      </c>
      <c r="AT66" s="29" t="e">
        <f>(#REF!/AR66)-1</f>
        <v>#REF!</v>
      </c>
    </row>
    <row r="67" spans="1:46">
      <c r="A67" s="201" t="s">
        <v>101</v>
      </c>
      <c r="B67" s="325">
        <v>266188415.46000001</v>
      </c>
      <c r="C67" s="74">
        <v>1103.3900000000001</v>
      </c>
      <c r="D67" s="325">
        <v>273870818.58999997</v>
      </c>
      <c r="E67" s="74">
        <v>1103.94</v>
      </c>
      <c r="F67" s="23">
        <f t="shared" si="50"/>
        <v>2.8860771858625064E-2</v>
      </c>
      <c r="G67" s="23">
        <f t="shared" si="51"/>
        <v>4.9846382512072293E-4</v>
      </c>
      <c r="H67" s="325">
        <v>269425882.17000002</v>
      </c>
      <c r="I67" s="74">
        <v>1102.8900000000001</v>
      </c>
      <c r="J67" s="23">
        <f t="shared" si="52"/>
        <v>-1.623004759281885E-2</v>
      </c>
      <c r="K67" s="23">
        <f t="shared" si="53"/>
        <v>-9.5113864883956956E-4</v>
      </c>
      <c r="L67" s="325">
        <v>269910887.70999998</v>
      </c>
      <c r="M67" s="74">
        <v>1105.45</v>
      </c>
      <c r="N67" s="23">
        <f t="shared" si="54"/>
        <v>1.8001445744323006E-3</v>
      </c>
      <c r="O67" s="23">
        <f t="shared" si="55"/>
        <v>2.3211743691573458E-3</v>
      </c>
      <c r="P67" s="325">
        <v>239434316.24000001</v>
      </c>
      <c r="Q67" s="74">
        <v>1106.8599999999999</v>
      </c>
      <c r="R67" s="23">
        <f t="shared" si="56"/>
        <v>-0.11291345721016217</v>
      </c>
      <c r="S67" s="23">
        <f t="shared" si="57"/>
        <v>1.2754986657016187E-3</v>
      </c>
      <c r="T67" s="325">
        <v>238946689.84999999</v>
      </c>
      <c r="U67" s="74">
        <v>1104.68</v>
      </c>
      <c r="V67" s="23">
        <f t="shared" si="58"/>
        <v>-2.0365768685856921E-3</v>
      </c>
      <c r="W67" s="23">
        <f t="shared" si="59"/>
        <v>-1.9695354426032528E-3</v>
      </c>
      <c r="X67" s="325">
        <v>239002728</v>
      </c>
      <c r="Y67" s="74">
        <v>1107.31</v>
      </c>
      <c r="Z67" s="23">
        <f t="shared" si="60"/>
        <v>2.3452155807299191E-4</v>
      </c>
      <c r="AA67" s="23">
        <f t="shared" si="61"/>
        <v>2.3807799543758205E-3</v>
      </c>
      <c r="AB67" s="325">
        <v>239002728</v>
      </c>
      <c r="AC67" s="74">
        <v>1109.25</v>
      </c>
      <c r="AD67" s="23">
        <f t="shared" si="62"/>
        <v>0</v>
      </c>
      <c r="AE67" s="23">
        <f t="shared" si="63"/>
        <v>1.7519935700030297E-3</v>
      </c>
      <c r="AF67" s="325">
        <v>238202618.88999999</v>
      </c>
      <c r="AG67" s="74">
        <v>1105.19</v>
      </c>
      <c r="AH67" s="23">
        <f t="shared" si="64"/>
        <v>-3.347698650535965E-3</v>
      </c>
      <c r="AI67" s="23">
        <f t="shared" si="72"/>
        <v>-3.6601307189541993E-3</v>
      </c>
      <c r="AJ67" s="24">
        <f t="shared" si="16"/>
        <v>-1.295404279137154E-2</v>
      </c>
      <c r="AK67" s="24">
        <f t="shared" si="17"/>
        <v>2.0588819674518947E-4</v>
      </c>
      <c r="AL67" s="25">
        <f t="shared" si="18"/>
        <v>-0.13023731364894808</v>
      </c>
      <c r="AM67" s="25">
        <f t="shared" si="19"/>
        <v>1.132307915285251E-3</v>
      </c>
      <c r="AN67" s="379">
        <f t="shared" si="20"/>
        <v>4.2294882959007386E-2</v>
      </c>
      <c r="AO67" s="380">
        <f t="shared" si="21"/>
        <v>2.1217127688996406E-3</v>
      </c>
      <c r="AP67" s="30"/>
      <c r="AQ67" s="46">
        <v>1300500308</v>
      </c>
      <c r="AR67" s="32">
        <v>1.19</v>
      </c>
      <c r="AS67" s="29" t="e">
        <f>(#REF!/AQ67)-1</f>
        <v>#REF!</v>
      </c>
      <c r="AT67" s="29" t="e">
        <f>(#REF!/AR67)-1</f>
        <v>#REF!</v>
      </c>
    </row>
    <row r="68" spans="1:46">
      <c r="A68" s="201" t="s">
        <v>169</v>
      </c>
      <c r="B68" s="325">
        <v>725528116.74000001</v>
      </c>
      <c r="C68" s="310">
        <v>1.0676000000000001</v>
      </c>
      <c r="D68" s="325">
        <v>726108153.88</v>
      </c>
      <c r="E68" s="310">
        <v>1.0680000000000001</v>
      </c>
      <c r="F68" s="23">
        <f t="shared" si="50"/>
        <v>7.9946886497831977E-4</v>
      </c>
      <c r="G68" s="23">
        <f t="shared" si="51"/>
        <v>3.7467216185833261E-4</v>
      </c>
      <c r="H68" s="325">
        <v>728153784.57000005</v>
      </c>
      <c r="I68" s="310">
        <v>1.0680000000000001</v>
      </c>
      <c r="J68" s="23">
        <f t="shared" si="52"/>
        <v>2.8172534340361196E-3</v>
      </c>
      <c r="K68" s="23">
        <f t="shared" si="53"/>
        <v>0</v>
      </c>
      <c r="L68" s="325">
        <v>730810674.30999994</v>
      </c>
      <c r="M68" s="310">
        <v>1.0749</v>
      </c>
      <c r="N68" s="23">
        <f t="shared" si="54"/>
        <v>3.6488030362554187E-3</v>
      </c>
      <c r="O68" s="23">
        <f t="shared" si="55"/>
        <v>6.4606741573032828E-3</v>
      </c>
      <c r="P68" s="325">
        <v>729960653.96000004</v>
      </c>
      <c r="Q68" s="310">
        <v>1.0738000000000001</v>
      </c>
      <c r="R68" s="23">
        <f t="shared" si="56"/>
        <v>-1.1631197790076854E-3</v>
      </c>
      <c r="S68" s="23">
        <f t="shared" si="57"/>
        <v>-1.0233510093961102E-3</v>
      </c>
      <c r="T68" s="325">
        <v>732100806.80999994</v>
      </c>
      <c r="U68" s="310">
        <v>1.0758000000000001</v>
      </c>
      <c r="V68" s="23">
        <f t="shared" si="58"/>
        <v>2.9318742570434205E-3</v>
      </c>
      <c r="W68" s="23">
        <f t="shared" si="59"/>
        <v>1.8625442354255929E-3</v>
      </c>
      <c r="X68" s="325">
        <v>733640783.86000001</v>
      </c>
      <c r="Y68" s="310">
        <v>1.0779000000000001</v>
      </c>
      <c r="Z68" s="23">
        <f t="shared" si="60"/>
        <v>2.1035041017237088E-3</v>
      </c>
      <c r="AA68" s="23">
        <f t="shared" si="61"/>
        <v>1.952035694366974E-3</v>
      </c>
      <c r="AB68" s="325">
        <v>733430710.14999998</v>
      </c>
      <c r="AC68" s="310">
        <v>1.08</v>
      </c>
      <c r="AD68" s="23">
        <f t="shared" si="62"/>
        <v>-2.863441000304671E-4</v>
      </c>
      <c r="AE68" s="23">
        <f t="shared" si="63"/>
        <v>1.9482326746451347E-3</v>
      </c>
      <c r="AF68" s="325">
        <v>734101319.90999997</v>
      </c>
      <c r="AG68" s="310">
        <v>1.0808</v>
      </c>
      <c r="AH68" s="23">
        <f t="shared" si="64"/>
        <v>9.1434644161932966E-4</v>
      </c>
      <c r="AI68" s="23">
        <f t="shared" si="72"/>
        <v>7.4074074074065906E-4</v>
      </c>
      <c r="AJ68" s="24">
        <f t="shared" si="16"/>
        <v>1.4707232820772703E-3</v>
      </c>
      <c r="AK68" s="24">
        <f t="shared" si="17"/>
        <v>1.5394435818679832E-3</v>
      </c>
      <c r="AL68" s="25">
        <f t="shared" si="18"/>
        <v>1.1008230643448963E-2</v>
      </c>
      <c r="AM68" s="25">
        <f t="shared" si="19"/>
        <v>1.1985018726591688E-2</v>
      </c>
      <c r="AN68" s="379">
        <f t="shared" si="20"/>
        <v>1.6851070902729485E-3</v>
      </c>
      <c r="AO68" s="380">
        <f t="shared" si="21"/>
        <v>2.2469572877103225E-3</v>
      </c>
      <c r="AP68" s="30"/>
      <c r="AQ68" s="31">
        <v>776682398.99000001</v>
      </c>
      <c r="AR68" s="35">
        <v>2.4700000000000002</v>
      </c>
      <c r="AS68" s="29" t="e">
        <f>(#REF!/AQ68)-1</f>
        <v>#REF!</v>
      </c>
      <c r="AT68" s="29" t="e">
        <f>(#REF!/AR68)-1</f>
        <v>#REF!</v>
      </c>
    </row>
    <row r="69" spans="1:46">
      <c r="A69" s="201" t="s">
        <v>208</v>
      </c>
      <c r="B69" s="325">
        <v>67219574887.040001</v>
      </c>
      <c r="C69" s="325">
        <v>1567.02</v>
      </c>
      <c r="D69" s="325">
        <v>67540567273.980003</v>
      </c>
      <c r="E69" s="325">
        <v>1570.83</v>
      </c>
      <c r="F69" s="23">
        <f t="shared" si="50"/>
        <v>4.7752814188339963E-3</v>
      </c>
      <c r="G69" s="23">
        <f t="shared" si="51"/>
        <v>2.4313665428647661E-3</v>
      </c>
      <c r="H69" s="325">
        <v>68124092493</v>
      </c>
      <c r="I69" s="325">
        <v>1574.21</v>
      </c>
      <c r="J69" s="23">
        <f t="shared" si="52"/>
        <v>8.6396256734550658E-3</v>
      </c>
      <c r="K69" s="23">
        <f t="shared" si="53"/>
        <v>2.1517287039336586E-3</v>
      </c>
      <c r="L69" s="325">
        <v>68422476999.220001</v>
      </c>
      <c r="M69" s="325">
        <v>1577.56</v>
      </c>
      <c r="N69" s="23">
        <f t="shared" si="54"/>
        <v>4.3800144016694431E-3</v>
      </c>
      <c r="O69" s="23">
        <f t="shared" si="55"/>
        <v>2.1280515306089463E-3</v>
      </c>
      <c r="P69" s="325">
        <v>68110525693.080002</v>
      </c>
      <c r="Q69" s="325">
        <v>1580.96</v>
      </c>
      <c r="R69" s="23">
        <f t="shared" si="56"/>
        <v>-4.5591934086741054E-3</v>
      </c>
      <c r="S69" s="23">
        <f t="shared" si="57"/>
        <v>2.1552270595096802E-3</v>
      </c>
      <c r="T69" s="325">
        <v>68177845484.519997</v>
      </c>
      <c r="U69" s="325">
        <v>1584.3</v>
      </c>
      <c r="V69" s="23">
        <f t="shared" si="58"/>
        <v>9.8839042504754102E-4</v>
      </c>
      <c r="W69" s="23">
        <f t="shared" si="59"/>
        <v>2.1126404210099676E-3</v>
      </c>
      <c r="X69" s="325">
        <v>68800750738.429993</v>
      </c>
      <c r="Y69" s="325">
        <v>1587.65</v>
      </c>
      <c r="Z69" s="23">
        <f t="shared" si="60"/>
        <v>9.1364760720024328E-3</v>
      </c>
      <c r="AA69" s="23">
        <f t="shared" si="61"/>
        <v>2.1144985166951565E-3</v>
      </c>
      <c r="AB69" s="325">
        <v>68878687281.509995</v>
      </c>
      <c r="AC69" s="325">
        <v>1591.03</v>
      </c>
      <c r="AD69" s="23">
        <f t="shared" si="62"/>
        <v>1.1327862304338035E-3</v>
      </c>
      <c r="AE69" s="23">
        <f t="shared" si="63"/>
        <v>2.1289326992724351E-3</v>
      </c>
      <c r="AF69" s="325">
        <v>68823037503.279999</v>
      </c>
      <c r="AG69" s="325">
        <v>1594.587</v>
      </c>
      <c r="AH69" s="23">
        <f t="shared" si="64"/>
        <v>-8.0793900735292505E-4</v>
      </c>
      <c r="AI69" s="23">
        <f t="shared" si="72"/>
        <v>2.2356586613703176E-3</v>
      </c>
      <c r="AJ69" s="24">
        <f t="shared" si="16"/>
        <v>2.9606802256769067E-3</v>
      </c>
      <c r="AK69" s="24">
        <f t="shared" si="17"/>
        <v>2.1822630169081158E-3</v>
      </c>
      <c r="AL69" s="25">
        <f t="shared" si="18"/>
        <v>1.8988147139742294E-2</v>
      </c>
      <c r="AM69" s="25">
        <f t="shared" si="19"/>
        <v>1.5123851721701307E-2</v>
      </c>
      <c r="AN69" s="379">
        <f t="shared" si="20"/>
        <v>4.6855442837269142E-3</v>
      </c>
      <c r="AO69" s="380">
        <f t="shared" si="21"/>
        <v>1.0598052715369486E-3</v>
      </c>
      <c r="AP69" s="30"/>
      <c r="AQ69" s="28">
        <v>8144502990.9799995</v>
      </c>
      <c r="AR69" s="28">
        <v>2263.5700000000002</v>
      </c>
      <c r="AS69" s="29" t="e">
        <f>(#REF!/AQ69)-1</f>
        <v>#REF!</v>
      </c>
      <c r="AT69" s="29" t="e">
        <f>(#REF!/AR69)-1</f>
        <v>#REF!</v>
      </c>
    </row>
    <row r="70" spans="1:46">
      <c r="A70" s="201" t="s">
        <v>173</v>
      </c>
      <c r="B70" s="325">
        <v>21954567.82</v>
      </c>
      <c r="C70" s="325">
        <v>0.65500000000000003</v>
      </c>
      <c r="D70" s="325">
        <v>22002935.899999999</v>
      </c>
      <c r="E70" s="325">
        <v>0.65500000000000003</v>
      </c>
      <c r="F70" s="23">
        <f t="shared" si="50"/>
        <v>2.2030987080481827E-3</v>
      </c>
      <c r="G70" s="23">
        <f t="shared" si="51"/>
        <v>0</v>
      </c>
      <c r="H70" s="325">
        <v>22023612.440000001</v>
      </c>
      <c r="I70" s="325">
        <v>0.65700000000000003</v>
      </c>
      <c r="J70" s="23">
        <f t="shared" si="52"/>
        <v>9.3971732199623563E-4</v>
      </c>
      <c r="K70" s="23">
        <f t="shared" si="53"/>
        <v>3.0534351145038194E-3</v>
      </c>
      <c r="L70" s="325">
        <v>21811897.09</v>
      </c>
      <c r="M70" s="325">
        <v>0.65739999999999998</v>
      </c>
      <c r="N70" s="23">
        <f t="shared" si="54"/>
        <v>-9.6131073218250606E-3</v>
      </c>
      <c r="O70" s="23">
        <f t="shared" si="55"/>
        <v>6.08828006088213E-4</v>
      </c>
      <c r="P70" s="325">
        <v>24462461.300000001</v>
      </c>
      <c r="Q70" s="325">
        <v>0.73729999999999996</v>
      </c>
      <c r="R70" s="23">
        <f t="shared" si="56"/>
        <v>0.12151919656796807</v>
      </c>
      <c r="S70" s="23">
        <f t="shared" si="57"/>
        <v>0.12153939762701547</v>
      </c>
      <c r="T70" s="325">
        <v>24501160.52</v>
      </c>
      <c r="U70" s="325">
        <v>0.73850000000000005</v>
      </c>
      <c r="V70" s="23">
        <f t="shared" si="58"/>
        <v>1.5819839028217003E-3</v>
      </c>
      <c r="W70" s="23">
        <f t="shared" si="59"/>
        <v>1.6275600162757222E-3</v>
      </c>
      <c r="X70" s="325">
        <v>24320763.870000001</v>
      </c>
      <c r="Y70" s="325">
        <v>0.74070000000000003</v>
      </c>
      <c r="Z70" s="23">
        <f t="shared" si="60"/>
        <v>-7.3627798100723806E-3</v>
      </c>
      <c r="AA70" s="23">
        <f t="shared" si="61"/>
        <v>2.9790115098171695E-3</v>
      </c>
      <c r="AB70" s="325">
        <v>24359543.829999998</v>
      </c>
      <c r="AC70" s="325">
        <v>0.7419</v>
      </c>
      <c r="AD70" s="23">
        <f t="shared" si="62"/>
        <v>1.594520641180715E-3</v>
      </c>
      <c r="AE70" s="23">
        <f t="shared" si="63"/>
        <v>1.620089104900741E-3</v>
      </c>
      <c r="AF70" s="325">
        <v>24417764.789999999</v>
      </c>
      <c r="AG70" s="325">
        <v>0.74370000000000003</v>
      </c>
      <c r="AH70" s="23">
        <f t="shared" si="64"/>
        <v>2.390067745369635E-3</v>
      </c>
      <c r="AI70" s="23">
        <f t="shared" si="72"/>
        <v>2.4262029923170559E-3</v>
      </c>
      <c r="AJ70" s="24">
        <f t="shared" ref="AJ70:AJ133" si="73">AVERAGE(F70,J70,N70,R70,V70,Z70,AD70,AH70)</f>
        <v>1.4156587219435888E-2</v>
      </c>
      <c r="AK70" s="24">
        <f t="shared" ref="AK70:AK133" si="74">AVERAGE(G70,K70,O70,S70,W70,AA70,AE70,AI70)</f>
        <v>1.6731815546364773E-2</v>
      </c>
      <c r="AL70" s="25">
        <f t="shared" ref="AL70:AL133" si="75">((AF70-D70)/D70)</f>
        <v>0.10975030336747019</v>
      </c>
      <c r="AM70" s="25">
        <f t="shared" ref="AM70:AM133" si="76">((AG70-E70)/E70)</f>
        <v>0.13541984732824427</v>
      </c>
      <c r="AN70" s="379">
        <f t="shared" ref="AN70:AN133" si="77">STDEV(F70,J70,N70,R70,V70,Z70,AD70,AH70)</f>
        <v>4.3632818751418702E-2</v>
      </c>
      <c r="AO70" s="380">
        <f t="shared" ref="AO70:AO133" si="78">STDEV(G70,K70,O70,S70,W70,AA70,AE70,AH70)</f>
        <v>4.236400043218623E-2</v>
      </c>
      <c r="AP70" s="30"/>
      <c r="AQ70" s="28"/>
      <c r="AR70" s="28"/>
      <c r="AS70" s="29"/>
      <c r="AT70" s="29"/>
    </row>
    <row r="71" spans="1:46">
      <c r="A71" s="201" t="s">
        <v>104</v>
      </c>
      <c r="B71" s="325">
        <v>988440270.21000004</v>
      </c>
      <c r="C71" s="325">
        <v>207.8459</v>
      </c>
      <c r="D71" s="325">
        <v>1086513646.5999999</v>
      </c>
      <c r="E71" s="325">
        <v>206.556569</v>
      </c>
      <c r="F71" s="23">
        <f t="shared" si="50"/>
        <v>9.922033667159634E-2</v>
      </c>
      <c r="G71" s="23">
        <f t="shared" si="51"/>
        <v>-6.2033025428935773E-3</v>
      </c>
      <c r="H71" s="325">
        <v>1095965859.5899999</v>
      </c>
      <c r="I71" s="325">
        <v>207.33063000000001</v>
      </c>
      <c r="J71" s="23">
        <f t="shared" si="52"/>
        <v>8.6995805525117743E-3</v>
      </c>
      <c r="K71" s="23">
        <f t="shared" si="53"/>
        <v>3.7474528345792647E-3</v>
      </c>
      <c r="L71" s="325">
        <v>1091884936.3</v>
      </c>
      <c r="M71" s="325">
        <v>206.661044</v>
      </c>
      <c r="N71" s="23">
        <f t="shared" si="54"/>
        <v>-3.7235861448518411E-3</v>
      </c>
      <c r="O71" s="23">
        <f t="shared" si="55"/>
        <v>-3.2295565783020557E-3</v>
      </c>
      <c r="P71" s="325">
        <v>1094730397.6700001</v>
      </c>
      <c r="Q71" s="325">
        <v>207.24935199999999</v>
      </c>
      <c r="R71" s="23">
        <f t="shared" si="56"/>
        <v>2.60600844961041E-3</v>
      </c>
      <c r="S71" s="23">
        <f t="shared" si="57"/>
        <v>2.8467290622996352E-3</v>
      </c>
      <c r="T71" s="325">
        <v>1099016772.3099999</v>
      </c>
      <c r="U71" s="325">
        <v>207.824196</v>
      </c>
      <c r="V71" s="23">
        <f t="shared" si="58"/>
        <v>3.9154614223948572E-3</v>
      </c>
      <c r="W71" s="23">
        <f t="shared" si="59"/>
        <v>2.7736829787531159E-3</v>
      </c>
      <c r="X71" s="325">
        <v>1105250811.5599999</v>
      </c>
      <c r="Y71" s="325">
        <v>208.34323599999999</v>
      </c>
      <c r="Z71" s="23">
        <f t="shared" si="60"/>
        <v>5.6723786270311471E-3</v>
      </c>
      <c r="AA71" s="23">
        <f t="shared" si="61"/>
        <v>2.4974955274215988E-3</v>
      </c>
      <c r="AB71" s="325">
        <v>1091257758.5799999</v>
      </c>
      <c r="AC71" s="325">
        <v>209.015716</v>
      </c>
      <c r="AD71" s="23">
        <f t="shared" si="62"/>
        <v>-1.2660522691903393E-2</v>
      </c>
      <c r="AE71" s="23">
        <f t="shared" si="63"/>
        <v>3.2277505759774573E-3</v>
      </c>
      <c r="AF71" s="325">
        <v>1077476702.75</v>
      </c>
      <c r="AG71" s="325">
        <v>209.32974899999999</v>
      </c>
      <c r="AH71" s="23">
        <f t="shared" si="64"/>
        <v>-1.2628598258886639E-2</v>
      </c>
      <c r="AI71" s="23">
        <f t="shared" si="72"/>
        <v>1.5024372617033013E-3</v>
      </c>
      <c r="AJ71" s="24">
        <f t="shared" si="73"/>
        <v>1.1387632328437832E-2</v>
      </c>
      <c r="AK71" s="24">
        <f t="shared" si="74"/>
        <v>8.9533613994234248E-4</v>
      </c>
      <c r="AL71" s="25">
        <f t="shared" si="75"/>
        <v>-8.3173772168246458E-3</v>
      </c>
      <c r="AM71" s="25">
        <f t="shared" si="76"/>
        <v>1.3425765219793113E-2</v>
      </c>
      <c r="AN71" s="379">
        <f t="shared" si="77"/>
        <v>3.6392436362334371E-2</v>
      </c>
      <c r="AO71" s="380">
        <f t="shared" si="78"/>
        <v>5.9620131394907717E-3</v>
      </c>
      <c r="AP71" s="30"/>
      <c r="AQ71" s="28">
        <v>421796041.39999998</v>
      </c>
      <c r="AR71" s="28">
        <v>2004.5</v>
      </c>
      <c r="AS71" s="29" t="e">
        <f>(#REF!/AQ71)-1</f>
        <v>#REF!</v>
      </c>
      <c r="AT71" s="29" t="e">
        <f>(#REF!/AR71)-1</f>
        <v>#REF!</v>
      </c>
    </row>
    <row r="72" spans="1:46">
      <c r="A72" s="201" t="s">
        <v>111</v>
      </c>
      <c r="B72" s="325">
        <v>1245968307.73</v>
      </c>
      <c r="C72" s="326">
        <v>3.52</v>
      </c>
      <c r="D72" s="325">
        <v>1240272704.6199999</v>
      </c>
      <c r="E72" s="326">
        <v>3.52</v>
      </c>
      <c r="F72" s="23">
        <f t="shared" si="50"/>
        <v>-4.5712263102235858E-3</v>
      </c>
      <c r="G72" s="23">
        <f t="shared" si="51"/>
        <v>0</v>
      </c>
      <c r="H72" s="325">
        <v>1238484713.2</v>
      </c>
      <c r="I72" s="326">
        <v>3.52</v>
      </c>
      <c r="J72" s="23">
        <f t="shared" si="52"/>
        <v>-1.4416115208692353E-3</v>
      </c>
      <c r="K72" s="23">
        <f t="shared" si="53"/>
        <v>0</v>
      </c>
      <c r="L72" s="325">
        <v>1239596559.1500001</v>
      </c>
      <c r="M72" s="326">
        <v>3.52</v>
      </c>
      <c r="N72" s="23">
        <f t="shared" si="54"/>
        <v>8.9774701144857674E-4</v>
      </c>
      <c r="O72" s="23">
        <f t="shared" si="55"/>
        <v>0</v>
      </c>
      <c r="P72" s="325">
        <v>1240391795.21</v>
      </c>
      <c r="Q72" s="326">
        <v>3.53</v>
      </c>
      <c r="R72" s="23">
        <f t="shared" si="56"/>
        <v>6.4152812794611306E-4</v>
      </c>
      <c r="S72" s="23">
        <f t="shared" si="57"/>
        <v>2.8409090909090303E-3</v>
      </c>
      <c r="T72" s="325">
        <v>1238385041.6700001</v>
      </c>
      <c r="U72" s="326">
        <v>3.52</v>
      </c>
      <c r="V72" s="23">
        <f t="shared" si="58"/>
        <v>-1.6178384505197536E-3</v>
      </c>
      <c r="W72" s="23">
        <f t="shared" si="59"/>
        <v>-2.8328611898016396E-3</v>
      </c>
      <c r="X72" s="325">
        <v>1239709590.02</v>
      </c>
      <c r="Y72" s="326">
        <v>3.53</v>
      </c>
      <c r="Z72" s="23">
        <f t="shared" si="60"/>
        <v>1.0695771552712804E-3</v>
      </c>
      <c r="AA72" s="23">
        <f t="shared" si="61"/>
        <v>2.8409090909090303E-3</v>
      </c>
      <c r="AB72" s="325">
        <v>1241073655.5699999</v>
      </c>
      <c r="AC72" s="326">
        <v>3.53</v>
      </c>
      <c r="AD72" s="23">
        <f t="shared" si="62"/>
        <v>1.1003105573926762E-3</v>
      </c>
      <c r="AE72" s="23">
        <f t="shared" si="63"/>
        <v>0</v>
      </c>
      <c r="AF72" s="325">
        <v>1241376514.55</v>
      </c>
      <c r="AG72" s="326">
        <v>3.53</v>
      </c>
      <c r="AH72" s="23">
        <f t="shared" si="64"/>
        <v>2.4402981937516198E-4</v>
      </c>
      <c r="AI72" s="23">
        <f t="shared" si="72"/>
        <v>0</v>
      </c>
      <c r="AJ72" s="24">
        <f t="shared" si="73"/>
        <v>-4.5968545127234571E-4</v>
      </c>
      <c r="AK72" s="24">
        <f t="shared" si="74"/>
        <v>3.5611962400205262E-4</v>
      </c>
      <c r="AL72" s="25">
        <f t="shared" si="75"/>
        <v>8.899735726573591E-4</v>
      </c>
      <c r="AM72" s="25">
        <f t="shared" si="76"/>
        <v>2.8409090909090303E-3</v>
      </c>
      <c r="AN72" s="379">
        <f t="shared" si="77"/>
        <v>1.9832515328374579E-3</v>
      </c>
      <c r="AO72" s="380">
        <f t="shared" si="78"/>
        <v>1.8138499336304177E-3</v>
      </c>
      <c r="AP72" s="30"/>
      <c r="AQ72" s="28"/>
      <c r="AR72" s="28"/>
      <c r="AS72" s="29"/>
      <c r="AT72" s="29"/>
    </row>
    <row r="73" spans="1:46">
      <c r="A73" s="201" t="s">
        <v>85</v>
      </c>
      <c r="B73" s="325">
        <v>16679660711.76</v>
      </c>
      <c r="C73" s="325">
        <v>1180.3</v>
      </c>
      <c r="D73" s="325">
        <v>16719439924.309999</v>
      </c>
      <c r="E73" s="325">
        <v>1183.1500000000001</v>
      </c>
      <c r="F73" s="23">
        <f t="shared" si="50"/>
        <v>2.3848933882661587E-3</v>
      </c>
      <c r="G73" s="23">
        <f t="shared" si="51"/>
        <v>2.414640345674944E-3</v>
      </c>
      <c r="H73" s="325">
        <v>16745646723.209999</v>
      </c>
      <c r="I73" s="325">
        <v>1185.78</v>
      </c>
      <c r="J73" s="23">
        <f t="shared" si="52"/>
        <v>1.5674447839544574E-3</v>
      </c>
      <c r="K73" s="23">
        <f t="shared" si="53"/>
        <v>2.2228796010648538E-3</v>
      </c>
      <c r="L73" s="325">
        <v>16794386370.92</v>
      </c>
      <c r="M73" s="325">
        <v>1188.17</v>
      </c>
      <c r="N73" s="23">
        <f t="shared" si="54"/>
        <v>2.9105861669974377E-3</v>
      </c>
      <c r="O73" s="23">
        <f t="shared" si="55"/>
        <v>2.015550945369377E-3</v>
      </c>
      <c r="P73" s="325">
        <v>17055139154.139999</v>
      </c>
      <c r="Q73" s="325">
        <v>1190.8399999999999</v>
      </c>
      <c r="R73" s="23">
        <f t="shared" si="56"/>
        <v>1.552618699254775E-2</v>
      </c>
      <c r="S73" s="23">
        <f t="shared" si="57"/>
        <v>2.247153185150143E-3</v>
      </c>
      <c r="T73" s="325">
        <v>16726309925.67</v>
      </c>
      <c r="U73" s="325">
        <v>1194.08</v>
      </c>
      <c r="V73" s="23">
        <f t="shared" si="58"/>
        <v>-1.9280360335856811E-2</v>
      </c>
      <c r="W73" s="23">
        <f t="shared" si="59"/>
        <v>2.7207685331362814E-3</v>
      </c>
      <c r="X73" s="325">
        <v>16838691547.540001</v>
      </c>
      <c r="Y73" s="325">
        <v>1194.53</v>
      </c>
      <c r="Z73" s="23">
        <f t="shared" si="60"/>
        <v>6.7188532539103488E-3</v>
      </c>
      <c r="AA73" s="23">
        <f t="shared" si="61"/>
        <v>3.7685917191481767E-4</v>
      </c>
      <c r="AB73" s="325">
        <v>17804355000.360001</v>
      </c>
      <c r="AC73" s="325">
        <v>1196.3399999999999</v>
      </c>
      <c r="AD73" s="23">
        <f t="shared" si="62"/>
        <v>5.7347891318852234E-2</v>
      </c>
      <c r="AE73" s="23">
        <f t="shared" si="63"/>
        <v>1.5152403037177345E-3</v>
      </c>
      <c r="AF73" s="325">
        <v>18063713716.709999</v>
      </c>
      <c r="AG73" s="325">
        <v>1198.81</v>
      </c>
      <c r="AH73" s="23">
        <f t="shared" si="64"/>
        <v>1.4567150359827934E-2</v>
      </c>
      <c r="AI73" s="23">
        <f t="shared" si="72"/>
        <v>2.0646304562248418E-3</v>
      </c>
      <c r="AJ73" s="24">
        <f t="shared" si="73"/>
        <v>1.021783074106244E-2</v>
      </c>
      <c r="AK73" s="24">
        <f t="shared" si="74"/>
        <v>1.9472153177816241E-3</v>
      </c>
      <c r="AL73" s="25">
        <f t="shared" si="75"/>
        <v>8.0401843511841015E-2</v>
      </c>
      <c r="AM73" s="25">
        <f t="shared" si="76"/>
        <v>1.3235853442082453E-2</v>
      </c>
      <c r="AN73" s="379">
        <f t="shared" si="77"/>
        <v>2.1844593530587174E-2</v>
      </c>
      <c r="AO73" s="380">
        <f t="shared" si="78"/>
        <v>4.525542585049106E-3</v>
      </c>
      <c r="AP73" s="30"/>
      <c r="AQ73" s="28"/>
      <c r="AR73" s="28"/>
      <c r="AS73" s="29"/>
      <c r="AT73" s="29"/>
    </row>
    <row r="74" spans="1:46">
      <c r="A74" s="201" t="s">
        <v>17</v>
      </c>
      <c r="B74" s="325">
        <v>1286103304</v>
      </c>
      <c r="C74" s="326">
        <v>103.83</v>
      </c>
      <c r="D74" s="325">
        <v>1438164301</v>
      </c>
      <c r="E74" s="326">
        <v>98.34</v>
      </c>
      <c r="F74" s="23">
        <f t="shared" si="50"/>
        <v>0.11823389033140996</v>
      </c>
      <c r="G74" s="23">
        <f t="shared" si="51"/>
        <v>-5.2874891649812142E-2</v>
      </c>
      <c r="H74" s="325">
        <v>1495093252</v>
      </c>
      <c r="I74" s="326">
        <v>98.54</v>
      </c>
      <c r="J74" s="23">
        <f t="shared" si="52"/>
        <v>3.9584455656711509E-2</v>
      </c>
      <c r="K74" s="23">
        <f t="shared" si="53"/>
        <v>2.0337604230221966E-3</v>
      </c>
      <c r="L74" s="325">
        <v>1498041425.8900001</v>
      </c>
      <c r="M74" s="326">
        <v>98.54</v>
      </c>
      <c r="N74" s="23">
        <f t="shared" si="54"/>
        <v>1.9718996698408647E-3</v>
      </c>
      <c r="O74" s="23">
        <f t="shared" si="55"/>
        <v>0</v>
      </c>
      <c r="P74" s="325">
        <v>1556105151.3299999</v>
      </c>
      <c r="Q74" s="326">
        <v>98.89</v>
      </c>
      <c r="R74" s="23">
        <f t="shared" si="56"/>
        <v>3.8759759534355752E-2</v>
      </c>
      <c r="S74" s="23">
        <f t="shared" si="57"/>
        <v>3.551857113862333E-3</v>
      </c>
      <c r="T74" s="325">
        <v>1559497895.6099999</v>
      </c>
      <c r="U74" s="326">
        <v>99.06</v>
      </c>
      <c r="V74" s="23">
        <f t="shared" si="58"/>
        <v>2.1802795762871164E-3</v>
      </c>
      <c r="W74" s="23">
        <f t="shared" si="59"/>
        <v>1.7190818080695894E-3</v>
      </c>
      <c r="X74" s="325">
        <v>1562880828</v>
      </c>
      <c r="Y74" s="326">
        <v>99.23</v>
      </c>
      <c r="Z74" s="23">
        <f t="shared" si="60"/>
        <v>2.1692446007930432E-3</v>
      </c>
      <c r="AA74" s="23">
        <f t="shared" si="61"/>
        <v>1.7161316373914971E-3</v>
      </c>
      <c r="AB74" s="325">
        <v>1628529503</v>
      </c>
      <c r="AC74" s="326">
        <v>99.4</v>
      </c>
      <c r="AD74" s="23">
        <f t="shared" si="62"/>
        <v>4.2004914145635674E-2</v>
      </c>
      <c r="AE74" s="23">
        <f t="shared" si="63"/>
        <v>1.7131915751285064E-3</v>
      </c>
      <c r="AF74" s="325">
        <v>1843111545</v>
      </c>
      <c r="AG74" s="326">
        <v>99.57</v>
      </c>
      <c r="AH74" s="23">
        <f t="shared" si="64"/>
        <v>0.13176429509241749</v>
      </c>
      <c r="AI74" s="23">
        <f t="shared" si="72"/>
        <v>1.710261569416373E-3</v>
      </c>
      <c r="AJ74" s="24">
        <f t="shared" si="73"/>
        <v>4.7083592325931428E-2</v>
      </c>
      <c r="AK74" s="24">
        <f t="shared" si="74"/>
        <v>-5.0538259403652063E-3</v>
      </c>
      <c r="AL74" s="25">
        <f t="shared" si="75"/>
        <v>0.28157230972735708</v>
      </c>
      <c r="AM74" s="25">
        <f t="shared" si="76"/>
        <v>1.2507626601586228E-2</v>
      </c>
      <c r="AN74" s="379">
        <f t="shared" si="77"/>
        <v>5.1343623173732526E-2</v>
      </c>
      <c r="AO74" s="380">
        <f t="shared" si="78"/>
        <v>5.2343816749082096E-2</v>
      </c>
      <c r="AP74" s="30"/>
      <c r="AQ74" s="28"/>
      <c r="AR74" s="28"/>
      <c r="AS74" s="29"/>
      <c r="AT74" s="29"/>
    </row>
    <row r="75" spans="1:46">
      <c r="A75" s="201" t="s">
        <v>218</v>
      </c>
      <c r="B75" s="325">
        <v>1588808581.9000001</v>
      </c>
      <c r="C75" s="326">
        <v>342.46409999999997</v>
      </c>
      <c r="D75" s="325">
        <v>1590575958.4400001</v>
      </c>
      <c r="E75" s="326">
        <v>331.60899999999998</v>
      </c>
      <c r="F75" s="23">
        <f t="shared" si="50"/>
        <v>1.1123911087428913E-3</v>
      </c>
      <c r="G75" s="23">
        <f t="shared" si="51"/>
        <v>-3.1697045033333406E-2</v>
      </c>
      <c r="H75" s="325">
        <v>1593305292.3699999</v>
      </c>
      <c r="I75" s="326">
        <v>332.15899999999999</v>
      </c>
      <c r="J75" s="23">
        <f t="shared" si="52"/>
        <v>1.7159406411981076E-3</v>
      </c>
      <c r="K75" s="23">
        <f t="shared" si="53"/>
        <v>1.6585798334786191E-3</v>
      </c>
      <c r="L75" s="325">
        <v>1602138262.8</v>
      </c>
      <c r="M75" s="326">
        <v>333.03309999999999</v>
      </c>
      <c r="N75" s="23">
        <f t="shared" si="54"/>
        <v>5.5438028557987492E-3</v>
      </c>
      <c r="O75" s="23">
        <f t="shared" si="55"/>
        <v>2.6315710247200846E-3</v>
      </c>
      <c r="P75" s="325">
        <v>1605116985.9200001</v>
      </c>
      <c r="Q75" s="326">
        <v>333.71339999999998</v>
      </c>
      <c r="R75" s="23">
        <f t="shared" si="56"/>
        <v>1.859217265552547E-3</v>
      </c>
      <c r="S75" s="23">
        <f t="shared" si="57"/>
        <v>2.0427398958241341E-3</v>
      </c>
      <c r="T75" s="325">
        <v>1608678919.3699999</v>
      </c>
      <c r="U75" s="326">
        <v>334.36259999999999</v>
      </c>
      <c r="V75" s="23">
        <f t="shared" si="58"/>
        <v>2.2191114300358777E-3</v>
      </c>
      <c r="W75" s="23">
        <f t="shared" si="59"/>
        <v>1.9453818755854801E-3</v>
      </c>
      <c r="X75" s="325">
        <v>1612317551.0599999</v>
      </c>
      <c r="Y75" s="326">
        <v>335.0718</v>
      </c>
      <c r="Z75" s="23">
        <f t="shared" si="60"/>
        <v>2.2618756584595759E-3</v>
      </c>
      <c r="AA75" s="23">
        <f t="shared" si="61"/>
        <v>2.1210506198959147E-3</v>
      </c>
      <c r="AB75" s="325">
        <v>1615719154.46</v>
      </c>
      <c r="AC75" s="326">
        <v>335.75069999999999</v>
      </c>
      <c r="AD75" s="23">
        <f t="shared" si="62"/>
        <v>2.1097602006278165E-3</v>
      </c>
      <c r="AE75" s="23">
        <f t="shared" si="63"/>
        <v>2.0261329064397504E-3</v>
      </c>
      <c r="AF75" s="325">
        <v>1619868695.73</v>
      </c>
      <c r="AG75" s="326">
        <v>336.42939999999999</v>
      </c>
      <c r="AH75" s="23">
        <f t="shared" si="64"/>
        <v>2.5682317737867172E-3</v>
      </c>
      <c r="AI75" s="23">
        <f t="shared" si="72"/>
        <v>2.0214403127081851E-3</v>
      </c>
      <c r="AJ75" s="24">
        <f t="shared" si="73"/>
        <v>2.4237913667752848E-3</v>
      </c>
      <c r="AK75" s="24">
        <f t="shared" si="74"/>
        <v>-2.1562685705851545E-3</v>
      </c>
      <c r="AL75" s="25">
        <f t="shared" si="75"/>
        <v>1.8416434081356039E-2</v>
      </c>
      <c r="AM75" s="25">
        <f t="shared" si="76"/>
        <v>1.4536396780545784E-2</v>
      </c>
      <c r="AN75" s="379">
        <f t="shared" si="77"/>
        <v>1.3342535672197305E-3</v>
      </c>
      <c r="AO75" s="380">
        <f t="shared" si="78"/>
        <v>1.1968175844448472E-2</v>
      </c>
      <c r="AP75" s="30"/>
      <c r="AQ75" s="28"/>
      <c r="AR75" s="28"/>
      <c r="AS75" s="29"/>
      <c r="AT75" s="29"/>
    </row>
    <row r="76" spans="1:46" s="86" customFormat="1">
      <c r="A76" s="202" t="s">
        <v>91</v>
      </c>
      <c r="B76" s="325">
        <v>54254321.450000003</v>
      </c>
      <c r="C76" s="325">
        <v>12.159691</v>
      </c>
      <c r="D76" s="325">
        <v>54337092.950000003</v>
      </c>
      <c r="E76" s="325">
        <v>12.185290999999999</v>
      </c>
      <c r="F76" s="23">
        <f t="shared" si="50"/>
        <v>1.5256204075150218E-3</v>
      </c>
      <c r="G76" s="23">
        <f t="shared" si="51"/>
        <v>2.1053166564840302E-3</v>
      </c>
      <c r="H76" s="325">
        <v>54436842.740000002</v>
      </c>
      <c r="I76" s="325">
        <v>12.210243</v>
      </c>
      <c r="J76" s="23">
        <f t="shared" si="52"/>
        <v>1.835758679467579E-3</v>
      </c>
      <c r="K76" s="23">
        <f t="shared" si="53"/>
        <v>2.0477147406656724E-3</v>
      </c>
      <c r="L76" s="325">
        <v>54516515.490000002</v>
      </c>
      <c r="M76" s="325">
        <v>12.235182</v>
      </c>
      <c r="N76" s="23">
        <f t="shared" si="54"/>
        <v>1.4635813906499163E-3</v>
      </c>
      <c r="O76" s="23">
        <f t="shared" si="55"/>
        <v>2.0424654939299588E-3</v>
      </c>
      <c r="P76" s="325">
        <v>54441154.880000003</v>
      </c>
      <c r="Q76" s="325">
        <v>12.261231</v>
      </c>
      <c r="R76" s="23">
        <f t="shared" si="56"/>
        <v>-1.3823445853545582E-3</v>
      </c>
      <c r="S76" s="23">
        <f t="shared" si="57"/>
        <v>2.1290243169247857E-3</v>
      </c>
      <c r="T76" s="325">
        <v>53284003.439999998</v>
      </c>
      <c r="U76" s="325">
        <v>12.019235</v>
      </c>
      <c r="V76" s="23">
        <f t="shared" si="58"/>
        <v>-2.1255086203637953E-2</v>
      </c>
      <c r="W76" s="23">
        <f t="shared" si="59"/>
        <v>-1.9736680599199242E-2</v>
      </c>
      <c r="X76" s="325">
        <v>53465315</v>
      </c>
      <c r="Y76" s="325">
        <v>12.208850999999999</v>
      </c>
      <c r="Z76" s="23">
        <f t="shared" si="60"/>
        <v>3.4027390641577209E-3</v>
      </c>
      <c r="AA76" s="23">
        <f t="shared" si="61"/>
        <v>1.5776045646831858E-2</v>
      </c>
      <c r="AB76" s="325">
        <v>54550546.329999998</v>
      </c>
      <c r="AC76" s="325">
        <v>12.456351</v>
      </c>
      <c r="AD76" s="23">
        <f t="shared" si="62"/>
        <v>2.0297857218273159E-2</v>
      </c>
      <c r="AE76" s="23">
        <f t="shared" si="63"/>
        <v>2.0272177946966549E-2</v>
      </c>
      <c r="AF76" s="325">
        <v>53822386.369999997</v>
      </c>
      <c r="AG76" s="325">
        <v>12.294418</v>
      </c>
      <c r="AH76" s="23">
        <f t="shared" si="64"/>
        <v>-1.3348353206126377E-2</v>
      </c>
      <c r="AI76" s="23">
        <f t="shared" si="72"/>
        <v>-1.3000035082505258E-2</v>
      </c>
      <c r="AJ76" s="24">
        <f t="shared" si="73"/>
        <v>-9.3252840438193632E-4</v>
      </c>
      <c r="AK76" s="24">
        <f t="shared" si="74"/>
        <v>1.4545036400122945E-3</v>
      </c>
      <c r="AL76" s="25">
        <f t="shared" si="75"/>
        <v>-9.4724717878011851E-3</v>
      </c>
      <c r="AM76" s="25">
        <f t="shared" si="76"/>
        <v>8.955633476459517E-3</v>
      </c>
      <c r="AN76" s="379">
        <f t="shared" si="77"/>
        <v>1.2284324880738306E-2</v>
      </c>
      <c r="AO76" s="380">
        <f t="shared" si="78"/>
        <v>1.3250138870600416E-2</v>
      </c>
      <c r="AP76" s="30"/>
      <c r="AQ76" s="28"/>
      <c r="AR76" s="28"/>
      <c r="AS76" s="29"/>
      <c r="AT76" s="29"/>
    </row>
    <row r="77" spans="1:46" s="86" customFormat="1">
      <c r="A77" s="201" t="s">
        <v>35</v>
      </c>
      <c r="B77" s="325">
        <v>6898266634.3900003</v>
      </c>
      <c r="C77" s="326">
        <v>1.06</v>
      </c>
      <c r="D77" s="325">
        <v>6929466173.9799995</v>
      </c>
      <c r="E77" s="326">
        <v>1.06</v>
      </c>
      <c r="F77" s="23">
        <f t="shared" si="50"/>
        <v>4.5228085899811131E-3</v>
      </c>
      <c r="G77" s="23">
        <f t="shared" si="51"/>
        <v>0</v>
      </c>
      <c r="H77" s="325">
        <v>6801706994.4700003</v>
      </c>
      <c r="I77" s="326">
        <v>1.07</v>
      </c>
      <c r="J77" s="23">
        <f t="shared" si="52"/>
        <v>-1.8437088269473385E-2</v>
      </c>
      <c r="K77" s="23">
        <f t="shared" si="53"/>
        <v>9.4339622641509517E-3</v>
      </c>
      <c r="L77" s="325">
        <v>6704579972.3500004</v>
      </c>
      <c r="M77" s="326">
        <v>1.07</v>
      </c>
      <c r="N77" s="23">
        <f t="shared" si="54"/>
        <v>-1.4279800967458196E-2</v>
      </c>
      <c r="O77" s="23">
        <f t="shared" si="55"/>
        <v>0</v>
      </c>
      <c r="P77" s="325">
        <v>6823983116.5</v>
      </c>
      <c r="Q77" s="326">
        <v>1.07</v>
      </c>
      <c r="R77" s="23">
        <f t="shared" si="56"/>
        <v>1.780919082812402E-2</v>
      </c>
      <c r="S77" s="23">
        <f t="shared" si="57"/>
        <v>0</v>
      </c>
      <c r="T77" s="325">
        <v>6848328822.8699999</v>
      </c>
      <c r="U77" s="326">
        <v>1.07</v>
      </c>
      <c r="V77" s="23">
        <f t="shared" si="58"/>
        <v>3.5676680253111065E-3</v>
      </c>
      <c r="W77" s="23">
        <f t="shared" si="59"/>
        <v>0</v>
      </c>
      <c r="X77" s="325">
        <v>6799734507.5799999</v>
      </c>
      <c r="Y77" s="326">
        <v>1.07</v>
      </c>
      <c r="Z77" s="23">
        <f t="shared" si="60"/>
        <v>-7.0957917686018824E-3</v>
      </c>
      <c r="AA77" s="23">
        <f t="shared" si="61"/>
        <v>0</v>
      </c>
      <c r="AB77" s="325">
        <v>6898544936.5</v>
      </c>
      <c r="AC77" s="326">
        <v>1.08</v>
      </c>
      <c r="AD77" s="23">
        <f t="shared" si="62"/>
        <v>1.4531512783308114E-2</v>
      </c>
      <c r="AE77" s="23">
        <f t="shared" si="63"/>
        <v>9.3457943925233725E-3</v>
      </c>
      <c r="AF77" s="325">
        <v>6916985113.8599997</v>
      </c>
      <c r="AG77" s="326">
        <v>1.08</v>
      </c>
      <c r="AH77" s="23">
        <f t="shared" si="64"/>
        <v>2.6730531626217606E-3</v>
      </c>
      <c r="AI77" s="23">
        <f t="shared" si="72"/>
        <v>0</v>
      </c>
      <c r="AJ77" s="24">
        <f t="shared" si="73"/>
        <v>4.1144404797658133E-4</v>
      </c>
      <c r="AK77" s="24">
        <f t="shared" si="74"/>
        <v>2.3474695820842905E-3</v>
      </c>
      <c r="AL77" s="25">
        <f t="shared" si="75"/>
        <v>-1.8011575216090967E-3</v>
      </c>
      <c r="AM77" s="25">
        <f t="shared" si="76"/>
        <v>1.8867924528301903E-2</v>
      </c>
      <c r="AN77" s="379">
        <f t="shared" si="77"/>
        <v>1.2881306046957176E-2</v>
      </c>
      <c r="AO77" s="380">
        <f t="shared" si="78"/>
        <v>4.2419814927879239E-3</v>
      </c>
      <c r="AP77" s="30"/>
      <c r="AQ77" s="28"/>
      <c r="AR77" s="28"/>
      <c r="AS77" s="29"/>
      <c r="AT77" s="29"/>
    </row>
    <row r="78" spans="1:46" s="86" customFormat="1">
      <c r="A78" s="202" t="s">
        <v>68</v>
      </c>
      <c r="B78" s="325">
        <v>23635052542.5</v>
      </c>
      <c r="C78" s="325">
        <v>4794.79</v>
      </c>
      <c r="D78" s="325">
        <v>23516963909.889999</v>
      </c>
      <c r="E78" s="325">
        <v>4807.91</v>
      </c>
      <c r="F78" s="23">
        <f t="shared" si="50"/>
        <v>-4.9963346769657645E-3</v>
      </c>
      <c r="G78" s="23">
        <f t="shared" si="51"/>
        <v>2.7363033626081417E-3</v>
      </c>
      <c r="H78" s="325">
        <v>23516963909.889999</v>
      </c>
      <c r="I78" s="325">
        <v>4816.7299999999996</v>
      </c>
      <c r="J78" s="23">
        <f t="shared" si="52"/>
        <v>0</v>
      </c>
      <c r="K78" s="23">
        <f t="shared" si="53"/>
        <v>1.834476934884328E-3</v>
      </c>
      <c r="L78" s="325">
        <v>23855043896.099998</v>
      </c>
      <c r="M78" s="325">
        <v>4825.1899999999996</v>
      </c>
      <c r="N78" s="23">
        <f t="shared" si="54"/>
        <v>1.437600480680333E-2</v>
      </c>
      <c r="O78" s="23">
        <f t="shared" si="55"/>
        <v>1.7563782898356432E-3</v>
      </c>
      <c r="P78" s="325">
        <v>23689166145.139999</v>
      </c>
      <c r="Q78" s="325">
        <v>4831.76</v>
      </c>
      <c r="R78" s="23">
        <f t="shared" si="56"/>
        <v>-6.9535713990917462E-3</v>
      </c>
      <c r="S78" s="23">
        <f t="shared" si="57"/>
        <v>1.3616044135050887E-3</v>
      </c>
      <c r="T78" s="325">
        <v>23580318049.25</v>
      </c>
      <c r="U78" s="325">
        <v>4839.88</v>
      </c>
      <c r="V78" s="23">
        <f t="shared" si="58"/>
        <v>-4.594847080015535E-3</v>
      </c>
      <c r="W78" s="23">
        <f t="shared" si="59"/>
        <v>1.6805470470387376E-3</v>
      </c>
      <c r="X78" s="325">
        <v>23613181095.549999</v>
      </c>
      <c r="Y78" s="325">
        <v>4849.05</v>
      </c>
      <c r="Z78" s="23">
        <f t="shared" si="60"/>
        <v>1.3936642513201591E-3</v>
      </c>
      <c r="AA78" s="23">
        <f t="shared" si="61"/>
        <v>1.8946750745886412E-3</v>
      </c>
      <c r="AB78" s="325">
        <v>23286436958.360001</v>
      </c>
      <c r="AC78" s="325">
        <v>4857.97</v>
      </c>
      <c r="AD78" s="23">
        <f t="shared" si="62"/>
        <v>-1.3837362101609211E-2</v>
      </c>
      <c r="AE78" s="23">
        <f t="shared" si="63"/>
        <v>1.8395355791340721E-3</v>
      </c>
      <c r="AF78" s="325">
        <v>23343807338.52</v>
      </c>
      <c r="AG78" s="325">
        <v>4867</v>
      </c>
      <c r="AH78" s="23">
        <f t="shared" si="64"/>
        <v>2.4636821967477279E-3</v>
      </c>
      <c r="AI78" s="23">
        <f t="shared" si="72"/>
        <v>1.8588011041648558E-3</v>
      </c>
      <c r="AJ78" s="24">
        <f t="shared" si="73"/>
        <v>-1.5185955003513801E-3</v>
      </c>
      <c r="AK78" s="24">
        <f t="shared" si="74"/>
        <v>1.8702902257199383E-3</v>
      </c>
      <c r="AL78" s="25">
        <f t="shared" si="75"/>
        <v>-7.3630495855452824E-3</v>
      </c>
      <c r="AM78" s="25">
        <f t="shared" si="76"/>
        <v>1.2290163501396688E-2</v>
      </c>
      <c r="AN78" s="379">
        <f t="shared" si="77"/>
        <v>8.2991670054806243E-3</v>
      </c>
      <c r="AO78" s="380">
        <f t="shared" si="78"/>
        <v>4.4189856011237659E-4</v>
      </c>
      <c r="AP78" s="30"/>
      <c r="AQ78" s="28"/>
      <c r="AR78" s="28"/>
      <c r="AS78" s="29"/>
      <c r="AT78" s="29"/>
    </row>
    <row r="79" spans="1:46" s="103" customFormat="1" ht="15.75" customHeight="1">
      <c r="A79" s="201" t="s">
        <v>16</v>
      </c>
      <c r="B79" s="325">
        <v>43489008384.169998</v>
      </c>
      <c r="C79" s="326">
        <v>251.79</v>
      </c>
      <c r="D79" s="325">
        <v>43147921227.25</v>
      </c>
      <c r="E79" s="326">
        <v>252.1</v>
      </c>
      <c r="F79" s="23">
        <f t="shared" si="50"/>
        <v>-7.8430658594679271E-3</v>
      </c>
      <c r="G79" s="23">
        <f t="shared" si="51"/>
        <v>1.2311847174232586E-3</v>
      </c>
      <c r="H79" s="325">
        <v>42925703021.760002</v>
      </c>
      <c r="I79" s="326">
        <v>252.32</v>
      </c>
      <c r="J79" s="23">
        <f t="shared" si="52"/>
        <v>-5.1501485858293523E-3</v>
      </c>
      <c r="K79" s="23">
        <f t="shared" si="53"/>
        <v>8.7266957556524744E-4</v>
      </c>
      <c r="L79" s="325">
        <v>42821136887.169998</v>
      </c>
      <c r="M79" s="326">
        <v>252.53</v>
      </c>
      <c r="N79" s="23">
        <f t="shared" si="54"/>
        <v>-2.4359795467297773E-3</v>
      </c>
      <c r="O79" s="23">
        <f t="shared" si="55"/>
        <v>8.3227647431835744E-4</v>
      </c>
      <c r="P79" s="325">
        <v>42821136887.169998</v>
      </c>
      <c r="Q79" s="326">
        <v>252.71</v>
      </c>
      <c r="R79" s="23">
        <f t="shared" si="56"/>
        <v>0</v>
      </c>
      <c r="S79" s="23">
        <f t="shared" si="57"/>
        <v>7.1278659961195436E-4</v>
      </c>
      <c r="T79" s="325">
        <v>42370756036.150002</v>
      </c>
      <c r="U79" s="326">
        <v>252.91</v>
      </c>
      <c r="V79" s="23">
        <f t="shared" si="58"/>
        <v>-1.0517722876128005E-2</v>
      </c>
      <c r="W79" s="23">
        <f t="shared" si="59"/>
        <v>7.914209963989895E-4</v>
      </c>
      <c r="X79" s="325">
        <v>41184874137.290001</v>
      </c>
      <c r="Y79" s="326">
        <v>253.22</v>
      </c>
      <c r="Z79" s="23">
        <f t="shared" si="60"/>
        <v>-2.7988216633383332E-2</v>
      </c>
      <c r="AA79" s="23">
        <f t="shared" si="61"/>
        <v>1.2257324740026186E-3</v>
      </c>
      <c r="AB79" s="325">
        <v>41243661733.230003</v>
      </c>
      <c r="AC79" s="326">
        <v>253.44</v>
      </c>
      <c r="AD79" s="23">
        <f t="shared" si="62"/>
        <v>1.427407444394116E-3</v>
      </c>
      <c r="AE79" s="23">
        <f t="shared" si="63"/>
        <v>8.68809730668979E-4</v>
      </c>
      <c r="AF79" s="325">
        <v>41112024297.589996</v>
      </c>
      <c r="AG79" s="326">
        <v>253.63</v>
      </c>
      <c r="AH79" s="23">
        <f t="shared" si="64"/>
        <v>-3.1917009816309978E-3</v>
      </c>
      <c r="AI79" s="23">
        <f t="shared" si="72"/>
        <v>7.4968434343433449E-4</v>
      </c>
      <c r="AJ79" s="24">
        <f t="shared" si="73"/>
        <v>-6.9624283798469088E-3</v>
      </c>
      <c r="AK79" s="24">
        <f t="shared" si="74"/>
        <v>9.1057061392796736E-4</v>
      </c>
      <c r="AL79" s="25">
        <f t="shared" si="75"/>
        <v>-4.7184125486310478E-2</v>
      </c>
      <c r="AM79" s="25">
        <f t="shared" si="76"/>
        <v>6.0690202300674378E-3</v>
      </c>
      <c r="AN79" s="379">
        <f t="shared" si="77"/>
        <v>9.3530411350140463E-3</v>
      </c>
      <c r="AO79" s="380">
        <f t="shared" si="78"/>
        <v>1.4712270602706664E-3</v>
      </c>
      <c r="AP79" s="30"/>
      <c r="AQ79" s="28"/>
      <c r="AR79" s="28"/>
      <c r="AS79" s="29"/>
      <c r="AT79" s="29"/>
    </row>
    <row r="80" spans="1:46" s="103" customFormat="1" ht="15.75" customHeight="1">
      <c r="A80" s="202" t="s">
        <v>69</v>
      </c>
      <c r="B80" s="325">
        <v>280622567.72000003</v>
      </c>
      <c r="C80" s="325">
        <v>4994.6099999999997</v>
      </c>
      <c r="D80" s="325">
        <v>279807917.74000001</v>
      </c>
      <c r="E80" s="325">
        <v>4979.83</v>
      </c>
      <c r="F80" s="23">
        <f t="shared" si="50"/>
        <v>-2.9030094999802783E-3</v>
      </c>
      <c r="G80" s="23">
        <f t="shared" si="51"/>
        <v>-2.9591900068273091E-3</v>
      </c>
      <c r="H80" s="325">
        <v>262008535.52000001</v>
      </c>
      <c r="I80" s="325">
        <v>5006.29</v>
      </c>
      <c r="J80" s="23">
        <f t="shared" si="52"/>
        <v>-6.3612861150481606E-2</v>
      </c>
      <c r="K80" s="23">
        <f t="shared" si="53"/>
        <v>5.3134343943468023E-3</v>
      </c>
      <c r="L80" s="325">
        <v>261807491.52000001</v>
      </c>
      <c r="M80" s="325">
        <v>5006.32</v>
      </c>
      <c r="N80" s="23">
        <f t="shared" si="54"/>
        <v>-7.6731851350183829E-4</v>
      </c>
      <c r="O80" s="23">
        <f t="shared" si="55"/>
        <v>5.9924614834029471E-6</v>
      </c>
      <c r="P80" s="325">
        <v>261813984.41</v>
      </c>
      <c r="Q80" s="325">
        <v>5006.41</v>
      </c>
      <c r="R80" s="23">
        <f t="shared" si="56"/>
        <v>2.4800245257648364E-5</v>
      </c>
      <c r="S80" s="23">
        <f t="shared" si="57"/>
        <v>1.7977276722252179E-5</v>
      </c>
      <c r="T80" s="325">
        <v>263397884.80000001</v>
      </c>
      <c r="U80" s="325">
        <v>5036.78</v>
      </c>
      <c r="V80" s="23">
        <f t="shared" si="58"/>
        <v>6.0497165327870021E-3</v>
      </c>
      <c r="W80" s="23">
        <f t="shared" si="59"/>
        <v>6.066223101983236E-3</v>
      </c>
      <c r="X80" s="325">
        <v>267730392.02000001</v>
      </c>
      <c r="Y80" s="325">
        <v>5119.99</v>
      </c>
      <c r="Z80" s="23">
        <f t="shared" si="60"/>
        <v>1.6448527000471943E-2</v>
      </c>
      <c r="AA80" s="23">
        <f t="shared" si="61"/>
        <v>1.6520475383082055E-2</v>
      </c>
      <c r="AB80" s="325">
        <v>270331436.44999999</v>
      </c>
      <c r="AC80" s="325">
        <v>5169.93</v>
      </c>
      <c r="AD80" s="23">
        <f t="shared" si="62"/>
        <v>9.7151631175502635E-3</v>
      </c>
      <c r="AE80" s="23">
        <f t="shared" si="63"/>
        <v>9.7539253006354524E-3</v>
      </c>
      <c r="AF80" s="325">
        <v>267731573.99000001</v>
      </c>
      <c r="AG80" s="326">
        <v>5119.92</v>
      </c>
      <c r="AH80" s="23">
        <f t="shared" si="64"/>
        <v>-9.617314560753442E-3</v>
      </c>
      <c r="AI80" s="23">
        <f t="shared" si="72"/>
        <v>-9.6732450922933609E-3</v>
      </c>
      <c r="AJ80" s="24">
        <f t="shared" si="73"/>
        <v>-5.5827871035812882E-3</v>
      </c>
      <c r="AK80" s="24">
        <f t="shared" si="74"/>
        <v>3.130699102391566E-3</v>
      </c>
      <c r="AL80" s="25">
        <f t="shared" si="75"/>
        <v>-4.3159406808571603E-2</v>
      </c>
      <c r="AM80" s="25">
        <f t="shared" si="76"/>
        <v>2.8131482400001635E-2</v>
      </c>
      <c r="AN80" s="379">
        <f t="shared" si="77"/>
        <v>2.4785661495201117E-2</v>
      </c>
      <c r="AO80" s="380">
        <f t="shared" si="78"/>
        <v>8.0674470034380833E-3</v>
      </c>
      <c r="AP80" s="30"/>
      <c r="AQ80" s="28"/>
      <c r="AR80" s="28"/>
      <c r="AS80" s="29"/>
      <c r="AT80" s="29"/>
    </row>
    <row r="81" spans="1:46" s="284" customFormat="1" ht="15.75" customHeight="1">
      <c r="A81" s="201" t="s">
        <v>165</v>
      </c>
      <c r="B81" s="325">
        <v>18922907970.220001</v>
      </c>
      <c r="C81" s="326">
        <v>120.79</v>
      </c>
      <c r="D81" s="325">
        <v>18867007707.619999</v>
      </c>
      <c r="E81" s="326">
        <v>121.01</v>
      </c>
      <c r="F81" s="23">
        <f t="shared" si="50"/>
        <v>-2.9541052933288871E-3</v>
      </c>
      <c r="G81" s="23">
        <f t="shared" si="51"/>
        <v>1.8213428263929039E-3</v>
      </c>
      <c r="H81" s="325">
        <v>18958218951.91</v>
      </c>
      <c r="I81" s="326">
        <v>121.23</v>
      </c>
      <c r="J81" s="23">
        <f t="shared" si="52"/>
        <v>4.8344308595985024E-3</v>
      </c>
      <c r="K81" s="23">
        <f t="shared" si="53"/>
        <v>1.8180315676390286E-3</v>
      </c>
      <c r="L81" s="325">
        <v>18740761800.119999</v>
      </c>
      <c r="M81" s="326">
        <v>121.52</v>
      </c>
      <c r="N81" s="23">
        <f t="shared" si="54"/>
        <v>-1.1470336551213456E-2</v>
      </c>
      <c r="O81" s="23">
        <f t="shared" si="55"/>
        <v>2.392147158294086E-3</v>
      </c>
      <c r="P81" s="325">
        <v>18839289251.779999</v>
      </c>
      <c r="Q81" s="326">
        <v>121.52</v>
      </c>
      <c r="R81" s="23">
        <f t="shared" si="56"/>
        <v>5.2573877578108363E-3</v>
      </c>
      <c r="S81" s="23">
        <f t="shared" si="57"/>
        <v>0</v>
      </c>
      <c r="T81" s="325">
        <v>18858719498.150002</v>
      </c>
      <c r="U81" s="326">
        <v>121.98</v>
      </c>
      <c r="V81" s="23">
        <f t="shared" si="58"/>
        <v>1.0313683340345185E-3</v>
      </c>
      <c r="W81" s="23">
        <f t="shared" si="59"/>
        <v>3.7853851217907173E-3</v>
      </c>
      <c r="X81" s="325">
        <v>18877390436.849998</v>
      </c>
      <c r="Y81" s="326">
        <v>122.2</v>
      </c>
      <c r="Z81" s="23">
        <f t="shared" si="60"/>
        <v>9.9004275989303132E-4</v>
      </c>
      <c r="AA81" s="23">
        <f t="shared" si="61"/>
        <v>1.8035743564518681E-3</v>
      </c>
      <c r="AB81" s="325">
        <v>18869627266.27</v>
      </c>
      <c r="AC81" s="326">
        <v>122.42</v>
      </c>
      <c r="AD81" s="23">
        <f t="shared" si="62"/>
        <v>-4.1124172358292488E-4</v>
      </c>
      <c r="AE81" s="23">
        <f t="shared" si="63"/>
        <v>1.8003273322422166E-3</v>
      </c>
      <c r="AF81" s="325">
        <v>18880456589</v>
      </c>
      <c r="AG81" s="326">
        <v>122.63</v>
      </c>
      <c r="AH81" s="23">
        <f t="shared" si="64"/>
        <v>5.7390231281130111E-4</v>
      </c>
      <c r="AI81" s="23">
        <f t="shared" si="72"/>
        <v>1.7154059794150772E-3</v>
      </c>
      <c r="AJ81" s="24">
        <f t="shared" si="73"/>
        <v>-2.6856894299713492E-4</v>
      </c>
      <c r="AK81" s="24">
        <f t="shared" si="74"/>
        <v>1.8920267927782371E-3</v>
      </c>
      <c r="AL81" s="25">
        <f t="shared" si="75"/>
        <v>7.1282535039031859E-4</v>
      </c>
      <c r="AM81" s="25">
        <f t="shared" si="76"/>
        <v>1.3387323361705564E-2</v>
      </c>
      <c r="AN81" s="379">
        <f t="shared" si="77"/>
        <v>5.2545566778339475E-3</v>
      </c>
      <c r="AO81" s="380">
        <f t="shared" si="78"/>
        <v>1.1348989246823919E-3</v>
      </c>
      <c r="AP81" s="30"/>
      <c r="AQ81" s="28"/>
      <c r="AR81" s="28"/>
      <c r="AS81" s="29"/>
      <c r="AT81" s="29"/>
    </row>
    <row r="82" spans="1:46" s="284" customFormat="1" ht="15.75" customHeight="1">
      <c r="A82" s="201" t="s">
        <v>63</v>
      </c>
      <c r="B82" s="325">
        <v>14222849072.809999</v>
      </c>
      <c r="C82" s="326">
        <v>343</v>
      </c>
      <c r="D82" s="325">
        <v>14186504237.68</v>
      </c>
      <c r="E82" s="326">
        <v>343.42</v>
      </c>
      <c r="F82" s="23">
        <f t="shared" si="50"/>
        <v>-2.5553835904425113E-3</v>
      </c>
      <c r="G82" s="23">
        <f t="shared" si="51"/>
        <v>1.2244897959184137E-3</v>
      </c>
      <c r="H82" s="325">
        <v>14206345952.42</v>
      </c>
      <c r="I82" s="326">
        <v>343.83</v>
      </c>
      <c r="J82" s="23">
        <f t="shared" si="52"/>
        <v>1.398633123958704E-3</v>
      </c>
      <c r="K82" s="23">
        <f t="shared" si="53"/>
        <v>1.1938733911827154E-3</v>
      </c>
      <c r="L82" s="325">
        <v>14141833835.74</v>
      </c>
      <c r="M82" s="326">
        <v>344.25</v>
      </c>
      <c r="N82" s="23">
        <f t="shared" si="54"/>
        <v>-4.54107740977622E-3</v>
      </c>
      <c r="O82" s="23">
        <f t="shared" si="55"/>
        <v>1.2215338975657037E-3</v>
      </c>
      <c r="P82" s="325">
        <v>14154273427.059999</v>
      </c>
      <c r="Q82" s="326">
        <v>344.67</v>
      </c>
      <c r="R82" s="23">
        <f t="shared" si="56"/>
        <v>8.7963070875303972E-4</v>
      </c>
      <c r="S82" s="23">
        <f t="shared" si="57"/>
        <v>1.2200435729847958E-3</v>
      </c>
      <c r="T82" s="325">
        <v>14078321615.389999</v>
      </c>
      <c r="U82" s="326">
        <v>344.97</v>
      </c>
      <c r="V82" s="23">
        <f t="shared" si="58"/>
        <v>-5.3659986195261815E-3</v>
      </c>
      <c r="W82" s="23">
        <f t="shared" si="59"/>
        <v>8.7039777178173723E-4</v>
      </c>
      <c r="X82" s="325">
        <v>14017499811.58</v>
      </c>
      <c r="Y82" s="326">
        <v>345.39</v>
      </c>
      <c r="Z82" s="23">
        <f t="shared" si="60"/>
        <v>-4.3202453723965853E-3</v>
      </c>
      <c r="AA82" s="23">
        <f t="shared" si="61"/>
        <v>1.2174971736671567E-3</v>
      </c>
      <c r="AB82" s="325">
        <v>14035811980.889999</v>
      </c>
      <c r="AC82" s="326">
        <v>345.77</v>
      </c>
      <c r="AD82" s="23">
        <f t="shared" si="62"/>
        <v>1.3063791372318475E-3</v>
      </c>
      <c r="AE82" s="23">
        <f t="shared" si="63"/>
        <v>1.1002055647239221E-3</v>
      </c>
      <c r="AF82" s="325">
        <v>13994954141.469999</v>
      </c>
      <c r="AG82" s="326">
        <v>346.01</v>
      </c>
      <c r="AH82" s="23">
        <f t="shared" si="64"/>
        <v>-2.9109708419882462E-3</v>
      </c>
      <c r="AI82" s="23">
        <f t="shared" si="72"/>
        <v>6.9410301645605208E-4</v>
      </c>
      <c r="AJ82" s="24">
        <f t="shared" si="73"/>
        <v>-2.013629108023269E-3</v>
      </c>
      <c r="AK82" s="24">
        <f t="shared" si="74"/>
        <v>1.092768023035062E-3</v>
      </c>
      <c r="AL82" s="25">
        <f t="shared" si="75"/>
        <v>-1.350227603649074E-2</v>
      </c>
      <c r="AM82" s="25">
        <f t="shared" si="76"/>
        <v>7.5417855686913254E-3</v>
      </c>
      <c r="AN82" s="379">
        <f t="shared" si="77"/>
        <v>2.805161457365978E-3</v>
      </c>
      <c r="AO82" s="380">
        <f t="shared" si="78"/>
        <v>1.4407720674474711E-3</v>
      </c>
      <c r="AP82" s="30"/>
      <c r="AQ82" s="28"/>
      <c r="AR82" s="28"/>
      <c r="AS82" s="29"/>
      <c r="AT82" s="29"/>
    </row>
    <row r="83" spans="1:46" s="301" customFormat="1" ht="15.75" customHeight="1">
      <c r="A83" s="201" t="s">
        <v>156</v>
      </c>
      <c r="B83" s="325">
        <v>101523901673.59</v>
      </c>
      <c r="C83" s="325">
        <v>1.8914</v>
      </c>
      <c r="D83" s="325">
        <v>101994658862.53999</v>
      </c>
      <c r="E83" s="325">
        <v>1.8935</v>
      </c>
      <c r="F83" s="23">
        <f t="shared" si="50"/>
        <v>4.6369099413016129E-3</v>
      </c>
      <c r="G83" s="23">
        <f t="shared" si="51"/>
        <v>1.1102886750555096E-3</v>
      </c>
      <c r="H83" s="325">
        <v>101813213395.22</v>
      </c>
      <c r="I83" s="325">
        <v>1.8956</v>
      </c>
      <c r="J83" s="23">
        <f t="shared" ref="J83:K85" si="79">((H83-D83)/D83)</f>
        <v>-1.7789702847531392E-3</v>
      </c>
      <c r="K83" s="23">
        <f t="shared" si="79"/>
        <v>1.1090573012938953E-3</v>
      </c>
      <c r="L83" s="325">
        <v>101904537531.50999</v>
      </c>
      <c r="M83" s="325">
        <v>1.8976999999999999</v>
      </c>
      <c r="N83" s="23">
        <f t="shared" ref="N83:O85" si="80">((L83-H83)/H83)</f>
        <v>8.9697725122858012E-4</v>
      </c>
      <c r="O83" s="23">
        <f t="shared" si="80"/>
        <v>1.1078286558345593E-3</v>
      </c>
      <c r="P83" s="325">
        <v>101996536870.88</v>
      </c>
      <c r="Q83" s="325">
        <v>1.8997999999999999</v>
      </c>
      <c r="R83" s="23">
        <f t="shared" ref="R83:S85" si="81">((P83-L83)/L83)</f>
        <v>9.0279924327769186E-4</v>
      </c>
      <c r="S83" s="23">
        <f t="shared" si="81"/>
        <v>1.1066027296200616E-3</v>
      </c>
      <c r="T83" s="325">
        <v>101742635995.34</v>
      </c>
      <c r="U83" s="325">
        <v>1.9018999999999999</v>
      </c>
      <c r="V83" s="23">
        <f t="shared" ref="V83:W85" si="82">((T83-P83)/P83)</f>
        <v>-2.4893087876250945E-3</v>
      </c>
      <c r="W83" s="23">
        <f t="shared" si="82"/>
        <v>1.1053795136330093E-3</v>
      </c>
      <c r="X83" s="325">
        <v>101623776829.39</v>
      </c>
      <c r="Y83" s="325">
        <v>1.9039999999999999</v>
      </c>
      <c r="Z83" s="23">
        <f t="shared" ref="Z83:AA85" si="83">((X83-T83)/T83)</f>
        <v>-1.1682336002719737E-3</v>
      </c>
      <c r="AA83" s="23">
        <f t="shared" si="83"/>
        <v>1.1041589988958361E-3</v>
      </c>
      <c r="AB83" s="325">
        <v>101696780471.91</v>
      </c>
      <c r="AC83" s="325">
        <v>1.9060999999999999</v>
      </c>
      <c r="AD83" s="23">
        <f t="shared" ref="AD83:AE85" si="84">((AB83-X83)/X83)</f>
        <v>7.1837167243415543E-4</v>
      </c>
      <c r="AE83" s="23">
        <f t="shared" si="84"/>
        <v>1.1029411764705834E-3</v>
      </c>
      <c r="AF83" s="325">
        <v>101806771720.63</v>
      </c>
      <c r="AG83" s="325">
        <v>1.9081999999999999</v>
      </c>
      <c r="AH83" s="23">
        <f t="shared" ref="AH83:AI85" si="85">((AF83-AB83)/AB83)</f>
        <v>1.0815607751750043E-3</v>
      </c>
      <c r="AI83" s="23">
        <f t="shared" si="85"/>
        <v>1.1017260374586804E-3</v>
      </c>
      <c r="AJ83" s="24">
        <f t="shared" si="73"/>
        <v>3.5001327634585471E-4</v>
      </c>
      <c r="AK83" s="24">
        <f t="shared" si="74"/>
        <v>1.105997886032767E-3</v>
      </c>
      <c r="AL83" s="25">
        <f t="shared" si="75"/>
        <v>-1.8421272643620215E-3</v>
      </c>
      <c r="AM83" s="25">
        <f t="shared" si="76"/>
        <v>7.7634011090572672E-3</v>
      </c>
      <c r="AN83" s="379">
        <f t="shared" si="77"/>
        <v>2.2217261290273125E-3</v>
      </c>
      <c r="AO83" s="380">
        <f t="shared" si="78"/>
        <v>9.1880238151010761E-6</v>
      </c>
      <c r="AP83" s="30"/>
      <c r="AQ83" s="28"/>
      <c r="AR83" s="28"/>
      <c r="AS83" s="29"/>
      <c r="AT83" s="29"/>
    </row>
    <row r="84" spans="1:46" s="301" customFormat="1" ht="15.75" customHeight="1">
      <c r="A84" s="201" t="s">
        <v>49</v>
      </c>
      <c r="B84" s="325">
        <v>9614453112.3299999</v>
      </c>
      <c r="C84" s="326">
        <v>1</v>
      </c>
      <c r="D84" s="325">
        <v>9511271456.8299999</v>
      </c>
      <c r="E84" s="326">
        <v>1</v>
      </c>
      <c r="F84" s="23">
        <f t="shared" si="50"/>
        <v>-1.0731931842038449E-2</v>
      </c>
      <c r="G84" s="23">
        <f t="shared" si="51"/>
        <v>0</v>
      </c>
      <c r="H84" s="325">
        <v>9527980012.4899998</v>
      </c>
      <c r="I84" s="326">
        <v>1</v>
      </c>
      <c r="J84" s="23">
        <f t="shared" si="79"/>
        <v>1.7567110491838094E-3</v>
      </c>
      <c r="K84" s="23">
        <f t="shared" si="79"/>
        <v>0</v>
      </c>
      <c r="L84" s="325">
        <v>9517778858.0400009</v>
      </c>
      <c r="M84" s="326">
        <v>1</v>
      </c>
      <c r="N84" s="23">
        <f t="shared" si="80"/>
        <v>-1.0706523771698102E-3</v>
      </c>
      <c r="O84" s="23">
        <f t="shared" si="80"/>
        <v>0</v>
      </c>
      <c r="P84" s="325">
        <v>9511930024.4799995</v>
      </c>
      <c r="Q84" s="326">
        <v>1</v>
      </c>
      <c r="R84" s="23">
        <f t="shared" si="81"/>
        <v>-6.1451664797408678E-4</v>
      </c>
      <c r="S84" s="23">
        <f t="shared" si="81"/>
        <v>0</v>
      </c>
      <c r="T84" s="325">
        <v>9486621842.1399994</v>
      </c>
      <c r="U84" s="326">
        <v>1</v>
      </c>
      <c r="V84" s="23">
        <f t="shared" si="82"/>
        <v>-2.6606779354838355E-3</v>
      </c>
      <c r="W84" s="23">
        <f t="shared" si="82"/>
        <v>0</v>
      </c>
      <c r="X84" s="325">
        <v>9484506186.4699993</v>
      </c>
      <c r="Y84" s="326">
        <v>1</v>
      </c>
      <c r="Z84" s="23">
        <f t="shared" si="83"/>
        <v>-2.2301465212856266E-4</v>
      </c>
      <c r="AA84" s="23">
        <f t="shared" si="83"/>
        <v>0</v>
      </c>
      <c r="AB84" s="325">
        <v>9468515108.6200008</v>
      </c>
      <c r="AC84" s="326">
        <v>1</v>
      </c>
      <c r="AD84" s="23">
        <f t="shared" si="84"/>
        <v>-1.6860211312646242E-3</v>
      </c>
      <c r="AE84" s="23">
        <f t="shared" si="84"/>
        <v>0</v>
      </c>
      <c r="AF84" s="325">
        <v>9401978990.9200001</v>
      </c>
      <c r="AG84" s="326">
        <v>1</v>
      </c>
      <c r="AH84" s="23">
        <f t="shared" si="85"/>
        <v>-7.027091041912922E-3</v>
      </c>
      <c r="AI84" s="23">
        <f t="shared" si="85"/>
        <v>0</v>
      </c>
      <c r="AJ84" s="24">
        <f t="shared" si="73"/>
        <v>-2.7821493223485604E-3</v>
      </c>
      <c r="AK84" s="24">
        <f t="shared" si="74"/>
        <v>0</v>
      </c>
      <c r="AL84" s="25">
        <f t="shared" si="75"/>
        <v>-1.1490836572803044E-2</v>
      </c>
      <c r="AM84" s="25">
        <f t="shared" si="76"/>
        <v>0</v>
      </c>
      <c r="AN84" s="379">
        <f t="shared" si="77"/>
        <v>4.0920323549716135E-3</v>
      </c>
      <c r="AO84" s="380">
        <f t="shared" si="78"/>
        <v>2.4844518638759343E-3</v>
      </c>
      <c r="AP84" s="30"/>
      <c r="AQ84" s="28"/>
      <c r="AR84" s="28"/>
      <c r="AS84" s="29"/>
      <c r="AT84" s="29"/>
    </row>
    <row r="85" spans="1:46" s="108" customFormat="1" ht="15.75" customHeight="1">
      <c r="A85" s="201" t="s">
        <v>19</v>
      </c>
      <c r="B85" s="325">
        <v>2561002567.2800002</v>
      </c>
      <c r="C85" s="326">
        <v>24.500599999999999</v>
      </c>
      <c r="D85" s="325">
        <v>2563055032.3699999</v>
      </c>
      <c r="E85" s="326">
        <v>24.530999999999999</v>
      </c>
      <c r="F85" s="23">
        <f t="shared" si="50"/>
        <v>8.014303133555879E-4</v>
      </c>
      <c r="G85" s="23">
        <f t="shared" si="51"/>
        <v>1.2407859399361733E-3</v>
      </c>
      <c r="H85" s="325">
        <v>2562690636.1999998</v>
      </c>
      <c r="I85" s="326">
        <v>24.567499999999999</v>
      </c>
      <c r="J85" s="23">
        <f t="shared" si="79"/>
        <v>-1.4217258911648387E-4</v>
      </c>
      <c r="K85" s="23">
        <f t="shared" si="79"/>
        <v>1.487913252619143E-3</v>
      </c>
      <c r="L85" s="325">
        <v>2557018618.6500001</v>
      </c>
      <c r="M85" s="326">
        <v>24.635999999999999</v>
      </c>
      <c r="N85" s="23">
        <f t="shared" si="80"/>
        <v>-2.2133056053969414E-3</v>
      </c>
      <c r="O85" s="23">
        <f t="shared" si="80"/>
        <v>2.7882364912994906E-3</v>
      </c>
      <c r="P85" s="325">
        <v>2560466527.8400002</v>
      </c>
      <c r="Q85" s="326">
        <v>24.665400000000002</v>
      </c>
      <c r="R85" s="23">
        <f t="shared" si="81"/>
        <v>1.348409888317673E-3</v>
      </c>
      <c r="S85" s="23">
        <f t="shared" si="81"/>
        <v>1.1933755479786709E-3</v>
      </c>
      <c r="T85" s="325">
        <v>2562410336.3200002</v>
      </c>
      <c r="U85" s="326">
        <v>24.715399999999999</v>
      </c>
      <c r="V85" s="23">
        <f t="shared" si="82"/>
        <v>7.5916183979167604E-4</v>
      </c>
      <c r="W85" s="23">
        <f t="shared" si="82"/>
        <v>2.0271311229494416E-3</v>
      </c>
      <c r="X85" s="325">
        <v>2566096592.6100001</v>
      </c>
      <c r="Y85" s="326">
        <v>24.743300000000001</v>
      </c>
      <c r="Z85" s="23">
        <f t="shared" si="83"/>
        <v>1.4385893772556235E-3</v>
      </c>
      <c r="AA85" s="23">
        <f t="shared" si="83"/>
        <v>1.128850837939199E-3</v>
      </c>
      <c r="AB85" s="325">
        <v>2574301806.0999999</v>
      </c>
      <c r="AC85" s="326">
        <v>24.782699999999998</v>
      </c>
      <c r="AD85" s="23">
        <f t="shared" si="84"/>
        <v>3.1975466214442748E-3</v>
      </c>
      <c r="AE85" s="23">
        <f t="shared" si="84"/>
        <v>1.592350252391435E-3</v>
      </c>
      <c r="AF85" s="325">
        <v>2583011086.71</v>
      </c>
      <c r="AG85" s="326">
        <v>24.822099999999999</v>
      </c>
      <c r="AH85" s="23">
        <f t="shared" si="85"/>
        <v>3.3831622187277515E-3</v>
      </c>
      <c r="AI85" s="23">
        <f t="shared" si="85"/>
        <v>1.589818704176726E-3</v>
      </c>
      <c r="AJ85" s="24">
        <f t="shared" si="73"/>
        <v>1.0716027580473951E-3</v>
      </c>
      <c r="AK85" s="24">
        <f t="shared" si="74"/>
        <v>1.631057768661285E-3</v>
      </c>
      <c r="AL85" s="25">
        <f t="shared" si="75"/>
        <v>7.7860420817992479E-3</v>
      </c>
      <c r="AM85" s="25">
        <f t="shared" si="76"/>
        <v>1.1866617748970696E-2</v>
      </c>
      <c r="AN85" s="379">
        <f t="shared" si="77"/>
        <v>1.7931907652283892E-3</v>
      </c>
      <c r="AO85" s="380">
        <f t="shared" si="78"/>
        <v>8.2651374839923892E-4</v>
      </c>
      <c r="AP85" s="30"/>
      <c r="AQ85" s="28"/>
      <c r="AR85" s="28"/>
      <c r="AS85" s="29"/>
      <c r="AT85" s="29"/>
    </row>
    <row r="86" spans="1:46">
      <c r="A86" s="203" t="s">
        <v>42</v>
      </c>
      <c r="B86" s="76">
        <f>SUM(B56:B85)</f>
        <v>319728597414.12091</v>
      </c>
      <c r="C86" s="85"/>
      <c r="D86" s="76">
        <f>SUM(D56:D85)</f>
        <v>320399612573.65601</v>
      </c>
      <c r="E86" s="85"/>
      <c r="F86" s="23">
        <f>((D85-B86)/B86)</f>
        <v>-0.99198365409569456</v>
      </c>
      <c r="G86" s="23"/>
      <c r="H86" s="76">
        <f>SUM(H56:H85)</f>
        <v>320872331713.32611</v>
      </c>
      <c r="I86" s="85"/>
      <c r="J86" s="23">
        <f>((H85-D86)/D86)</f>
        <v>-0.99200158010300066</v>
      </c>
      <c r="K86" s="23"/>
      <c r="L86" s="76">
        <f>SUM(L56:L85)</f>
        <v>321156453816.64587</v>
      </c>
      <c r="M86" s="85"/>
      <c r="N86" s="23">
        <f>((L85-H86)/H86)</f>
        <v>-0.99203104049203428</v>
      </c>
      <c r="O86" s="23"/>
      <c r="P86" s="76">
        <f>SUM(P56:P85)</f>
        <v>320687160580.93243</v>
      </c>
      <c r="Q86" s="85"/>
      <c r="R86" s="23">
        <f>((P85-L86)/L86)</f>
        <v>-0.99202735458867086</v>
      </c>
      <c r="S86" s="23"/>
      <c r="T86" s="76">
        <f>SUM(T56:T85)</f>
        <v>319581951019.79437</v>
      </c>
      <c r="U86" s="85"/>
      <c r="V86" s="23">
        <f>((T85-P86)/P86)</f>
        <v>-0.9920096260427822</v>
      </c>
      <c r="W86" s="23"/>
      <c r="X86" s="76">
        <f>SUM(X56:X85)</f>
        <v>319127187068.50275</v>
      </c>
      <c r="Y86" s="73"/>
      <c r="Z86" s="23">
        <f>((X85-T86)/T86)</f>
        <v>-0.99197045833026076</v>
      </c>
      <c r="AA86" s="23"/>
      <c r="AB86" s="76">
        <f>SUM(AB56:AB85)</f>
        <v>320114444673.33032</v>
      </c>
      <c r="AC86" s="85"/>
      <c r="AD86" s="23">
        <f>((AB85-X86)/X86)</f>
        <v>-0.99193330461830131</v>
      </c>
      <c r="AE86" s="23"/>
      <c r="AF86" s="76">
        <f>SUM(AF56:AF85)</f>
        <v>320326205967.90063</v>
      </c>
      <c r="AG86" s="85"/>
      <c r="AH86" s="23">
        <f>((AF85-AB86)/AB86)</f>
        <v>-0.99193097615652448</v>
      </c>
      <c r="AI86" s="23"/>
      <c r="AJ86" s="24">
        <f t="shared" si="73"/>
        <v>-0.99198599930340869</v>
      </c>
      <c r="AK86" s="24"/>
      <c r="AL86" s="25">
        <f t="shared" si="75"/>
        <v>-2.291095334533084E-4</v>
      </c>
      <c r="AM86" s="25"/>
      <c r="AN86" s="379">
        <f t="shared" si="77"/>
        <v>3.8897761225485211E-5</v>
      </c>
      <c r="AO86" s="380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3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79"/>
      <c r="AO87" s="380"/>
      <c r="AP87" s="30"/>
      <c r="AQ87" s="40"/>
      <c r="AR87" s="13"/>
      <c r="AS87" s="29"/>
      <c r="AT87" s="29"/>
    </row>
    <row r="88" spans="1:46" s="108" customFormat="1">
      <c r="A88" s="200" t="s">
        <v>193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79"/>
      <c r="AO88" s="380"/>
      <c r="AP88" s="30"/>
      <c r="AQ88" s="40"/>
      <c r="AR88" s="13"/>
      <c r="AS88" s="29"/>
      <c r="AT88" s="29"/>
    </row>
    <row r="89" spans="1:46" s="108" customFormat="1">
      <c r="A89" s="199" t="s">
        <v>194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79"/>
      <c r="AO89" s="380"/>
      <c r="AP89" s="30"/>
      <c r="AQ89" s="40"/>
      <c r="AR89" s="13"/>
      <c r="AS89" s="29"/>
      <c r="AT89" s="29"/>
    </row>
    <row r="90" spans="1:46">
      <c r="A90" s="201" t="s">
        <v>144</v>
      </c>
      <c r="B90" s="325">
        <v>1332265977</v>
      </c>
      <c r="C90" s="325">
        <f>109.3654*770.39</f>
        <v>84254.010505999991</v>
      </c>
      <c r="D90" s="325">
        <v>1327789872.3599999</v>
      </c>
      <c r="E90" s="325">
        <f>107.4889*759.9</f>
        <v>81680.815109999996</v>
      </c>
      <c r="F90" s="23">
        <f>((D104-B90)/B90)</f>
        <v>2.5732777964388411</v>
      </c>
      <c r="G90" s="23">
        <f t="shared" ref="G90:G100" si="86">((E90-C90)/C90)</f>
        <v>-3.0540924764842502E-2</v>
      </c>
      <c r="H90" s="325">
        <v>1318076094.02</v>
      </c>
      <c r="I90" s="325">
        <f>107.5861*750.115</f>
        <v>80701.947401500001</v>
      </c>
      <c r="J90" s="23">
        <f>((H104-D90)/D90)</f>
        <v>2.442750129609371</v>
      </c>
      <c r="K90" s="23">
        <f t="shared" ref="K90:K100" si="87">((I90-E90)/E90)</f>
        <v>-1.1984059012899761E-2</v>
      </c>
      <c r="L90" s="325">
        <v>1313982164.6400001</v>
      </c>
      <c r="M90" s="325">
        <f>107.7065*746.949</f>
        <v>80451.262468500005</v>
      </c>
      <c r="N90" s="23">
        <f>((L104-H90)/H90)</f>
        <v>2.6218015345069023</v>
      </c>
      <c r="O90" s="23">
        <f t="shared" ref="O90:O100" si="88">((M90-I90)/I90)</f>
        <v>-3.1063058708213696E-3</v>
      </c>
      <c r="P90" s="325">
        <v>1298829726.47</v>
      </c>
      <c r="Q90" s="325">
        <f>107.8258*744.135</f>
        <v>80236.951683000007</v>
      </c>
      <c r="R90" s="23">
        <f>((P104-L90)/L90)</f>
        <v>2.5293467148307633</v>
      </c>
      <c r="S90" s="23">
        <f t="shared" ref="S90:S100" si="89">((Q90-M90)/M90)</f>
        <v>-2.6638585762890862E-3</v>
      </c>
      <c r="T90" s="325">
        <v>1331716751.5999999</v>
      </c>
      <c r="U90" s="325">
        <f>108.022*774.896</f>
        <v>83705.815711999996</v>
      </c>
      <c r="V90" s="23">
        <f>((T104-P90)/P90)</f>
        <v>2.7890483633188627</v>
      </c>
      <c r="W90" s="23">
        <f t="shared" ref="W90:W100" si="90">((U90-Q90)/Q90)</f>
        <v>4.323274945320419E-2</v>
      </c>
      <c r="X90" s="325">
        <v>1272123840.27</v>
      </c>
      <c r="Y90" s="325">
        <f>108.1267*740.49</f>
        <v>80066.740082999997</v>
      </c>
      <c r="Z90" s="23">
        <f>((X104-T90)/T90)</f>
        <v>2.5604524144003418</v>
      </c>
      <c r="AA90" s="23">
        <f t="shared" ref="AA90:AA100" si="91">((Y90-U90)/U90)</f>
        <v>-4.3474585344472121E-2</v>
      </c>
      <c r="AB90" s="325">
        <v>1270288230.01</v>
      </c>
      <c r="AC90" s="325">
        <v>108.2513</v>
      </c>
      <c r="AD90" s="23">
        <f>((AB104-X90)/X90)</f>
        <v>2.7106427553708978</v>
      </c>
      <c r="AE90" s="23">
        <f t="shared" ref="AE90:AE100" si="92">((AC90-Y90)/Y90)</f>
        <v>-0.9986479866685245</v>
      </c>
      <c r="AF90" s="325">
        <v>1310372163.98</v>
      </c>
      <c r="AG90" s="325">
        <f>108.2513*760.432</f>
        <v>82317.752561600006</v>
      </c>
      <c r="AH90" s="23">
        <f>((AF104-AB90)/AB90)</f>
        <v>2.7323224609888075</v>
      </c>
      <c r="AI90" s="23">
        <f t="shared" ref="AI90:AI100" si="93">((AG90-AC90)/AC90)</f>
        <v>759.43200000000002</v>
      </c>
      <c r="AJ90" s="24">
        <f t="shared" si="73"/>
        <v>2.6199552711830982</v>
      </c>
      <c r="AK90" s="24">
        <f t="shared" si="74"/>
        <v>94.79810187865192</v>
      </c>
      <c r="AL90" s="25">
        <f t="shared" si="75"/>
        <v>-1.3117819876907046E-2</v>
      </c>
      <c r="AM90" s="25">
        <f t="shared" si="76"/>
        <v>7.7978831472511959E-3</v>
      </c>
      <c r="AN90" s="379">
        <f t="shared" si="77"/>
        <v>0.11635993230837582</v>
      </c>
      <c r="AO90" s="380">
        <f t="shared" si="78"/>
        <v>1.0765536950459975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1" t="s">
        <v>145</v>
      </c>
      <c r="B91" s="325">
        <f>10753033.18*770.39</f>
        <v>8284029231.5401993</v>
      </c>
      <c r="C91" s="325">
        <f>1.1445*770.39</f>
        <v>881.71135500000003</v>
      </c>
      <c r="D91" s="325">
        <f>10769596.39*759.39</f>
        <v>8178323802.6021004</v>
      </c>
      <c r="E91" s="325">
        <f>1.1458*759.39</f>
        <v>870.10906199999988</v>
      </c>
      <c r="F91" s="23">
        <f>((D105-B91)/B91)</f>
        <v>-3.3930003142678432E-2</v>
      </c>
      <c r="G91" s="23">
        <f t="shared" si="86"/>
        <v>-1.3158833595831535E-2</v>
      </c>
      <c r="H91" s="325">
        <f>10940376.08*750.11</f>
        <v>8206485501.3688002</v>
      </c>
      <c r="I91" s="325">
        <f>1.147*750.11</f>
        <v>860.37617</v>
      </c>
      <c r="J91" s="23">
        <f>((H105-D91)/D91)</f>
        <v>-6.0000228428822352E-3</v>
      </c>
      <c r="K91" s="23">
        <f t="shared" si="87"/>
        <v>-1.1185829943694898E-2</v>
      </c>
      <c r="L91" s="325">
        <f>10935802.98*747.45</f>
        <v>8173965937.401001</v>
      </c>
      <c r="M91" s="325">
        <f>1.1458*747.45</f>
        <v>856.42821000000004</v>
      </c>
      <c r="N91" s="23">
        <f>((L105-H91)/H91)</f>
        <v>3.4749014124698767E-2</v>
      </c>
      <c r="O91" s="23">
        <f t="shared" si="88"/>
        <v>-4.5886440578659518E-3</v>
      </c>
      <c r="P91" s="325">
        <f>10865061.28*744.14</f>
        <v>8085126700.8991995</v>
      </c>
      <c r="Q91" s="325">
        <f>1.1471*744.14</f>
        <v>853.60299399999997</v>
      </c>
      <c r="R91" s="23">
        <f>((P105-L91)/L91)</f>
        <v>-1.9100196961506107E-2</v>
      </c>
      <c r="S91" s="23">
        <f t="shared" si="89"/>
        <v>-3.2988357541376043E-3</v>
      </c>
      <c r="T91" s="325">
        <f>10626339.97*774.39</f>
        <v>8228931409.3683004</v>
      </c>
      <c r="U91" s="325">
        <f>1.1485*774.39</f>
        <v>889.38691500000004</v>
      </c>
      <c r="V91" s="23">
        <f>((T105-P91)/P91)</f>
        <v>3.4518469809478862E-2</v>
      </c>
      <c r="W91" s="23">
        <f t="shared" si="90"/>
        <v>4.1921035014551598E-2</v>
      </c>
      <c r="X91" s="325">
        <f>10648379.96*740.49</f>
        <v>7885018876.5804005</v>
      </c>
      <c r="Y91" s="325">
        <f>1.1498*740.49</f>
        <v>851.41540199999997</v>
      </c>
      <c r="Z91" s="23">
        <f>((X105-T91)/T91)</f>
        <v>3.2480690228223765E-3</v>
      </c>
      <c r="AA91" s="23">
        <f t="shared" si="91"/>
        <v>-4.2694031539692791E-2</v>
      </c>
      <c r="AB91" s="325">
        <f>10398532.36*738.043</f>
        <v>7674564018.5714798</v>
      </c>
      <c r="AC91" s="325">
        <f>1.1511*738.043</f>
        <v>849.56129729999998</v>
      </c>
      <c r="AD91" s="23">
        <f>((AB105-X91)/X91)</f>
        <v>8.9161003987461296E-3</v>
      </c>
      <c r="AE91" s="23">
        <f t="shared" si="92"/>
        <v>-2.1776734313763255E-3</v>
      </c>
      <c r="AF91" s="325">
        <f>10413804.03*760.43</f>
        <v>7918968998.5328989</v>
      </c>
      <c r="AG91" s="325">
        <f>1.1524*760.43</f>
        <v>876.31953199999998</v>
      </c>
      <c r="AH91" s="23">
        <f>((AF105-AB91)/AB91)</f>
        <v>0.10209532777789843</v>
      </c>
      <c r="AI91" s="23">
        <f t="shared" si="93"/>
        <v>3.1496532133750255E-2</v>
      </c>
      <c r="AJ91" s="24">
        <f t="shared" si="73"/>
        <v>1.5562094773322224E-2</v>
      </c>
      <c r="AK91" s="24">
        <f t="shared" si="74"/>
        <v>-4.607851467871571E-4</v>
      </c>
      <c r="AL91" s="25">
        <f t="shared" si="75"/>
        <v>-3.171246459900285E-2</v>
      </c>
      <c r="AM91" s="25">
        <f t="shared" si="76"/>
        <v>7.1375765076218704E-3</v>
      </c>
      <c r="AN91" s="379">
        <f t="shared" si="77"/>
        <v>4.2303586566752698E-2</v>
      </c>
      <c r="AO91" s="380">
        <f t="shared" si="78"/>
        <v>4.4366826107744131E-2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1" t="s">
        <v>170</v>
      </c>
      <c r="B92" s="325">
        <v>1937762741.9547598</v>
      </c>
      <c r="C92" s="325">
        <v>80601.918261900006</v>
      </c>
      <c r="D92" s="325">
        <v>1912497976.0139999</v>
      </c>
      <c r="E92" s="325">
        <v>79551.043380000003</v>
      </c>
      <c r="F92" s="23">
        <f t="shared" ref="F92:F97" si="94">((D92-B92)/B92)</f>
        <v>-1.3038111113269482E-2</v>
      </c>
      <c r="G92" s="23">
        <f t="shared" si="86"/>
        <v>-1.3037839601849085E-2</v>
      </c>
      <c r="H92" s="325">
        <v>1890950554.0209002</v>
      </c>
      <c r="I92" s="325">
        <v>78654.769066499997</v>
      </c>
      <c r="J92" s="23">
        <f>((H92-D92)/D92)</f>
        <v>-1.1266637802152611E-2</v>
      </c>
      <c r="K92" s="23">
        <f t="shared" si="87"/>
        <v>-1.1266656921376579E-2</v>
      </c>
      <c r="L92" s="325">
        <v>1885244353.0813899</v>
      </c>
      <c r="M92" s="325">
        <v>78417.415916599988</v>
      </c>
      <c r="N92" s="23">
        <f>((L92-H92)/H92)</f>
        <v>-3.0176362503909638E-3</v>
      </c>
      <c r="O92" s="23">
        <f t="shared" si="88"/>
        <v>-3.0176574506160579E-3</v>
      </c>
      <c r="P92" s="325">
        <v>1946590839.30495</v>
      </c>
      <c r="Q92" s="325">
        <v>78213.556323500001</v>
      </c>
      <c r="R92" s="23">
        <f>((P92-L92)/L92)</f>
        <v>3.2540336812727021E-2</v>
      </c>
      <c r="S92" s="23">
        <f t="shared" si="89"/>
        <v>-2.5996724160969541E-3</v>
      </c>
      <c r="T92" s="325">
        <v>1960058440.0016</v>
      </c>
      <c r="U92" s="325">
        <v>81490.310558399986</v>
      </c>
      <c r="V92" s="23">
        <f>((T92-P92)/P92)</f>
        <v>6.9185575236030451E-3</v>
      </c>
      <c r="W92" s="23">
        <f t="shared" si="90"/>
        <v>4.1894965386140529E-2</v>
      </c>
      <c r="X92" s="325">
        <v>1876169318.6042998</v>
      </c>
      <c r="Y92" s="325">
        <v>78002.609419</v>
      </c>
      <c r="Z92" s="23">
        <f>((X92-T92)/T92)</f>
        <v>-4.2799296023659256E-2</v>
      </c>
      <c r="AA92" s="23">
        <f t="shared" si="91"/>
        <v>-4.2798967331220641E-2</v>
      </c>
      <c r="AB92" s="325">
        <v>1840970198.0864999</v>
      </c>
      <c r="AC92" s="325">
        <v>77821.0883073</v>
      </c>
      <c r="AD92" s="23">
        <f>((AB92-X92)/X92)</f>
        <v>-1.876116412775837E-2</v>
      </c>
      <c r="AE92" s="23">
        <f t="shared" si="92"/>
        <v>-2.3271158881998208E-3</v>
      </c>
      <c r="AF92" s="325">
        <v>1906749409.3534801</v>
      </c>
      <c r="AG92" s="325">
        <v>80279.771770800013</v>
      </c>
      <c r="AH92" s="23">
        <f>((AF92-AB92)/AB92)</f>
        <v>3.5730731184758412E-2</v>
      </c>
      <c r="AI92" s="23">
        <f t="shared" si="93"/>
        <v>3.1594051393770806E-2</v>
      </c>
      <c r="AJ92" s="24">
        <f t="shared" si="73"/>
        <v>-1.7116524745177759E-3</v>
      </c>
      <c r="AK92" s="24">
        <f t="shared" si="74"/>
        <v>-1.9486160368097603E-4</v>
      </c>
      <c r="AL92" s="25">
        <f t="shared" si="75"/>
        <v>-3.0057896701678691E-3</v>
      </c>
      <c r="AM92" s="25">
        <f t="shared" si="76"/>
        <v>9.1605132986001814E-3</v>
      </c>
      <c r="AN92" s="379">
        <f t="shared" si="77"/>
        <v>2.6321592690625797E-2</v>
      </c>
      <c r="AO92" s="380">
        <f t="shared" si="78"/>
        <v>2.7205559038824663E-2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1" t="s">
        <v>237</v>
      </c>
      <c r="B93" s="325">
        <v>22186249512.580002</v>
      </c>
      <c r="C93" s="325">
        <v>96877.48</v>
      </c>
      <c r="D93" s="325">
        <v>22127490835.77</v>
      </c>
      <c r="E93" s="325">
        <v>96752.79</v>
      </c>
      <c r="F93" s="23">
        <f t="shared" si="94"/>
        <v>-2.64842765680987E-3</v>
      </c>
      <c r="G93" s="23">
        <f t="shared" si="86"/>
        <v>-1.287089631150628E-3</v>
      </c>
      <c r="H93" s="325">
        <v>21195053386.790001</v>
      </c>
      <c r="I93" s="325">
        <v>92779.72</v>
      </c>
      <c r="J93" s="23">
        <f>((H93-D93)/D93)</f>
        <v>-4.2139321439585729E-2</v>
      </c>
      <c r="K93" s="23">
        <f t="shared" si="87"/>
        <v>-4.1064138822249907E-2</v>
      </c>
      <c r="L93" s="325">
        <v>21124600021.880001</v>
      </c>
      <c r="M93" s="325">
        <v>92597.217999999993</v>
      </c>
      <c r="N93" s="23">
        <f>((L93-H93)/H93)</f>
        <v>-3.3240475324261515E-3</v>
      </c>
      <c r="O93" s="23">
        <f t="shared" si="88"/>
        <v>-1.967046246744522E-3</v>
      </c>
      <c r="P93" s="325">
        <v>21093794502</v>
      </c>
      <c r="Q93" s="325">
        <v>92595.3</v>
      </c>
      <c r="R93" s="23">
        <f>((P93-L93)/L93)</f>
        <v>-1.45827707261174E-3</v>
      </c>
      <c r="S93" s="23">
        <f t="shared" si="89"/>
        <v>-2.0713365276163808E-5</v>
      </c>
      <c r="T93" s="325">
        <v>22203363690.299999</v>
      </c>
      <c r="U93" s="325">
        <v>97606.080000000002</v>
      </c>
      <c r="V93" s="23">
        <f>((T93-P93)/P93)</f>
        <v>5.2601687581378301E-2</v>
      </c>
      <c r="W93" s="23">
        <f t="shared" si="90"/>
        <v>5.4114841682029201E-2</v>
      </c>
      <c r="X93" s="325">
        <v>21118324823.389999</v>
      </c>
      <c r="Y93" s="325">
        <v>92954.71</v>
      </c>
      <c r="Z93" s="23">
        <f>((X93-T93)/T93)</f>
        <v>-4.8868220241062917E-2</v>
      </c>
      <c r="AA93" s="23">
        <f t="shared" si="91"/>
        <v>-4.7654510866536132E-2</v>
      </c>
      <c r="AB93" s="325">
        <v>21011075976.389999</v>
      </c>
      <c r="AC93" s="325">
        <v>92607.87</v>
      </c>
      <c r="AD93" s="23">
        <f>((AB93-X93)/X93)</f>
        <v>-5.0784732168346284E-3</v>
      </c>
      <c r="AE93" s="23">
        <f t="shared" si="92"/>
        <v>-3.7312794585665538E-3</v>
      </c>
      <c r="AF93" s="325">
        <v>21589820419.347698</v>
      </c>
      <c r="AG93" s="325">
        <v>95294.97</v>
      </c>
      <c r="AH93" s="23">
        <f>((AF93-AB93)/AB93)</f>
        <v>2.7544731341128361E-2</v>
      </c>
      <c r="AI93" s="23">
        <f t="shared" si="93"/>
        <v>2.9015892493802157E-2</v>
      </c>
      <c r="AJ93" s="24">
        <f t="shared" si="73"/>
        <v>-2.921293529603046E-3</v>
      </c>
      <c r="AK93" s="24">
        <f t="shared" si="74"/>
        <v>-1.5742555268365688E-3</v>
      </c>
      <c r="AL93" s="25">
        <f t="shared" si="75"/>
        <v>-2.4298752190787754E-2</v>
      </c>
      <c r="AM93" s="25">
        <f t="shared" si="76"/>
        <v>-1.5067472472886751E-2</v>
      </c>
      <c r="AN93" s="379">
        <f t="shared" si="77"/>
        <v>3.3095499042659259E-2</v>
      </c>
      <c r="AO93" s="380">
        <f t="shared" si="78"/>
        <v>3.3034752726509617E-2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6" customFormat="1">
      <c r="A94" s="201" t="s">
        <v>262</v>
      </c>
      <c r="B94" s="325">
        <v>16221466335.26</v>
      </c>
      <c r="C94" s="325">
        <v>85505.75</v>
      </c>
      <c r="D94" s="325">
        <v>16339871052.09</v>
      </c>
      <c r="E94" s="325">
        <v>85442.21</v>
      </c>
      <c r="F94" s="23">
        <f t="shared" si="94"/>
        <v>7.2992610151788795E-3</v>
      </c>
      <c r="G94" s="23">
        <f t="shared" si="86"/>
        <v>-7.4310791964275617E-4</v>
      </c>
      <c r="H94" s="325">
        <v>15790237851.65</v>
      </c>
      <c r="I94" s="325">
        <v>81975.48</v>
      </c>
      <c r="J94" s="23">
        <f>((H94-D94)/D94)</f>
        <v>-3.3637548221024549E-2</v>
      </c>
      <c r="K94" s="23">
        <f t="shared" si="87"/>
        <v>-4.0573973917575522E-2</v>
      </c>
      <c r="L94" s="325">
        <v>15397017270.799999</v>
      </c>
      <c r="M94" s="325">
        <v>81858.52</v>
      </c>
      <c r="N94" s="23">
        <f>((L94-H94)/H94)</f>
        <v>-2.4902764894634621E-2</v>
      </c>
      <c r="O94" s="23">
        <f t="shared" si="88"/>
        <v>-1.4267681018762179E-3</v>
      </c>
      <c r="P94" s="325">
        <v>15501064247.49</v>
      </c>
      <c r="Q94" s="325">
        <v>81894.44</v>
      </c>
      <c r="R94" s="23">
        <f>((P94-L94)/L94)</f>
        <v>6.7576060258971483E-3</v>
      </c>
      <c r="S94" s="23">
        <f t="shared" si="89"/>
        <v>4.3880588117154151E-4</v>
      </c>
      <c r="T94" s="325">
        <v>16502457595.92</v>
      </c>
      <c r="U94" s="325">
        <v>86365.7</v>
      </c>
      <c r="V94" s="23">
        <f>((T94-P94)/P94)</f>
        <v>6.4601586861505356E-2</v>
      </c>
      <c r="W94" s="23">
        <f t="shared" si="90"/>
        <v>5.4597845714556378E-2</v>
      </c>
      <c r="X94" s="325">
        <v>16013753921.17</v>
      </c>
      <c r="Y94" s="325">
        <v>82285.83</v>
      </c>
      <c r="Z94" s="23">
        <f>((X94-T94)/T94)</f>
        <v>-2.9613993667877994E-2</v>
      </c>
      <c r="AA94" s="23">
        <f t="shared" si="91"/>
        <v>-4.7239471225266456E-2</v>
      </c>
      <c r="AB94" s="325">
        <v>16750279652.76</v>
      </c>
      <c r="AC94" s="325">
        <v>82022.64</v>
      </c>
      <c r="AD94" s="23">
        <f>((AB94-X94)/X94)</f>
        <v>4.5993321442033747E-2</v>
      </c>
      <c r="AE94" s="23">
        <f t="shared" si="92"/>
        <v>-3.1984850854637099E-3</v>
      </c>
      <c r="AF94" s="325">
        <v>17209612141</v>
      </c>
      <c r="AG94" s="325">
        <v>84440.88</v>
      </c>
      <c r="AH94" s="23">
        <f>((AF94-AB94)/AB94)</f>
        <v>2.7422377283373534E-2</v>
      </c>
      <c r="AI94" s="23">
        <f t="shared" si="93"/>
        <v>2.9482591635675286E-2</v>
      </c>
      <c r="AJ94" s="24">
        <f t="shared" si="73"/>
        <v>7.9899807305564372E-3</v>
      </c>
      <c r="AK94" s="24">
        <f t="shared" si="74"/>
        <v>-1.082820377302683E-3</v>
      </c>
      <c r="AL94" s="25">
        <f t="shared" si="75"/>
        <v>5.3228148872004284E-2</v>
      </c>
      <c r="AM94" s="25">
        <f t="shared" si="76"/>
        <v>-1.1719383194793319E-2</v>
      </c>
      <c r="AN94" s="379">
        <f t="shared" si="77"/>
        <v>3.6366359067567029E-2</v>
      </c>
      <c r="AO94" s="380">
        <f t="shared" si="78"/>
        <v>3.2970473854585514E-2</v>
      </c>
      <c r="AP94" s="30"/>
      <c r="AQ94" s="28"/>
      <c r="AR94" s="28"/>
      <c r="AS94" s="29"/>
      <c r="AT94" s="29"/>
    </row>
    <row r="95" spans="1:46">
      <c r="A95" s="201" t="s">
        <v>234</v>
      </c>
      <c r="B95" s="325">
        <f>80130.23*770.89</f>
        <v>61771593.004699998</v>
      </c>
      <c r="C95" s="325">
        <f>101.4*770.89</f>
        <v>78168.245999999999</v>
      </c>
      <c r="D95" s="325">
        <f>80112.8*759.9</f>
        <v>60877716.719999999</v>
      </c>
      <c r="E95" s="325">
        <f>101.38*759.9</f>
        <v>77038.661999999997</v>
      </c>
      <c r="F95" s="23">
        <f t="shared" si="94"/>
        <v>-1.447066914126671E-2</v>
      </c>
      <c r="G95" s="23">
        <f t="shared" si="86"/>
        <v>-1.4450676045615793E-2</v>
      </c>
      <c r="H95" s="325">
        <f>80095.38*750.62</f>
        <v>60121194.135600001</v>
      </c>
      <c r="I95" s="325">
        <f>101.35*750.62</f>
        <v>76075.337</v>
      </c>
      <c r="J95" s="23">
        <f>((H95-D95)/D95)</f>
        <v>-1.2426921132399496E-2</v>
      </c>
      <c r="K95" s="23">
        <f t="shared" si="87"/>
        <v>-1.2504435759800672E-2</v>
      </c>
      <c r="L95" s="325">
        <f>80095.38*747.45</f>
        <v>59867291.781000011</v>
      </c>
      <c r="M95" s="325">
        <f>101.33*747.45</f>
        <v>75739.108500000002</v>
      </c>
      <c r="N95" s="23">
        <f>((L95-H95)/H95)</f>
        <v>-4.2231755082463487E-3</v>
      </c>
      <c r="O95" s="23">
        <f t="shared" si="88"/>
        <v>-4.4196780883139228E-3</v>
      </c>
      <c r="P95" s="325">
        <f>80265.49*744.64</f>
        <v>59768894.4736</v>
      </c>
      <c r="Q95" s="325">
        <f>101.57*744.64</f>
        <v>75633.084799999997</v>
      </c>
      <c r="R95" s="23">
        <f>((P95-L95)/L95)</f>
        <v>-1.6435904226293852E-3</v>
      </c>
      <c r="S95" s="23">
        <f t="shared" si="89"/>
        <v>-1.3998540793493126E-3</v>
      </c>
      <c r="T95" s="325">
        <f>84315.24*774.896</f>
        <v>65335542.215039998</v>
      </c>
      <c r="U95" s="325">
        <f>106.69*774.896</f>
        <v>82673.654239999989</v>
      </c>
      <c r="V95" s="23">
        <f>((T95-P95)/P95)</f>
        <v>9.3136200534858382E-2</v>
      </c>
      <c r="W95" s="23">
        <f t="shared" si="90"/>
        <v>9.3088487116685631E-2</v>
      </c>
      <c r="X95" s="325">
        <f>84315.24*740.99</f>
        <v>62476749.687600002</v>
      </c>
      <c r="Y95" s="325">
        <f>106.69*740.99</f>
        <v>79056.223100000003</v>
      </c>
      <c r="Z95" s="23">
        <f>((X95-T95)/T95)</f>
        <v>-4.3755549131754404E-2</v>
      </c>
      <c r="AA95" s="23">
        <f t="shared" si="91"/>
        <v>-4.3755549131754293E-2</v>
      </c>
      <c r="AB95" s="325">
        <f>84615.57*738.543</f>
        <v>62492236.914510004</v>
      </c>
      <c r="AC95" s="325">
        <f>107.07*738.543</f>
        <v>79075.799010000002</v>
      </c>
      <c r="AD95" s="23">
        <f>((AB95-X95)/X95)</f>
        <v>2.4788784607782403E-4</v>
      </c>
      <c r="AE95" s="23">
        <f t="shared" si="92"/>
        <v>2.4762010164889302E-4</v>
      </c>
      <c r="AF95" s="325">
        <f>84615.57*760.932</f>
        <v>64386694.911240004</v>
      </c>
      <c r="AG95" s="325">
        <f>107.07*760.932</f>
        <v>81472.989239999995</v>
      </c>
      <c r="AH95" s="23">
        <f>((AF95-AB95)/AB95)</f>
        <v>3.0315093366263028E-2</v>
      </c>
      <c r="AI95" s="23">
        <f t="shared" si="93"/>
        <v>3.0315093366262941E-2</v>
      </c>
      <c r="AJ95" s="24">
        <f t="shared" si="73"/>
        <v>5.8974095513628609E-3</v>
      </c>
      <c r="AK95" s="24">
        <f t="shared" si="74"/>
        <v>5.8901259349704339E-3</v>
      </c>
      <c r="AL95" s="25">
        <f t="shared" si="75"/>
        <v>5.7639779878393659E-2</v>
      </c>
      <c r="AM95" s="25">
        <f t="shared" si="76"/>
        <v>5.7559764472544954E-2</v>
      </c>
      <c r="AN95" s="379">
        <f t="shared" si="77"/>
        <v>4.0732745661420607E-2</v>
      </c>
      <c r="AO95" s="380">
        <f t="shared" si="78"/>
        <v>4.0722419491111342E-2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1" t="s">
        <v>120</v>
      </c>
      <c r="B96" s="325">
        <v>9778947170.0699997</v>
      </c>
      <c r="C96" s="325">
        <v>770.38900000000001</v>
      </c>
      <c r="D96" s="325">
        <v>9648436719.7999992</v>
      </c>
      <c r="E96" s="325">
        <v>759.39599999999996</v>
      </c>
      <c r="F96" s="23">
        <f t="shared" si="94"/>
        <v>-1.3346063538358009E-2</v>
      </c>
      <c r="G96" s="23">
        <f t="shared" si="86"/>
        <v>-1.426941454252339E-2</v>
      </c>
      <c r="H96" s="325">
        <v>9574438312.9699993</v>
      </c>
      <c r="I96" s="325">
        <v>750.11500000000001</v>
      </c>
      <c r="J96" s="23">
        <f t="shared" ref="J96" si="95">((H96-D96)/D96)</f>
        <v>-7.6694711256326533E-3</v>
      </c>
      <c r="K96" s="23">
        <f t="shared" si="87"/>
        <v>-1.2221555025309522E-2</v>
      </c>
      <c r="L96" s="325">
        <v>9542966270.1900005</v>
      </c>
      <c r="M96" s="325">
        <v>746.94899999999996</v>
      </c>
      <c r="N96" s="23">
        <f t="shared" ref="N96" si="96">((L96-H96)/H96)</f>
        <v>-3.2870902450084431E-3</v>
      </c>
      <c r="O96" s="23">
        <f t="shared" si="88"/>
        <v>-4.2206861614553148E-3</v>
      </c>
      <c r="P96" s="325">
        <v>9536406483.2910004</v>
      </c>
      <c r="Q96" s="325">
        <v>744.13499999999999</v>
      </c>
      <c r="R96" s="23">
        <f t="shared" ref="R96" si="97">((P96-L96)/L96)</f>
        <v>-6.8739495805318011E-4</v>
      </c>
      <c r="S96" s="23">
        <f t="shared" si="89"/>
        <v>-3.7673254800528076E-3</v>
      </c>
      <c r="T96" s="325">
        <v>9915604936.6800003</v>
      </c>
      <c r="U96" s="325">
        <v>774.39599999999996</v>
      </c>
      <c r="V96" s="23">
        <f t="shared" ref="V96" si="98">((T96-P96)/P96)</f>
        <v>3.9763243529248038E-2</v>
      </c>
      <c r="W96" s="23">
        <f t="shared" si="90"/>
        <v>4.0666008183998827E-2</v>
      </c>
      <c r="X96" s="325">
        <v>9486325584.0400009</v>
      </c>
      <c r="Y96" s="325">
        <v>740.49</v>
      </c>
      <c r="Z96" s="23">
        <f t="shared" ref="Z96" si="99">((X96-T96)/T96)</f>
        <v>-4.3293309423008651E-2</v>
      </c>
      <c r="AA96" s="23">
        <f t="shared" si="91"/>
        <v>-4.3783800536159732E-2</v>
      </c>
      <c r="AB96" s="325">
        <v>9466024671.1200008</v>
      </c>
      <c r="AC96" s="325">
        <v>738.04300000000001</v>
      </c>
      <c r="AD96" s="23">
        <f t="shared" ref="AD96" si="100">((AB96-X96)/X96)</f>
        <v>-2.1400185709580504E-3</v>
      </c>
      <c r="AE96" s="23">
        <f t="shared" si="92"/>
        <v>-3.3045685964699085E-3</v>
      </c>
      <c r="AF96" s="325">
        <v>9773821431.7099991</v>
      </c>
      <c r="AG96" s="325">
        <v>760.43200000000002</v>
      </c>
      <c r="AH96" s="23">
        <f t="shared" ref="AH96" si="101">((AF96-AB96)/AB96)</f>
        <v>3.25159474313498E-2</v>
      </c>
      <c r="AI96" s="23">
        <f t="shared" si="93"/>
        <v>3.0335630850777E-2</v>
      </c>
      <c r="AJ96" s="24">
        <f t="shared" si="73"/>
        <v>2.31980387447356E-4</v>
      </c>
      <c r="AK96" s="24">
        <f t="shared" si="74"/>
        <v>-1.3207139133993564E-3</v>
      </c>
      <c r="AL96" s="25">
        <f t="shared" si="75"/>
        <v>1.2995339613171959E-2</v>
      </c>
      <c r="AM96" s="25">
        <f t="shared" si="76"/>
        <v>1.3642421082018582E-3</v>
      </c>
      <c r="AN96" s="379">
        <f t="shared" si="77"/>
        <v>2.6090714954414916E-2</v>
      </c>
      <c r="AO96" s="380">
        <f t="shared" si="78"/>
        <v>2.67665905773741E-2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1" customFormat="1">
      <c r="A97" s="212" t="s">
        <v>245</v>
      </c>
      <c r="B97" s="325">
        <f>2540045.39*770.89</f>
        <v>1958095590.6971002</v>
      </c>
      <c r="C97" s="325">
        <f>101.62*770.89</f>
        <v>78337.841800000009</v>
      </c>
      <c r="D97" s="325">
        <f>2603833.82*759.9</f>
        <v>1978653319.8179998</v>
      </c>
      <c r="E97" s="325">
        <f>102.02*759.9</f>
        <v>77524.997999999992</v>
      </c>
      <c r="F97" s="23">
        <f t="shared" si="94"/>
        <v>1.0498838370592999E-2</v>
      </c>
      <c r="G97" s="23">
        <f t="shared" si="86"/>
        <v>-1.0376132164519457E-2</v>
      </c>
      <c r="H97" s="325">
        <f>2689935.68*750.62</f>
        <v>2019119520.1216002</v>
      </c>
      <c r="I97" s="325">
        <f>102.18*750.62</f>
        <v>76698.351600000009</v>
      </c>
      <c r="J97" s="23">
        <f>((H97-D97)/D97)</f>
        <v>2.0451384736423897E-2</v>
      </c>
      <c r="K97" s="23">
        <f t="shared" si="87"/>
        <v>-1.0662965770085971E-2</v>
      </c>
      <c r="L97" s="325">
        <f>2744984.3*747.45</f>
        <v>2051738515.0350001</v>
      </c>
      <c r="M97" s="325">
        <f>102.4*747.45</f>
        <v>76538.880000000005</v>
      </c>
      <c r="N97" s="23">
        <f>((L97-H97)/H97)</f>
        <v>1.6155058969186467E-2</v>
      </c>
      <c r="O97" s="23">
        <f t="shared" si="88"/>
        <v>-2.0792050503469278E-3</v>
      </c>
      <c r="P97" s="325">
        <f>3788947.42*744.64</f>
        <v>2821401806.8287997</v>
      </c>
      <c r="Q97" s="325">
        <f>102.61*744.64</f>
        <v>76407.510399999999</v>
      </c>
      <c r="R97" s="23">
        <f>((P97-L97)/L97)</f>
        <v>0.3751273791244642</v>
      </c>
      <c r="S97" s="23">
        <f t="shared" si="89"/>
        <v>-1.7163773496555665E-3</v>
      </c>
      <c r="T97" s="325">
        <f>3836032.9*774.896</f>
        <v>2972526550.0783997</v>
      </c>
      <c r="U97" s="325">
        <f>102.78*774.896</f>
        <v>79643.81087999999</v>
      </c>
      <c r="V97" s="23">
        <f>((T97-P97)/P97)</f>
        <v>5.3563708254465596E-2</v>
      </c>
      <c r="W97" s="23">
        <f t="shared" si="90"/>
        <v>4.2355790197294414E-2</v>
      </c>
      <c r="X97" s="325">
        <f>4348579.22*740.99</f>
        <v>3222253716.2277999</v>
      </c>
      <c r="Y97" s="325">
        <f>102.53*740.99</f>
        <v>75973.704700000002</v>
      </c>
      <c r="Z97" s="23">
        <f>((X97-T97)/T97)</f>
        <v>8.401175294559228E-2</v>
      </c>
      <c r="AA97" s="23">
        <f t="shared" si="91"/>
        <v>-4.6081498856574914E-2</v>
      </c>
      <c r="AB97" s="325">
        <f>4557166.95*738.543</f>
        <v>3365663750.75385</v>
      </c>
      <c r="AC97" s="325">
        <f>102.99*738.543</f>
        <v>76062.543569999994</v>
      </c>
      <c r="AD97" s="23">
        <f>((AB97-X97)/X97)</f>
        <v>4.4506127436152391E-2</v>
      </c>
      <c r="AE97" s="23">
        <f t="shared" si="92"/>
        <v>1.1693370798593202E-3</v>
      </c>
      <c r="AF97" s="325">
        <f>4639858.51*760.932</f>
        <v>3530616815.7313199</v>
      </c>
      <c r="AG97" s="325">
        <f>103.19*760.932</f>
        <v>78520.573080000002</v>
      </c>
      <c r="AH97" s="23">
        <f>((AF97-AB97)/AB97)</f>
        <v>4.9010559935027176E-2</v>
      </c>
      <c r="AI97" s="23">
        <f t="shared" si="93"/>
        <v>3.2315899451060226E-2</v>
      </c>
      <c r="AJ97" s="24">
        <f t="shared" si="73"/>
        <v>8.166560122148811E-2</v>
      </c>
      <c r="AK97" s="24">
        <f t="shared" si="74"/>
        <v>6.156059421288905E-4</v>
      </c>
      <c r="AL97" s="25">
        <f t="shared" si="75"/>
        <v>0.78435341874647979</v>
      </c>
      <c r="AM97" s="25">
        <f t="shared" si="76"/>
        <v>1.2841987819206519E-2</v>
      </c>
      <c r="AN97" s="379">
        <f t="shared" si="77"/>
        <v>0.12098744545281674</v>
      </c>
      <c r="AO97" s="380">
        <f t="shared" si="78"/>
        <v>3.0451662976242504E-2</v>
      </c>
      <c r="AP97" s="30"/>
      <c r="AQ97" s="28"/>
      <c r="AR97" s="32"/>
      <c r="AS97" s="29"/>
      <c r="AT97" s="29"/>
    </row>
    <row r="98" spans="1:46" s="301" customFormat="1">
      <c r="A98" s="212" t="s">
        <v>127</v>
      </c>
      <c r="B98" s="325">
        <f>1718500.91*770.89</f>
        <v>1324775166.5098999</v>
      </c>
      <c r="C98" s="325">
        <f>130.66*770.89</f>
        <v>100724.4874</v>
      </c>
      <c r="D98" s="325">
        <f>1734223.34*759.9</f>
        <v>1317836316.066</v>
      </c>
      <c r="E98" s="325">
        <f>131.86*759.9</f>
        <v>100200.414</v>
      </c>
      <c r="F98" s="23">
        <f>((D111-B98)/B98)</f>
        <v>8.7574978502387282</v>
      </c>
      <c r="G98" s="23">
        <f t="shared" si="86"/>
        <v>-5.2030386406314326E-3</v>
      </c>
      <c r="H98" s="325">
        <f>1731751.7*750.62</f>
        <v>1299887461.0539999</v>
      </c>
      <c r="I98" s="325">
        <f>131.72*750.62</f>
        <v>98871.666400000002</v>
      </c>
      <c r="J98" s="23">
        <f>((H111-D98)/D98)</f>
        <v>9.0815372790383915</v>
      </c>
      <c r="K98" s="23">
        <f t="shared" si="87"/>
        <v>-1.3260899301274368E-2</v>
      </c>
      <c r="L98" s="325">
        <f>1732813.68*747.45</f>
        <v>1295191585.1159999</v>
      </c>
      <c r="M98" s="325">
        <f>131.79*747.45</f>
        <v>98506.435500000007</v>
      </c>
      <c r="N98" s="23">
        <f>((L111-H98)/H98)</f>
        <v>9.4535413078313475</v>
      </c>
      <c r="O98" s="23">
        <f t="shared" si="88"/>
        <v>-3.6939895249909027E-3</v>
      </c>
      <c r="P98" s="325">
        <f>1734765.2*744.64</f>
        <v>1291775558.5279999</v>
      </c>
      <c r="Q98" s="325">
        <f>131.98*744.64</f>
        <v>98277.587199999994</v>
      </c>
      <c r="R98" s="23">
        <f>((P111-L98)/L98)</f>
        <v>9.6592168158763414</v>
      </c>
      <c r="S98" s="23">
        <f t="shared" si="89"/>
        <v>-2.3231812098206757E-3</v>
      </c>
      <c r="T98" s="325">
        <f>1723746.93*774.896</f>
        <v>1335724601.0692799</v>
      </c>
      <c r="U98" s="325">
        <f>131.21*774.896</f>
        <v>101674.10416</v>
      </c>
      <c r="V98" s="23">
        <f>((T111-P98)/P98)</f>
        <v>10.170062564507981</v>
      </c>
      <c r="W98" s="23">
        <f t="shared" si="90"/>
        <v>3.4560443095615685E-2</v>
      </c>
      <c r="X98" s="325">
        <f>1725693.27*740.99</f>
        <v>1278721456.1373</v>
      </c>
      <c r="Y98" s="325">
        <f>131.39*740.99</f>
        <v>97358.676099999997</v>
      </c>
      <c r="Z98" s="23">
        <f>((X111-T98)/T98)</f>
        <v>10.302725458312455</v>
      </c>
      <c r="AA98" s="23">
        <f t="shared" si="91"/>
        <v>-4.2443728377572022E-2</v>
      </c>
      <c r="AB98" s="325">
        <f>1779291.05*738.543</f>
        <v>1314082949.94015</v>
      </c>
      <c r="AC98" s="325">
        <f>132.22*738.543</f>
        <v>97650.155459999994</v>
      </c>
      <c r="AD98" s="23">
        <f>((AB111-X98)/X98)</f>
        <v>11.405704344220135</v>
      </c>
      <c r="AE98" s="23">
        <f t="shared" si="92"/>
        <v>2.9938714419309731E-3</v>
      </c>
      <c r="AF98" s="325">
        <f>1781221.12*760.932</f>
        <v>1355388149.2838402</v>
      </c>
      <c r="AG98" s="325">
        <f>134.65*760.932</f>
        <v>102459.49380000001</v>
      </c>
      <c r="AH98" s="23">
        <f>((AF111-AB98)/AB98)</f>
        <v>11.675915967191154</v>
      </c>
      <c r="AI98" s="23">
        <f t="shared" si="93"/>
        <v>4.9250698243589019E-2</v>
      </c>
      <c r="AJ98" s="24">
        <f t="shared" si="73"/>
        <v>10.063275198402069</v>
      </c>
      <c r="AK98" s="24">
        <f t="shared" si="74"/>
        <v>2.4850219658557847E-3</v>
      </c>
      <c r="AL98" s="25">
        <f t="shared" si="75"/>
        <v>2.8495066314411326E-2</v>
      </c>
      <c r="AM98" s="25">
        <f t="shared" si="76"/>
        <v>2.2545613434291865E-2</v>
      </c>
      <c r="AN98" s="379">
        <f t="shared" si="77"/>
        <v>1.0471299993196566</v>
      </c>
      <c r="AO98" s="380">
        <f t="shared" si="78"/>
        <v>4.1295967962452593</v>
      </c>
      <c r="AP98" s="30"/>
      <c r="AQ98" s="28"/>
      <c r="AR98" s="32"/>
      <c r="AS98" s="29"/>
      <c r="AT98" s="29"/>
    </row>
    <row r="99" spans="1:46" s="366" customFormat="1">
      <c r="A99" s="212" t="s">
        <v>164</v>
      </c>
      <c r="B99" s="325">
        <v>116926790827.58</v>
      </c>
      <c r="C99" s="325">
        <v>94421.36</v>
      </c>
      <c r="D99" s="325">
        <v>116755317214.14</v>
      </c>
      <c r="E99" s="325">
        <v>94269.04</v>
      </c>
      <c r="F99" s="23">
        <f>((D111-B99)/B99)</f>
        <v>-0.88944799777895744</v>
      </c>
      <c r="G99" s="23">
        <f t="shared" si="86"/>
        <v>-1.6131943026451534E-3</v>
      </c>
      <c r="H99" s="325">
        <v>111790450090.59</v>
      </c>
      <c r="I99" s="325">
        <v>90390.23</v>
      </c>
      <c r="J99" s="23">
        <f>((H111-D99)/D99)</f>
        <v>-0.8862080437525377</v>
      </c>
      <c r="K99" s="23">
        <f t="shared" ref="K99" si="102">((I99-E99)/E99)</f>
        <v>-4.1146170577317835E-2</v>
      </c>
      <c r="L99" s="325">
        <v>111494552646.32001</v>
      </c>
      <c r="M99" s="325">
        <v>90183.08</v>
      </c>
      <c r="N99" s="23">
        <f>((L111-H99)/H99)</f>
        <v>-0.87844733375124129</v>
      </c>
      <c r="O99" s="23">
        <f t="shared" ref="O99" si="103">((M99-I99)/I99)</f>
        <v>-2.2917299801095115E-3</v>
      </c>
      <c r="P99" s="325">
        <v>111452274354.82001</v>
      </c>
      <c r="Q99" s="325">
        <v>90144.75</v>
      </c>
      <c r="R99" s="23">
        <f>((P111-L99)/L99)</f>
        <v>-0.87617576288552712</v>
      </c>
      <c r="S99" s="23">
        <f t="shared" si="89"/>
        <v>-4.2502429502298816E-4</v>
      </c>
      <c r="T99" s="325">
        <v>116727902388.87</v>
      </c>
      <c r="U99" s="325">
        <v>90144.75</v>
      </c>
      <c r="V99" s="23">
        <f>((T111-P99)/P99)</f>
        <v>-0.87053459526430943</v>
      </c>
      <c r="W99" s="23">
        <f t="shared" si="90"/>
        <v>0</v>
      </c>
      <c r="X99" s="325">
        <v>110827393791.22</v>
      </c>
      <c r="Y99" s="325">
        <v>90436.160000000003</v>
      </c>
      <c r="Z99" s="23">
        <f>((X111-T99)/T99)</f>
        <v>-0.87066221404797961</v>
      </c>
      <c r="AA99" s="23">
        <f t="shared" si="91"/>
        <v>3.2326896463743425E-3</v>
      </c>
      <c r="AB99" s="325">
        <v>110218283559.72</v>
      </c>
      <c r="AC99" s="325">
        <v>90069.69</v>
      </c>
      <c r="AD99" s="23">
        <f>((AB111-X99)/X99)</f>
        <v>-0.8568635444650623</v>
      </c>
      <c r="AE99" s="23">
        <f t="shared" si="92"/>
        <v>-4.0522507811035008E-3</v>
      </c>
      <c r="AF99" s="325">
        <v>113125834664.67</v>
      </c>
      <c r="AG99" s="325">
        <v>92646.01</v>
      </c>
      <c r="AH99" s="23">
        <f>((AF111-AB99)/AB99)</f>
        <v>-0.84887076345791068</v>
      </c>
      <c r="AI99" s="23">
        <f t="shared" si="93"/>
        <v>2.8603629034362085E-2</v>
      </c>
      <c r="AJ99" s="24">
        <f t="shared" si="73"/>
        <v>-0.87215128192544067</v>
      </c>
      <c r="AK99" s="24">
        <f t="shared" si="74"/>
        <v>-2.2115064069328206E-3</v>
      </c>
      <c r="AL99" s="25">
        <f t="shared" si="75"/>
        <v>-3.1086229184861845E-2</v>
      </c>
      <c r="AM99" s="25">
        <f t="shared" si="76"/>
        <v>-1.721699934570246E-2</v>
      </c>
      <c r="AN99" s="379">
        <f t="shared" si="77"/>
        <v>1.3800280036758693E-2</v>
      </c>
      <c r="AO99" s="380">
        <f t="shared" si="78"/>
        <v>0.29812368388253413</v>
      </c>
      <c r="AP99" s="30"/>
      <c r="AQ99" s="28"/>
      <c r="AR99" s="32"/>
      <c r="AS99" s="29"/>
      <c r="AT99" s="29"/>
    </row>
    <row r="100" spans="1:46">
      <c r="A100" s="212" t="s">
        <v>272</v>
      </c>
      <c r="B100" s="325">
        <v>0</v>
      </c>
      <c r="C100" s="325">
        <v>0</v>
      </c>
      <c r="D100" s="325">
        <v>0</v>
      </c>
      <c r="E100" s="325">
        <v>0</v>
      </c>
      <c r="F100" s="23" t="e">
        <f>((D112-B100)/B100)</f>
        <v>#DIV/0!</v>
      </c>
      <c r="G100" s="23" t="e">
        <f t="shared" si="86"/>
        <v>#DIV/0!</v>
      </c>
      <c r="H100" s="325">
        <v>0</v>
      </c>
      <c r="I100" s="325">
        <v>0</v>
      </c>
      <c r="J100" s="23" t="e">
        <f>((H112-D100)/D100)</f>
        <v>#DIV/0!</v>
      </c>
      <c r="K100" s="23" t="e">
        <f t="shared" si="87"/>
        <v>#DIV/0!</v>
      </c>
      <c r="L100" s="325">
        <v>0</v>
      </c>
      <c r="M100" s="325">
        <v>0</v>
      </c>
      <c r="N100" s="23" t="e">
        <f>((L112-H100)/H100)</f>
        <v>#DIV/0!</v>
      </c>
      <c r="O100" s="23" t="e">
        <f t="shared" si="88"/>
        <v>#DIV/0!</v>
      </c>
      <c r="P100" s="325">
        <f>142505.63*744.64</f>
        <v>106115392.3232</v>
      </c>
      <c r="Q100" s="325">
        <f>99.91*744.64</f>
        <v>74396.982399999994</v>
      </c>
      <c r="R100" s="23" t="e">
        <f>((P112-L100)/L100)</f>
        <v>#DIV/0!</v>
      </c>
      <c r="S100" s="23" t="e">
        <f t="shared" si="89"/>
        <v>#DIV/0!</v>
      </c>
      <c r="T100" s="325">
        <f>160516.4*774.896</f>
        <v>124383516.29439999</v>
      </c>
      <c r="U100" s="325">
        <f>100.8*774.896</f>
        <v>78109.516799999998</v>
      </c>
      <c r="V100" s="23">
        <f>((T112-P100)/P100)</f>
        <v>5511.1192744817608</v>
      </c>
      <c r="W100" s="23">
        <f t="shared" si="90"/>
        <v>4.9901679883188443E-2</v>
      </c>
      <c r="X100" s="325">
        <f>160516.4*740.99</f>
        <v>118941047.236</v>
      </c>
      <c r="Y100" s="325">
        <f>100.86*740.99</f>
        <v>74736.251399999994</v>
      </c>
      <c r="Z100" s="23">
        <f>((X112-T100)/T100)</f>
        <v>4511.8548151620907</v>
      </c>
      <c r="AA100" s="23">
        <f t="shared" si="91"/>
        <v>-4.3186356006237693E-2</v>
      </c>
      <c r="AB100" s="325">
        <f>199586.3*738.543</f>
        <v>147403064.76089999</v>
      </c>
      <c r="AC100" s="325">
        <f>100.93*738.543</f>
        <v>74541.144990000001</v>
      </c>
      <c r="AD100" s="23">
        <f>((AB112-X100)/X100)</f>
        <v>4661.4842367587989</v>
      </c>
      <c r="AE100" s="23">
        <f t="shared" si="92"/>
        <v>-2.6105993590145875E-3</v>
      </c>
      <c r="AF100" s="325">
        <f>234593.54*760.932</f>
        <v>178509731.57928002</v>
      </c>
      <c r="AG100" s="325">
        <f>101*760.932</f>
        <v>76854.131999999998</v>
      </c>
      <c r="AH100" s="23">
        <f>((AF112-AB100)/AB100)</f>
        <v>3928.6524953877115</v>
      </c>
      <c r="AI100" s="23">
        <f t="shared" si="93"/>
        <v>3.1029668383954843E-2</v>
      </c>
      <c r="AJ100" s="24" t="e">
        <f t="shared" si="73"/>
        <v>#DIV/0!</v>
      </c>
      <c r="AK100" s="24" t="e">
        <f t="shared" si="74"/>
        <v>#DIV/0!</v>
      </c>
      <c r="AL100" s="25" t="e">
        <f t="shared" si="75"/>
        <v>#DIV/0!</v>
      </c>
      <c r="AM100" s="25" t="e">
        <f t="shared" si="76"/>
        <v>#DIV/0!</v>
      </c>
      <c r="AN100" s="379" t="e">
        <f t="shared" si="77"/>
        <v>#DIV/0!</v>
      </c>
      <c r="AO100" s="380" t="e">
        <f t="shared" si="78"/>
        <v>#DIV/0!</v>
      </c>
      <c r="AP100" s="30"/>
      <c r="AQ100" s="28">
        <v>4173976375.3699999</v>
      </c>
      <c r="AR100" s="32">
        <v>299.53579999999999</v>
      </c>
      <c r="AS100" s="29" t="e">
        <f>(#REF!/AQ100)-1</f>
        <v>#REF!</v>
      </c>
      <c r="AT100" s="29" t="e">
        <f>(#REF!/AR100)-1</f>
        <v>#REF!</v>
      </c>
    </row>
    <row r="101" spans="1:46" ht="6.75" customHeight="1">
      <c r="A101" s="203"/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79"/>
      <c r="AO101" s="380"/>
      <c r="AP101" s="30"/>
      <c r="AQ101" s="50">
        <v>4131236617.7600002</v>
      </c>
      <c r="AR101" s="48">
        <v>103.24</v>
      </c>
      <c r="AS101" s="29" t="e">
        <f>(#REF!/AQ101)-1</f>
        <v>#REF!</v>
      </c>
      <c r="AT101" s="29" t="e">
        <f>(#REF!/AR101)-1</f>
        <v>#REF!</v>
      </c>
    </row>
    <row r="102" spans="1:46">
      <c r="A102" s="199" t="s">
        <v>195</v>
      </c>
      <c r="B102" s="85"/>
      <c r="C102" s="85"/>
      <c r="D102" s="85"/>
      <c r="E102" s="85"/>
      <c r="F102" s="23"/>
      <c r="G102" s="23"/>
      <c r="H102" s="85"/>
      <c r="I102" s="85"/>
      <c r="J102" s="23"/>
      <c r="K102" s="23"/>
      <c r="L102" s="85"/>
      <c r="M102" s="85"/>
      <c r="N102" s="23"/>
      <c r="O102" s="23"/>
      <c r="P102" s="85"/>
      <c r="Q102" s="85"/>
      <c r="R102" s="23"/>
      <c r="S102" s="23"/>
      <c r="T102" s="85"/>
      <c r="U102" s="85"/>
      <c r="V102" s="23"/>
      <c r="W102" s="23"/>
      <c r="X102" s="85"/>
      <c r="Y102" s="85"/>
      <c r="Z102" s="23"/>
      <c r="AA102" s="23"/>
      <c r="AB102" s="85"/>
      <c r="AC102" s="85"/>
      <c r="AD102" s="23"/>
      <c r="AE102" s="23"/>
      <c r="AF102" s="85"/>
      <c r="AG102" s="85"/>
      <c r="AH102" s="23"/>
      <c r="AI102" s="23"/>
      <c r="AJ102" s="24"/>
      <c r="AK102" s="24"/>
      <c r="AL102" s="25"/>
      <c r="AM102" s="25"/>
      <c r="AN102" s="379"/>
      <c r="AO102" s="380"/>
      <c r="AP102" s="30"/>
      <c r="AQ102" s="45">
        <v>2931134847.0043802</v>
      </c>
      <c r="AR102" s="49">
        <v>2254.1853324818899</v>
      </c>
      <c r="AS102" s="29" t="e">
        <f>(#REF!/AQ102)-1</f>
        <v>#REF!</v>
      </c>
      <c r="AT102" s="29" t="e">
        <f>(#REF!/AR102)-1</f>
        <v>#REF!</v>
      </c>
    </row>
    <row r="103" spans="1:46">
      <c r="A103" s="201" t="s">
        <v>147</v>
      </c>
      <c r="B103" s="324">
        <v>677681666.59000003</v>
      </c>
      <c r="C103" s="325">
        <v>75373.73</v>
      </c>
      <c r="D103" s="324">
        <v>688560395.04999995</v>
      </c>
      <c r="E103" s="325">
        <v>76580.98</v>
      </c>
      <c r="F103" s="23">
        <f t="shared" ref="F103:F111" si="104">((D103-B103)/B103)</f>
        <v>1.605285932367061E-2</v>
      </c>
      <c r="G103" s="23">
        <f t="shared" ref="G103:G111" si="105">((E103-C103)/C103)</f>
        <v>1.6016853617301412E-2</v>
      </c>
      <c r="H103" s="324">
        <v>688495589.79999995</v>
      </c>
      <c r="I103" s="325">
        <v>76576.89</v>
      </c>
      <c r="J103" s="23">
        <f t="shared" ref="J103:J110" si="106">((H103-D103)/D103)</f>
        <v>-9.4117016409713995E-5</v>
      </c>
      <c r="K103" s="23">
        <f t="shared" ref="K103:K110" si="107">((I103-E103)/E103)</f>
        <v>-5.3407517114517309E-5</v>
      </c>
      <c r="L103" s="324">
        <v>681789226.86000001</v>
      </c>
      <c r="M103" s="325">
        <v>75832.69</v>
      </c>
      <c r="N103" s="23">
        <f t="shared" ref="N103:N110" si="108">((L103-H103)/H103)</f>
        <v>-9.7406040639244455E-3</v>
      </c>
      <c r="O103" s="23">
        <f t="shared" ref="O103:O110" si="109">((M103-I103)/I103)</f>
        <v>-9.7183366940077759E-3</v>
      </c>
      <c r="P103" s="324">
        <v>668012229.20000005</v>
      </c>
      <c r="Q103" s="325">
        <v>74298.720000000001</v>
      </c>
      <c r="R103" s="23">
        <f t="shared" ref="R103:R110" si="110">((P103-L103)/L103)</f>
        <v>-2.0207121375986428E-2</v>
      </c>
      <c r="S103" s="23">
        <f t="shared" ref="S103:S110" si="111">((Q103-M103)/M103)</f>
        <v>-2.0228347431694708E-2</v>
      </c>
      <c r="T103" s="324">
        <v>674352710.44000006</v>
      </c>
      <c r="U103" s="325">
        <v>75004.95</v>
      </c>
      <c r="V103" s="23">
        <f t="shared" ref="V103:V110" si="112">((T103-P103)/P103)</f>
        <v>9.4915646193981518E-3</v>
      </c>
      <c r="W103" s="23">
        <f t="shared" ref="W103:W110" si="113">((U103-Q103)/Q103)</f>
        <v>9.5052781528402637E-3</v>
      </c>
      <c r="X103" s="324">
        <v>672936206.42999995</v>
      </c>
      <c r="Y103" s="325">
        <v>74596.75</v>
      </c>
      <c r="Z103" s="23">
        <f t="shared" ref="Z103:Z110" si="114">((X103-T103)/T103)</f>
        <v>-2.1005387656496148E-3</v>
      </c>
      <c r="AA103" s="23">
        <f t="shared" ref="AA103:AA110" si="115">((Y103-U103)/U103)</f>
        <v>-5.4423074743733197E-3</v>
      </c>
      <c r="AB103" s="324">
        <v>673096089.04999995</v>
      </c>
      <c r="AC103" s="325">
        <v>74611.89</v>
      </c>
      <c r="AD103" s="23">
        <f t="shared" ref="AD103:AD110" si="116">((AB103-X103)/X103)</f>
        <v>2.3758956417013066E-4</v>
      </c>
      <c r="AE103" s="23">
        <f t="shared" ref="AE103:AE110" si="117">((AC103-Y103)/Y103)</f>
        <v>2.0295790366201501E-4</v>
      </c>
      <c r="AF103" s="324">
        <v>672734839.11000001</v>
      </c>
      <c r="AG103" s="325">
        <v>74574.039999999994</v>
      </c>
      <c r="AH103" s="23">
        <f t="shared" ref="AH103:AH110" si="118">((AF103-AB103)/AB103)</f>
        <v>-5.3669891398388896E-4</v>
      </c>
      <c r="AI103" s="23">
        <f t="shared" ref="AI103:AI110" si="119">((AG103-AC103)/AC103)</f>
        <v>-5.0729180027480638E-4</v>
      </c>
      <c r="AJ103" s="24">
        <f t="shared" si="73"/>
        <v>-8.6213332858939989E-4</v>
      </c>
      <c r="AK103" s="24">
        <f t="shared" si="74"/>
        <v>-1.2780751554576793E-3</v>
      </c>
      <c r="AL103" s="25">
        <f t="shared" si="75"/>
        <v>-2.298354081031739E-2</v>
      </c>
      <c r="AM103" s="25">
        <f t="shared" si="76"/>
        <v>-2.6206768312445238E-2</v>
      </c>
      <c r="AN103" s="379">
        <f t="shared" si="77"/>
        <v>1.1018235779559071E-2</v>
      </c>
      <c r="AO103" s="380">
        <f t="shared" si="78"/>
        <v>1.1131228498467583E-2</v>
      </c>
      <c r="AP103" s="30"/>
      <c r="AQ103" s="51">
        <v>1131224777.76</v>
      </c>
      <c r="AR103" s="52">
        <v>0.6573</v>
      </c>
      <c r="AS103" s="29" t="e">
        <f>(#REF!/AQ103)-1</f>
        <v>#REF!</v>
      </c>
      <c r="AT103" s="29" t="e">
        <f>(#REF!/AR103)-1</f>
        <v>#REF!</v>
      </c>
    </row>
    <row r="104" spans="1:46">
      <c r="A104" s="201" t="s">
        <v>225</v>
      </c>
      <c r="B104" s="325">
        <f>6236706.83*770.89</f>
        <v>4807814928.1787004</v>
      </c>
      <c r="C104" s="324">
        <f>127.87*770.89</f>
        <v>98573.704299999998</v>
      </c>
      <c r="D104" s="325">
        <f>6264714.35*759.9</f>
        <v>4760556434.5649996</v>
      </c>
      <c r="E104" s="324">
        <f>127.97*759.9</f>
        <v>97244.402999999991</v>
      </c>
      <c r="F104" s="23">
        <f t="shared" si="104"/>
        <v>-9.829515969243717E-3</v>
      </c>
      <c r="G104" s="23">
        <f t="shared" si="105"/>
        <v>-1.3485354024582461E-2</v>
      </c>
      <c r="H104" s="325">
        <f>6089963.97*750.62</f>
        <v>4571248755.1613998</v>
      </c>
      <c r="I104" s="324">
        <f>128.06*750.62</f>
        <v>96124.397200000007</v>
      </c>
      <c r="J104" s="23">
        <f t="shared" si="106"/>
        <v>-3.9765872331455288E-2</v>
      </c>
      <c r="K104" s="23">
        <f t="shared" si="107"/>
        <v>-1.1517432010971208E-2</v>
      </c>
      <c r="L104" s="325">
        <f>6386795.13*747.45</f>
        <v>4773810019.9184999</v>
      </c>
      <c r="M104" s="324">
        <f>128.14*747.45</f>
        <v>95778.243000000002</v>
      </c>
      <c r="N104" s="23">
        <f t="shared" si="108"/>
        <v>4.4312019670421143E-2</v>
      </c>
      <c r="O104" s="23">
        <f t="shared" si="109"/>
        <v>-3.6011065877457017E-3</v>
      </c>
      <c r="P104" s="325">
        <f>6227839.81*744.64</f>
        <v>4637498636.1183996</v>
      </c>
      <c r="Q104" s="324">
        <f>128.26*744.64</f>
        <v>95507.526399999988</v>
      </c>
      <c r="R104" s="23">
        <f t="shared" si="110"/>
        <v>-2.8554002616641094E-2</v>
      </c>
      <c r="S104" s="23">
        <f t="shared" si="111"/>
        <v>-2.8264936954420254E-3</v>
      </c>
      <c r="T104" s="325">
        <f>6350953.74*774.896</f>
        <v>4921328649.3110399</v>
      </c>
      <c r="U104" s="324">
        <f>128.37*774.896</f>
        <v>99473.399519999992</v>
      </c>
      <c r="V104" s="23">
        <f t="shared" si="112"/>
        <v>6.1203255345904942E-2</v>
      </c>
      <c r="W104" s="23">
        <f t="shared" si="113"/>
        <v>4.1524194683781532E-2</v>
      </c>
      <c r="X104" s="325">
        <f>6398890.84*740.99</f>
        <v>4741514123.5316</v>
      </c>
      <c r="Y104" s="324">
        <f>128.46*740.99</f>
        <v>95187.575400000002</v>
      </c>
      <c r="Z104" s="23">
        <f t="shared" si="114"/>
        <v>-3.6537800783658904E-2</v>
      </c>
      <c r="AA104" s="23">
        <f t="shared" si="115"/>
        <v>-4.3085127689219953E-2</v>
      </c>
      <c r="AB104" s="325">
        <f>6391499.36 *738.543</f>
        <v>4720397111.8324804</v>
      </c>
      <c r="AC104" s="324">
        <f>128.61*738.543</f>
        <v>94984.015230000005</v>
      </c>
      <c r="AD104" s="23">
        <f t="shared" si="116"/>
        <v>-4.4536431082885988E-3</v>
      </c>
      <c r="AE104" s="23">
        <f t="shared" si="117"/>
        <v>-2.1385161786566212E-3</v>
      </c>
      <c r="AF104" s="325">
        <f>6230681.97 *760.932</f>
        <v>4741125292.7960396</v>
      </c>
      <c r="AG104" s="324">
        <f>128.68*760.932</f>
        <v>97916.729760000002</v>
      </c>
      <c r="AH104" s="23">
        <f t="shared" si="118"/>
        <v>4.3911943153258082E-3</v>
      </c>
      <c r="AI104" s="23">
        <f t="shared" si="119"/>
        <v>3.0875874460545242E-2</v>
      </c>
      <c r="AJ104" s="24">
        <f t="shared" si="73"/>
        <v>-1.1542956847044635E-3</v>
      </c>
      <c r="AK104" s="24">
        <f t="shared" si="74"/>
        <v>-5.3174513028640029E-4</v>
      </c>
      <c r="AL104" s="25">
        <f t="shared" si="75"/>
        <v>-4.0816954984245531E-3</v>
      </c>
      <c r="AM104" s="25">
        <f t="shared" si="76"/>
        <v>6.9137836138498466E-3</v>
      </c>
      <c r="AN104" s="379">
        <f t="shared" si="77"/>
        <v>3.696743320902425E-2</v>
      </c>
      <c r="AO104" s="380">
        <f t="shared" si="78"/>
        <v>2.3366024944349782E-2</v>
      </c>
      <c r="AP104" s="30"/>
      <c r="AQ104" s="28">
        <v>318569106.36000001</v>
      </c>
      <c r="AR104" s="35">
        <v>123.8</v>
      </c>
      <c r="AS104" s="29" t="e">
        <f>(#REF!/AQ104)-1</f>
        <v>#REF!</v>
      </c>
      <c r="AT104" s="29" t="e">
        <f>(#REF!/AR104)-1</f>
        <v>#REF!</v>
      </c>
    </row>
    <row r="105" spans="1:46">
      <c r="A105" s="201" t="s">
        <v>141</v>
      </c>
      <c r="B105" s="324">
        <v>8087859468.0600004</v>
      </c>
      <c r="C105" s="324">
        <v>87325.85</v>
      </c>
      <c r="D105" s="324">
        <v>8002952093.6800003</v>
      </c>
      <c r="E105" s="324">
        <v>86382.95</v>
      </c>
      <c r="F105" s="23">
        <f t="shared" si="104"/>
        <v>-1.0498126817770546E-2</v>
      </c>
      <c r="G105" s="23">
        <f t="shared" si="105"/>
        <v>-1.0797490090276919E-2</v>
      </c>
      <c r="H105" s="324">
        <v>8129253672.9700003</v>
      </c>
      <c r="I105" s="324">
        <v>87371.78</v>
      </c>
      <c r="J105" s="23">
        <f t="shared" si="106"/>
        <v>1.5781873715043401E-2</v>
      </c>
      <c r="K105" s="23">
        <f t="shared" si="107"/>
        <v>1.1447050604314876E-2</v>
      </c>
      <c r="L105" s="324">
        <v>8491652781.9700003</v>
      </c>
      <c r="M105" s="324">
        <v>88010.14</v>
      </c>
      <c r="N105" s="23">
        <f t="shared" si="108"/>
        <v>4.4579628534042105E-2</v>
      </c>
      <c r="O105" s="23">
        <f t="shared" si="109"/>
        <v>7.3062492260086796E-3</v>
      </c>
      <c r="P105" s="324">
        <v>8017841578.04</v>
      </c>
      <c r="Q105" s="324">
        <v>83388.28</v>
      </c>
      <c r="R105" s="23">
        <f t="shared" si="110"/>
        <v>-5.579728894898122E-2</v>
      </c>
      <c r="S105" s="23">
        <f t="shared" si="111"/>
        <v>-5.2515085193592471E-2</v>
      </c>
      <c r="T105" s="324">
        <v>8364212902.8299999</v>
      </c>
      <c r="U105" s="324">
        <v>87116.08</v>
      </c>
      <c r="V105" s="23">
        <f t="shared" si="112"/>
        <v>4.3200070919170254E-2</v>
      </c>
      <c r="W105" s="23">
        <f t="shared" si="113"/>
        <v>4.4704123888872668E-2</v>
      </c>
      <c r="X105" s="324">
        <v>8255659546.5699997</v>
      </c>
      <c r="Y105" s="324">
        <v>86193.86</v>
      </c>
      <c r="Z105" s="23">
        <f t="shared" si="114"/>
        <v>-1.2978310992451138E-2</v>
      </c>
      <c r="AA105" s="23">
        <f t="shared" si="115"/>
        <v>-1.0586105343582966E-2</v>
      </c>
      <c r="AB105" s="324">
        <v>7955322496.5299997</v>
      </c>
      <c r="AC105" s="324">
        <v>83333.820000000007</v>
      </c>
      <c r="AD105" s="23">
        <f t="shared" si="116"/>
        <v>-3.6379534348019688E-2</v>
      </c>
      <c r="AE105" s="23">
        <f t="shared" si="117"/>
        <v>-3.3181481836409156E-2</v>
      </c>
      <c r="AF105" s="324">
        <v>8458101147.6000004</v>
      </c>
      <c r="AG105" s="324">
        <v>88342.8</v>
      </c>
      <c r="AH105" s="23">
        <f t="shared" si="118"/>
        <v>6.3200285254218877E-2</v>
      </c>
      <c r="AI105" s="23">
        <f t="shared" si="119"/>
        <v>6.0107408972731542E-2</v>
      </c>
      <c r="AJ105" s="24">
        <f t="shared" si="73"/>
        <v>6.3885746644065048E-3</v>
      </c>
      <c r="AK105" s="24">
        <f t="shared" si="74"/>
        <v>2.0605837785082817E-3</v>
      </c>
      <c r="AL105" s="25">
        <f t="shared" si="75"/>
        <v>5.6872645067991244E-2</v>
      </c>
      <c r="AM105" s="25">
        <f t="shared" si="76"/>
        <v>2.2687926263226781E-2</v>
      </c>
      <c r="AN105" s="379">
        <f t="shared" si="77"/>
        <v>4.2233833945612129E-2</v>
      </c>
      <c r="AO105" s="380">
        <f t="shared" si="78"/>
        <v>3.8203846630570713E-2</v>
      </c>
      <c r="AP105" s="30"/>
      <c r="AQ105" s="28">
        <v>1812522091.8199999</v>
      </c>
      <c r="AR105" s="32">
        <v>1.6227</v>
      </c>
      <c r="AS105" s="29" t="e">
        <f>(#REF!/AQ105)-1</f>
        <v>#REF!</v>
      </c>
      <c r="AT105" s="29" t="e">
        <f>(#REF!/AR105)-1</f>
        <v>#REF!</v>
      </c>
    </row>
    <row r="106" spans="1:46">
      <c r="A106" s="201" t="s">
        <v>152</v>
      </c>
      <c r="B106" s="324">
        <v>2824812401.1299057</v>
      </c>
      <c r="C106" s="324">
        <v>900.49476816554886</v>
      </c>
      <c r="D106" s="324">
        <v>2747907346.4821548</v>
      </c>
      <c r="E106" s="324">
        <v>871.58520673566431</v>
      </c>
      <c r="F106" s="23">
        <f t="shared" si="104"/>
        <v>-2.7224836104864647E-2</v>
      </c>
      <c r="G106" s="23">
        <f t="shared" si="105"/>
        <v>-3.2104085944638996E-2</v>
      </c>
      <c r="H106" s="324">
        <v>2847060291.9544473</v>
      </c>
      <c r="I106" s="324">
        <v>906.73512641579941</v>
      </c>
      <c r="J106" s="23">
        <f t="shared" si="106"/>
        <v>3.6083074489111536E-2</v>
      </c>
      <c r="K106" s="23">
        <f t="shared" si="107"/>
        <v>4.0328724499331045E-2</v>
      </c>
      <c r="L106" s="324">
        <v>2866575892.1103539</v>
      </c>
      <c r="M106" s="324">
        <v>910.9718833818996</v>
      </c>
      <c r="N106" s="23">
        <f t="shared" si="108"/>
        <v>6.8546494119060709E-3</v>
      </c>
      <c r="O106" s="23">
        <f t="shared" si="109"/>
        <v>4.6725409027082825E-3</v>
      </c>
      <c r="P106" s="324">
        <v>2846604740.8251896</v>
      </c>
      <c r="Q106" s="324">
        <v>902.22400876050983</v>
      </c>
      <c r="R106" s="23">
        <f t="shared" si="110"/>
        <v>-6.966901291583014E-3</v>
      </c>
      <c r="S106" s="23">
        <f t="shared" si="111"/>
        <v>-9.6027932156523728E-3</v>
      </c>
      <c r="T106" s="324">
        <v>2791742295.4366288</v>
      </c>
      <c r="U106" s="324">
        <v>906.25317687242205</v>
      </c>
      <c r="V106" s="23">
        <f t="shared" si="112"/>
        <v>-1.9272941059128898E-2</v>
      </c>
      <c r="W106" s="23">
        <f t="shared" si="113"/>
        <v>4.4658178820219498E-3</v>
      </c>
      <c r="X106" s="324">
        <v>2800355950.5205216</v>
      </c>
      <c r="Y106" s="324">
        <v>898.26591436851902</v>
      </c>
      <c r="Z106" s="23">
        <f t="shared" si="114"/>
        <v>3.0854048018589216E-3</v>
      </c>
      <c r="AA106" s="23">
        <f t="shared" si="115"/>
        <v>-8.8135001429379082E-3</v>
      </c>
      <c r="AB106" s="324">
        <v>2793496709.4538999</v>
      </c>
      <c r="AC106" s="324">
        <v>907.47575420768203</v>
      </c>
      <c r="AD106" s="23">
        <f t="shared" si="116"/>
        <v>-2.4494175697010252E-3</v>
      </c>
      <c r="AE106" s="23">
        <f t="shared" si="117"/>
        <v>1.025291029286971E-2</v>
      </c>
      <c r="AF106" s="324">
        <v>2827593382.9012799</v>
      </c>
      <c r="AG106" s="324">
        <v>913.06060057854904</v>
      </c>
      <c r="AH106" s="23">
        <f t="shared" si="118"/>
        <v>1.2205732454234971E-2</v>
      </c>
      <c r="AI106" s="23">
        <f t="shared" si="119"/>
        <v>6.1542651084305249E-3</v>
      </c>
      <c r="AJ106" s="24">
        <f t="shared" si="73"/>
        <v>2.8934564147923918E-4</v>
      </c>
      <c r="AK106" s="24">
        <f t="shared" si="74"/>
        <v>1.9192349227665291E-3</v>
      </c>
      <c r="AL106" s="25">
        <f t="shared" si="75"/>
        <v>2.8998807591216057E-2</v>
      </c>
      <c r="AM106" s="25">
        <f t="shared" si="76"/>
        <v>4.7586160850781226E-2</v>
      </c>
      <c r="AN106" s="379">
        <f t="shared" si="77"/>
        <v>1.9544745956480369E-2</v>
      </c>
      <c r="AO106" s="380">
        <f t="shared" si="78"/>
        <v>2.0926996951609884E-2</v>
      </c>
      <c r="AP106" s="30"/>
      <c r="AQ106" s="28"/>
      <c r="AR106" s="32"/>
      <c r="AS106" s="29"/>
      <c r="AT106" s="29"/>
    </row>
    <row r="107" spans="1:46" ht="16.5" customHeight="1">
      <c r="A107" s="201" t="s">
        <v>190</v>
      </c>
      <c r="B107" s="325">
        <v>7899646733.8199997</v>
      </c>
      <c r="C107" s="324">
        <f>1.0235*770.89</f>
        <v>789.00591500000007</v>
      </c>
      <c r="D107" s="325">
        <v>7899646733.8199997</v>
      </c>
      <c r="E107" s="324">
        <f>0.9988*759.9</f>
        <v>758.98811999999998</v>
      </c>
      <c r="F107" s="23">
        <f t="shared" si="104"/>
        <v>0</v>
      </c>
      <c r="G107" s="23">
        <f t="shared" si="105"/>
        <v>-3.8045082336296665E-2</v>
      </c>
      <c r="H107" s="325">
        <v>8087357844.3699999</v>
      </c>
      <c r="I107" s="324">
        <f>1.0005*750.62</f>
        <v>750.99531000000002</v>
      </c>
      <c r="J107" s="23">
        <f t="shared" si="106"/>
        <v>2.3761962638958349E-2</v>
      </c>
      <c r="K107" s="23">
        <f t="shared" si="107"/>
        <v>-1.0530876293557747E-2</v>
      </c>
      <c r="L107" s="325">
        <v>7949567517.1199999</v>
      </c>
      <c r="M107" s="324">
        <f>1.0005*747.45</f>
        <v>747.82372499999997</v>
      </c>
      <c r="N107" s="23">
        <f t="shared" si="108"/>
        <v>-1.7037743339862535E-2</v>
      </c>
      <c r="O107" s="23">
        <f t="shared" si="109"/>
        <v>-4.2231755082465829E-3</v>
      </c>
      <c r="P107" s="325">
        <v>7823928079.6199999</v>
      </c>
      <c r="Q107" s="324">
        <f>1.004*744.64</f>
        <v>747.61856</v>
      </c>
      <c r="R107" s="23">
        <f t="shared" si="110"/>
        <v>-1.5804562604119769E-2</v>
      </c>
      <c r="S107" s="23">
        <f t="shared" si="111"/>
        <v>-2.7434941302506203E-4</v>
      </c>
      <c r="T107" s="325">
        <v>7877208560.4200001</v>
      </c>
      <c r="U107" s="324">
        <f>1.0058*774.896</f>
        <v>779.39039679999996</v>
      </c>
      <c r="V107" s="23">
        <f t="shared" si="112"/>
        <v>6.8099400017219954E-3</v>
      </c>
      <c r="W107" s="23">
        <f t="shared" si="113"/>
        <v>4.2497389042882992E-2</v>
      </c>
      <c r="X107" s="325">
        <v>7909154771.3999996</v>
      </c>
      <c r="Y107" s="324">
        <f>1.0073*740.99</f>
        <v>746.39922700000011</v>
      </c>
      <c r="Z107" s="23">
        <f t="shared" si="114"/>
        <v>4.0555243313624059E-3</v>
      </c>
      <c r="AA107" s="23">
        <f t="shared" si="115"/>
        <v>-4.2329453808327776E-2</v>
      </c>
      <c r="AB107" s="325">
        <v>7914360940.9399996</v>
      </c>
      <c r="AC107" s="324">
        <f>1.009*738.543</f>
        <v>745.18988699999989</v>
      </c>
      <c r="AD107" s="23">
        <f t="shared" si="116"/>
        <v>6.5824600611253661E-4</v>
      </c>
      <c r="AE107" s="23">
        <f t="shared" si="117"/>
        <v>-1.6202321174164675E-3</v>
      </c>
      <c r="AF107" s="325">
        <v>7951502375.8199997</v>
      </c>
      <c r="AG107" s="324">
        <f>1.0109*760.932</f>
        <v>769.22615879999989</v>
      </c>
      <c r="AH107" s="23">
        <f t="shared" si="118"/>
        <v>4.6929164789379415E-3</v>
      </c>
      <c r="AI107" s="23">
        <f t="shared" si="119"/>
        <v>3.2255230806695061E-2</v>
      </c>
      <c r="AJ107" s="24">
        <f t="shared" si="73"/>
        <v>8.9203543913886547E-4</v>
      </c>
      <c r="AK107" s="24">
        <f t="shared" si="74"/>
        <v>-2.7838187034115308E-3</v>
      </c>
      <c r="AL107" s="25">
        <f t="shared" si="75"/>
        <v>6.564298853769677E-3</v>
      </c>
      <c r="AM107" s="25">
        <f t="shared" si="76"/>
        <v>1.3489063307077736E-2</v>
      </c>
      <c r="AN107" s="379">
        <f t="shared" si="77"/>
        <v>1.3003369130413651E-2</v>
      </c>
      <c r="AO107" s="380">
        <f t="shared" si="78"/>
        <v>2.6425861752621058E-2</v>
      </c>
      <c r="AP107" s="30"/>
      <c r="AQ107" s="28"/>
      <c r="AR107" s="32"/>
      <c r="AS107" s="29"/>
      <c r="AT107" s="29"/>
    </row>
    <row r="108" spans="1:46">
      <c r="A108" s="201" t="s">
        <v>160</v>
      </c>
      <c r="B108" s="324">
        <v>192207387.99000001</v>
      </c>
      <c r="C108" s="324">
        <v>777.82</v>
      </c>
      <c r="D108" s="324">
        <v>194995623.19999999</v>
      </c>
      <c r="E108" s="324">
        <v>775.76</v>
      </c>
      <c r="F108" s="23">
        <f t="shared" si="104"/>
        <v>1.4506389370137231E-2</v>
      </c>
      <c r="G108" s="23">
        <f t="shared" si="105"/>
        <v>-2.6484276567844216E-3</v>
      </c>
      <c r="H108" s="324">
        <v>185549914.19999999</v>
      </c>
      <c r="I108" s="324">
        <v>743.07</v>
      </c>
      <c r="J108" s="23">
        <f t="shared" si="106"/>
        <v>-4.8440620589272801E-2</v>
      </c>
      <c r="K108" s="23">
        <f t="shared" si="107"/>
        <v>-4.2139321439620424E-2</v>
      </c>
      <c r="L108" s="324">
        <v>183232853.19999999</v>
      </c>
      <c r="M108" s="324">
        <v>740.4</v>
      </c>
      <c r="N108" s="23">
        <f t="shared" si="108"/>
        <v>-1.2487534742282301E-2</v>
      </c>
      <c r="O108" s="23">
        <f t="shared" si="109"/>
        <v>-3.5932011788930686E-3</v>
      </c>
      <c r="P108" s="324">
        <v>179264787.66</v>
      </c>
      <c r="Q108" s="324">
        <v>739.52</v>
      </c>
      <c r="R108" s="23">
        <f t="shared" si="110"/>
        <v>-2.1655862858113221E-2</v>
      </c>
      <c r="S108" s="23">
        <f t="shared" si="111"/>
        <v>-1.1885467314964823E-3</v>
      </c>
      <c r="T108" s="324">
        <v>190662090.37</v>
      </c>
      <c r="U108" s="324">
        <v>778.42</v>
      </c>
      <c r="V108" s="23">
        <f t="shared" si="112"/>
        <v>6.357803369402662E-2</v>
      </c>
      <c r="W108" s="23">
        <f t="shared" si="113"/>
        <v>5.2601687581133677E-2</v>
      </c>
      <c r="X108" s="324">
        <v>186164369.91999999</v>
      </c>
      <c r="Y108" s="324">
        <v>763.58</v>
      </c>
      <c r="Z108" s="23">
        <f t="shared" si="114"/>
        <v>-2.3590009116504045E-2</v>
      </c>
      <c r="AA108" s="23">
        <f t="shared" si="115"/>
        <v>-1.9064258369517636E-2</v>
      </c>
      <c r="AB108" s="324">
        <v>175637274.08000001</v>
      </c>
      <c r="AC108" s="324">
        <v>722.39</v>
      </c>
      <c r="AD108" s="23">
        <f t="shared" si="116"/>
        <v>-5.6547318074472358E-2</v>
      </c>
      <c r="AE108" s="23">
        <f t="shared" si="117"/>
        <v>-5.3943267241153579E-2</v>
      </c>
      <c r="AF108" s="324">
        <v>184186175.25999999</v>
      </c>
      <c r="AG108" s="324">
        <v>756.91</v>
      </c>
      <c r="AH108" s="23">
        <f t="shared" si="118"/>
        <v>4.8673615693364085E-2</v>
      </c>
      <c r="AI108" s="23">
        <f t="shared" si="119"/>
        <v>4.77858220628746E-2</v>
      </c>
      <c r="AJ108" s="24">
        <f t="shared" si="73"/>
        <v>-4.4954133278895985E-3</v>
      </c>
      <c r="AK108" s="24">
        <f t="shared" si="74"/>
        <v>-2.7736891216821671E-3</v>
      </c>
      <c r="AL108" s="25">
        <f t="shared" si="75"/>
        <v>-5.5434310589182488E-2</v>
      </c>
      <c r="AM108" s="25">
        <f t="shared" si="76"/>
        <v>-2.4298752191399431E-2</v>
      </c>
      <c r="AN108" s="379">
        <f t="shared" si="77"/>
        <v>4.3401035195667299E-2</v>
      </c>
      <c r="AO108" s="380">
        <f t="shared" si="78"/>
        <v>3.8078340940558189E-2</v>
      </c>
      <c r="AP108" s="30"/>
      <c r="AQ108" s="28"/>
      <c r="AR108" s="32"/>
      <c r="AS108" s="29"/>
      <c r="AT108" s="29"/>
    </row>
    <row r="109" spans="1:46" s="287" customFormat="1">
      <c r="A109" s="201" t="s">
        <v>93</v>
      </c>
      <c r="B109" s="325">
        <v>341503251786.06</v>
      </c>
      <c r="C109" s="324">
        <v>1102.95</v>
      </c>
      <c r="D109" s="325">
        <v>343173893112.28003</v>
      </c>
      <c r="E109" s="324">
        <v>1101.58</v>
      </c>
      <c r="F109" s="23">
        <f t="shared" si="104"/>
        <v>4.8920217230219261E-3</v>
      </c>
      <c r="G109" s="23">
        <f t="shared" si="105"/>
        <v>-1.2421233963462697E-3</v>
      </c>
      <c r="H109" s="325">
        <v>332338411238.46997</v>
      </c>
      <c r="I109" s="324">
        <v>1056.57</v>
      </c>
      <c r="J109" s="23">
        <f t="shared" si="106"/>
        <v>-3.1574318709217467E-2</v>
      </c>
      <c r="K109" s="23">
        <f t="shared" si="107"/>
        <v>-4.085949272862615E-2</v>
      </c>
      <c r="L109" s="325">
        <v>332263166216.25</v>
      </c>
      <c r="M109" s="324">
        <v>1054.54</v>
      </c>
      <c r="N109" s="23">
        <f t="shared" si="108"/>
        <v>-2.2641085013185103E-4</v>
      </c>
      <c r="O109" s="23">
        <f t="shared" si="109"/>
        <v>-1.9213114133469367E-3</v>
      </c>
      <c r="P109" s="325">
        <v>332777000731.61279</v>
      </c>
      <c r="Q109" s="324">
        <v>1057.5136</v>
      </c>
      <c r="R109" s="23">
        <f t="shared" si="110"/>
        <v>1.5464684852499395E-3</v>
      </c>
      <c r="S109" s="23">
        <f t="shared" si="111"/>
        <v>2.8198076886604899E-3</v>
      </c>
      <c r="T109" s="325">
        <v>352113421306.75</v>
      </c>
      <c r="U109" s="324">
        <v>1111.43</v>
      </c>
      <c r="V109" s="23">
        <f t="shared" si="112"/>
        <v>5.8106240913963221E-2</v>
      </c>
      <c r="W109" s="23">
        <f t="shared" si="113"/>
        <v>5.0984119731415339E-2</v>
      </c>
      <c r="X109" s="325">
        <v>336697805631.02002</v>
      </c>
      <c r="Y109" s="324">
        <v>1057.1099999999999</v>
      </c>
      <c r="Z109" s="23">
        <f t="shared" si="114"/>
        <v>-4.3780255857672597E-2</v>
      </c>
      <c r="AA109" s="23">
        <f t="shared" si="115"/>
        <v>-4.8873973169700442E-2</v>
      </c>
      <c r="AB109" s="325">
        <v>329475987402.97998</v>
      </c>
      <c r="AC109" s="324">
        <v>1034.3900000000001</v>
      </c>
      <c r="AD109" s="23">
        <f t="shared" si="116"/>
        <v>-2.1448961375038707E-2</v>
      </c>
      <c r="AE109" s="23">
        <f t="shared" si="117"/>
        <v>-2.1492559903888719E-2</v>
      </c>
      <c r="AF109" s="325">
        <v>346417854999.15997</v>
      </c>
      <c r="AG109" s="324">
        <v>1085.33</v>
      </c>
      <c r="AH109" s="23">
        <f t="shared" si="118"/>
        <v>5.142064442911435E-2</v>
      </c>
      <c r="AI109" s="23">
        <f t="shared" si="119"/>
        <v>4.924641576194648E-2</v>
      </c>
      <c r="AJ109" s="24">
        <f t="shared" si="73"/>
        <v>2.3669285949111029E-3</v>
      </c>
      <c r="AK109" s="24">
        <f t="shared" si="74"/>
        <v>-1.4173896787357757E-3</v>
      </c>
      <c r="AL109" s="25">
        <f t="shared" si="75"/>
        <v>9.4528224669426716E-3</v>
      </c>
      <c r="AM109" s="25">
        <f t="shared" si="76"/>
        <v>-1.4751538698959676E-2</v>
      </c>
      <c r="AN109" s="379">
        <f t="shared" si="77"/>
        <v>3.6597580230391398E-2</v>
      </c>
      <c r="AO109" s="380">
        <f t="shared" si="78"/>
        <v>3.7352075662679833E-2</v>
      </c>
      <c r="AP109" s="30"/>
      <c r="AQ109" s="28"/>
      <c r="AR109" s="32"/>
      <c r="AS109" s="29"/>
      <c r="AT109" s="29"/>
    </row>
    <row r="110" spans="1:46" s="355" customFormat="1">
      <c r="A110" s="201" t="s">
        <v>248</v>
      </c>
      <c r="B110" s="325">
        <v>9925697472.1100006</v>
      </c>
      <c r="C110" s="325">
        <v>814.14</v>
      </c>
      <c r="D110" s="325">
        <v>9914664897.4099998</v>
      </c>
      <c r="E110" s="325">
        <v>813.23</v>
      </c>
      <c r="F110" s="23">
        <f t="shared" si="104"/>
        <v>-1.1115163172160901E-3</v>
      </c>
      <c r="G110" s="23">
        <f t="shared" si="105"/>
        <v>-1.1177438769744371E-3</v>
      </c>
      <c r="H110" s="325">
        <v>9845121557.3199997</v>
      </c>
      <c r="I110" s="325">
        <v>780.07</v>
      </c>
      <c r="J110" s="23">
        <f t="shared" si="106"/>
        <v>-7.0141896684946864E-3</v>
      </c>
      <c r="K110" s="23">
        <f t="shared" si="107"/>
        <v>-4.0775672319024098E-2</v>
      </c>
      <c r="L110" s="325">
        <v>11484235217.690001</v>
      </c>
      <c r="M110" s="325">
        <v>778.59</v>
      </c>
      <c r="N110" s="23">
        <f t="shared" si="108"/>
        <v>0.1664899362417008</v>
      </c>
      <c r="O110" s="23">
        <f t="shared" si="109"/>
        <v>-1.8972656300075867E-3</v>
      </c>
      <c r="P110" s="325">
        <v>11501206043.23</v>
      </c>
      <c r="Q110" s="325">
        <v>778.71</v>
      </c>
      <c r="R110" s="23">
        <f t="shared" si="110"/>
        <v>1.4777497341623249E-3</v>
      </c>
      <c r="S110" s="23">
        <f t="shared" si="111"/>
        <v>1.5412476399646096E-4</v>
      </c>
      <c r="T110" s="325">
        <v>12190551597.889999</v>
      </c>
      <c r="U110" s="325">
        <v>820.45</v>
      </c>
      <c r="V110" s="23">
        <f t="shared" si="112"/>
        <v>5.9936805937475753E-2</v>
      </c>
      <c r="W110" s="23">
        <f t="shared" si="113"/>
        <v>5.3601469096325981E-2</v>
      </c>
      <c r="X110" s="325">
        <v>11802328258.219999</v>
      </c>
      <c r="Y110" s="325">
        <v>781.25</v>
      </c>
      <c r="Z110" s="23">
        <f t="shared" si="114"/>
        <v>-3.1846248838911906E-2</v>
      </c>
      <c r="AA110" s="23">
        <f t="shared" si="115"/>
        <v>-4.7778658053507277E-2</v>
      </c>
      <c r="AB110" s="325">
        <v>11867891184.09</v>
      </c>
      <c r="AC110" s="325">
        <v>778.02</v>
      </c>
      <c r="AD110" s="23">
        <f t="shared" si="116"/>
        <v>5.55508408473032E-3</v>
      </c>
      <c r="AE110" s="23">
        <f t="shared" si="117"/>
        <v>-4.1344000000000233E-3</v>
      </c>
      <c r="AF110" s="325">
        <v>13368437385.360001</v>
      </c>
      <c r="AG110" s="325">
        <v>800.21</v>
      </c>
      <c r="AH110" s="23">
        <f t="shared" si="118"/>
        <v>0.12643747553749235</v>
      </c>
      <c r="AI110" s="23">
        <f t="shared" si="119"/>
        <v>2.8521117709056392E-2</v>
      </c>
      <c r="AJ110" s="24">
        <f t="shared" si="73"/>
        <v>3.9990637088867353E-2</v>
      </c>
      <c r="AK110" s="24">
        <f t="shared" si="74"/>
        <v>-1.6783785387668236E-3</v>
      </c>
      <c r="AL110" s="25">
        <f t="shared" si="75"/>
        <v>0.34834989620801277</v>
      </c>
      <c r="AM110" s="25">
        <f t="shared" si="76"/>
        <v>-1.601023080801247E-2</v>
      </c>
      <c r="AN110" s="379">
        <f t="shared" si="77"/>
        <v>7.131560333341451E-2</v>
      </c>
      <c r="AO110" s="380">
        <f t="shared" si="78"/>
        <v>5.5977889083589388E-2</v>
      </c>
      <c r="AP110" s="30"/>
      <c r="AQ110" s="28"/>
      <c r="AR110" s="32"/>
      <c r="AS110" s="29"/>
      <c r="AT110" s="29"/>
    </row>
    <row r="111" spans="1:46" s="86" customFormat="1">
      <c r="A111" s="201" t="s">
        <v>123</v>
      </c>
      <c r="B111" s="324">
        <v>12610465382.82</v>
      </c>
      <c r="C111" s="324">
        <v>776.9</v>
      </c>
      <c r="D111" s="324">
        <v>12926490839.27</v>
      </c>
      <c r="E111" s="324">
        <v>776.9</v>
      </c>
      <c r="F111" s="23">
        <f t="shared" si="104"/>
        <v>2.5060570475102479E-2</v>
      </c>
      <c r="G111" s="23">
        <f t="shared" si="105"/>
        <v>0</v>
      </c>
      <c r="H111" s="324">
        <v>13285815948.09</v>
      </c>
      <c r="I111" s="324">
        <v>756.94</v>
      </c>
      <c r="J111" s="23">
        <f>((H111-D111)/D111)</f>
        <v>2.7797575791288141E-2</v>
      </c>
      <c r="K111" s="23">
        <f>((I111-E111)/E111)</f>
        <v>-2.5691852233234551E-2</v>
      </c>
      <c r="L111" s="324">
        <v>13588427269.66</v>
      </c>
      <c r="M111" s="324">
        <v>756.94</v>
      </c>
      <c r="N111" s="23">
        <f>((L111-H111)/H111)</f>
        <v>2.2777021957277963E-2</v>
      </c>
      <c r="O111" s="23">
        <f>((M111-I111)/I111)</f>
        <v>0</v>
      </c>
      <c r="P111" s="324">
        <v>13805727923.85</v>
      </c>
      <c r="Q111" s="324">
        <v>756.94</v>
      </c>
      <c r="R111" s="23">
        <f>((P111-L111)/L111)</f>
        <v>1.5991597105220971E-2</v>
      </c>
      <c r="S111" s="23">
        <f>((Q111-M111)/M111)</f>
        <v>0</v>
      </c>
      <c r="T111" s="324">
        <v>14429213808.059999</v>
      </c>
      <c r="U111" s="324">
        <v>756.94</v>
      </c>
      <c r="V111" s="23">
        <f>((T111-P111)/P111)</f>
        <v>4.5161391536110158E-2</v>
      </c>
      <c r="W111" s="23">
        <f>((U111-Q111)/Q111)</f>
        <v>0</v>
      </c>
      <c r="X111" s="324">
        <v>15097328453.799999</v>
      </c>
      <c r="Y111" s="324">
        <v>762.71</v>
      </c>
      <c r="Z111" s="23">
        <f>((X111-T111)/T111)</f>
        <v>4.6302913979055345E-2</v>
      </c>
      <c r="AA111" s="23">
        <f>((Y111-U111)/U111)</f>
        <v>7.622797051285414E-3</v>
      </c>
      <c r="AB111" s="324">
        <v>15863440323.450001</v>
      </c>
      <c r="AC111" s="324">
        <v>762.71</v>
      </c>
      <c r="AD111" s="23">
        <f>((AB111-X111)/X111)</f>
        <v>5.0744863370656222E-2</v>
      </c>
      <c r="AE111" s="23">
        <f>((AC111-Y111)/Y111)</f>
        <v>0</v>
      </c>
      <c r="AF111" s="324">
        <v>16657205047.360001</v>
      </c>
      <c r="AG111" s="324">
        <v>762.71</v>
      </c>
      <c r="AH111" s="23">
        <f>((AF111-AB111)/AB111)</f>
        <v>5.0037363127128462E-2</v>
      </c>
      <c r="AI111" s="23">
        <f>((AG111-AC111)/AC111)</f>
        <v>0</v>
      </c>
      <c r="AJ111" s="24">
        <f t="shared" si="73"/>
        <v>3.5484162167729968E-2</v>
      </c>
      <c r="AK111" s="24">
        <f t="shared" si="74"/>
        <v>-2.2586318977436421E-3</v>
      </c>
      <c r="AL111" s="25">
        <f t="shared" si="75"/>
        <v>0.28860997578370506</v>
      </c>
      <c r="AM111" s="25">
        <f t="shared" si="76"/>
        <v>-1.82648989573947E-2</v>
      </c>
      <c r="AN111" s="379">
        <f t="shared" si="77"/>
        <v>1.3961913485899898E-2</v>
      </c>
      <c r="AO111" s="380">
        <f t="shared" si="78"/>
        <v>2.1024371659256493E-2</v>
      </c>
      <c r="AP111" s="30"/>
      <c r="AQ111" s="28"/>
      <c r="AR111" s="32"/>
      <c r="AS111" s="29"/>
      <c r="AT111" s="29"/>
    </row>
    <row r="112" spans="1:46" s="103" customFormat="1">
      <c r="A112" s="203" t="s">
        <v>42</v>
      </c>
      <c r="B112" s="76">
        <f>SUM(B90:B111)</f>
        <v>568541591372.9552</v>
      </c>
      <c r="C112" s="85"/>
      <c r="D112" s="76">
        <f>SUM(D90:D111)</f>
        <v>569956762301.13733</v>
      </c>
      <c r="E112" s="85"/>
      <c r="F112" s="23"/>
      <c r="G112" s="23"/>
      <c r="H112" s="76">
        <f>SUM(H90:H111)</f>
        <v>553123134779.05676</v>
      </c>
      <c r="I112" s="85"/>
      <c r="J112" s="23"/>
      <c r="K112" s="23"/>
      <c r="L112" s="76">
        <f>SUM(L90:L111)</f>
        <v>554621583051.02319</v>
      </c>
      <c r="M112" s="85"/>
      <c r="N112" s="23"/>
      <c r="O112" s="23"/>
      <c r="P112" s="76">
        <f>SUM(P90:P111)</f>
        <v>555450233256.58521</v>
      </c>
      <c r="Q112" s="85"/>
      <c r="R112" s="23"/>
      <c r="S112" s="23"/>
      <c r="T112" s="76">
        <f>SUM(T90:T111)</f>
        <v>584920699343.90466</v>
      </c>
      <c r="U112" s="85"/>
      <c r="V112" s="23"/>
      <c r="W112" s="23"/>
      <c r="X112" s="76">
        <f>SUM(X90:X111)</f>
        <v>561324750435.97546</v>
      </c>
      <c r="Y112" s="85"/>
      <c r="Z112" s="23"/>
      <c r="AA112" s="23"/>
      <c r="AB112" s="76">
        <f>SUM(AB90:AB111)</f>
        <v>554560757841.43372</v>
      </c>
      <c r="AC112" s="85"/>
      <c r="AD112" s="23"/>
      <c r="AE112" s="23"/>
      <c r="AF112" s="76">
        <f>SUM(AF90:AF111)</f>
        <v>579242821265.46704</v>
      </c>
      <c r="AG112" s="85"/>
      <c r="AH112" s="23"/>
      <c r="AI112" s="23"/>
      <c r="AJ112" s="24" t="e">
        <f t="shared" si="73"/>
        <v>#DIV/0!</v>
      </c>
      <c r="AK112" s="24"/>
      <c r="AL112" s="25">
        <f t="shared" si="75"/>
        <v>1.629256739903967E-2</v>
      </c>
      <c r="AM112" s="25"/>
      <c r="AN112" s="379" t="e">
        <f t="shared" si="77"/>
        <v>#DIV/0!</v>
      </c>
      <c r="AO112" s="380"/>
      <c r="AP112" s="30"/>
      <c r="AQ112" s="28"/>
      <c r="AR112" s="32"/>
      <c r="AS112" s="29"/>
      <c r="AT112" s="29"/>
    </row>
    <row r="113" spans="1:46" s="103" customFormat="1" ht="8.25" customHeight="1">
      <c r="A113" s="203"/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79"/>
      <c r="AO113" s="380"/>
      <c r="AP113" s="30"/>
      <c r="AQ113" s="28"/>
      <c r="AR113" s="32"/>
      <c r="AS113" s="29"/>
      <c r="AT113" s="29"/>
    </row>
    <row r="114" spans="1:46">
      <c r="A114" s="205" t="s">
        <v>210</v>
      </c>
      <c r="B114" s="85"/>
      <c r="C114" s="85"/>
      <c r="D114" s="85"/>
      <c r="E114" s="85"/>
      <c r="F114" s="23"/>
      <c r="G114" s="23"/>
      <c r="H114" s="85"/>
      <c r="I114" s="85"/>
      <c r="J114" s="23"/>
      <c r="K114" s="23"/>
      <c r="L114" s="85"/>
      <c r="M114" s="85"/>
      <c r="N114" s="23"/>
      <c r="O114" s="23"/>
      <c r="P114" s="85"/>
      <c r="Q114" s="85"/>
      <c r="R114" s="23"/>
      <c r="S114" s="23"/>
      <c r="T114" s="85"/>
      <c r="U114" s="85"/>
      <c r="V114" s="23"/>
      <c r="W114" s="23"/>
      <c r="X114" s="85"/>
      <c r="Y114" s="85"/>
      <c r="Z114" s="23"/>
      <c r="AA114" s="23"/>
      <c r="AB114" s="85"/>
      <c r="AC114" s="85"/>
      <c r="AD114" s="23"/>
      <c r="AE114" s="23"/>
      <c r="AF114" s="85"/>
      <c r="AG114" s="85"/>
      <c r="AH114" s="23"/>
      <c r="AI114" s="23"/>
      <c r="AJ114" s="24"/>
      <c r="AK114" s="24"/>
      <c r="AL114" s="25"/>
      <c r="AM114" s="25"/>
      <c r="AN114" s="379"/>
      <c r="AO114" s="380"/>
      <c r="AP114" s="30"/>
      <c r="AQ114" s="54">
        <f>SUM(AQ93:AQ105)</f>
        <v>16564722721.154379</v>
      </c>
      <c r="AR114" s="55"/>
      <c r="AS114" s="29" t="e">
        <f>(#REF!/AQ114)-1</f>
        <v>#REF!</v>
      </c>
      <c r="AT114" s="29" t="e">
        <f>(#REF!/AR114)-1</f>
        <v>#REF!</v>
      </c>
    </row>
    <row r="115" spans="1:46">
      <c r="A115" s="201" t="s">
        <v>162</v>
      </c>
      <c r="B115" s="325">
        <v>54330953714</v>
      </c>
      <c r="C115" s="326">
        <v>101.72</v>
      </c>
      <c r="D115" s="325">
        <v>54330953714</v>
      </c>
      <c r="E115" s="326">
        <v>101.72</v>
      </c>
      <c r="F115" s="23">
        <f t="shared" ref="F115:G118" si="120">((D115-B115)/B115)</f>
        <v>0</v>
      </c>
      <c r="G115" s="23">
        <f t="shared" si="120"/>
        <v>0</v>
      </c>
      <c r="H115" s="325">
        <v>54330953714</v>
      </c>
      <c r="I115" s="326">
        <v>101.29</v>
      </c>
      <c r="J115" s="23">
        <f t="shared" ref="J115:J118" si="121">((H115-D115)/D115)</f>
        <v>0</v>
      </c>
      <c r="K115" s="23">
        <f t="shared" ref="K115:K118" si="122">((I115-E115)/E115)</f>
        <v>-4.2272906016515201E-3</v>
      </c>
      <c r="L115" s="325">
        <v>54330953714</v>
      </c>
      <c r="M115" s="326">
        <v>101.29</v>
      </c>
      <c r="N115" s="23">
        <f t="shared" ref="N115:N118" si="123">((L115-H115)/H115)</f>
        <v>0</v>
      </c>
      <c r="O115" s="23">
        <f t="shared" ref="O115:O118" si="124">((M115-I115)/I115)</f>
        <v>0</v>
      </c>
      <c r="P115" s="325">
        <v>54330953714</v>
      </c>
      <c r="Q115" s="326">
        <v>101.29</v>
      </c>
      <c r="R115" s="23">
        <f t="shared" ref="R115:R118" si="125">((P115-L115)/L115)</f>
        <v>0</v>
      </c>
      <c r="S115" s="23">
        <f t="shared" ref="S115:S118" si="126">((Q115-M115)/M115)</f>
        <v>0</v>
      </c>
      <c r="T115" s="325">
        <v>54330953714</v>
      </c>
      <c r="U115" s="326">
        <v>101.29</v>
      </c>
      <c r="V115" s="23">
        <f t="shared" ref="V115:V118" si="127">((T115-P115)/P115)</f>
        <v>0</v>
      </c>
      <c r="W115" s="23">
        <f t="shared" ref="W115:W118" si="128">((U115-Q115)/Q115)</f>
        <v>0</v>
      </c>
      <c r="X115" s="325">
        <v>54330953714</v>
      </c>
      <c r="Y115" s="326">
        <v>101.48</v>
      </c>
      <c r="Z115" s="23">
        <f t="shared" ref="Z115:Z118" si="129">((X115-T115)/T115)</f>
        <v>0</v>
      </c>
      <c r="AA115" s="23">
        <f t="shared" ref="AA115:AA118" si="130">((Y115-U115)/U115)</f>
        <v>1.875802152236131E-3</v>
      </c>
      <c r="AB115" s="325">
        <v>54330953714</v>
      </c>
      <c r="AC115" s="326">
        <v>101.48</v>
      </c>
      <c r="AD115" s="23">
        <f t="shared" ref="AD115:AD118" si="131">((AB115-X115)/X115)</f>
        <v>0</v>
      </c>
      <c r="AE115" s="23">
        <f t="shared" ref="AE115:AE118" si="132">((AC115-Y115)/Y115)</f>
        <v>0</v>
      </c>
      <c r="AF115" s="325">
        <v>54330953714</v>
      </c>
      <c r="AG115" s="326">
        <v>101.48</v>
      </c>
      <c r="AH115" s="23">
        <f t="shared" ref="AH115:AH118" si="133">((AF115-AB115)/AB115)</f>
        <v>0</v>
      </c>
      <c r="AI115" s="23">
        <f t="shared" ref="AI115:AI118" si="134">((AG115-AC115)/AC115)</f>
        <v>0</v>
      </c>
      <c r="AJ115" s="24">
        <f t="shared" si="73"/>
        <v>0</v>
      </c>
      <c r="AK115" s="24">
        <f t="shared" si="74"/>
        <v>-2.9393605617692364E-4</v>
      </c>
      <c r="AL115" s="25">
        <f t="shared" si="75"/>
        <v>0</v>
      </c>
      <c r="AM115" s="25">
        <f t="shared" si="76"/>
        <v>-2.3594180102240944E-3</v>
      </c>
      <c r="AN115" s="379">
        <f t="shared" si="77"/>
        <v>0</v>
      </c>
      <c r="AO115" s="380">
        <f t="shared" si="78"/>
        <v>1.7195278548060894E-3</v>
      </c>
      <c r="AP115" s="30"/>
      <c r="AQ115" s="40"/>
      <c r="AR115" s="13"/>
      <c r="AS115" s="29" t="e">
        <f>(#REF!/AQ115)-1</f>
        <v>#REF!</v>
      </c>
      <c r="AT115" s="29" t="e">
        <f>(#REF!/AR115)-1</f>
        <v>#REF!</v>
      </c>
    </row>
    <row r="116" spans="1:46">
      <c r="A116" s="201" t="s">
        <v>139</v>
      </c>
      <c r="B116" s="325">
        <v>2412016399.8899999</v>
      </c>
      <c r="C116" s="326">
        <v>77</v>
      </c>
      <c r="D116" s="325">
        <v>2420689064.9899998</v>
      </c>
      <c r="E116" s="326">
        <v>69.3</v>
      </c>
      <c r="F116" s="23">
        <f t="shared" si="120"/>
        <v>3.5956078492647985E-3</v>
      </c>
      <c r="G116" s="23">
        <f t="shared" si="120"/>
        <v>-0.10000000000000003</v>
      </c>
      <c r="H116" s="325">
        <v>2426333291.4699998</v>
      </c>
      <c r="I116" s="326">
        <v>69.3</v>
      </c>
      <c r="J116" s="23">
        <f t="shared" si="121"/>
        <v>2.3316610801574949E-3</v>
      </c>
      <c r="K116" s="23">
        <f t="shared" si="122"/>
        <v>0</v>
      </c>
      <c r="L116" s="325">
        <v>2430805410.1199999</v>
      </c>
      <c r="M116" s="326">
        <v>76.2</v>
      </c>
      <c r="N116" s="23">
        <f t="shared" si="123"/>
        <v>1.8431592501006535E-3</v>
      </c>
      <c r="O116" s="23">
        <f t="shared" si="124"/>
        <v>9.9567099567099651E-2</v>
      </c>
      <c r="P116" s="325">
        <v>2435291609.4000001</v>
      </c>
      <c r="Q116" s="326">
        <v>76.2</v>
      </c>
      <c r="R116" s="23">
        <f t="shared" si="125"/>
        <v>1.8455608422307825E-3</v>
      </c>
      <c r="S116" s="23">
        <f t="shared" si="126"/>
        <v>0</v>
      </c>
      <c r="T116" s="325">
        <v>2438723204.9299998</v>
      </c>
      <c r="U116" s="326">
        <v>83.8</v>
      </c>
      <c r="V116" s="23">
        <f t="shared" si="127"/>
        <v>1.4091107269265382E-3</v>
      </c>
      <c r="W116" s="23">
        <f t="shared" si="128"/>
        <v>9.9737532808398865E-2</v>
      </c>
      <c r="X116" s="325">
        <v>2446041455.8499999</v>
      </c>
      <c r="Y116" s="326">
        <v>92.15</v>
      </c>
      <c r="Z116" s="23">
        <f t="shared" si="129"/>
        <v>3.0008534405240699E-3</v>
      </c>
      <c r="AA116" s="23">
        <f t="shared" si="130"/>
        <v>9.9642004773269802E-2</v>
      </c>
      <c r="AB116" s="325">
        <v>2299214969.5500002</v>
      </c>
      <c r="AC116" s="326">
        <v>92.15</v>
      </c>
      <c r="AD116" s="23">
        <f t="shared" si="131"/>
        <v>-6.0026164294495768E-2</v>
      </c>
      <c r="AE116" s="23">
        <f t="shared" si="132"/>
        <v>0</v>
      </c>
      <c r="AF116" s="325">
        <v>2300853716.8299999</v>
      </c>
      <c r="AG116" s="326">
        <v>92.15</v>
      </c>
      <c r="AH116" s="23">
        <f t="shared" si="133"/>
        <v>7.1274208880106008E-4</v>
      </c>
      <c r="AI116" s="23">
        <f t="shared" si="134"/>
        <v>0</v>
      </c>
      <c r="AJ116" s="24">
        <f t="shared" si="73"/>
        <v>-5.6609336270612961E-3</v>
      </c>
      <c r="AK116" s="24">
        <f t="shared" si="74"/>
        <v>2.4868329643596036E-2</v>
      </c>
      <c r="AL116" s="25">
        <f t="shared" si="75"/>
        <v>-4.9504643075873482E-2</v>
      </c>
      <c r="AM116" s="25">
        <f t="shared" si="76"/>
        <v>0.32972582972582987</v>
      </c>
      <c r="AN116" s="379">
        <f t="shared" si="77"/>
        <v>2.1985183742723735E-2</v>
      </c>
      <c r="AO116" s="380">
        <f t="shared" si="78"/>
        <v>7.0515688648232447E-2</v>
      </c>
      <c r="AP116" s="30"/>
      <c r="AQ116" s="28">
        <v>640873657.65999997</v>
      </c>
      <c r="AR116" s="32">
        <v>11.5358</v>
      </c>
      <c r="AS116" s="29" t="e">
        <f>(#REF!/AQ116)-1</f>
        <v>#REF!</v>
      </c>
      <c r="AT116" s="29" t="e">
        <f>(#REF!/AR116)-1</f>
        <v>#REF!</v>
      </c>
    </row>
    <row r="117" spans="1:46">
      <c r="A117" s="201" t="s">
        <v>21</v>
      </c>
      <c r="B117" s="325">
        <v>9915645721.1100006</v>
      </c>
      <c r="C117" s="326">
        <v>36.6</v>
      </c>
      <c r="D117" s="325">
        <v>9927214011.3899994</v>
      </c>
      <c r="E117" s="326">
        <v>36.6</v>
      </c>
      <c r="F117" s="23">
        <f t="shared" si="120"/>
        <v>1.1666703919615004E-3</v>
      </c>
      <c r="G117" s="23">
        <f t="shared" si="120"/>
        <v>0</v>
      </c>
      <c r="H117" s="325">
        <v>9933540017.9400005</v>
      </c>
      <c r="I117" s="326">
        <v>36.6</v>
      </c>
      <c r="J117" s="23">
        <f t="shared" si="121"/>
        <v>6.3723886104832578E-4</v>
      </c>
      <c r="K117" s="23">
        <f t="shared" si="122"/>
        <v>0</v>
      </c>
      <c r="L117" s="325">
        <v>9944614288.5400009</v>
      </c>
      <c r="M117" s="326">
        <v>36.6</v>
      </c>
      <c r="N117" s="23">
        <f t="shared" si="123"/>
        <v>1.1148362597825365E-3</v>
      </c>
      <c r="O117" s="23">
        <f t="shared" si="124"/>
        <v>0</v>
      </c>
      <c r="P117" s="325">
        <v>9961671468.0100002</v>
      </c>
      <c r="Q117" s="326">
        <v>36.6</v>
      </c>
      <c r="R117" s="23">
        <f t="shared" si="125"/>
        <v>1.7152178028318008E-3</v>
      </c>
      <c r="S117" s="23">
        <f t="shared" si="126"/>
        <v>0</v>
      </c>
      <c r="T117" s="325">
        <v>9973258463.5</v>
      </c>
      <c r="U117" s="326">
        <v>36.6</v>
      </c>
      <c r="V117" s="23">
        <f t="shared" si="127"/>
        <v>1.1631577619488043E-3</v>
      </c>
      <c r="W117" s="23">
        <f t="shared" si="128"/>
        <v>0</v>
      </c>
      <c r="X117" s="325">
        <v>9971710298.6399994</v>
      </c>
      <c r="Y117" s="326">
        <v>36.6</v>
      </c>
      <c r="Z117" s="23">
        <f t="shared" si="129"/>
        <v>-1.5523159914751671E-4</v>
      </c>
      <c r="AA117" s="23">
        <f t="shared" si="130"/>
        <v>0</v>
      </c>
      <c r="AB117" s="325">
        <v>9975213480.9500008</v>
      </c>
      <c r="AC117" s="326">
        <v>36.6</v>
      </c>
      <c r="AD117" s="23">
        <f t="shared" si="131"/>
        <v>3.5131208238963358E-4</v>
      </c>
      <c r="AE117" s="23">
        <f t="shared" si="132"/>
        <v>0</v>
      </c>
      <c r="AF117" s="325">
        <v>9995456646.1000004</v>
      </c>
      <c r="AG117" s="326">
        <v>36.6</v>
      </c>
      <c r="AH117" s="23">
        <f t="shared" si="133"/>
        <v>2.0293465587136223E-3</v>
      </c>
      <c r="AI117" s="23">
        <f t="shared" si="134"/>
        <v>0</v>
      </c>
      <c r="AJ117" s="24">
        <f t="shared" si="73"/>
        <v>1.0028185149410884E-3</v>
      </c>
      <c r="AK117" s="24">
        <f t="shared" si="74"/>
        <v>0</v>
      </c>
      <c r="AL117" s="25">
        <f t="shared" si="75"/>
        <v>6.8742987339350933E-3</v>
      </c>
      <c r="AM117" s="25">
        <f t="shared" si="76"/>
        <v>0</v>
      </c>
      <c r="AN117" s="379">
        <f t="shared" si="77"/>
        <v>7.0968462197444171E-4</v>
      </c>
      <c r="AO117" s="380">
        <f t="shared" si="78"/>
        <v>7.1748235652199322E-4</v>
      </c>
      <c r="AP117" s="30"/>
      <c r="AQ117" s="28">
        <v>2128320668.46</v>
      </c>
      <c r="AR117" s="35">
        <v>1.04</v>
      </c>
      <c r="AS117" s="29" t="e">
        <f>(#REF!/AQ117)-1</f>
        <v>#REF!</v>
      </c>
      <c r="AT117" s="29" t="e">
        <f>(#REF!/AR117)-1</f>
        <v>#REF!</v>
      </c>
    </row>
    <row r="118" spans="1:46">
      <c r="A118" s="201" t="s">
        <v>181</v>
      </c>
      <c r="B118" s="325">
        <v>26884898283.799999</v>
      </c>
      <c r="C118" s="326">
        <v>3.75</v>
      </c>
      <c r="D118" s="325">
        <v>26879601041.349998</v>
      </c>
      <c r="E118" s="326">
        <v>10.07</v>
      </c>
      <c r="F118" s="23">
        <f t="shared" si="120"/>
        <v>-1.9703412652272208E-4</v>
      </c>
      <c r="G118" s="23">
        <f t="shared" si="120"/>
        <v>1.6853333333333333</v>
      </c>
      <c r="H118" s="325">
        <v>26883973889</v>
      </c>
      <c r="I118" s="326">
        <v>3.65</v>
      </c>
      <c r="J118" s="23">
        <f t="shared" si="121"/>
        <v>1.6268275869402206E-4</v>
      </c>
      <c r="K118" s="23">
        <f t="shared" si="122"/>
        <v>-0.63753723932472683</v>
      </c>
      <c r="L118" s="325">
        <v>26888503253.650002</v>
      </c>
      <c r="M118" s="326">
        <v>3.7</v>
      </c>
      <c r="N118" s="23">
        <f t="shared" si="123"/>
        <v>1.684782416729986E-4</v>
      </c>
      <c r="O118" s="23">
        <f t="shared" si="124"/>
        <v>1.3698630136986375E-2</v>
      </c>
      <c r="P118" s="325">
        <v>26898810426.599998</v>
      </c>
      <c r="Q118" s="326">
        <v>3.65</v>
      </c>
      <c r="R118" s="23">
        <f t="shared" si="125"/>
        <v>3.8333011148910986E-4</v>
      </c>
      <c r="S118" s="23">
        <f t="shared" si="126"/>
        <v>-1.3513513513513585E-2</v>
      </c>
      <c r="T118" s="325">
        <v>26766647841.02</v>
      </c>
      <c r="U118" s="326">
        <v>3.65</v>
      </c>
      <c r="V118" s="23">
        <f t="shared" si="127"/>
        <v>-4.913324547962299E-3</v>
      </c>
      <c r="W118" s="23">
        <f t="shared" si="128"/>
        <v>0</v>
      </c>
      <c r="X118" s="325">
        <v>26756217072.84</v>
      </c>
      <c r="Y118" s="326">
        <v>3.65</v>
      </c>
      <c r="Z118" s="23">
        <f t="shared" si="129"/>
        <v>-3.8969273410528114E-4</v>
      </c>
      <c r="AA118" s="23">
        <f t="shared" si="130"/>
        <v>0</v>
      </c>
      <c r="AB118" s="325">
        <v>26258357411.380001</v>
      </c>
      <c r="AC118" s="326">
        <v>3.35</v>
      </c>
      <c r="AD118" s="23">
        <f t="shared" si="131"/>
        <v>-1.8607251544739935E-2</v>
      </c>
      <c r="AE118" s="23">
        <f t="shared" si="132"/>
        <v>-8.2191780821917762E-2</v>
      </c>
      <c r="AF118" s="325">
        <v>26273000959.59</v>
      </c>
      <c r="AG118" s="326">
        <v>3.4</v>
      </c>
      <c r="AH118" s="23">
        <f t="shared" si="133"/>
        <v>5.5767190538935911E-4</v>
      </c>
      <c r="AI118" s="23">
        <f t="shared" si="134"/>
        <v>1.4925373134328304E-2</v>
      </c>
      <c r="AJ118" s="24">
        <f t="shared" si="73"/>
        <v>-2.8543924920105936E-3</v>
      </c>
      <c r="AK118" s="24">
        <f t="shared" si="74"/>
        <v>0.12258935036806123</v>
      </c>
      <c r="AL118" s="25">
        <f t="shared" si="75"/>
        <v>-2.2567302276058354E-2</v>
      </c>
      <c r="AM118" s="25">
        <f t="shared" si="76"/>
        <v>-0.66236345580933464</v>
      </c>
      <c r="AN118" s="379">
        <f t="shared" si="77"/>
        <v>6.6105282863844388E-3</v>
      </c>
      <c r="AO118" s="380">
        <f t="shared" si="78"/>
        <v>0.66945605885820525</v>
      </c>
      <c r="AP118" s="30"/>
      <c r="AQ118" s="28">
        <v>1789192828.73</v>
      </c>
      <c r="AR118" s="32">
        <v>0.79</v>
      </c>
      <c r="AS118" s="29" t="e">
        <f>(#REF!/AQ118)-1</f>
        <v>#REF!</v>
      </c>
      <c r="AT118" s="29" t="e">
        <f>(#REF!/AR118)-1</f>
        <v>#REF!</v>
      </c>
    </row>
    <row r="119" spans="1:46">
      <c r="A119" s="203" t="s">
        <v>42</v>
      </c>
      <c r="B119" s="70">
        <f>SUM(B115:B118)</f>
        <v>93543514118.800003</v>
      </c>
      <c r="C119" s="85"/>
      <c r="D119" s="70">
        <f>SUM(D115:D118)</f>
        <v>93558457831.729996</v>
      </c>
      <c r="E119" s="85"/>
      <c r="F119" s="23">
        <f>((D119-B119)/B119)</f>
        <v>1.5975145974326133E-4</v>
      </c>
      <c r="G119" s="23"/>
      <c r="H119" s="70">
        <f>SUM(H115:H118)</f>
        <v>93574800912.410004</v>
      </c>
      <c r="I119" s="85"/>
      <c r="J119" s="23">
        <f>((H119-D119)/D119)</f>
        <v>1.7468309182053706E-4</v>
      </c>
      <c r="K119" s="23"/>
      <c r="L119" s="70">
        <f>SUM(L115:L118)</f>
        <v>93594876666.309998</v>
      </c>
      <c r="M119" s="85"/>
      <c r="N119" s="23">
        <f>((L119-H119)/H119)</f>
        <v>2.1454230951328078E-4</v>
      </c>
      <c r="O119" s="23"/>
      <c r="P119" s="70">
        <f>SUM(P115:P118)</f>
        <v>93626727218.01001</v>
      </c>
      <c r="Q119" s="85"/>
      <c r="R119" s="23">
        <f>((P119-L119)/L119)</f>
        <v>3.4030229895561147E-4</v>
      </c>
      <c r="S119" s="23"/>
      <c r="T119" s="70">
        <f>SUM(T115:T118)</f>
        <v>93509583223.449997</v>
      </c>
      <c r="U119" s="85"/>
      <c r="V119" s="23">
        <f>((T119-P119)/P119)</f>
        <v>-1.2511811321487592E-3</v>
      </c>
      <c r="W119" s="23"/>
      <c r="X119" s="70">
        <f>SUM(X115:X118)</f>
        <v>93504922541.330002</v>
      </c>
      <c r="Y119" s="85"/>
      <c r="Z119" s="23">
        <f>((X119-T119)/T119)</f>
        <v>-4.9841759093909942E-5</v>
      </c>
      <c r="AA119" s="23"/>
      <c r="AB119" s="70">
        <f>SUM(AB115:AB118)</f>
        <v>92863739575.880005</v>
      </c>
      <c r="AC119" s="85"/>
      <c r="AD119" s="23">
        <f>((AB119-X119)/X119)</f>
        <v>-6.8572108079827396E-3</v>
      </c>
      <c r="AE119" s="23"/>
      <c r="AF119" s="70">
        <f>SUM(AF115:AF118)</f>
        <v>92900265036.520004</v>
      </c>
      <c r="AG119" s="85"/>
      <c r="AH119" s="23">
        <f>((AF119-AB119)/AB119)</f>
        <v>3.9332317228248196E-4</v>
      </c>
      <c r="AI119" s="23"/>
      <c r="AJ119" s="24">
        <f t="shared" si="73"/>
        <v>-8.5945392086377958E-4</v>
      </c>
      <c r="AK119" s="24"/>
      <c r="AL119" s="25">
        <f t="shared" si="75"/>
        <v>-7.0350966707231023E-3</v>
      </c>
      <c r="AM119" s="25"/>
      <c r="AN119" s="379">
        <f t="shared" si="77"/>
        <v>2.4799931463431548E-3</v>
      </c>
      <c r="AO119" s="380"/>
      <c r="AP119" s="30"/>
      <c r="AQ119" s="28">
        <v>204378030.47999999</v>
      </c>
      <c r="AR119" s="32">
        <v>22.9087</v>
      </c>
      <c r="AS119" s="29" t="e">
        <f>(#REF!/AQ119)-1</f>
        <v>#REF!</v>
      </c>
      <c r="AT119" s="29" t="e">
        <f>(#REF!/AR119)-1</f>
        <v>#REF!</v>
      </c>
    </row>
    <row r="120" spans="1:46" s="366" customFormat="1" ht="7.5" customHeight="1">
      <c r="A120" s="203"/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79"/>
      <c r="AO120" s="380"/>
      <c r="AP120" s="30"/>
      <c r="AQ120" s="28"/>
      <c r="AR120" s="32"/>
      <c r="AS120" s="29"/>
      <c r="AT120" s="29"/>
    </row>
    <row r="121" spans="1:46">
      <c r="A121" s="205" t="s">
        <v>219</v>
      </c>
      <c r="B121" s="85"/>
      <c r="C121" s="85"/>
      <c r="D121" s="85"/>
      <c r="E121" s="85"/>
      <c r="F121" s="23"/>
      <c r="G121" s="23"/>
      <c r="H121" s="85"/>
      <c r="I121" s="85"/>
      <c r="J121" s="23"/>
      <c r="K121" s="23"/>
      <c r="L121" s="85"/>
      <c r="M121" s="85"/>
      <c r="N121" s="23"/>
      <c r="O121" s="23"/>
      <c r="P121" s="85"/>
      <c r="Q121" s="85"/>
      <c r="R121" s="23"/>
      <c r="S121" s="23"/>
      <c r="T121" s="85"/>
      <c r="U121" s="85"/>
      <c r="V121" s="23"/>
      <c r="W121" s="23"/>
      <c r="X121" s="85"/>
      <c r="Y121" s="85"/>
      <c r="Z121" s="23"/>
      <c r="AA121" s="23"/>
      <c r="AB121" s="85"/>
      <c r="AC121" s="85"/>
      <c r="AD121" s="23"/>
      <c r="AE121" s="23"/>
      <c r="AF121" s="85"/>
      <c r="AG121" s="85"/>
      <c r="AH121" s="23"/>
      <c r="AI121" s="23"/>
      <c r="AJ121" s="24"/>
      <c r="AK121" s="24"/>
      <c r="AL121" s="25"/>
      <c r="AM121" s="25"/>
      <c r="AN121" s="379"/>
      <c r="AO121" s="380"/>
      <c r="AP121" s="30"/>
      <c r="AQ121" s="28">
        <v>160273731.87</v>
      </c>
      <c r="AR121" s="32">
        <v>133.94</v>
      </c>
      <c r="AS121" s="29" t="e">
        <f>(#REF!/AQ121)-1</f>
        <v>#REF!</v>
      </c>
      <c r="AT121" s="29" t="e">
        <f>(#REF!/AR121)-1</f>
        <v>#REF!</v>
      </c>
    </row>
    <row r="122" spans="1:46" s="93" customFormat="1">
      <c r="A122" s="201" t="s">
        <v>116</v>
      </c>
      <c r="B122" s="324">
        <v>196170506.66999999</v>
      </c>
      <c r="C122" s="324">
        <v>4.4800000000000004</v>
      </c>
      <c r="D122" s="324">
        <v>196441877.56999999</v>
      </c>
      <c r="E122" s="324">
        <v>4.49</v>
      </c>
      <c r="F122" s="23">
        <f t="shared" ref="F122:F145" si="135">((D122-B122)/B122)</f>
        <v>1.3833419947092702E-3</v>
      </c>
      <c r="G122" s="23">
        <f t="shared" ref="G122:G145" si="136">((E122-C122)/C122)</f>
        <v>2.2321428571428093E-3</v>
      </c>
      <c r="H122" s="324">
        <v>197752973.91</v>
      </c>
      <c r="I122" s="324">
        <v>4.51</v>
      </c>
      <c r="J122" s="23">
        <f t="shared" ref="J122:J133" si="137">((H122-D122)/D122)</f>
        <v>6.6742201623114106E-3</v>
      </c>
      <c r="K122" s="23">
        <f t="shared" ref="K122:K133" si="138">((I122-E122)/E122)</f>
        <v>4.4543429844097048E-3</v>
      </c>
      <c r="L122" s="324">
        <v>197556609.03999999</v>
      </c>
      <c r="M122" s="324">
        <v>4.51</v>
      </c>
      <c r="N122" s="23">
        <f t="shared" ref="N122:N133" si="139">((L122-H122)/H122)</f>
        <v>-9.9298061676368534E-4</v>
      </c>
      <c r="O122" s="23">
        <f t="shared" ref="O122:O133" si="140">((M122-I122)/I122)</f>
        <v>0</v>
      </c>
      <c r="P122" s="324">
        <v>196387821.63999999</v>
      </c>
      <c r="Q122" s="324">
        <v>4.4800000000000004</v>
      </c>
      <c r="R122" s="23">
        <f t="shared" ref="R122:R133" si="141">((P122-L122)/L122)</f>
        <v>-5.9162151328653219E-3</v>
      </c>
      <c r="S122" s="23">
        <f t="shared" ref="S122:S133" si="142">((Q122-M122)/M122)</f>
        <v>-6.6518847006650471E-3</v>
      </c>
      <c r="T122" s="324">
        <v>198966198.49000001</v>
      </c>
      <c r="U122" s="324">
        <v>4.54</v>
      </c>
      <c r="V122" s="23">
        <f t="shared" ref="V122:V133" si="143">((T122-P122)/P122)</f>
        <v>1.3129005803254268E-2</v>
      </c>
      <c r="W122" s="23">
        <f t="shared" ref="W122:W133" si="144">((U122-Q122)/Q122)</f>
        <v>1.3392857142857054E-2</v>
      </c>
      <c r="X122" s="324">
        <v>201572585.09</v>
      </c>
      <c r="Y122" s="324">
        <v>4.5999999999999996</v>
      </c>
      <c r="Z122" s="23">
        <f t="shared" ref="Z122:Z133" si="145">((X122-T122)/T122)</f>
        <v>1.3099645164758929E-2</v>
      </c>
      <c r="AA122" s="23">
        <f t="shared" ref="AA122:AA133" si="146">((Y122-U122)/U122)</f>
        <v>1.3215859030836918E-2</v>
      </c>
      <c r="AB122" s="324">
        <v>208020985.75999999</v>
      </c>
      <c r="AC122" s="324">
        <v>4.75</v>
      </c>
      <c r="AD122" s="23">
        <f t="shared" ref="AD122:AD133" si="147">((AB122-X122)/X122)</f>
        <v>3.1990464710867528E-2</v>
      </c>
      <c r="AE122" s="23">
        <f t="shared" ref="AE122:AE133" si="148">((AC122-Y122)/Y122)</f>
        <v>3.2608695652173995E-2</v>
      </c>
      <c r="AF122" s="324">
        <v>202694998.53</v>
      </c>
      <c r="AG122" s="324">
        <v>4.6500000000000004</v>
      </c>
      <c r="AH122" s="23">
        <f t="shared" ref="AH122:AH133" si="149">((AF122-AB122)/AB122)</f>
        <v>-2.560312465851277E-2</v>
      </c>
      <c r="AI122" s="23">
        <f t="shared" ref="AI122:AI133" si="150">((AG122-AC122)/AC122)</f>
        <v>-2.1052631578947295E-2</v>
      </c>
      <c r="AJ122" s="24">
        <f t="shared" si="73"/>
        <v>4.2205446784699535E-3</v>
      </c>
      <c r="AK122" s="24">
        <f t="shared" si="74"/>
        <v>4.7749226734760172E-3</v>
      </c>
      <c r="AL122" s="25">
        <f t="shared" si="75"/>
        <v>3.1831914036617649E-2</v>
      </c>
      <c r="AM122" s="25">
        <f t="shared" si="76"/>
        <v>3.563474387527843E-2</v>
      </c>
      <c r="AN122" s="379">
        <f t="shared" si="77"/>
        <v>1.6745250091168017E-2</v>
      </c>
      <c r="AO122" s="380">
        <f t="shared" si="78"/>
        <v>1.690483793587846E-2</v>
      </c>
      <c r="AP122" s="30"/>
      <c r="AQ122" s="28"/>
      <c r="AR122" s="32"/>
      <c r="AS122" s="29"/>
      <c r="AT122" s="29"/>
    </row>
    <row r="123" spans="1:46" s="103" customFormat="1">
      <c r="A123" s="201" t="s">
        <v>154</v>
      </c>
      <c r="B123" s="324">
        <v>5934638478.0299997</v>
      </c>
      <c r="C123" s="324">
        <v>651.43859999999995</v>
      </c>
      <c r="D123" s="324">
        <v>5929939862.1999998</v>
      </c>
      <c r="E123" s="324">
        <v>650.22670000000005</v>
      </c>
      <c r="F123" s="23">
        <f t="shared" si="135"/>
        <v>-7.9172738952746236E-4</v>
      </c>
      <c r="G123" s="23">
        <f t="shared" si="136"/>
        <v>-1.8603441675084968E-3</v>
      </c>
      <c r="H123" s="324">
        <v>5915840945.8199997</v>
      </c>
      <c r="I123" s="324">
        <v>648.44129999999996</v>
      </c>
      <c r="J123" s="23">
        <f t="shared" si="137"/>
        <v>-2.3775816800222045E-3</v>
      </c>
      <c r="K123" s="23">
        <f t="shared" si="138"/>
        <v>-2.745811576178116E-3</v>
      </c>
      <c r="L123" s="324">
        <v>5922743856.6300001</v>
      </c>
      <c r="M123" s="324">
        <v>649.63660000000004</v>
      </c>
      <c r="N123" s="23">
        <f t="shared" si="139"/>
        <v>1.1668519950452456E-3</v>
      </c>
      <c r="O123" s="23">
        <f t="shared" si="140"/>
        <v>1.8433434144310187E-3</v>
      </c>
      <c r="P123" s="324">
        <v>5914131913.4499998</v>
      </c>
      <c r="Q123" s="324">
        <v>649.74300000000005</v>
      </c>
      <c r="R123" s="23">
        <f t="shared" si="141"/>
        <v>-1.4540461969092212E-3</v>
      </c>
      <c r="S123" s="23">
        <f t="shared" si="142"/>
        <v>1.6378387547747128E-4</v>
      </c>
      <c r="T123" s="324">
        <v>5936352467.5100002</v>
      </c>
      <c r="U123" s="324">
        <v>652.64739999999995</v>
      </c>
      <c r="V123" s="23">
        <f t="shared" si="143"/>
        <v>3.7571962183437489E-3</v>
      </c>
      <c r="W123" s="23">
        <f t="shared" si="144"/>
        <v>4.4700750912282173E-3</v>
      </c>
      <c r="X123" s="324">
        <v>6010240590.0100002</v>
      </c>
      <c r="Y123" s="324">
        <v>660.65819999999997</v>
      </c>
      <c r="Z123" s="23">
        <f t="shared" si="145"/>
        <v>1.2446720929121706E-2</v>
      </c>
      <c r="AA123" s="23">
        <f t="shared" si="146"/>
        <v>1.2274315350065009E-2</v>
      </c>
      <c r="AB123" s="324">
        <v>6030381903.1300001</v>
      </c>
      <c r="AC123" s="324">
        <v>662.84059999999999</v>
      </c>
      <c r="AD123" s="23">
        <f t="shared" si="147"/>
        <v>3.3511658673827521E-3</v>
      </c>
      <c r="AE123" s="23">
        <f t="shared" si="148"/>
        <v>3.3033723035603428E-3</v>
      </c>
      <c r="AF123" s="324">
        <v>6002425527.3199997</v>
      </c>
      <c r="AG123" s="324">
        <v>660.29539999999997</v>
      </c>
      <c r="AH123" s="23">
        <f t="shared" si="149"/>
        <v>-4.635921283109779E-3</v>
      </c>
      <c r="AI123" s="23">
        <f t="shared" si="150"/>
        <v>-3.8398372097303976E-3</v>
      </c>
      <c r="AJ123" s="24">
        <f t="shared" si="73"/>
        <v>1.4328323075405982E-3</v>
      </c>
      <c r="AK123" s="24">
        <f t="shared" si="74"/>
        <v>1.7011121351681309E-3</v>
      </c>
      <c r="AL123" s="25">
        <f t="shared" si="75"/>
        <v>1.222367626053931E-2</v>
      </c>
      <c r="AM123" s="25">
        <f t="shared" si="76"/>
        <v>1.5484907033193071E-2</v>
      </c>
      <c r="AN123" s="379">
        <f t="shared" si="77"/>
        <v>5.2792169005018395E-3</v>
      </c>
      <c r="AO123" s="380">
        <f t="shared" si="78"/>
        <v>5.3042907556173366E-3</v>
      </c>
      <c r="AP123" s="30"/>
      <c r="AQ123" s="28"/>
      <c r="AR123" s="32"/>
      <c r="AS123" s="29"/>
      <c r="AT123" s="29"/>
    </row>
    <row r="124" spans="1:46" s="366" customFormat="1">
      <c r="A124" s="201" t="s">
        <v>239</v>
      </c>
      <c r="B124" s="324">
        <v>3106358702.3200002</v>
      </c>
      <c r="C124" s="324">
        <v>16.681699999999999</v>
      </c>
      <c r="D124" s="324">
        <v>3110666057.9299998</v>
      </c>
      <c r="E124" s="324">
        <v>16.975899999999999</v>
      </c>
      <c r="F124" s="23">
        <f t="shared" si="135"/>
        <v>1.3866253136776141E-3</v>
      </c>
      <c r="G124" s="23">
        <f t="shared" si="136"/>
        <v>1.7636092244795197E-2</v>
      </c>
      <c r="H124" s="324">
        <v>3161579693.9099998</v>
      </c>
      <c r="I124" s="324">
        <v>16.876100000000001</v>
      </c>
      <c r="J124" s="23">
        <f t="shared" si="137"/>
        <v>1.6367438687353221E-2</v>
      </c>
      <c r="K124" s="23">
        <f t="shared" si="138"/>
        <v>-5.8789224724461351E-3</v>
      </c>
      <c r="L124" s="324">
        <v>3146529104.1599998</v>
      </c>
      <c r="M124" s="324">
        <v>16.984500000000001</v>
      </c>
      <c r="N124" s="23">
        <f t="shared" si="139"/>
        <v>-4.7604650861691805E-3</v>
      </c>
      <c r="O124" s="23">
        <f t="shared" si="140"/>
        <v>6.4232850006814132E-3</v>
      </c>
      <c r="P124" s="324">
        <v>3139142049.8600001</v>
      </c>
      <c r="Q124" s="324">
        <v>17.014700000000001</v>
      </c>
      <c r="R124" s="23">
        <f t="shared" si="141"/>
        <v>-2.3476834491164729E-3</v>
      </c>
      <c r="S124" s="23">
        <f t="shared" si="142"/>
        <v>1.7780917895728852E-3</v>
      </c>
      <c r="T124" s="324">
        <v>3204670184.5100002</v>
      </c>
      <c r="U124" s="324">
        <v>17.276199999999999</v>
      </c>
      <c r="V124" s="23">
        <f t="shared" si="143"/>
        <v>2.0874536293418938E-2</v>
      </c>
      <c r="W124" s="23">
        <f t="shared" si="144"/>
        <v>1.5369063221802209E-2</v>
      </c>
      <c r="X124" s="324">
        <v>3322021353.6500001</v>
      </c>
      <c r="Y124" s="324">
        <v>17.567</v>
      </c>
      <c r="Z124" s="23">
        <f t="shared" si="145"/>
        <v>3.6618797686958561E-2</v>
      </c>
      <c r="AA124" s="23">
        <f t="shared" si="146"/>
        <v>1.6832405274308057E-2</v>
      </c>
      <c r="AB124" s="324">
        <v>3362499867.3800001</v>
      </c>
      <c r="AC124" s="324">
        <v>17.998799999999999</v>
      </c>
      <c r="AD124" s="23">
        <f t="shared" si="147"/>
        <v>1.2184904737450021E-2</v>
      </c>
      <c r="AE124" s="23">
        <f t="shared" si="148"/>
        <v>2.4580178744236299E-2</v>
      </c>
      <c r="AF124" s="324">
        <v>3269943808.6799998</v>
      </c>
      <c r="AG124" s="324">
        <v>18.497299999999999</v>
      </c>
      <c r="AH124" s="23">
        <f t="shared" si="149"/>
        <v>-2.7525966498288167E-2</v>
      </c>
      <c r="AI124" s="23">
        <f t="shared" si="150"/>
        <v>2.7696290863835366E-2</v>
      </c>
      <c r="AJ124" s="24">
        <f t="shared" si="73"/>
        <v>6.5997734606605659E-3</v>
      </c>
      <c r="AK124" s="24">
        <f t="shared" si="74"/>
        <v>1.3054560583348161E-2</v>
      </c>
      <c r="AL124" s="25">
        <f t="shared" si="75"/>
        <v>5.1203744723402347E-2</v>
      </c>
      <c r="AM124" s="25">
        <f t="shared" si="76"/>
        <v>8.962116883346391E-2</v>
      </c>
      <c r="AN124" s="379">
        <f t="shared" si="77"/>
        <v>1.9392070143421487E-2</v>
      </c>
      <c r="AO124" s="380">
        <f t="shared" si="78"/>
        <v>1.6770129265046202E-2</v>
      </c>
      <c r="AP124" s="30"/>
      <c r="AQ124" s="28"/>
      <c r="AR124" s="32"/>
      <c r="AS124" s="29"/>
      <c r="AT124" s="29"/>
    </row>
    <row r="125" spans="1:46">
      <c r="A125" s="201" t="s">
        <v>142</v>
      </c>
      <c r="B125" s="325">
        <v>1161707215.78</v>
      </c>
      <c r="C125" s="324">
        <v>2.8731</v>
      </c>
      <c r="D125" s="325">
        <v>1172510831.96</v>
      </c>
      <c r="E125" s="324">
        <v>2.7671000000000001</v>
      </c>
      <c r="F125" s="23">
        <f t="shared" si="135"/>
        <v>9.299775393704723E-3</v>
      </c>
      <c r="G125" s="23">
        <f t="shared" si="136"/>
        <v>-3.6893947304305411E-2</v>
      </c>
      <c r="H125" s="325">
        <v>1192191747.8199999</v>
      </c>
      <c r="I125" s="324">
        <v>2.8462999999999998</v>
      </c>
      <c r="J125" s="23">
        <f t="shared" si="137"/>
        <v>1.6785274236742663E-2</v>
      </c>
      <c r="K125" s="23">
        <f t="shared" si="138"/>
        <v>2.8622023056629579E-2</v>
      </c>
      <c r="L125" s="325">
        <v>1190963374.2</v>
      </c>
      <c r="M125" s="324">
        <v>2.8431999999999999</v>
      </c>
      <c r="N125" s="23">
        <f t="shared" si="139"/>
        <v>-1.0303490375990663E-3</v>
      </c>
      <c r="O125" s="23">
        <f t="shared" si="140"/>
        <v>-1.0891332607244075E-3</v>
      </c>
      <c r="P125" s="325">
        <v>1185559244.05</v>
      </c>
      <c r="Q125" s="324">
        <v>2.8370000000000002</v>
      </c>
      <c r="R125" s="23">
        <f t="shared" si="141"/>
        <v>-4.537612379247334E-3</v>
      </c>
      <c r="S125" s="23">
        <f t="shared" si="142"/>
        <v>-2.1806415306695839E-3</v>
      </c>
      <c r="T125" s="325">
        <v>1185559244.05</v>
      </c>
      <c r="U125" s="324">
        <v>2.871</v>
      </c>
      <c r="V125" s="23">
        <f t="shared" si="143"/>
        <v>0</v>
      </c>
      <c r="W125" s="23">
        <f t="shared" si="144"/>
        <v>1.1984490659146918E-2</v>
      </c>
      <c r="X125" s="325">
        <v>1245841494.54</v>
      </c>
      <c r="Y125" s="324">
        <v>2.9805999999999999</v>
      </c>
      <c r="Z125" s="23">
        <f t="shared" si="145"/>
        <v>5.0847100887231288E-2</v>
      </c>
      <c r="AA125" s="23">
        <f t="shared" si="146"/>
        <v>3.8174851967955385E-2</v>
      </c>
      <c r="AB125" s="325">
        <v>1260693337.28</v>
      </c>
      <c r="AC125" s="324">
        <v>3.0183</v>
      </c>
      <c r="AD125" s="23">
        <f t="shared" si="147"/>
        <v>1.1921133470902517E-2</v>
      </c>
      <c r="AE125" s="23">
        <f t="shared" si="148"/>
        <v>1.2648460041602385E-2</v>
      </c>
      <c r="AF125" s="325">
        <v>1245885409.1099999</v>
      </c>
      <c r="AG125" s="324">
        <v>2.9843000000000002</v>
      </c>
      <c r="AH125" s="23">
        <f t="shared" si="149"/>
        <v>-1.1745860576965384E-2</v>
      </c>
      <c r="AI125" s="23">
        <f t="shared" si="150"/>
        <v>-1.1264619156478748E-2</v>
      </c>
      <c r="AJ125" s="24">
        <f t="shared" si="73"/>
        <v>8.9424327493461755E-3</v>
      </c>
      <c r="AK125" s="24">
        <f t="shared" si="74"/>
        <v>5.0001855591445144E-3</v>
      </c>
      <c r="AL125" s="25">
        <f t="shared" si="75"/>
        <v>6.257901858982827E-2</v>
      </c>
      <c r="AM125" s="25">
        <f t="shared" si="76"/>
        <v>7.8493729897726877E-2</v>
      </c>
      <c r="AN125" s="379">
        <f t="shared" si="77"/>
        <v>1.9330406482932602E-2</v>
      </c>
      <c r="AO125" s="380">
        <f t="shared" si="78"/>
        <v>2.3573562310885008E-2</v>
      </c>
      <c r="AP125" s="30"/>
      <c r="AQ125" s="56">
        <f>SUM(AQ116:AQ121)</f>
        <v>4923038917.1999998</v>
      </c>
      <c r="AR125" s="13"/>
      <c r="AS125" s="29" t="e">
        <f>(#REF!/AQ125)-1</f>
        <v>#REF!</v>
      </c>
      <c r="AT125" s="29" t="e">
        <f>(#REF!/AR125)-1</f>
        <v>#REF!</v>
      </c>
    </row>
    <row r="126" spans="1:46">
      <c r="A126" s="201" t="s">
        <v>261</v>
      </c>
      <c r="B126" s="325">
        <v>2790478992.4307399</v>
      </c>
      <c r="C126" s="324">
        <v>5213.7609175203497</v>
      </c>
      <c r="D126" s="325">
        <v>2765772017.4156599</v>
      </c>
      <c r="E126" s="324">
        <v>5161.76841462434</v>
      </c>
      <c r="F126" s="23">
        <f t="shared" si="135"/>
        <v>-8.8540265245136782E-3</v>
      </c>
      <c r="G126" s="23">
        <f t="shared" si="136"/>
        <v>-9.9721685973926805E-3</v>
      </c>
      <c r="H126" s="325">
        <v>2780286642.5514998</v>
      </c>
      <c r="I126" s="324">
        <v>5180.0532889984097</v>
      </c>
      <c r="J126" s="23">
        <f t="shared" si="137"/>
        <v>5.2479470630418844E-3</v>
      </c>
      <c r="K126" s="23">
        <f t="shared" si="138"/>
        <v>3.5423662794062767E-3</v>
      </c>
      <c r="L126" s="325">
        <v>2788129733.9608202</v>
      </c>
      <c r="M126" s="324">
        <v>5194.5260950062902</v>
      </c>
      <c r="N126" s="23">
        <f t="shared" si="139"/>
        <v>2.8209650362247046E-3</v>
      </c>
      <c r="O126" s="23">
        <f t="shared" si="140"/>
        <v>2.7939492511821107E-3</v>
      </c>
      <c r="P126" s="325">
        <v>2770696574.1588702</v>
      </c>
      <c r="Q126" s="324">
        <v>5126.5014879937098</v>
      </c>
      <c r="R126" s="23">
        <f t="shared" si="141"/>
        <v>-6.2526358044266515E-3</v>
      </c>
      <c r="S126" s="23">
        <f t="shared" si="142"/>
        <v>-1.3095440424868642E-2</v>
      </c>
      <c r="T126" s="325">
        <v>2787327323.64955</v>
      </c>
      <c r="U126" s="324">
        <v>5199.9387916825999</v>
      </c>
      <c r="V126" s="23">
        <f t="shared" si="143"/>
        <v>6.0023712613599756E-3</v>
      </c>
      <c r="W126" s="23">
        <f t="shared" si="144"/>
        <v>1.4325033136317351E-2</v>
      </c>
      <c r="X126" s="325">
        <v>2863828573.4371901</v>
      </c>
      <c r="Y126" s="324">
        <v>5339.21632797846</v>
      </c>
      <c r="Z126" s="23">
        <f t="shared" si="145"/>
        <v>2.7446094736901658E-2</v>
      </c>
      <c r="AA126" s="23">
        <f t="shared" si="146"/>
        <v>2.6784456870653381E-2</v>
      </c>
      <c r="AB126" s="325">
        <v>2916013333.4011302</v>
      </c>
      <c r="AC126" s="324">
        <v>5399.78863918967</v>
      </c>
      <c r="AD126" s="23">
        <f t="shared" si="147"/>
        <v>1.8222026432716108E-2</v>
      </c>
      <c r="AE126" s="23">
        <f t="shared" si="148"/>
        <v>1.1344794346278903E-2</v>
      </c>
      <c r="AF126" s="325">
        <v>2856098748.25137</v>
      </c>
      <c r="AG126" s="324">
        <v>5307.4907533654496</v>
      </c>
      <c r="AH126" s="23">
        <f t="shared" si="149"/>
        <v>-2.0546745950533116E-2</v>
      </c>
      <c r="AI126" s="23">
        <f t="shared" si="150"/>
        <v>-1.7092870108721753E-2</v>
      </c>
      <c r="AJ126" s="24">
        <f t="shared" si="73"/>
        <v>3.0107495313463611E-3</v>
      </c>
      <c r="AK126" s="24">
        <f t="shared" si="74"/>
        <v>2.3287650941068677E-3</v>
      </c>
      <c r="AL126" s="25">
        <f t="shared" si="75"/>
        <v>3.2658776741877456E-2</v>
      </c>
      <c r="AM126" s="25">
        <f t="shared" si="76"/>
        <v>2.8231088075987388E-2</v>
      </c>
      <c r="AN126" s="379">
        <f t="shared" si="77"/>
        <v>1.5231540227549441E-2</v>
      </c>
      <c r="AO126" s="380">
        <f t="shared" si="78"/>
        <v>1.574795337568554E-2</v>
      </c>
      <c r="AP126" s="30"/>
      <c r="AQ126" s="12" t="e">
        <f>SUM(AQ21,AQ53,#REF!,#REF!,AQ91,AQ114,AQ125)</f>
        <v>#REF!</v>
      </c>
      <c r="AR126" s="13"/>
      <c r="AS126" s="29" t="e">
        <f>(#REF!/AQ126)-1</f>
        <v>#REF!</v>
      </c>
      <c r="AT126" s="29" t="e">
        <f>(#REF!/AR126)-1</f>
        <v>#REF!</v>
      </c>
    </row>
    <row r="127" spans="1:46" ht="15" customHeight="1">
      <c r="A127" s="201" t="s">
        <v>155</v>
      </c>
      <c r="B127" s="324">
        <v>439301656.50999999</v>
      </c>
      <c r="C127" s="324">
        <v>157.63</v>
      </c>
      <c r="D127" s="324">
        <v>429083634.07999998</v>
      </c>
      <c r="E127" s="324">
        <v>156.9</v>
      </c>
      <c r="F127" s="23">
        <f t="shared" si="135"/>
        <v>-2.3259694741823517E-2</v>
      </c>
      <c r="G127" s="23">
        <f t="shared" si="136"/>
        <v>-4.6310981412167086E-3</v>
      </c>
      <c r="H127" s="324">
        <v>425887457.70999998</v>
      </c>
      <c r="I127" s="324">
        <v>154.74</v>
      </c>
      <c r="J127" s="23">
        <f t="shared" si="137"/>
        <v>-7.4488424077346601E-3</v>
      </c>
      <c r="K127" s="23">
        <f t="shared" si="138"/>
        <v>-1.3766730401529615E-2</v>
      </c>
      <c r="L127" s="324">
        <v>430921309.29000002</v>
      </c>
      <c r="M127" s="324">
        <v>156.74</v>
      </c>
      <c r="N127" s="23">
        <f t="shared" si="139"/>
        <v>1.1819675571257958E-2</v>
      </c>
      <c r="O127" s="23">
        <f t="shared" si="140"/>
        <v>1.2924906294429364E-2</v>
      </c>
      <c r="P127" s="324">
        <v>416776146.10000002</v>
      </c>
      <c r="Q127" s="324">
        <v>154.24</v>
      </c>
      <c r="R127" s="23">
        <f t="shared" si="141"/>
        <v>-3.2825397317449975E-2</v>
      </c>
      <c r="S127" s="23">
        <f t="shared" si="142"/>
        <v>-1.5949980860022969E-2</v>
      </c>
      <c r="T127" s="324">
        <v>419031720.31</v>
      </c>
      <c r="U127" s="324">
        <v>152.9</v>
      </c>
      <c r="V127" s="23">
        <f t="shared" si="143"/>
        <v>5.4119561090686386E-3</v>
      </c>
      <c r="W127" s="23">
        <f t="shared" si="144"/>
        <v>-8.6877593360996062E-3</v>
      </c>
      <c r="X127" s="324">
        <v>430045074.02999997</v>
      </c>
      <c r="Y127" s="324">
        <v>157.25</v>
      </c>
      <c r="Z127" s="23">
        <f t="shared" si="145"/>
        <v>2.6282864008128744E-2</v>
      </c>
      <c r="AA127" s="23">
        <f t="shared" si="146"/>
        <v>2.8449967298888126E-2</v>
      </c>
      <c r="AB127" s="324">
        <v>442825424.91000003</v>
      </c>
      <c r="AC127" s="324">
        <v>161.84</v>
      </c>
      <c r="AD127" s="23">
        <f t="shared" si="147"/>
        <v>2.9718631026822311E-2</v>
      </c>
      <c r="AE127" s="23">
        <f t="shared" si="148"/>
        <v>2.918918918918921E-2</v>
      </c>
      <c r="AF127" s="324">
        <v>429426357.94</v>
      </c>
      <c r="AG127" s="324">
        <v>156.62</v>
      </c>
      <c r="AH127" s="23">
        <f t="shared" si="149"/>
        <v>-3.0258124796522828E-2</v>
      </c>
      <c r="AI127" s="23">
        <f t="shared" si="150"/>
        <v>-3.225407810182896E-2</v>
      </c>
      <c r="AJ127" s="24">
        <f t="shared" si="73"/>
        <v>-2.5698665685316663E-3</v>
      </c>
      <c r="AK127" s="24">
        <f t="shared" si="74"/>
        <v>-5.9069800727389477E-4</v>
      </c>
      <c r="AL127" s="25">
        <f t="shared" si="75"/>
        <v>7.9873440229164178E-4</v>
      </c>
      <c r="AM127" s="25">
        <f t="shared" si="76"/>
        <v>-1.7845761631612564E-3</v>
      </c>
      <c r="AN127" s="379">
        <f t="shared" si="77"/>
        <v>2.4726231688583278E-2</v>
      </c>
      <c r="AO127" s="380">
        <f t="shared" si="78"/>
        <v>2.1659489345335757E-2</v>
      </c>
      <c r="AP127" s="30"/>
      <c r="AQ127" s="57"/>
      <c r="AR127" s="58"/>
      <c r="AS127" s="29" t="e">
        <f>(#REF!/AQ127)-1</f>
        <v>#REF!</v>
      </c>
      <c r="AT127" s="29" t="e">
        <f>(#REF!/AR127)-1</f>
        <v>#REF!</v>
      </c>
    </row>
    <row r="128" spans="1:46" ht="17.25" customHeight="1">
      <c r="A128" s="201" t="s">
        <v>179</v>
      </c>
      <c r="B128" s="324">
        <v>3734808.11</v>
      </c>
      <c r="C128" s="324">
        <v>102.99</v>
      </c>
      <c r="D128" s="324">
        <v>3734808.11</v>
      </c>
      <c r="E128" s="324">
        <v>102.99</v>
      </c>
      <c r="F128" s="23">
        <f t="shared" si="135"/>
        <v>0</v>
      </c>
      <c r="G128" s="23">
        <f t="shared" si="136"/>
        <v>0</v>
      </c>
      <c r="H128" s="324">
        <v>3734808.11</v>
      </c>
      <c r="I128" s="324">
        <v>102.99</v>
      </c>
      <c r="J128" s="23">
        <f t="shared" si="137"/>
        <v>0</v>
      </c>
      <c r="K128" s="23">
        <f t="shared" si="138"/>
        <v>0</v>
      </c>
      <c r="L128" s="324">
        <v>3734808.11</v>
      </c>
      <c r="M128" s="324">
        <v>102.99</v>
      </c>
      <c r="N128" s="23">
        <f t="shared" si="139"/>
        <v>0</v>
      </c>
      <c r="O128" s="23">
        <f t="shared" si="140"/>
        <v>0</v>
      </c>
      <c r="P128" s="324">
        <v>3734808.11</v>
      </c>
      <c r="Q128" s="324">
        <v>102.99</v>
      </c>
      <c r="R128" s="23">
        <f t="shared" si="141"/>
        <v>0</v>
      </c>
      <c r="S128" s="23">
        <f t="shared" si="142"/>
        <v>0</v>
      </c>
      <c r="T128" s="324">
        <v>3734808.11</v>
      </c>
      <c r="U128" s="324">
        <v>102.99</v>
      </c>
      <c r="V128" s="23">
        <f t="shared" si="143"/>
        <v>0</v>
      </c>
      <c r="W128" s="23">
        <f t="shared" si="144"/>
        <v>0</v>
      </c>
      <c r="X128" s="324">
        <v>3734808.11</v>
      </c>
      <c r="Y128" s="324">
        <v>102.99</v>
      </c>
      <c r="Z128" s="23">
        <f t="shared" si="145"/>
        <v>0</v>
      </c>
      <c r="AA128" s="23">
        <f t="shared" si="146"/>
        <v>0</v>
      </c>
      <c r="AB128" s="324">
        <v>3734808.11</v>
      </c>
      <c r="AC128" s="324">
        <v>102.99</v>
      </c>
      <c r="AD128" s="23">
        <f t="shared" si="147"/>
        <v>0</v>
      </c>
      <c r="AE128" s="23">
        <f t="shared" si="148"/>
        <v>0</v>
      </c>
      <c r="AF128" s="324">
        <v>3734808.11</v>
      </c>
      <c r="AG128" s="324">
        <v>102.99</v>
      </c>
      <c r="AH128" s="23">
        <f t="shared" si="149"/>
        <v>0</v>
      </c>
      <c r="AI128" s="23">
        <f t="shared" si="150"/>
        <v>0</v>
      </c>
      <c r="AJ128" s="24">
        <f t="shared" si="73"/>
        <v>0</v>
      </c>
      <c r="AK128" s="24">
        <f t="shared" si="74"/>
        <v>0</v>
      </c>
      <c r="AL128" s="25">
        <f t="shared" si="75"/>
        <v>0</v>
      </c>
      <c r="AM128" s="25">
        <f t="shared" si="76"/>
        <v>0</v>
      </c>
      <c r="AN128" s="379">
        <f t="shared" si="77"/>
        <v>0</v>
      </c>
      <c r="AO128" s="380">
        <f t="shared" si="78"/>
        <v>0</v>
      </c>
      <c r="AP128" s="30"/>
      <c r="AQ128" s="463" t="s">
        <v>84</v>
      </c>
      <c r="AR128" s="463"/>
      <c r="AS128" s="29" t="e">
        <f>(#REF!/AQ128)-1</f>
        <v>#REF!</v>
      </c>
      <c r="AT128" s="29" t="e">
        <f>(#REF!/AR128)-1</f>
        <v>#REF!</v>
      </c>
    </row>
    <row r="129" spans="1:46" ht="16.5" customHeight="1">
      <c r="A129" s="201" t="s">
        <v>109</v>
      </c>
      <c r="B129" s="324">
        <v>160954340.43000001</v>
      </c>
      <c r="C129" s="324">
        <v>1.444</v>
      </c>
      <c r="D129" s="324">
        <v>162810556.72999999</v>
      </c>
      <c r="E129" s="324">
        <v>1.4359999999999999</v>
      </c>
      <c r="F129" s="23">
        <f t="shared" si="135"/>
        <v>1.1532564421940901E-2</v>
      </c>
      <c r="G129" s="23">
        <f t="shared" si="136"/>
        <v>-5.5401662049861548E-3</v>
      </c>
      <c r="H129" s="324">
        <v>164146634.36000001</v>
      </c>
      <c r="I129" s="324">
        <v>1.4474</v>
      </c>
      <c r="J129" s="23">
        <f t="shared" si="137"/>
        <v>8.2063329112972393E-3</v>
      </c>
      <c r="K129" s="23">
        <f t="shared" si="138"/>
        <v>7.9387186629527005E-3</v>
      </c>
      <c r="L129" s="324">
        <v>163299574.40000001</v>
      </c>
      <c r="M129" s="324">
        <v>1.4474</v>
      </c>
      <c r="N129" s="23">
        <f t="shared" si="139"/>
        <v>-5.1603857934867511E-3</v>
      </c>
      <c r="O129" s="23">
        <f t="shared" si="140"/>
        <v>0</v>
      </c>
      <c r="P129" s="324">
        <v>162535800.59</v>
      </c>
      <c r="Q129" s="324">
        <v>1.4359999999999999</v>
      </c>
      <c r="R129" s="23">
        <f t="shared" si="141"/>
        <v>-4.6771328878613561E-3</v>
      </c>
      <c r="S129" s="23">
        <f t="shared" si="142"/>
        <v>-7.8761917921791325E-3</v>
      </c>
      <c r="T129" s="324">
        <v>164143275.25</v>
      </c>
      <c r="U129" s="324">
        <v>1.4492</v>
      </c>
      <c r="V129" s="23">
        <f t="shared" si="143"/>
        <v>9.8899728808355594E-3</v>
      </c>
      <c r="W129" s="23">
        <f t="shared" si="144"/>
        <v>9.1922005571031338E-3</v>
      </c>
      <c r="X129" s="324">
        <v>172327437.09999999</v>
      </c>
      <c r="Y129" s="324">
        <v>1.4803999999999999</v>
      </c>
      <c r="Z129" s="23">
        <f t="shared" si="145"/>
        <v>4.985986686043048E-2</v>
      </c>
      <c r="AA129" s="23">
        <f t="shared" si="146"/>
        <v>2.1529119514214667E-2</v>
      </c>
      <c r="AB129" s="324">
        <v>166178349.90000001</v>
      </c>
      <c r="AC129" s="324">
        <v>1.2060999999999999</v>
      </c>
      <c r="AD129" s="23">
        <f t="shared" si="147"/>
        <v>-3.5682577907960936E-2</v>
      </c>
      <c r="AE129" s="23">
        <f t="shared" si="148"/>
        <v>-0.18528776006484735</v>
      </c>
      <c r="AF129" s="324">
        <v>163596341.93000001</v>
      </c>
      <c r="AG129" s="324">
        <v>1.4673</v>
      </c>
      <c r="AH129" s="23">
        <f t="shared" si="149"/>
        <v>-1.5537571359649172E-2</v>
      </c>
      <c r="AI129" s="23">
        <f t="shared" si="150"/>
        <v>0.21656579056462988</v>
      </c>
      <c r="AJ129" s="24">
        <f t="shared" si="73"/>
        <v>2.3038836406932463E-3</v>
      </c>
      <c r="AK129" s="24">
        <f t="shared" si="74"/>
        <v>7.0652139046109702E-3</v>
      </c>
      <c r="AL129" s="25">
        <f t="shared" si="75"/>
        <v>4.8263774523118908E-3</v>
      </c>
      <c r="AM129" s="25">
        <f t="shared" si="76"/>
        <v>2.1796657381615674E-2</v>
      </c>
      <c r="AN129" s="379">
        <f t="shared" si="77"/>
        <v>2.4798808824458164E-2</v>
      </c>
      <c r="AO129" s="380">
        <f t="shared" si="78"/>
        <v>6.7000113301840122E-2</v>
      </c>
      <c r="AP129" s="30"/>
      <c r="AQ129" s="59" t="s">
        <v>72</v>
      </c>
      <c r="AR129" s="60" t="s">
        <v>73</v>
      </c>
      <c r="AS129" s="29" t="e">
        <f>(#REF!/AQ129)-1</f>
        <v>#REF!</v>
      </c>
      <c r="AT129" s="29" t="e">
        <f>(#REF!/AR129)-1</f>
        <v>#REF!</v>
      </c>
    </row>
    <row r="130" spans="1:46" s="366" customFormat="1" ht="16.5" customHeight="1">
      <c r="A130" s="201" t="s">
        <v>243</v>
      </c>
      <c r="B130" s="320">
        <v>85397612.129999995</v>
      </c>
      <c r="C130" s="324">
        <v>122.8339</v>
      </c>
      <c r="D130" s="320">
        <v>84697979.370000005</v>
      </c>
      <c r="E130" s="324">
        <v>121.6553</v>
      </c>
      <c r="F130" s="23">
        <f t="shared" si="135"/>
        <v>-8.1926501520317215E-3</v>
      </c>
      <c r="G130" s="23">
        <f t="shared" si="136"/>
        <v>-9.5950710675147734E-3</v>
      </c>
      <c r="H130" s="320">
        <v>84110906.269999996</v>
      </c>
      <c r="I130" s="324">
        <v>120.76900000000001</v>
      </c>
      <c r="J130" s="23">
        <f t="shared" si="137"/>
        <v>-6.9313707879074858E-3</v>
      </c>
      <c r="K130" s="23">
        <f t="shared" si="138"/>
        <v>-7.2853381644695419E-3</v>
      </c>
      <c r="L130" s="320">
        <v>99231279.709999993</v>
      </c>
      <c r="M130" s="324">
        <v>121.371</v>
      </c>
      <c r="N130" s="23">
        <f t="shared" si="139"/>
        <v>0.17976709692632348</v>
      </c>
      <c r="O130" s="23">
        <f t="shared" si="140"/>
        <v>4.9847229007443103E-3</v>
      </c>
      <c r="P130" s="320">
        <v>99127290.280000001</v>
      </c>
      <c r="Q130" s="324">
        <v>120.9435</v>
      </c>
      <c r="R130" s="23">
        <f t="shared" si="141"/>
        <v>-1.0479501050868012E-3</v>
      </c>
      <c r="S130" s="23">
        <f t="shared" si="142"/>
        <v>-3.5222582000642238E-3</v>
      </c>
      <c r="T130" s="320">
        <v>105503200.2</v>
      </c>
      <c r="U130" s="324">
        <v>121.22669999999999</v>
      </c>
      <c r="V130" s="23">
        <f t="shared" si="143"/>
        <v>6.4320429843187296E-2</v>
      </c>
      <c r="W130" s="23">
        <f t="shared" si="144"/>
        <v>2.3415892544865467E-3</v>
      </c>
      <c r="X130" s="320">
        <v>107205100.59</v>
      </c>
      <c r="Y130" s="324">
        <v>123.00530000000001</v>
      </c>
      <c r="Z130" s="23">
        <f t="shared" si="145"/>
        <v>1.6131267930960834E-2</v>
      </c>
      <c r="AA130" s="23">
        <f t="shared" si="146"/>
        <v>1.4671685363043056E-2</v>
      </c>
      <c r="AB130" s="320">
        <v>113252406.45</v>
      </c>
      <c r="AC130" s="324">
        <v>124.3608</v>
      </c>
      <c r="AD130" s="23">
        <f t="shared" si="147"/>
        <v>5.6408751325439141E-2</v>
      </c>
      <c r="AE130" s="23">
        <f t="shared" si="148"/>
        <v>1.1019850364171236E-2</v>
      </c>
      <c r="AF130" s="320">
        <v>112785306.44</v>
      </c>
      <c r="AG130" s="324">
        <v>123.0081</v>
      </c>
      <c r="AH130" s="23">
        <f t="shared" si="149"/>
        <v>-4.1244157598207517E-3</v>
      </c>
      <c r="AI130" s="23">
        <f t="shared" si="150"/>
        <v>-1.0877221761198052E-2</v>
      </c>
      <c r="AJ130" s="24">
        <f t="shared" si="73"/>
        <v>3.7041394902633001E-2</v>
      </c>
      <c r="AK130" s="24">
        <f t="shared" si="74"/>
        <v>2.1724483614981942E-4</v>
      </c>
      <c r="AL130" s="25">
        <f t="shared" si="75"/>
        <v>0.33161743974199831</v>
      </c>
      <c r="AM130" s="25">
        <f t="shared" si="76"/>
        <v>1.1119942986454367E-2</v>
      </c>
      <c r="AN130" s="379">
        <f t="shared" si="77"/>
        <v>6.4422982584211627E-2</v>
      </c>
      <c r="AO130" s="380">
        <f t="shared" si="78"/>
        <v>8.7224912037384313E-3</v>
      </c>
      <c r="AP130" s="30"/>
      <c r="AQ130" s="59"/>
      <c r="AR130" s="60"/>
      <c r="AS130" s="29"/>
      <c r="AT130" s="29"/>
    </row>
    <row r="131" spans="1:46" ht="14.25" customHeight="1">
      <c r="A131" s="201" t="s">
        <v>232</v>
      </c>
      <c r="B131" s="320">
        <v>176975747.41999999</v>
      </c>
      <c r="C131" s="324">
        <v>113.19</v>
      </c>
      <c r="D131" s="320">
        <v>177609366.86000001</v>
      </c>
      <c r="E131" s="324">
        <v>113.66</v>
      </c>
      <c r="F131" s="23">
        <f t="shared" si="135"/>
        <v>3.580261415686058E-3</v>
      </c>
      <c r="G131" s="23">
        <f t="shared" si="136"/>
        <v>4.1523102747592442E-3</v>
      </c>
      <c r="H131" s="320">
        <v>177835881.47</v>
      </c>
      <c r="I131" s="324">
        <v>113.85</v>
      </c>
      <c r="J131" s="23">
        <f t="shared" si="137"/>
        <v>1.2753528375478861E-3</v>
      </c>
      <c r="K131" s="23">
        <f t="shared" si="138"/>
        <v>1.671652296322345E-3</v>
      </c>
      <c r="L131" s="320">
        <v>177983926.46000001</v>
      </c>
      <c r="M131" s="324">
        <v>114.06</v>
      </c>
      <c r="N131" s="23">
        <f t="shared" si="139"/>
        <v>8.3248098626813945E-4</v>
      </c>
      <c r="O131" s="23">
        <f t="shared" si="140"/>
        <v>1.844532279314958E-3</v>
      </c>
      <c r="P131" s="320">
        <v>177861281.72999999</v>
      </c>
      <c r="Q131" s="324">
        <v>113.48</v>
      </c>
      <c r="R131" s="23">
        <f t="shared" si="141"/>
        <v>-6.8907756132451754E-4</v>
      </c>
      <c r="S131" s="23">
        <f t="shared" si="142"/>
        <v>-5.0850429598456801E-3</v>
      </c>
      <c r="T131" s="320">
        <v>179824986.94999999</v>
      </c>
      <c r="U131" s="324">
        <v>114.17</v>
      </c>
      <c r="V131" s="23">
        <f t="shared" si="143"/>
        <v>1.1040655958956688E-2</v>
      </c>
      <c r="W131" s="23">
        <f t="shared" si="144"/>
        <v>6.0803665844201419E-3</v>
      </c>
      <c r="X131" s="320">
        <v>180191552.40000001</v>
      </c>
      <c r="Y131" s="324">
        <v>114.84</v>
      </c>
      <c r="Z131" s="23">
        <f t="shared" si="145"/>
        <v>2.0384567029160454E-3</v>
      </c>
      <c r="AA131" s="23">
        <f t="shared" si="146"/>
        <v>5.8684417973198007E-3</v>
      </c>
      <c r="AB131" s="320">
        <v>180686237.71000001</v>
      </c>
      <c r="AC131" s="324">
        <v>115.23</v>
      </c>
      <c r="AD131" s="23">
        <f t="shared" si="147"/>
        <v>2.7453301967334757E-3</v>
      </c>
      <c r="AE131" s="23">
        <f t="shared" si="148"/>
        <v>3.3960292580982286E-3</v>
      </c>
      <c r="AF131" s="320">
        <v>180415683.75999999</v>
      </c>
      <c r="AG131" s="324">
        <v>115.18</v>
      </c>
      <c r="AH131" s="23">
        <f t="shared" si="149"/>
        <v>-1.4973688833692738E-3</v>
      </c>
      <c r="AI131" s="23">
        <f t="shared" si="150"/>
        <v>-4.3391477913735276E-4</v>
      </c>
      <c r="AJ131" s="24">
        <f t="shared" si="73"/>
        <v>2.4157614566768125E-3</v>
      </c>
      <c r="AK131" s="24">
        <f t="shared" si="74"/>
        <v>2.1867968439064607E-3</v>
      </c>
      <c r="AL131" s="25">
        <f t="shared" si="75"/>
        <v>1.5800500557000725E-2</v>
      </c>
      <c r="AM131" s="25">
        <f t="shared" si="76"/>
        <v>1.3373218370579009E-2</v>
      </c>
      <c r="AN131" s="379">
        <f t="shared" si="77"/>
        <v>3.8684763152966295E-3</v>
      </c>
      <c r="AO131" s="380">
        <f t="shared" si="78"/>
        <v>3.7934862275673894E-3</v>
      </c>
      <c r="AP131" s="30"/>
      <c r="AQ131" s="53">
        <v>1901056000</v>
      </c>
      <c r="AR131" s="47">
        <v>12.64</v>
      </c>
      <c r="AS131" s="29" t="e">
        <f>(#REF!/AQ131)-1</f>
        <v>#REF!</v>
      </c>
      <c r="AT131" s="29" t="e">
        <f>(#REF!/AR131)-1</f>
        <v>#REF!</v>
      </c>
    </row>
    <row r="132" spans="1:46">
      <c r="A132" s="201" t="s">
        <v>259</v>
      </c>
      <c r="B132" s="325">
        <v>364914954.13999999</v>
      </c>
      <c r="C132" s="324">
        <v>1.2488999999999999</v>
      </c>
      <c r="D132" s="325">
        <v>378863904.12</v>
      </c>
      <c r="E132" s="324">
        <v>1.2543</v>
      </c>
      <c r="F132" s="23">
        <f t="shared" si="135"/>
        <v>3.8225207878569124E-2</v>
      </c>
      <c r="G132" s="23">
        <f t="shared" si="136"/>
        <v>4.3238049483546098E-3</v>
      </c>
      <c r="H132" s="325">
        <v>443648904.97000003</v>
      </c>
      <c r="I132" s="324">
        <v>1.2548999999999999</v>
      </c>
      <c r="J132" s="23">
        <f t="shared" si="137"/>
        <v>0.1709980817530726</v>
      </c>
      <c r="K132" s="23">
        <f t="shared" si="138"/>
        <v>4.7835446065529294E-4</v>
      </c>
      <c r="L132" s="325">
        <v>434113394.18000001</v>
      </c>
      <c r="M132" s="324">
        <v>1.2607999999999999</v>
      </c>
      <c r="N132" s="23">
        <f t="shared" si="139"/>
        <v>-2.1493371635042856E-2</v>
      </c>
      <c r="O132" s="23">
        <f t="shared" si="140"/>
        <v>4.7015698462028977E-3</v>
      </c>
      <c r="P132" s="325">
        <v>522323143.73000002</v>
      </c>
      <c r="Q132" s="324">
        <v>1.2607999999999999</v>
      </c>
      <c r="R132" s="23">
        <f t="shared" si="141"/>
        <v>0.20319518064311298</v>
      </c>
      <c r="S132" s="23">
        <f t="shared" si="142"/>
        <v>0</v>
      </c>
      <c r="T132" s="325">
        <v>519182707.39999998</v>
      </c>
      <c r="U132" s="324">
        <v>1.2531000000000001</v>
      </c>
      <c r="V132" s="23">
        <f t="shared" si="143"/>
        <v>-6.0124395552792155E-3</v>
      </c>
      <c r="W132" s="23">
        <f t="shared" si="144"/>
        <v>-6.1072335025379272E-3</v>
      </c>
      <c r="X132" s="325">
        <v>530380478.81999999</v>
      </c>
      <c r="Y132" s="324">
        <v>1.268</v>
      </c>
      <c r="Z132" s="23">
        <f t="shared" si="145"/>
        <v>2.1568074707412756E-2</v>
      </c>
      <c r="AA132" s="23">
        <f t="shared" si="146"/>
        <v>1.1890511531402052E-2</v>
      </c>
      <c r="AB132" s="325">
        <v>536390332.81999999</v>
      </c>
      <c r="AC132" s="324">
        <v>1.2847999999999999</v>
      </c>
      <c r="AD132" s="23">
        <f t="shared" si="147"/>
        <v>1.1331212667123102E-2</v>
      </c>
      <c r="AE132" s="23">
        <f t="shared" si="148"/>
        <v>1.3249211356466818E-2</v>
      </c>
      <c r="AF132" s="325">
        <v>528682505.04000002</v>
      </c>
      <c r="AG132" s="324">
        <v>1.2639</v>
      </c>
      <c r="AH132" s="23">
        <f t="shared" si="149"/>
        <v>-1.4369811140102216E-2</v>
      </c>
      <c r="AI132" s="23">
        <f t="shared" si="150"/>
        <v>-1.626712328767117E-2</v>
      </c>
      <c r="AJ132" s="24">
        <f t="shared" si="73"/>
        <v>5.0430266914858281E-2</v>
      </c>
      <c r="AK132" s="24">
        <f t="shared" si="74"/>
        <v>1.533636919109072E-3</v>
      </c>
      <c r="AL132" s="25">
        <f t="shared" si="75"/>
        <v>0.39544173855249881</v>
      </c>
      <c r="AM132" s="25">
        <f t="shared" si="76"/>
        <v>7.6536713704855718E-3</v>
      </c>
      <c r="AN132" s="379">
        <f t="shared" si="77"/>
        <v>8.6966562951589207E-2</v>
      </c>
      <c r="AO132" s="380">
        <f t="shared" si="78"/>
        <v>9.0763320380935208E-3</v>
      </c>
      <c r="AP132" s="30"/>
      <c r="AQ132" s="53">
        <v>106884243.56</v>
      </c>
      <c r="AR132" s="47">
        <v>2.92</v>
      </c>
      <c r="AS132" s="29" t="e">
        <f>(#REF!/AQ132)-1</f>
        <v>#REF!</v>
      </c>
      <c r="AT132" s="29" t="e">
        <f>(#REF!/AR132)-1</f>
        <v>#REF!</v>
      </c>
    </row>
    <row r="133" spans="1:46">
      <c r="A133" s="202" t="s">
        <v>126</v>
      </c>
      <c r="B133" s="324">
        <v>6018824048.9399996</v>
      </c>
      <c r="C133" s="324">
        <v>248.9</v>
      </c>
      <c r="D133" s="324">
        <v>6074144231.3900003</v>
      </c>
      <c r="E133" s="324">
        <v>251.18</v>
      </c>
      <c r="F133" s="23">
        <f t="shared" si="135"/>
        <v>9.1911944925094514E-3</v>
      </c>
      <c r="G133" s="23">
        <f t="shared" si="136"/>
        <v>9.1603053435114542E-3</v>
      </c>
      <c r="H133" s="324">
        <v>6245064348.7700005</v>
      </c>
      <c r="I133" s="324">
        <v>258.22000000000003</v>
      </c>
      <c r="J133" s="23">
        <f t="shared" si="137"/>
        <v>2.8138962604265811E-2</v>
      </c>
      <c r="K133" s="23">
        <f t="shared" si="138"/>
        <v>2.8027709212517002E-2</v>
      </c>
      <c r="L133" s="324">
        <v>6224010652.3400002</v>
      </c>
      <c r="M133" s="324">
        <v>257.32</v>
      </c>
      <c r="N133" s="23">
        <f t="shared" si="139"/>
        <v>-3.3712537220127996E-3</v>
      </c>
      <c r="O133" s="23">
        <f t="shared" si="140"/>
        <v>-3.4854000464721322E-3</v>
      </c>
      <c r="P133" s="324">
        <v>6182725913.04</v>
      </c>
      <c r="Q133" s="324">
        <v>255.83</v>
      </c>
      <c r="R133" s="23">
        <f t="shared" si="141"/>
        <v>-6.6331408485746472E-3</v>
      </c>
      <c r="S133" s="23">
        <f t="shared" si="142"/>
        <v>-5.7904554640136044E-3</v>
      </c>
      <c r="T133" s="324">
        <v>6300725764.1800003</v>
      </c>
      <c r="U133" s="324">
        <v>260.70999999999998</v>
      </c>
      <c r="V133" s="23">
        <f t="shared" si="143"/>
        <v>1.9085408733893024E-2</v>
      </c>
      <c r="W133" s="23">
        <f t="shared" si="144"/>
        <v>1.9075167103154309E-2</v>
      </c>
      <c r="X133" s="324">
        <v>6519020773.8999996</v>
      </c>
      <c r="Y133" s="324">
        <v>269.69</v>
      </c>
      <c r="Z133" s="23">
        <f t="shared" si="145"/>
        <v>3.4646010299483179E-2</v>
      </c>
      <c r="AA133" s="23">
        <f t="shared" si="146"/>
        <v>3.4444401825783511E-2</v>
      </c>
      <c r="AB133" s="324">
        <v>6632477030.1300001</v>
      </c>
      <c r="AC133" s="324">
        <v>274.23</v>
      </c>
      <c r="AD133" s="23">
        <f t="shared" si="147"/>
        <v>1.7403880147804064E-2</v>
      </c>
      <c r="AE133" s="23">
        <f t="shared" si="148"/>
        <v>1.6834142904816718E-2</v>
      </c>
      <c r="AF133" s="324">
        <v>6557198037.6899996</v>
      </c>
      <c r="AG133" s="324">
        <v>270.95999999999998</v>
      </c>
      <c r="AH133" s="23">
        <f t="shared" si="149"/>
        <v>-1.1350057014600023E-2</v>
      </c>
      <c r="AI133" s="23">
        <f t="shared" si="150"/>
        <v>-1.1924297122853219E-2</v>
      </c>
      <c r="AJ133" s="24">
        <f t="shared" si="73"/>
        <v>1.0888875586596005E-2</v>
      </c>
      <c r="AK133" s="24">
        <f t="shared" si="74"/>
        <v>1.0792696719555505E-2</v>
      </c>
      <c r="AL133" s="25">
        <f t="shared" si="75"/>
        <v>7.952623248616171E-2</v>
      </c>
      <c r="AM133" s="25">
        <f t="shared" si="76"/>
        <v>7.8748307986304528E-2</v>
      </c>
      <c r="AN133" s="379">
        <f t="shared" si="77"/>
        <v>1.681589377490042E-2</v>
      </c>
      <c r="AO133" s="380">
        <f t="shared" si="78"/>
        <v>1.6618996045428908E-2</v>
      </c>
      <c r="AP133" s="30"/>
      <c r="AQ133" s="53">
        <v>84059843.040000007</v>
      </c>
      <c r="AR133" s="47">
        <v>7.19</v>
      </c>
      <c r="AS133" s="29" t="e">
        <f>(#REF!/AQ133)-1</f>
        <v>#REF!</v>
      </c>
      <c r="AT133" s="29" t="e">
        <f>(#REF!/AR133)-1</f>
        <v>#REF!</v>
      </c>
    </row>
    <row r="134" spans="1:46" s="366" customFormat="1">
      <c r="A134" s="201" t="s">
        <v>260</v>
      </c>
      <c r="B134" s="324">
        <v>2308579836.4699998</v>
      </c>
      <c r="C134" s="324">
        <v>1.6348</v>
      </c>
      <c r="D134" s="324">
        <v>2291800485.3400002</v>
      </c>
      <c r="E134" s="324">
        <v>1.6227</v>
      </c>
      <c r="F134" s="23">
        <f t="shared" si="135"/>
        <v>-7.2682568152620556E-3</v>
      </c>
      <c r="G134" s="23">
        <f t="shared" si="136"/>
        <v>-7.4015170051382429E-3</v>
      </c>
      <c r="H134" s="324">
        <v>2269683639.9899998</v>
      </c>
      <c r="I134" s="324">
        <v>1.6069</v>
      </c>
      <c r="J134" s="23">
        <f>((H134-D134)/D134)</f>
        <v>-9.6504235388183181E-3</v>
      </c>
      <c r="K134" s="23">
        <f>((I134-E134)/E134)</f>
        <v>-9.7368583225488602E-3</v>
      </c>
      <c r="L134" s="324">
        <v>2276844044.0500002</v>
      </c>
      <c r="M134" s="324">
        <v>1.6111</v>
      </c>
      <c r="N134" s="23">
        <f>((L134-H134)/H134)</f>
        <v>3.1548026931330253E-3</v>
      </c>
      <c r="O134" s="23">
        <f>((M134-I134)/I134)</f>
        <v>2.6137282967203818E-3</v>
      </c>
      <c r="P134" s="324">
        <v>2294747911.5799999</v>
      </c>
      <c r="Q134" s="324">
        <v>1.6234999999999999</v>
      </c>
      <c r="R134" s="23">
        <f>((P134-L134)/L134)</f>
        <v>7.8634580074938842E-3</v>
      </c>
      <c r="S134" s="23">
        <f>((Q134-M134)/M134)</f>
        <v>7.6966048041710424E-3</v>
      </c>
      <c r="T134" s="324">
        <v>2283745850.8400002</v>
      </c>
      <c r="U134" s="324">
        <v>1.6155999999999999</v>
      </c>
      <c r="V134" s="23">
        <f>((T134-P134)/P134)</f>
        <v>-4.7944528828112263E-3</v>
      </c>
      <c r="W134" s="23">
        <f>((U134-Q134)/Q134)</f>
        <v>-4.8660301817062017E-3</v>
      </c>
      <c r="X134" s="324">
        <v>2324468880.2800002</v>
      </c>
      <c r="Y134" s="324">
        <v>1.6442000000000001</v>
      </c>
      <c r="Z134" s="23">
        <f>((X134-T134)/T134)</f>
        <v>1.7831681850684674E-2</v>
      </c>
      <c r="AA134" s="23">
        <f>((Y134-U134)/U134)</f>
        <v>1.7702401584550744E-2</v>
      </c>
      <c r="AB134" s="324">
        <v>2375635718.1199999</v>
      </c>
      <c r="AC134" s="324">
        <v>1.6801999999999999</v>
      </c>
      <c r="AD134" s="23">
        <f>((AB134-X134)/X134)</f>
        <v>2.2012270533747148E-2</v>
      </c>
      <c r="AE134" s="23">
        <f>((AC134-Y134)/Y134)</f>
        <v>2.1895146575842239E-2</v>
      </c>
      <c r="AF134" s="324">
        <v>2336674013.5799999</v>
      </c>
      <c r="AG134" s="324">
        <v>1.6266</v>
      </c>
      <c r="AH134" s="23">
        <f>((AF134-AB134)/AB134)</f>
        <v>-1.6400538282373096E-2</v>
      </c>
      <c r="AI134" s="23">
        <f>((AG134-AC134)/AC134)</f>
        <v>-3.1900964170931953E-2</v>
      </c>
      <c r="AJ134" s="24">
        <f t="shared" ref="AJ134:AJ173" si="151">AVERAGE(F134,J134,N134,R134,V134,Z134,AD134,AH134)</f>
        <v>1.593567695724254E-3</v>
      </c>
      <c r="AK134" s="24">
        <f t="shared" ref="AK134:AK173" si="152">AVERAGE(G134,K134,O134,S134,W134,AA134,AE134,AI134)</f>
        <v>-4.9968605238010638E-4</v>
      </c>
      <c r="AL134" s="25">
        <f t="shared" ref="AL134:AL173" si="153">((AF134-D134)/D134)</f>
        <v>1.9580032610623414E-2</v>
      </c>
      <c r="AM134" s="25">
        <f t="shared" ref="AM134:AM173" si="154">((AG134-E134)/E134)</f>
        <v>2.4034017378443424E-3</v>
      </c>
      <c r="AN134" s="379">
        <f t="shared" ref="AN134:AN173" si="155">STDEV(F134,J134,N134,R134,V134,Z134,AD134,AH134)</f>
        <v>1.3585195122130701E-2</v>
      </c>
      <c r="AO134" s="380">
        <f t="shared" ref="AO134:AO173" si="156">STDEV(G134,K134,O134,S134,W134,AA134,AE134,AH134)</f>
        <v>1.3546464166538239E-2</v>
      </c>
      <c r="AP134" s="30"/>
      <c r="AQ134" s="53"/>
      <c r="AR134" s="47"/>
      <c r="AS134" s="29"/>
      <c r="AT134" s="29"/>
    </row>
    <row r="135" spans="1:46" s="366" customFormat="1">
      <c r="A135" s="201" t="s">
        <v>251</v>
      </c>
      <c r="B135" s="324">
        <v>164320105.47</v>
      </c>
      <c r="C135" s="324">
        <v>107.38</v>
      </c>
      <c r="D135" s="324">
        <v>155303384.59191602</v>
      </c>
      <c r="E135" s="324">
        <v>106.14</v>
      </c>
      <c r="F135" s="23">
        <f t="shared" si="135"/>
        <v>-5.4872900989770608E-2</v>
      </c>
      <c r="G135" s="23">
        <f t="shared" si="136"/>
        <v>-1.154777425963862E-2</v>
      </c>
      <c r="H135" s="324">
        <v>153558114.06464234</v>
      </c>
      <c r="I135" s="324">
        <v>105.05</v>
      </c>
      <c r="J135" s="23">
        <f>((H135-D135)/D135)</f>
        <v>-1.1237813856147801E-2</v>
      </c>
      <c r="K135" s="23">
        <f>((I135-E135)/E135)</f>
        <v>-1.026945543621635E-2</v>
      </c>
      <c r="L135" s="324">
        <v>154342748.83182439</v>
      </c>
      <c r="M135" s="324">
        <v>105.59381274957177</v>
      </c>
      <c r="N135" s="23">
        <f>((L135-H135)/H135)</f>
        <v>5.1096926525924227E-3</v>
      </c>
      <c r="O135" s="23">
        <f>((M135-I135)/I135)</f>
        <v>5.1767039464233307E-3</v>
      </c>
      <c r="P135" s="324">
        <v>153299132.10603249</v>
      </c>
      <c r="Q135" s="324">
        <v>104.9517475426494</v>
      </c>
      <c r="R135" s="23">
        <f>((P135-L135)/L135)</f>
        <v>-6.7616829017931477E-3</v>
      </c>
      <c r="S135" s="23">
        <f>((Q135-M135)/M135)</f>
        <v>-6.080519210392577E-3</v>
      </c>
      <c r="T135" s="324">
        <v>151247340.81</v>
      </c>
      <c r="U135" s="324">
        <v>103.66</v>
      </c>
      <c r="V135" s="23">
        <f>((T135-P135)/P135)</f>
        <v>-1.3384232955822117E-2</v>
      </c>
      <c r="W135" s="23">
        <f>((U135-Q135)/Q135)</f>
        <v>-1.230801366241638E-2</v>
      </c>
      <c r="X135" s="324">
        <v>156365774.81</v>
      </c>
      <c r="Y135" s="324">
        <v>107.03</v>
      </c>
      <c r="Z135" s="23">
        <f>((X135-T135)/T135)</f>
        <v>3.3841480931753251E-2</v>
      </c>
      <c r="AA135" s="23">
        <f>((Y135-U135)/U135)</f>
        <v>3.2510129268763309E-2</v>
      </c>
      <c r="AB135" s="324">
        <v>157906198.10688844</v>
      </c>
      <c r="AC135" s="324">
        <v>108.08</v>
      </c>
      <c r="AD135" s="23">
        <f>((AB135-X135)/X135)</f>
        <v>9.8514096115995247E-3</v>
      </c>
      <c r="AE135" s="23">
        <f>((AC135-Y135)/Y135)</f>
        <v>9.8103335513407188E-3</v>
      </c>
      <c r="AF135" s="324">
        <v>158468200.44026017</v>
      </c>
      <c r="AG135" s="324">
        <v>108.49</v>
      </c>
      <c r="AH135" s="23">
        <f>((AF135-AB135)/AB135)</f>
        <v>3.5590897641098488E-3</v>
      </c>
      <c r="AI135" s="23">
        <f>((AG135-AC135)/AC135)</f>
        <v>3.7934863064396428E-3</v>
      </c>
      <c r="AJ135" s="24">
        <f t="shared" si="151"/>
        <v>-4.2368697179348269E-3</v>
      </c>
      <c r="AK135" s="24">
        <f t="shared" si="152"/>
        <v>1.3856113130378837E-3</v>
      </c>
      <c r="AL135" s="25">
        <f t="shared" si="153"/>
        <v>2.0378279949662376E-2</v>
      </c>
      <c r="AM135" s="25">
        <f t="shared" si="154"/>
        <v>2.2140569059732374E-2</v>
      </c>
      <c r="AN135" s="379">
        <f t="shared" si="155"/>
        <v>2.5353628741879391E-2</v>
      </c>
      <c r="AO135" s="380">
        <f t="shared" si="156"/>
        <v>1.5142997439863574E-2</v>
      </c>
      <c r="AP135" s="30"/>
      <c r="AQ135" s="53"/>
      <c r="AR135" s="47"/>
      <c r="AS135" s="29"/>
      <c r="AT135" s="29"/>
    </row>
    <row r="136" spans="1:46" s="366" customFormat="1">
      <c r="A136" s="201" t="s">
        <v>267</v>
      </c>
      <c r="B136" s="325">
        <v>2530240043.2600002</v>
      </c>
      <c r="C136" s="324">
        <v>3.63</v>
      </c>
      <c r="D136" s="325">
        <v>2601994669.3099999</v>
      </c>
      <c r="E136" s="324">
        <v>3.73</v>
      </c>
      <c r="F136" s="23">
        <f t="shared" si="135"/>
        <v>2.8358821622927896E-2</v>
      </c>
      <c r="G136" s="23">
        <f t="shared" si="136"/>
        <v>2.754820936639121E-2</v>
      </c>
      <c r="H136" s="325">
        <v>2573022303.79</v>
      </c>
      <c r="I136" s="324">
        <v>3.68</v>
      </c>
      <c r="J136" s="23">
        <f t="shared" ref="J136:J145" si="157">((H136-D136)/D136)</f>
        <v>-1.1134675201960697E-2</v>
      </c>
      <c r="K136" s="23">
        <f t="shared" ref="K136:K145" si="158">((I136-E136)/E136)</f>
        <v>-1.3404825737265367E-2</v>
      </c>
      <c r="L136" s="325">
        <v>2589525124.8400002</v>
      </c>
      <c r="M136" s="324">
        <v>3.7</v>
      </c>
      <c r="N136" s="23">
        <f t="shared" ref="N136:N145" si="159">((L136-H136)/H136)</f>
        <v>6.4137885729524894E-3</v>
      </c>
      <c r="O136" s="23">
        <f t="shared" ref="O136:O145" si="160">((M136-I136)/I136)</f>
        <v>5.4347826086956564E-3</v>
      </c>
      <c r="P136" s="325">
        <v>2607126466.6500001</v>
      </c>
      <c r="Q136" s="324">
        <v>3.71</v>
      </c>
      <c r="R136" s="23">
        <f t="shared" ref="R136:R145" si="161">((P136-L136)/L136)</f>
        <v>6.7971311191998892E-3</v>
      </c>
      <c r="S136" s="23">
        <f t="shared" ref="S136:S145" si="162">((Q136-M136)/M136)</f>
        <v>2.7027027027026452E-3</v>
      </c>
      <c r="T136" s="325">
        <v>2615702885.4400001</v>
      </c>
      <c r="U136" s="324">
        <v>3.69</v>
      </c>
      <c r="V136" s="23">
        <f t="shared" ref="V136:V145" si="163">((T136-P136)/P136)</f>
        <v>3.2896059702927035E-3</v>
      </c>
      <c r="W136" s="23">
        <f t="shared" ref="W136:W145" si="164">((U136-Q136)/Q136)</f>
        <v>-5.3908355795148294E-3</v>
      </c>
      <c r="X136" s="325">
        <v>2616486492.1900001</v>
      </c>
      <c r="Y136" s="324">
        <v>3.69</v>
      </c>
      <c r="Z136" s="23">
        <f t="shared" ref="Z136:Z145" si="165">((X136-T136)/T136)</f>
        <v>2.9957788950796136E-4</v>
      </c>
      <c r="AA136" s="23">
        <f t="shared" ref="AA136:AA145" si="166">((Y136-U136)/U136)</f>
        <v>0</v>
      </c>
      <c r="AB136" s="325">
        <v>2663677164.0799999</v>
      </c>
      <c r="AC136" s="324">
        <v>3.75</v>
      </c>
      <c r="AD136" s="23">
        <f t="shared" ref="AD136:AD145" si="167">((AB136-X136)/X136)</f>
        <v>1.8035893565994013E-2</v>
      </c>
      <c r="AE136" s="23">
        <f t="shared" ref="AE136:AE145" si="168">((AC136-Y136)/Y136)</f>
        <v>1.6260162601626032E-2</v>
      </c>
      <c r="AF136" s="325">
        <v>2613539875.8600001</v>
      </c>
      <c r="AG136" s="324">
        <v>3.68</v>
      </c>
      <c r="AH136" s="23">
        <f t="shared" ref="AH136:AH145" si="169">((AF136-AB136)/AB136)</f>
        <v>-1.8822584394275334E-2</v>
      </c>
      <c r="AI136" s="23">
        <f t="shared" ref="AI136:AI145" si="170">((AG136-AC136)/AC136)</f>
        <v>-1.8666666666666623E-2</v>
      </c>
      <c r="AJ136" s="24">
        <f t="shared" si="151"/>
        <v>4.1546948930798657E-3</v>
      </c>
      <c r="AK136" s="24">
        <f t="shared" si="152"/>
        <v>1.8104411619960905E-3</v>
      </c>
      <c r="AL136" s="25">
        <f t="shared" si="153"/>
        <v>4.4370600317416341E-3</v>
      </c>
      <c r="AM136" s="25">
        <f t="shared" si="154"/>
        <v>-1.3404825737265367E-2</v>
      </c>
      <c r="AN136" s="379">
        <f t="shared" si="155"/>
        <v>1.4966361844973788E-2</v>
      </c>
      <c r="AO136" s="380">
        <f t="shared" si="156"/>
        <v>1.5106849340346659E-2</v>
      </c>
      <c r="AP136" s="30"/>
      <c r="AQ136" s="53"/>
      <c r="AR136" s="47"/>
      <c r="AS136" s="29"/>
      <c r="AT136" s="29"/>
    </row>
    <row r="137" spans="1:46">
      <c r="A137" s="201" t="s">
        <v>129</v>
      </c>
      <c r="B137" s="325">
        <v>177775000.77000001</v>
      </c>
      <c r="C137" s="324">
        <v>165.026265</v>
      </c>
      <c r="D137" s="325">
        <v>179109011.09999999</v>
      </c>
      <c r="E137" s="324">
        <v>165.58421300000001</v>
      </c>
      <c r="F137" s="23">
        <f t="shared" si="135"/>
        <v>7.5039253225816947E-3</v>
      </c>
      <c r="G137" s="23">
        <f t="shared" si="136"/>
        <v>3.3809648421723073E-3</v>
      </c>
      <c r="H137" s="325">
        <v>182939141.30000001</v>
      </c>
      <c r="I137" s="324">
        <v>169.067768</v>
      </c>
      <c r="J137" s="23">
        <f t="shared" si="157"/>
        <v>2.1384352336475034E-2</v>
      </c>
      <c r="K137" s="23">
        <f t="shared" si="158"/>
        <v>2.1037965738919782E-2</v>
      </c>
      <c r="L137" s="325">
        <v>188240758.78999999</v>
      </c>
      <c r="M137" s="324">
        <v>173.95459700000001</v>
      </c>
      <c r="N137" s="23">
        <f t="shared" si="159"/>
        <v>2.8980225075539805E-2</v>
      </c>
      <c r="O137" s="23">
        <f t="shared" si="160"/>
        <v>2.8904557372520619E-2</v>
      </c>
      <c r="P137" s="325">
        <v>187758517.75</v>
      </c>
      <c r="Q137" s="324">
        <v>173.61736999999999</v>
      </c>
      <c r="R137" s="23">
        <f t="shared" si="161"/>
        <v>-2.5618311522956419E-3</v>
      </c>
      <c r="S137" s="23">
        <f t="shared" si="162"/>
        <v>-1.9385920568687979E-3</v>
      </c>
      <c r="T137" s="325">
        <v>190824404.06</v>
      </c>
      <c r="U137" s="324">
        <v>176.20522500000001</v>
      </c>
      <c r="V137" s="23">
        <f t="shared" si="163"/>
        <v>1.6328880024938323E-2</v>
      </c>
      <c r="W137" s="23">
        <f t="shared" si="164"/>
        <v>1.490550743857034E-2</v>
      </c>
      <c r="X137" s="325">
        <v>191166550.22999999</v>
      </c>
      <c r="Y137" s="324">
        <v>176.39175900000001</v>
      </c>
      <c r="Z137" s="23">
        <f t="shared" si="165"/>
        <v>1.7929895900128555E-3</v>
      </c>
      <c r="AA137" s="23">
        <f t="shared" si="166"/>
        <v>1.0586178701567711E-3</v>
      </c>
      <c r="AB137" s="325">
        <v>187497688.61000001</v>
      </c>
      <c r="AC137" s="324">
        <v>179.137585</v>
      </c>
      <c r="AD137" s="23">
        <f t="shared" si="167"/>
        <v>-1.919196436607672E-2</v>
      </c>
      <c r="AE137" s="23">
        <f t="shared" si="168"/>
        <v>1.5566634266626899E-2</v>
      </c>
      <c r="AF137" s="325">
        <v>155914257.34999999</v>
      </c>
      <c r="AG137" s="324">
        <v>176.68709100000001</v>
      </c>
      <c r="AH137" s="23">
        <f t="shared" si="169"/>
        <v>-0.16844704323632684</v>
      </c>
      <c r="AI137" s="23">
        <f t="shared" si="170"/>
        <v>-1.3679396202644977E-2</v>
      </c>
      <c r="AJ137" s="24">
        <f t="shared" si="151"/>
        <v>-1.4276308300643935E-2</v>
      </c>
      <c r="AK137" s="24">
        <f t="shared" si="152"/>
        <v>8.6545324086816176E-3</v>
      </c>
      <c r="AL137" s="25">
        <f t="shared" si="153"/>
        <v>-0.12950076385073628</v>
      </c>
      <c r="AM137" s="25">
        <f t="shared" si="154"/>
        <v>6.7052757016153486E-2</v>
      </c>
      <c r="AN137" s="379">
        <f t="shared" si="155"/>
        <v>6.4078185524345813E-2</v>
      </c>
      <c r="AO137" s="380">
        <f t="shared" si="156"/>
        <v>6.460741611168519E-2</v>
      </c>
      <c r="AP137" s="30"/>
      <c r="AQ137" s="53">
        <v>82672021.189999998</v>
      </c>
      <c r="AR137" s="47">
        <v>18.53</v>
      </c>
      <c r="AS137" s="29" t="e">
        <f>(#REF!/AQ137)-1</f>
        <v>#REF!</v>
      </c>
      <c r="AT137" s="29" t="e">
        <f>(#REF!/AR137)-1</f>
        <v>#REF!</v>
      </c>
    </row>
    <row r="138" spans="1:46">
      <c r="A138" s="201" t="s">
        <v>27</v>
      </c>
      <c r="B138" s="325">
        <v>1481631294</v>
      </c>
      <c r="C138" s="324">
        <v>552.20000000000005</v>
      </c>
      <c r="D138" s="325">
        <v>1487452911</v>
      </c>
      <c r="E138" s="324">
        <v>552.20000000000005</v>
      </c>
      <c r="F138" s="23">
        <f t="shared" si="135"/>
        <v>3.929194141332709E-3</v>
      </c>
      <c r="G138" s="23">
        <f t="shared" si="136"/>
        <v>0</v>
      </c>
      <c r="H138" s="325">
        <v>1484875628</v>
      </c>
      <c r="I138" s="324">
        <v>552.20000000000005</v>
      </c>
      <c r="J138" s="23">
        <f t="shared" si="157"/>
        <v>-1.7326820774899812E-3</v>
      </c>
      <c r="K138" s="23">
        <f t="shared" si="158"/>
        <v>0</v>
      </c>
      <c r="L138" s="325">
        <v>1493192426.4300001</v>
      </c>
      <c r="M138" s="324">
        <v>552.20000000000005</v>
      </c>
      <c r="N138" s="23">
        <f t="shared" si="159"/>
        <v>5.6010067598739437E-3</v>
      </c>
      <c r="O138" s="23">
        <f t="shared" si="160"/>
        <v>0</v>
      </c>
      <c r="P138" s="325">
        <v>1481207806.28</v>
      </c>
      <c r="Q138" s="324">
        <v>552.20000000000005</v>
      </c>
      <c r="R138" s="23">
        <f t="shared" si="161"/>
        <v>-8.0261726070052011E-3</v>
      </c>
      <c r="S138" s="23">
        <f t="shared" si="162"/>
        <v>0</v>
      </c>
      <c r="T138" s="325">
        <v>1473582469.27</v>
      </c>
      <c r="U138" s="324">
        <v>552.20000000000005</v>
      </c>
      <c r="V138" s="23">
        <f t="shared" si="163"/>
        <v>-5.1480534855880547E-3</v>
      </c>
      <c r="W138" s="23">
        <f t="shared" si="164"/>
        <v>0</v>
      </c>
      <c r="X138" s="325">
        <v>1492307881.0799999</v>
      </c>
      <c r="Y138" s="324">
        <v>552.20000000000005</v>
      </c>
      <c r="Z138" s="23">
        <f t="shared" si="165"/>
        <v>1.2707406745464575E-2</v>
      </c>
      <c r="AA138" s="23">
        <f t="shared" si="166"/>
        <v>0</v>
      </c>
      <c r="AB138" s="325">
        <v>1528243247.1800001</v>
      </c>
      <c r="AC138" s="324">
        <v>552.20000000000005</v>
      </c>
      <c r="AD138" s="23">
        <f t="shared" si="167"/>
        <v>2.4080396917821888E-2</v>
      </c>
      <c r="AE138" s="23">
        <f t="shared" si="168"/>
        <v>0</v>
      </c>
      <c r="AF138" s="325">
        <v>1573900648.1700001</v>
      </c>
      <c r="AG138" s="324">
        <v>552.20000000000005</v>
      </c>
      <c r="AH138" s="23">
        <f t="shared" si="169"/>
        <v>2.9875742015709607E-2</v>
      </c>
      <c r="AI138" s="23">
        <f t="shared" si="170"/>
        <v>0</v>
      </c>
      <c r="AJ138" s="24">
        <f t="shared" si="151"/>
        <v>7.6608548012649363E-3</v>
      </c>
      <c r="AK138" s="24">
        <f t="shared" si="152"/>
        <v>0</v>
      </c>
      <c r="AL138" s="25">
        <f t="shared" si="153"/>
        <v>5.8117965638241356E-2</v>
      </c>
      <c r="AM138" s="25">
        <f t="shared" si="154"/>
        <v>0</v>
      </c>
      <c r="AN138" s="379">
        <f t="shared" si="155"/>
        <v>1.365455457519712E-2</v>
      </c>
      <c r="AO138" s="380">
        <f t="shared" si="156"/>
        <v>1.0562669886144059E-2</v>
      </c>
      <c r="AP138" s="30"/>
      <c r="AQ138" s="53">
        <v>541500000</v>
      </c>
      <c r="AR138" s="47">
        <v>3610</v>
      </c>
      <c r="AS138" s="29" t="e">
        <f>(#REF!/AQ138)-1</f>
        <v>#REF!</v>
      </c>
      <c r="AT138" s="29" t="e">
        <f>(#REF!/AR138)-1</f>
        <v>#REF!</v>
      </c>
    </row>
    <row r="139" spans="1:46">
      <c r="A139" s="201" t="s">
        <v>186</v>
      </c>
      <c r="B139" s="325">
        <v>24053404.91</v>
      </c>
      <c r="C139" s="324">
        <v>1.49</v>
      </c>
      <c r="D139" s="325">
        <v>23867902.100000001</v>
      </c>
      <c r="E139" s="324">
        <v>1.48</v>
      </c>
      <c r="F139" s="23">
        <f t="shared" si="135"/>
        <v>-7.7121226992224057E-3</v>
      </c>
      <c r="G139" s="23">
        <f t="shared" si="136"/>
        <v>-6.7114093959731603E-3</v>
      </c>
      <c r="H139" s="325">
        <v>24351294.280000001</v>
      </c>
      <c r="I139" s="324">
        <v>1.5</v>
      </c>
      <c r="J139" s="23">
        <f t="shared" si="157"/>
        <v>2.0252813924521655E-2</v>
      </c>
      <c r="K139" s="23">
        <f t="shared" si="158"/>
        <v>1.3513513513513526E-2</v>
      </c>
      <c r="L139" s="325">
        <v>24277171.809999999</v>
      </c>
      <c r="M139" s="324">
        <v>1.5</v>
      </c>
      <c r="N139" s="23">
        <f t="shared" si="159"/>
        <v>-3.0438821504810186E-3</v>
      </c>
      <c r="O139" s="23">
        <f t="shared" si="160"/>
        <v>0</v>
      </c>
      <c r="P139" s="325">
        <v>24187429.48</v>
      </c>
      <c r="Q139" s="324">
        <v>1.49</v>
      </c>
      <c r="R139" s="23">
        <f t="shared" si="161"/>
        <v>-3.6965726775073731E-3</v>
      </c>
      <c r="S139" s="23">
        <f t="shared" si="162"/>
        <v>-6.6666666666666723E-3</v>
      </c>
      <c r="T139" s="325">
        <v>24631372.52</v>
      </c>
      <c r="U139" s="324">
        <v>1.52</v>
      </c>
      <c r="V139" s="23">
        <f t="shared" si="163"/>
        <v>1.8354287724831813E-2</v>
      </c>
      <c r="W139" s="23">
        <f t="shared" si="164"/>
        <v>2.0134228187919483E-2</v>
      </c>
      <c r="X139" s="325">
        <v>25733202.859999999</v>
      </c>
      <c r="Y139" s="324">
        <v>1.58</v>
      </c>
      <c r="Z139" s="23">
        <f t="shared" si="165"/>
        <v>4.4732803220987535E-2</v>
      </c>
      <c r="AA139" s="23">
        <f t="shared" si="166"/>
        <v>3.9473684210526348E-2</v>
      </c>
      <c r="AB139" s="325">
        <v>25618811.960000001</v>
      </c>
      <c r="AC139" s="324">
        <v>1.6</v>
      </c>
      <c r="AD139" s="23">
        <f t="shared" si="167"/>
        <v>-4.4452647663928806E-3</v>
      </c>
      <c r="AE139" s="23">
        <f t="shared" si="168"/>
        <v>1.2658227848101276E-2</v>
      </c>
      <c r="AF139" s="325">
        <v>24884134.879999999</v>
      </c>
      <c r="AG139" s="324">
        <v>1.55</v>
      </c>
      <c r="AH139" s="23">
        <f t="shared" si="169"/>
        <v>-2.8677250184243202E-2</v>
      </c>
      <c r="AI139" s="23">
        <f t="shared" si="170"/>
        <v>-3.1250000000000028E-2</v>
      </c>
      <c r="AJ139" s="24">
        <f t="shared" si="151"/>
        <v>4.4706015490617642E-3</v>
      </c>
      <c r="AK139" s="24">
        <f t="shared" si="152"/>
        <v>5.1439472121775961E-3</v>
      </c>
      <c r="AL139" s="25">
        <f t="shared" si="153"/>
        <v>4.2577381780026548E-2</v>
      </c>
      <c r="AM139" s="25">
        <f t="shared" si="154"/>
        <v>4.7297297297297342E-2</v>
      </c>
      <c r="AN139" s="379">
        <f t="shared" si="155"/>
        <v>2.2401344250730003E-2</v>
      </c>
      <c r="AO139" s="380">
        <f t="shared" si="156"/>
        <v>2.0630420348201665E-2</v>
      </c>
      <c r="AP139" s="30"/>
      <c r="AQ139" s="28">
        <v>913647681</v>
      </c>
      <c r="AR139" s="32">
        <v>81</v>
      </c>
      <c r="AS139" s="29" t="e">
        <f>(#REF!/AQ139)-1</f>
        <v>#REF!</v>
      </c>
      <c r="AT139" s="29" t="e">
        <f>(#REF!/AR139)-1</f>
        <v>#REF!</v>
      </c>
    </row>
    <row r="140" spans="1:46">
      <c r="A140" s="202" t="s">
        <v>48</v>
      </c>
      <c r="B140" s="324">
        <v>199266374.56999999</v>
      </c>
      <c r="C140" s="324">
        <v>2.0748419999999999</v>
      </c>
      <c r="D140" s="324">
        <v>195540854.25999999</v>
      </c>
      <c r="E140" s="324">
        <v>2.0378099999999999</v>
      </c>
      <c r="F140" s="23">
        <f t="shared" si="135"/>
        <v>-1.8696181521038663E-2</v>
      </c>
      <c r="G140" s="23">
        <f t="shared" si="136"/>
        <v>-1.7848106024458708E-2</v>
      </c>
      <c r="H140" s="324">
        <v>196215865.47999999</v>
      </c>
      <c r="I140" s="324">
        <v>2.0453060000000001</v>
      </c>
      <c r="J140" s="23">
        <f t="shared" si="157"/>
        <v>3.4520214333444267E-3</v>
      </c>
      <c r="K140" s="23">
        <f t="shared" si="158"/>
        <v>3.678458737566392E-3</v>
      </c>
      <c r="L140" s="324">
        <v>197606583.71000001</v>
      </c>
      <c r="M140" s="324">
        <v>2.0603479999999998</v>
      </c>
      <c r="N140" s="23">
        <f t="shared" si="159"/>
        <v>7.0876951086392814E-3</v>
      </c>
      <c r="O140" s="23">
        <f t="shared" si="160"/>
        <v>7.3544007595928319E-3</v>
      </c>
      <c r="P140" s="324">
        <v>196472646.68000001</v>
      </c>
      <c r="Q140" s="324">
        <v>2.0499999999999998</v>
      </c>
      <c r="R140" s="23">
        <f t="shared" si="161"/>
        <v>-5.7383565299834573E-3</v>
      </c>
      <c r="S140" s="23">
        <f t="shared" si="162"/>
        <v>-5.0224525177300266E-3</v>
      </c>
      <c r="T140" s="324">
        <v>192821339.63</v>
      </c>
      <c r="U140" s="324">
        <v>2.0133200000000002</v>
      </c>
      <c r="V140" s="23">
        <f t="shared" si="163"/>
        <v>-1.8584302251228837E-2</v>
      </c>
      <c r="W140" s="23">
        <f t="shared" si="164"/>
        <v>-1.7892682926829075E-2</v>
      </c>
      <c r="X140" s="324">
        <v>200340230</v>
      </c>
      <c r="Y140" s="324">
        <v>2.097105</v>
      </c>
      <c r="Z140" s="23">
        <f t="shared" si="165"/>
        <v>3.8994078064325317E-2</v>
      </c>
      <c r="AA140" s="23">
        <f t="shared" si="166"/>
        <v>4.1615341823455672E-2</v>
      </c>
      <c r="AB140" s="324">
        <v>202421405.49000001</v>
      </c>
      <c r="AC140" s="324">
        <v>2.12</v>
      </c>
      <c r="AD140" s="23">
        <f t="shared" si="167"/>
        <v>1.0388205554121654E-2</v>
      </c>
      <c r="AE140" s="23">
        <f t="shared" si="168"/>
        <v>1.0917431411398146E-2</v>
      </c>
      <c r="AF140" s="324">
        <v>188827875.84999999</v>
      </c>
      <c r="AG140" s="324">
        <v>1.98</v>
      </c>
      <c r="AH140" s="23">
        <f t="shared" si="169"/>
        <v>-6.7154605547245644E-2</v>
      </c>
      <c r="AI140" s="23">
        <f t="shared" si="170"/>
        <v>-6.6037735849056658E-2</v>
      </c>
      <c r="AJ140" s="24">
        <f t="shared" si="151"/>
        <v>-6.2814307111332401E-3</v>
      </c>
      <c r="AK140" s="24">
        <f t="shared" si="152"/>
        <v>-5.4044180732576788E-3</v>
      </c>
      <c r="AL140" s="25">
        <f t="shared" si="153"/>
        <v>-3.4330311358229601E-2</v>
      </c>
      <c r="AM140" s="25">
        <f t="shared" si="154"/>
        <v>-2.8368689917116864E-2</v>
      </c>
      <c r="AN140" s="379">
        <f t="shared" si="155"/>
        <v>3.0735152313003226E-2</v>
      </c>
      <c r="AO140" s="380">
        <f t="shared" si="156"/>
        <v>3.1273960997728674E-2</v>
      </c>
      <c r="AP140" s="30"/>
      <c r="AQ140" s="61">
        <f>SUM(AQ131:AQ139)</f>
        <v>3629819788.79</v>
      </c>
      <c r="AR140" s="62"/>
      <c r="AS140" s="29" t="e">
        <f>(#REF!/AQ140)-1</f>
        <v>#REF!</v>
      </c>
      <c r="AT140" s="29" t="e">
        <f>(#REF!/AR140)-1</f>
        <v>#REF!</v>
      </c>
    </row>
    <row r="141" spans="1:46">
      <c r="A141" s="201" t="s">
        <v>22</v>
      </c>
      <c r="B141" s="325">
        <v>2065192636.98</v>
      </c>
      <c r="C141" s="324">
        <v>4577.3</v>
      </c>
      <c r="D141" s="325">
        <v>1944767529.4000001</v>
      </c>
      <c r="E141" s="324">
        <v>4590.0600000000004</v>
      </c>
      <c r="F141" s="23">
        <f t="shared" si="135"/>
        <v>-5.8311803665977414E-2</v>
      </c>
      <c r="G141" s="23">
        <f t="shared" si="136"/>
        <v>2.7876695868744058E-3</v>
      </c>
      <c r="H141" s="325">
        <v>1978354598.22</v>
      </c>
      <c r="I141" s="324">
        <v>4633.0600000000004</v>
      </c>
      <c r="J141" s="23">
        <f t="shared" si="157"/>
        <v>1.7270480050827576E-2</v>
      </c>
      <c r="K141" s="23">
        <f t="shared" si="158"/>
        <v>9.3680692627111616E-3</v>
      </c>
      <c r="L141" s="325">
        <v>2010096082.8800001</v>
      </c>
      <c r="M141" s="324">
        <v>4630.1099999999997</v>
      </c>
      <c r="N141" s="23">
        <f t="shared" si="159"/>
        <v>1.6044385919773477E-2</v>
      </c>
      <c r="O141" s="23">
        <f t="shared" si="160"/>
        <v>-6.3672820986577497E-4</v>
      </c>
      <c r="P141" s="325">
        <v>1990223896.46</v>
      </c>
      <c r="Q141" s="324">
        <v>4611.95</v>
      </c>
      <c r="R141" s="23">
        <f t="shared" si="161"/>
        <v>-9.8861873266912967E-3</v>
      </c>
      <c r="S141" s="23">
        <f t="shared" si="162"/>
        <v>-3.9221530374008084E-3</v>
      </c>
      <c r="T141" s="325">
        <v>2012395215.51</v>
      </c>
      <c r="U141" s="324">
        <v>4654.8599999999997</v>
      </c>
      <c r="V141" s="23">
        <f t="shared" si="163"/>
        <v>1.1140112973940245E-2</v>
      </c>
      <c r="W141" s="23">
        <f t="shared" si="164"/>
        <v>9.3040904606511033E-3</v>
      </c>
      <c r="X141" s="325">
        <v>2088142285.0899999</v>
      </c>
      <c r="Y141" s="324">
        <v>4800.3599999999997</v>
      </c>
      <c r="Z141" s="23">
        <f t="shared" si="165"/>
        <v>3.7640255252149063E-2</v>
      </c>
      <c r="AA141" s="23">
        <f t="shared" si="166"/>
        <v>3.1257653291398672E-2</v>
      </c>
      <c r="AB141" s="325">
        <v>2131974676.52</v>
      </c>
      <c r="AC141" s="324">
        <v>4855.76</v>
      </c>
      <c r="AD141" s="23">
        <f t="shared" si="167"/>
        <v>2.0991094209900005E-2</v>
      </c>
      <c r="AE141" s="23">
        <f t="shared" si="168"/>
        <v>1.1540801106583787E-2</v>
      </c>
      <c r="AF141" s="325">
        <v>2088321719.49</v>
      </c>
      <c r="AG141" s="324">
        <v>4726.87</v>
      </c>
      <c r="AH141" s="23">
        <f t="shared" si="169"/>
        <v>-2.0475363760536894E-2</v>
      </c>
      <c r="AI141" s="23">
        <f t="shared" si="170"/>
        <v>-2.6543733627691714E-2</v>
      </c>
      <c r="AJ141" s="24">
        <f t="shared" si="151"/>
        <v>1.8016217066730957E-3</v>
      </c>
      <c r="AK141" s="24">
        <f t="shared" si="152"/>
        <v>4.1444586041576043E-3</v>
      </c>
      <c r="AL141" s="25">
        <f t="shared" si="153"/>
        <v>7.3815604137677709E-2</v>
      </c>
      <c r="AM141" s="25">
        <f t="shared" si="154"/>
        <v>2.9805710600732775E-2</v>
      </c>
      <c r="AN141" s="379">
        <f t="shared" si="155"/>
        <v>3.0304374297519757E-2</v>
      </c>
      <c r="AO141" s="380">
        <f t="shared" si="156"/>
        <v>1.4808503730219165E-2</v>
      </c>
      <c r="AP141" s="30"/>
      <c r="AQ141" s="79"/>
      <c r="AR141" s="80"/>
      <c r="AS141" s="29"/>
      <c r="AT141" s="29"/>
    </row>
    <row r="142" spans="1:46" s="105" customFormat="1">
      <c r="A142" s="201" t="s">
        <v>74</v>
      </c>
      <c r="B142" s="324">
        <v>1494818900.05</v>
      </c>
      <c r="C142" s="324">
        <v>1.71</v>
      </c>
      <c r="D142" s="324">
        <v>1549045713.01</v>
      </c>
      <c r="E142" s="324">
        <v>1.7585</v>
      </c>
      <c r="F142" s="23">
        <f t="shared" si="135"/>
        <v>3.6276510123190317E-2</v>
      </c>
      <c r="G142" s="23">
        <f t="shared" si="136"/>
        <v>2.8362573099415197E-2</v>
      </c>
      <c r="H142" s="324">
        <v>1565409293.96</v>
      </c>
      <c r="I142" s="324">
        <v>1.7450000000000001</v>
      </c>
      <c r="J142" s="23">
        <f t="shared" si="157"/>
        <v>1.0563652713775278E-2</v>
      </c>
      <c r="K142" s="23">
        <f t="shared" si="158"/>
        <v>-7.6769974410007651E-3</v>
      </c>
      <c r="L142" s="324">
        <v>1551948824.96</v>
      </c>
      <c r="M142" s="324">
        <v>1.7299</v>
      </c>
      <c r="N142" s="23">
        <f t="shared" si="159"/>
        <v>-8.5986898454839169E-3</v>
      </c>
      <c r="O142" s="23">
        <f t="shared" si="160"/>
        <v>-8.6532951289398918E-3</v>
      </c>
      <c r="P142" s="324">
        <v>1523575097.6400001</v>
      </c>
      <c r="Q142" s="324">
        <v>1.7124999999999999</v>
      </c>
      <c r="R142" s="23">
        <f t="shared" si="161"/>
        <v>-1.8282643643698263E-2</v>
      </c>
      <c r="S142" s="23">
        <f t="shared" si="162"/>
        <v>-1.0058384877738646E-2</v>
      </c>
      <c r="T142" s="324">
        <v>1527782786.1600001</v>
      </c>
      <c r="U142" s="324">
        <v>1.7078</v>
      </c>
      <c r="V142" s="23">
        <f t="shared" si="163"/>
        <v>2.761720460328894E-3</v>
      </c>
      <c r="W142" s="23">
        <f t="shared" si="164"/>
        <v>-2.7445255474452127E-3</v>
      </c>
      <c r="X142" s="324">
        <v>1565349771.0899999</v>
      </c>
      <c r="Y142" s="324">
        <v>1.75</v>
      </c>
      <c r="Z142" s="23">
        <f t="shared" si="165"/>
        <v>2.4589218618192726E-2</v>
      </c>
      <c r="AA142" s="23">
        <f t="shared" si="166"/>
        <v>2.471015341374869E-2</v>
      </c>
      <c r="AB142" s="324">
        <v>1576699720.26</v>
      </c>
      <c r="AC142" s="324">
        <v>1.7653000000000001</v>
      </c>
      <c r="AD142" s="23">
        <f t="shared" si="167"/>
        <v>7.2507431754992155E-3</v>
      </c>
      <c r="AE142" s="23">
        <f t="shared" si="168"/>
        <v>8.7428571428571945E-3</v>
      </c>
      <c r="AF142" s="324">
        <v>1561261931.1700001</v>
      </c>
      <c r="AG142" s="324">
        <v>1.7467999999999999</v>
      </c>
      <c r="AH142" s="23">
        <f t="shared" si="169"/>
        <v>-9.7912043058231788E-3</v>
      </c>
      <c r="AI142" s="23">
        <f t="shared" si="170"/>
        <v>-1.0479805132272238E-2</v>
      </c>
      <c r="AJ142" s="24">
        <f t="shared" si="151"/>
        <v>5.5961634119976343E-3</v>
      </c>
      <c r="AK142" s="24">
        <f t="shared" si="152"/>
        <v>2.7753219410780417E-3</v>
      </c>
      <c r="AL142" s="25">
        <f t="shared" si="153"/>
        <v>7.8862864132410674E-3</v>
      </c>
      <c r="AM142" s="25">
        <f t="shared" si="154"/>
        <v>-6.6533977822007644E-3</v>
      </c>
      <c r="AN142" s="379">
        <f t="shared" si="155"/>
        <v>1.8306633622331377E-2</v>
      </c>
      <c r="AO142" s="380">
        <f t="shared" si="156"/>
        <v>1.5876087391741664E-2</v>
      </c>
      <c r="AP142" s="30"/>
      <c r="AQ142" s="79"/>
      <c r="AR142" s="80"/>
      <c r="AS142" s="29"/>
      <c r="AT142" s="29"/>
    </row>
    <row r="143" spans="1:46" s="105" customFormat="1">
      <c r="A143" s="201" t="s">
        <v>238</v>
      </c>
      <c r="B143" s="324">
        <v>799370732.32000005</v>
      </c>
      <c r="C143" s="324">
        <v>1.3342000000000001</v>
      </c>
      <c r="D143" s="324">
        <v>819811818.97000003</v>
      </c>
      <c r="E143" s="324">
        <v>1.3646</v>
      </c>
      <c r="F143" s="23">
        <f t="shared" si="135"/>
        <v>2.5571472438919746E-2</v>
      </c>
      <c r="G143" s="23">
        <f t="shared" si="136"/>
        <v>2.2785189626742603E-2</v>
      </c>
      <c r="H143" s="324">
        <v>818123226</v>
      </c>
      <c r="I143" s="324">
        <v>1.3597999999999999</v>
      </c>
      <c r="J143" s="23">
        <f t="shared" si="157"/>
        <v>-2.0597324055678448E-3</v>
      </c>
      <c r="K143" s="23">
        <f t="shared" si="158"/>
        <v>-3.5175142899019035E-3</v>
      </c>
      <c r="L143" s="324">
        <v>823848291.17999995</v>
      </c>
      <c r="M143" s="324">
        <v>1.3589</v>
      </c>
      <c r="N143" s="23">
        <f t="shared" si="159"/>
        <v>6.9978030180015294E-3</v>
      </c>
      <c r="O143" s="23">
        <f t="shared" si="160"/>
        <v>-6.6186203853500585E-4</v>
      </c>
      <c r="P143" s="324">
        <v>809792292.83000004</v>
      </c>
      <c r="Q143" s="324">
        <v>1.3421000000000001</v>
      </c>
      <c r="R143" s="23">
        <f t="shared" si="161"/>
        <v>-1.7061391642710654E-2</v>
      </c>
      <c r="S143" s="23">
        <f t="shared" si="162"/>
        <v>-1.2362940613731641E-2</v>
      </c>
      <c r="T143" s="324">
        <v>808301398.69000006</v>
      </c>
      <c r="U143" s="324">
        <v>1.3391999999999999</v>
      </c>
      <c r="V143" s="23">
        <f t="shared" si="163"/>
        <v>-1.8410821555114127E-3</v>
      </c>
      <c r="W143" s="23">
        <f t="shared" si="164"/>
        <v>-2.1607927874227888E-3</v>
      </c>
      <c r="X143" s="324">
        <v>821223991.77999997</v>
      </c>
      <c r="Y143" s="324">
        <v>1.3625</v>
      </c>
      <c r="Z143" s="23">
        <f t="shared" si="165"/>
        <v>1.5987344709465227E-2</v>
      </c>
      <c r="AA143" s="23">
        <f t="shared" si="166"/>
        <v>1.739844683393078E-2</v>
      </c>
      <c r="AB143" s="324">
        <v>831163622.34000003</v>
      </c>
      <c r="AC143" s="324">
        <v>1.3715999999999999</v>
      </c>
      <c r="AD143" s="23">
        <f t="shared" si="167"/>
        <v>1.2103434214648247E-2</v>
      </c>
      <c r="AE143" s="23">
        <f t="shared" si="168"/>
        <v>6.6788990825687239E-3</v>
      </c>
      <c r="AF143" s="324">
        <v>826804083.75999999</v>
      </c>
      <c r="AG143" s="324">
        <v>1.3656999999999999</v>
      </c>
      <c r="AH143" s="23">
        <f t="shared" si="169"/>
        <v>-5.2451027244509356E-3</v>
      </c>
      <c r="AI143" s="23">
        <f t="shared" si="170"/>
        <v>-4.3015456401283292E-3</v>
      </c>
      <c r="AJ143" s="24">
        <f t="shared" si="151"/>
        <v>4.3065931815992374E-3</v>
      </c>
      <c r="AK143" s="24">
        <f t="shared" si="152"/>
        <v>2.9822350216903051E-3</v>
      </c>
      <c r="AL143" s="25">
        <f t="shared" si="153"/>
        <v>8.5291095202615456E-3</v>
      </c>
      <c r="AM143" s="25">
        <f t="shared" si="154"/>
        <v>8.0609702476907436E-4</v>
      </c>
      <c r="AN143" s="379">
        <f t="shared" si="155"/>
        <v>1.3537345541808616E-2</v>
      </c>
      <c r="AO143" s="380">
        <f t="shared" si="156"/>
        <v>1.1944386804818982E-2</v>
      </c>
      <c r="AP143" s="30"/>
      <c r="AQ143" s="79"/>
      <c r="AR143" s="80"/>
      <c r="AS143" s="29"/>
      <c r="AT143" s="29"/>
    </row>
    <row r="144" spans="1:46" ht="15.75" customHeight="1" thickBot="1">
      <c r="A144" s="201" t="s">
        <v>124</v>
      </c>
      <c r="B144" s="324">
        <v>6610049459.3400002</v>
      </c>
      <c r="C144" s="324">
        <v>297.98</v>
      </c>
      <c r="D144" s="324">
        <v>6703756757.4399996</v>
      </c>
      <c r="E144" s="324">
        <v>302.22000000000003</v>
      </c>
      <c r="F144" s="23">
        <f t="shared" si="135"/>
        <v>1.4176489703506078E-2</v>
      </c>
      <c r="G144" s="23">
        <f t="shared" si="136"/>
        <v>1.4229142895496372E-2</v>
      </c>
      <c r="H144" s="324">
        <v>6597233010.3999996</v>
      </c>
      <c r="I144" s="324">
        <v>297.44</v>
      </c>
      <c r="J144" s="23">
        <f t="shared" si="157"/>
        <v>-1.589015695144028E-2</v>
      </c>
      <c r="K144" s="23">
        <f t="shared" si="158"/>
        <v>-1.5816292766858676E-2</v>
      </c>
      <c r="L144" s="324">
        <v>6597669215.46</v>
      </c>
      <c r="M144" s="324">
        <v>290.7</v>
      </c>
      <c r="N144" s="23">
        <f t="shared" si="159"/>
        <v>6.6119395709197772E-5</v>
      </c>
      <c r="O144" s="23">
        <f t="shared" si="160"/>
        <v>-2.2660032275416922E-2</v>
      </c>
      <c r="P144" s="324">
        <v>6521052649.1700001</v>
      </c>
      <c r="Q144" s="324">
        <v>294</v>
      </c>
      <c r="R144" s="23">
        <f t="shared" si="161"/>
        <v>-1.1612671655388249E-2</v>
      </c>
      <c r="S144" s="23">
        <f t="shared" si="162"/>
        <v>1.1351909184726562E-2</v>
      </c>
      <c r="T144" s="324">
        <v>6543002603.9300003</v>
      </c>
      <c r="U144" s="324">
        <v>293.54000000000002</v>
      </c>
      <c r="V144" s="23">
        <f t="shared" si="163"/>
        <v>3.3660140380547335E-3</v>
      </c>
      <c r="W144" s="23">
        <f t="shared" si="164"/>
        <v>-1.5646258503400664E-3</v>
      </c>
      <c r="X144" s="324">
        <v>6586434171.5500002</v>
      </c>
      <c r="Y144" s="324">
        <v>295.48</v>
      </c>
      <c r="Z144" s="23">
        <f t="shared" si="165"/>
        <v>6.637864945050316E-3</v>
      </c>
      <c r="AA144" s="23">
        <f t="shared" si="166"/>
        <v>6.6089800367922519E-3</v>
      </c>
      <c r="AB144" s="324">
        <v>6632673756.3100004</v>
      </c>
      <c r="AC144" s="324">
        <v>297.52999999999997</v>
      </c>
      <c r="AD144" s="23">
        <f t="shared" si="167"/>
        <v>7.0204276784138217E-3</v>
      </c>
      <c r="AE144" s="23">
        <f t="shared" si="168"/>
        <v>6.9378638148096467E-3</v>
      </c>
      <c r="AF144" s="324">
        <v>6659515846.54</v>
      </c>
      <c r="AG144" s="324">
        <v>298.70999999999998</v>
      </c>
      <c r="AH144" s="23">
        <f t="shared" si="169"/>
        <v>4.0469486689984251E-3</v>
      </c>
      <c r="AI144" s="23">
        <f t="shared" si="170"/>
        <v>3.9659866231976839E-3</v>
      </c>
      <c r="AJ144" s="24">
        <f t="shared" si="151"/>
        <v>9.7637947786300555E-4</v>
      </c>
      <c r="AK144" s="24">
        <f t="shared" si="152"/>
        <v>3.8161645780085656E-4</v>
      </c>
      <c r="AL144" s="25">
        <f t="shared" si="153"/>
        <v>-6.5994206682543979E-3</v>
      </c>
      <c r="AM144" s="25">
        <f t="shared" si="154"/>
        <v>-1.1614055985705933E-2</v>
      </c>
      <c r="AN144" s="379">
        <f t="shared" si="155"/>
        <v>1.0012545186468299E-2</v>
      </c>
      <c r="AO144" s="380">
        <f t="shared" si="156"/>
        <v>1.3116931735560547E-2</v>
      </c>
      <c r="AP144" s="30"/>
      <c r="AQ144" s="64" t="e">
        <f>SUM(AQ126,AQ140)</f>
        <v>#REF!</v>
      </c>
      <c r="AR144" s="65"/>
      <c r="AS144" s="29" t="e">
        <f>(#REF!/AQ144)-1</f>
        <v>#REF!</v>
      </c>
      <c r="AT144" s="29" t="e">
        <f>(#REF!/AR144)-1</f>
        <v>#REF!</v>
      </c>
    </row>
    <row r="145" spans="1:46" s="301" customFormat="1" ht="15.75" customHeight="1">
      <c r="A145" s="201" t="s">
        <v>231</v>
      </c>
      <c r="B145" s="325">
        <v>239150193.15000001</v>
      </c>
      <c r="C145" s="324">
        <v>186.02</v>
      </c>
      <c r="D145" s="325">
        <v>251741701.46000001</v>
      </c>
      <c r="E145" s="324">
        <v>195.86</v>
      </c>
      <c r="F145" s="23">
        <f t="shared" si="135"/>
        <v>5.2651048047041904E-2</v>
      </c>
      <c r="G145" s="23">
        <f t="shared" si="136"/>
        <v>5.2897537899150644E-2</v>
      </c>
      <c r="H145" s="325">
        <v>248249424.53</v>
      </c>
      <c r="I145" s="324">
        <v>195.86</v>
      </c>
      <c r="J145" s="23">
        <f t="shared" si="157"/>
        <v>-1.3872460977844409E-2</v>
      </c>
      <c r="K145" s="23">
        <f t="shared" si="158"/>
        <v>0</v>
      </c>
      <c r="L145" s="325">
        <v>249712170.97</v>
      </c>
      <c r="M145" s="324">
        <v>185.53</v>
      </c>
      <c r="N145" s="23">
        <f t="shared" si="159"/>
        <v>5.892245038510574E-3</v>
      </c>
      <c r="O145" s="23">
        <f t="shared" si="160"/>
        <v>-5.2741754314306194E-2</v>
      </c>
      <c r="P145" s="325">
        <v>250830020.03</v>
      </c>
      <c r="Q145" s="324">
        <v>183.53</v>
      </c>
      <c r="R145" s="23">
        <f t="shared" si="161"/>
        <v>4.4765501643662334E-3</v>
      </c>
      <c r="S145" s="23">
        <f t="shared" si="162"/>
        <v>-1.0779927774483911E-2</v>
      </c>
      <c r="T145" s="325">
        <v>249983632.03999999</v>
      </c>
      <c r="U145" s="324">
        <v>182.88</v>
      </c>
      <c r="V145" s="23">
        <f t="shared" si="163"/>
        <v>-3.3743488514603598E-3</v>
      </c>
      <c r="W145" s="23">
        <f t="shared" si="164"/>
        <v>-3.541655315207354E-3</v>
      </c>
      <c r="X145" s="325">
        <v>255094527.91999999</v>
      </c>
      <c r="Y145" s="324">
        <v>186.81</v>
      </c>
      <c r="Z145" s="23">
        <f t="shared" si="165"/>
        <v>2.0444922086667653E-2</v>
      </c>
      <c r="AA145" s="23">
        <f t="shared" si="166"/>
        <v>2.1489501312335995E-2</v>
      </c>
      <c r="AB145" s="325">
        <v>262370739.15000001</v>
      </c>
      <c r="AC145" s="324">
        <v>192.53</v>
      </c>
      <c r="AD145" s="23">
        <f t="shared" si="167"/>
        <v>2.8523588057059016E-2</v>
      </c>
      <c r="AE145" s="23">
        <f t="shared" si="168"/>
        <v>3.061934585942936E-2</v>
      </c>
      <c r="AF145" s="325">
        <v>258967289.41999999</v>
      </c>
      <c r="AG145" s="324">
        <v>189.66</v>
      </c>
      <c r="AH145" s="23">
        <f t="shared" si="169"/>
        <v>-1.297191043874078E-2</v>
      </c>
      <c r="AI145" s="23">
        <f t="shared" si="170"/>
        <v>-1.4906767776450447E-2</v>
      </c>
      <c r="AJ145" s="24">
        <f t="shared" si="151"/>
        <v>1.0221204140699979E-2</v>
      </c>
      <c r="AK145" s="24">
        <f t="shared" si="152"/>
        <v>2.8795349863085119E-3</v>
      </c>
      <c r="AL145" s="25">
        <f t="shared" si="153"/>
        <v>2.8702387876519828E-2</v>
      </c>
      <c r="AM145" s="25">
        <f t="shared" si="154"/>
        <v>-3.1655263964056046E-2</v>
      </c>
      <c r="AN145" s="379">
        <f t="shared" si="155"/>
        <v>2.2661479524563724E-2</v>
      </c>
      <c r="AO145" s="380">
        <f t="shared" si="156"/>
        <v>3.2067475924707656E-2</v>
      </c>
      <c r="AP145" s="30"/>
      <c r="AQ145" s="335"/>
      <c r="AR145" s="336"/>
      <c r="AS145" s="29"/>
      <c r="AT145" s="29"/>
    </row>
    <row r="146" spans="1:46">
      <c r="A146" s="203" t="s">
        <v>42</v>
      </c>
      <c r="B146" s="215">
        <f>SUM(B122:B145)</f>
        <v>38533905044.200737</v>
      </c>
      <c r="C146" s="85"/>
      <c r="D146" s="215">
        <f>SUM(D122:D145)</f>
        <v>38690467865.717575</v>
      </c>
      <c r="E146" s="85"/>
      <c r="F146" s="23">
        <f>((D146-B146)/B146)</f>
        <v>4.0629887196029311E-3</v>
      </c>
      <c r="G146" s="23"/>
      <c r="H146" s="215">
        <f>SUM(H122:H145)</f>
        <v>38884096485.686142</v>
      </c>
      <c r="I146" s="85"/>
      <c r="J146" s="23">
        <f>((H146-D146)/D146)</f>
        <v>5.0045561775213174E-3</v>
      </c>
      <c r="K146" s="23"/>
      <c r="L146" s="215">
        <f>SUM(L122:L145)</f>
        <v>38936521066.392647</v>
      </c>
      <c r="M146" s="85"/>
      <c r="N146" s="23">
        <f>((L146-H146)/H146)</f>
        <v>1.3482267930747254E-3</v>
      </c>
      <c r="O146" s="23"/>
      <c r="P146" s="215">
        <f>SUM(P122:P145)</f>
        <v>38811275853.394905</v>
      </c>
      <c r="Q146" s="85"/>
      <c r="R146" s="23">
        <f>((P146-L146)/L146)</f>
        <v>-3.2166513485932576E-3</v>
      </c>
      <c r="S146" s="23"/>
      <c r="T146" s="215">
        <f>SUM(T122:T145)</f>
        <v>39079043179.509552</v>
      </c>
      <c r="U146" s="85"/>
      <c r="V146" s="23">
        <f>((T146-P146)/P146)</f>
        <v>6.8992147314637878E-3</v>
      </c>
      <c r="W146" s="23"/>
      <c r="X146" s="215">
        <f>SUM(X122:X145)</f>
        <v>39909523580.55719</v>
      </c>
      <c r="Y146" s="85"/>
      <c r="Z146" s="23">
        <f>((X146-T146)/T146)</f>
        <v>2.1251298227360042E-2</v>
      </c>
      <c r="AA146" s="23"/>
      <c r="AB146" s="215">
        <f>SUM(AB122:AB145)</f>
        <v>40429036765.108017</v>
      </c>
      <c r="AC146" s="85"/>
      <c r="AD146" s="23">
        <f>((AB146-X146)/X146)</f>
        <v>1.3017273521248433E-2</v>
      </c>
      <c r="AE146" s="23"/>
      <c r="AF146" s="215">
        <f>SUM(AF122:AF145)</f>
        <v>39999967409.311623</v>
      </c>
      <c r="AG146" s="85"/>
      <c r="AH146" s="23">
        <f>((AF146-AB146)/AB146)</f>
        <v>-1.0612900779439284E-2</v>
      </c>
      <c r="AI146" s="23"/>
      <c r="AJ146" s="24">
        <f t="shared" si="151"/>
        <v>4.7192507552798364E-3</v>
      </c>
      <c r="AK146" s="24"/>
      <c r="AL146" s="25">
        <f t="shared" si="153"/>
        <v>3.3845533947506348E-2</v>
      </c>
      <c r="AM146" s="25"/>
      <c r="AN146" s="379">
        <f t="shared" si="155"/>
        <v>9.6868638066798327E-3</v>
      </c>
      <c r="AO146" s="380"/>
    </row>
    <row r="147" spans="1:46" s="108" customFormat="1" ht="8.25" customHeight="1">
      <c r="A147" s="203"/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79"/>
      <c r="AO147" s="380"/>
    </row>
    <row r="148" spans="1:46" s="108" customFormat="1">
      <c r="A148" s="205" t="s">
        <v>66</v>
      </c>
      <c r="B148" s="85"/>
      <c r="C148" s="85"/>
      <c r="D148" s="85"/>
      <c r="E148" s="85"/>
      <c r="F148" s="23"/>
      <c r="G148" s="23"/>
      <c r="H148" s="85"/>
      <c r="I148" s="85"/>
      <c r="J148" s="23"/>
      <c r="K148" s="23"/>
      <c r="L148" s="85"/>
      <c r="M148" s="85"/>
      <c r="N148" s="23"/>
      <c r="O148" s="23"/>
      <c r="P148" s="85"/>
      <c r="Q148" s="85"/>
      <c r="R148" s="23"/>
      <c r="S148" s="23"/>
      <c r="T148" s="85"/>
      <c r="U148" s="85"/>
      <c r="V148" s="23"/>
      <c r="W148" s="23"/>
      <c r="X148" s="85"/>
      <c r="Y148" s="85"/>
      <c r="Z148" s="23"/>
      <c r="AA148" s="23"/>
      <c r="AB148" s="85"/>
      <c r="AC148" s="85"/>
      <c r="AD148" s="23"/>
      <c r="AE148" s="23"/>
      <c r="AF148" s="85"/>
      <c r="AG148" s="85"/>
      <c r="AH148" s="23"/>
      <c r="AI148" s="23"/>
      <c r="AJ148" s="24"/>
      <c r="AK148" s="24"/>
      <c r="AL148" s="25"/>
      <c r="AM148" s="25"/>
      <c r="AN148" s="379"/>
      <c r="AO148" s="380"/>
    </row>
    <row r="149" spans="1:46" s="108" customFormat="1">
      <c r="A149" s="202" t="s">
        <v>26</v>
      </c>
      <c r="B149" s="321">
        <v>720685392.17999995</v>
      </c>
      <c r="C149" s="321">
        <v>50.488</v>
      </c>
      <c r="D149" s="321">
        <v>650621759.97000003</v>
      </c>
      <c r="E149" s="321">
        <v>50.564999999999998</v>
      </c>
      <c r="F149" s="23">
        <f t="shared" ref="F149:G151" si="171">((D149-B149)/B149)</f>
        <v>-9.7218055160053357E-2</v>
      </c>
      <c r="G149" s="23">
        <f t="shared" si="171"/>
        <v>1.5251148787830411E-3</v>
      </c>
      <c r="H149" s="321">
        <v>651519337.62</v>
      </c>
      <c r="I149" s="321">
        <v>50.603000000000002</v>
      </c>
      <c r="J149" s="23">
        <f t="shared" ref="J149:J151" si="172">((H149-D149)/D149)</f>
        <v>1.3795690602806817E-3</v>
      </c>
      <c r="K149" s="23">
        <f t="shared" ref="K149:K151" si="173">((I149-E149)/E149)</f>
        <v>7.5150796005149436E-4</v>
      </c>
      <c r="L149" s="321">
        <v>651744578.17999995</v>
      </c>
      <c r="M149" s="321">
        <v>50.752800000000001</v>
      </c>
      <c r="N149" s="23">
        <f t="shared" ref="N149:N151" si="174">((L149-H149)/H149)</f>
        <v>3.4571584754912492E-4</v>
      </c>
      <c r="O149" s="23">
        <f t="shared" ref="O149:O151" si="175">((M149-I149)/I149)</f>
        <v>2.9602987965140215E-3</v>
      </c>
      <c r="P149" s="321">
        <v>650528778.51999998</v>
      </c>
      <c r="Q149" s="321">
        <v>50.650799999999997</v>
      </c>
      <c r="R149" s="23">
        <f t="shared" ref="R149:R151" si="176">((P149-L149)/L149)</f>
        <v>-1.8654541989364811E-3</v>
      </c>
      <c r="S149" s="23">
        <f t="shared" ref="S149:S151" si="177">((Q149-M149)/M149)</f>
        <v>-2.0097413344683222E-3</v>
      </c>
      <c r="T149" s="321">
        <v>661832343.13</v>
      </c>
      <c r="U149" s="321">
        <v>652.64739999999995</v>
      </c>
      <c r="V149" s="23">
        <f t="shared" ref="V149:V151" si="178">((T149-P149)/P149)</f>
        <v>1.7375963959221669E-2</v>
      </c>
      <c r="W149" s="23">
        <f t="shared" ref="W149:W151" si="179">((U149-Q149)/Q149)</f>
        <v>11.885233796899556</v>
      </c>
      <c r="X149" s="321">
        <v>672989644.88999999</v>
      </c>
      <c r="Y149" s="321">
        <v>52.300699999999999</v>
      </c>
      <c r="Z149" s="23">
        <f t="shared" ref="Z149:Z151" si="180">((X149-T149)/T149)</f>
        <v>1.6858199626862937E-2</v>
      </c>
      <c r="AA149" s="23">
        <f t="shared" ref="AA149:AA151" si="181">((Y149-U149)/U149)</f>
        <v>-0.91986377330239877</v>
      </c>
      <c r="AB149" s="321">
        <v>669978595.96000004</v>
      </c>
      <c r="AC149" s="321">
        <v>52.4666</v>
      </c>
      <c r="AD149" s="23">
        <f t="shared" ref="AD149:AD151" si="182">((AB149-X149)/X149)</f>
        <v>-4.4741385738440338E-3</v>
      </c>
      <c r="AE149" s="23">
        <f t="shared" ref="AE149:AE151" si="183">((AC149-Y149)/Y149)</f>
        <v>3.172041674394427E-3</v>
      </c>
      <c r="AF149" s="321">
        <v>666981731.60000002</v>
      </c>
      <c r="AG149" s="321">
        <v>52.377600000000001</v>
      </c>
      <c r="AH149" s="23">
        <f t="shared" ref="AH149:AH151" si="184">((AF149-AB149)/AB149)</f>
        <v>-4.4730747789126944E-3</v>
      </c>
      <c r="AI149" s="23">
        <f t="shared" ref="AI149:AI151" si="185">((AG149-AC149)/AC149)</f>
        <v>-1.696317276133743E-3</v>
      </c>
      <c r="AJ149" s="24">
        <f t="shared" si="151"/>
        <v>-9.0089092772290182E-3</v>
      </c>
      <c r="AK149" s="24">
        <f t="shared" si="152"/>
        <v>1.3712591160370373</v>
      </c>
      <c r="AL149" s="25">
        <f t="shared" si="153"/>
        <v>2.5145134449168053E-2</v>
      </c>
      <c r="AM149" s="25">
        <f t="shared" si="154"/>
        <v>3.5846929694452752E-2</v>
      </c>
      <c r="AN149" s="379">
        <f t="shared" si="155"/>
        <v>3.6710680929037391E-2</v>
      </c>
      <c r="AO149" s="380">
        <f t="shared" si="156"/>
        <v>4.2606132920302668</v>
      </c>
    </row>
    <row r="150" spans="1:46">
      <c r="A150" s="202" t="s">
        <v>188</v>
      </c>
      <c r="B150" s="320">
        <v>746764257.67999995</v>
      </c>
      <c r="C150" s="321">
        <v>19.510999999999999</v>
      </c>
      <c r="D150" s="320">
        <v>745488424.90999997</v>
      </c>
      <c r="E150" s="321">
        <v>19.7241</v>
      </c>
      <c r="F150" s="23">
        <f t="shared" si="171"/>
        <v>-1.7084813003285101E-3</v>
      </c>
      <c r="G150" s="23">
        <f t="shared" si="171"/>
        <v>1.0922043975193519E-2</v>
      </c>
      <c r="H150" s="320">
        <v>758135505.74000001</v>
      </c>
      <c r="I150" s="321">
        <v>19.709900000000001</v>
      </c>
      <c r="J150" s="23">
        <f t="shared" si="172"/>
        <v>1.6964825217141204E-2</v>
      </c>
      <c r="K150" s="23">
        <f t="shared" si="173"/>
        <v>-7.1993145441357929E-4</v>
      </c>
      <c r="L150" s="320">
        <v>750151722.47000003</v>
      </c>
      <c r="M150" s="321">
        <v>19.772099999999998</v>
      </c>
      <c r="N150" s="23">
        <f t="shared" si="174"/>
        <v>-1.0530813040087312E-2</v>
      </c>
      <c r="O150" s="23">
        <f t="shared" si="175"/>
        <v>3.1557745092566244E-3</v>
      </c>
      <c r="P150" s="320">
        <v>752802568.57000005</v>
      </c>
      <c r="Q150" s="321">
        <v>19.8323</v>
      </c>
      <c r="R150" s="23">
        <f t="shared" si="176"/>
        <v>3.5337466016496896E-3</v>
      </c>
      <c r="S150" s="23">
        <f t="shared" si="177"/>
        <v>3.0446942914511767E-3</v>
      </c>
      <c r="T150" s="320">
        <v>766218716.53999996</v>
      </c>
      <c r="U150" s="321">
        <v>20.138300000000001</v>
      </c>
      <c r="V150" s="23">
        <f t="shared" si="178"/>
        <v>1.782160227678925E-2</v>
      </c>
      <c r="W150" s="23">
        <f t="shared" si="179"/>
        <v>1.5429375311991091E-2</v>
      </c>
      <c r="X150" s="320">
        <v>795102200.75999999</v>
      </c>
      <c r="Y150" s="321">
        <v>20.5185</v>
      </c>
      <c r="Z150" s="23">
        <f t="shared" si="180"/>
        <v>3.7696135054529414E-2</v>
      </c>
      <c r="AA150" s="23">
        <f t="shared" si="181"/>
        <v>1.8879448612842124E-2</v>
      </c>
      <c r="AB150" s="320">
        <v>806257084.20000005</v>
      </c>
      <c r="AC150" s="321">
        <v>21.040099999999999</v>
      </c>
      <c r="AD150" s="23">
        <f t="shared" si="182"/>
        <v>1.4029496370828355E-2</v>
      </c>
      <c r="AE150" s="23">
        <f t="shared" si="183"/>
        <v>2.5420961571264927E-2</v>
      </c>
      <c r="AF150" s="320">
        <v>786368154.72000003</v>
      </c>
      <c r="AG150" s="321">
        <v>21.785900000000002</v>
      </c>
      <c r="AH150" s="23">
        <f t="shared" si="184"/>
        <v>-2.4668222915194098E-2</v>
      </c>
      <c r="AI150" s="23">
        <f t="shared" si="185"/>
        <v>3.5446599588405125E-2</v>
      </c>
      <c r="AJ150" s="24">
        <f t="shared" si="151"/>
        <v>6.6422860331659993E-3</v>
      </c>
      <c r="AK150" s="24">
        <f t="shared" si="152"/>
        <v>1.3947370800748876E-2</v>
      </c>
      <c r="AL150" s="25">
        <f t="shared" si="153"/>
        <v>5.4836169743259687E-2</v>
      </c>
      <c r="AM150" s="25">
        <f t="shared" si="154"/>
        <v>0.10453201920493212</v>
      </c>
      <c r="AN150" s="379">
        <f t="shared" si="155"/>
        <v>1.929139696243122E-2</v>
      </c>
      <c r="AO150" s="380">
        <f t="shared" si="156"/>
        <v>1.5386517149628508E-2</v>
      </c>
    </row>
    <row r="151" spans="1:46">
      <c r="A151" s="202" t="s">
        <v>25</v>
      </c>
      <c r="B151" s="320">
        <v>2377214485.8499999</v>
      </c>
      <c r="C151" s="321">
        <v>1.93</v>
      </c>
      <c r="D151" s="320">
        <v>2369773198.2399998</v>
      </c>
      <c r="E151" s="321">
        <v>1.93</v>
      </c>
      <c r="F151" s="23">
        <f t="shared" si="171"/>
        <v>-3.1302550334827766E-3</v>
      </c>
      <c r="G151" s="23">
        <f t="shared" si="171"/>
        <v>0</v>
      </c>
      <c r="H151" s="320">
        <v>2387231872.0700002</v>
      </c>
      <c r="I151" s="321">
        <v>1.95</v>
      </c>
      <c r="J151" s="23">
        <f t="shared" si="172"/>
        <v>7.3672340639883739E-3</v>
      </c>
      <c r="K151" s="23">
        <f t="shared" si="173"/>
        <v>1.0362694300518144E-2</v>
      </c>
      <c r="L151" s="320">
        <v>2419873193.0500002</v>
      </c>
      <c r="M151" s="321">
        <v>1.96</v>
      </c>
      <c r="N151" s="23">
        <f t="shared" si="174"/>
        <v>1.3673293056236008E-2</v>
      </c>
      <c r="O151" s="23">
        <f t="shared" si="175"/>
        <v>5.1282051282051325E-3</v>
      </c>
      <c r="P151" s="320">
        <v>2398957786.46</v>
      </c>
      <c r="Q151" s="321">
        <v>1.94</v>
      </c>
      <c r="R151" s="23">
        <f t="shared" si="176"/>
        <v>-8.6431828949013832E-3</v>
      </c>
      <c r="S151" s="23">
        <f t="shared" si="177"/>
        <v>-1.0204081632653071E-2</v>
      </c>
      <c r="T151" s="320">
        <v>2405142731.2399998</v>
      </c>
      <c r="U151" s="321">
        <v>1.94</v>
      </c>
      <c r="V151" s="23">
        <f t="shared" si="178"/>
        <v>2.5781799141728502E-3</v>
      </c>
      <c r="W151" s="23">
        <f t="shared" si="179"/>
        <v>0</v>
      </c>
      <c r="X151" s="320">
        <v>2482613314.8000002</v>
      </c>
      <c r="Y151" s="321">
        <v>2.0099999999999998</v>
      </c>
      <c r="Z151" s="23">
        <f t="shared" si="180"/>
        <v>3.2210389243743365E-2</v>
      </c>
      <c r="AA151" s="23">
        <f t="shared" si="181"/>
        <v>3.6082474226804044E-2</v>
      </c>
      <c r="AB151" s="320">
        <v>2512443474.1199999</v>
      </c>
      <c r="AC151" s="321">
        <v>2.0299999999999998</v>
      </c>
      <c r="AD151" s="23">
        <f t="shared" si="182"/>
        <v>1.201562850814035E-2</v>
      </c>
      <c r="AE151" s="23">
        <f t="shared" si="183"/>
        <v>9.9502487562189157E-3</v>
      </c>
      <c r="AF151" s="320">
        <v>2433828439.27</v>
      </c>
      <c r="AG151" s="321">
        <v>1.96</v>
      </c>
      <c r="AH151" s="23">
        <f t="shared" si="184"/>
        <v>-3.1290270073652239E-2</v>
      </c>
      <c r="AI151" s="23">
        <f t="shared" si="185"/>
        <v>-3.4482758620689578E-2</v>
      </c>
      <c r="AJ151" s="24">
        <f t="shared" si="151"/>
        <v>3.0976270980305684E-3</v>
      </c>
      <c r="AK151" s="24">
        <f t="shared" si="152"/>
        <v>2.1045977698004479E-3</v>
      </c>
      <c r="AL151" s="25">
        <f t="shared" si="153"/>
        <v>2.7030114560149983E-2</v>
      </c>
      <c r="AM151" s="25">
        <f t="shared" si="154"/>
        <v>1.5544041450777216E-2</v>
      </c>
      <c r="AN151" s="379">
        <f t="shared" si="155"/>
        <v>1.8580282772752376E-2</v>
      </c>
      <c r="AO151" s="380">
        <f t="shared" si="156"/>
        <v>1.915237449010853E-2</v>
      </c>
    </row>
    <row r="152" spans="1:46">
      <c r="A152" s="203" t="s">
        <v>42</v>
      </c>
      <c r="B152" s="215">
        <f>SUM(B149:B151)</f>
        <v>3844664135.71</v>
      </c>
      <c r="C152" s="85"/>
      <c r="D152" s="215">
        <f>SUM(D149:D151)</f>
        <v>3765883383.1199999</v>
      </c>
      <c r="E152" s="85"/>
      <c r="F152" s="23">
        <f>((D152-B152)/B152)</f>
        <v>-2.0490932317928361E-2</v>
      </c>
      <c r="G152" s="23"/>
      <c r="H152" s="215">
        <f>SUM(H149:H151)</f>
        <v>3796886715.4300003</v>
      </c>
      <c r="I152" s="85"/>
      <c r="J152" s="23">
        <f>((H152-D152)/D152)</f>
        <v>8.2326851779234971E-3</v>
      </c>
      <c r="K152" s="23"/>
      <c r="L152" s="215">
        <f>SUM(L149:L151)</f>
        <v>3821769493.7000003</v>
      </c>
      <c r="M152" s="85"/>
      <c r="N152" s="23">
        <f>((L152-H152)/H152)</f>
        <v>6.5534687060532929E-3</v>
      </c>
      <c r="O152" s="23"/>
      <c r="P152" s="215">
        <f>SUM(P149:P151)</f>
        <v>3802289133.5500002</v>
      </c>
      <c r="Q152" s="85"/>
      <c r="R152" s="23">
        <f>((P152-L152)/L152)</f>
        <v>-5.097209599404808E-3</v>
      </c>
      <c r="S152" s="23"/>
      <c r="T152" s="215">
        <f>SUM(T149:T151)</f>
        <v>3833193790.9099998</v>
      </c>
      <c r="U152" s="85"/>
      <c r="V152" s="23">
        <f>((T152-P152)/P152)</f>
        <v>8.1279082874861699E-3</v>
      </c>
      <c r="W152" s="23"/>
      <c r="X152" s="215">
        <f>SUM(X149:X151)</f>
        <v>3950705160.4500003</v>
      </c>
      <c r="Y152" s="85"/>
      <c r="Z152" s="23">
        <f>((X152-T152)/T152)</f>
        <v>3.0656255840408018E-2</v>
      </c>
      <c r="AA152" s="23"/>
      <c r="AB152" s="215">
        <f>SUM(AB149:AB151)</f>
        <v>3988679154.2799997</v>
      </c>
      <c r="AC152" s="85"/>
      <c r="AD152" s="23">
        <f>((AB152-X152)/X152)</f>
        <v>9.6119533824371908E-3</v>
      </c>
      <c r="AE152" s="23"/>
      <c r="AF152" s="215">
        <f>SUM(AF149:AF151)</f>
        <v>3887178325.5900002</v>
      </c>
      <c r="AG152" s="85"/>
      <c r="AH152" s="23">
        <f>((AF152-AB152)/AB152)</f>
        <v>-2.54472282086378E-2</v>
      </c>
      <c r="AI152" s="23"/>
      <c r="AJ152" s="24">
        <f t="shared" si="151"/>
        <v>1.5183626585421497E-3</v>
      </c>
      <c r="AK152" s="24"/>
      <c r="AL152" s="25">
        <f t="shared" si="153"/>
        <v>3.2208895000223961E-2</v>
      </c>
      <c r="AM152" s="25"/>
      <c r="AN152" s="379">
        <f t="shared" si="155"/>
        <v>1.8063228217990033E-2</v>
      </c>
      <c r="AO152" s="380"/>
    </row>
    <row r="153" spans="1:46" ht="8.25" customHeight="1">
      <c r="A153" s="203"/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79"/>
      <c r="AO153" s="380"/>
    </row>
    <row r="154" spans="1:46">
      <c r="A154" s="206" t="s">
        <v>196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79"/>
      <c r="AO154" s="380"/>
    </row>
    <row r="155" spans="1:46">
      <c r="A155" s="207" t="s">
        <v>197</v>
      </c>
      <c r="B155" s="85"/>
      <c r="C155" s="85"/>
      <c r="D155" s="85"/>
      <c r="E155" s="85"/>
      <c r="F155" s="23"/>
      <c r="G155" s="23"/>
      <c r="H155" s="85"/>
      <c r="I155" s="85"/>
      <c r="J155" s="23"/>
      <c r="K155" s="23"/>
      <c r="L155" s="85"/>
      <c r="M155" s="85"/>
      <c r="N155" s="23"/>
      <c r="O155" s="23"/>
      <c r="P155" s="85"/>
      <c r="Q155" s="85"/>
      <c r="R155" s="23"/>
      <c r="S155" s="23"/>
      <c r="T155" s="85"/>
      <c r="U155" s="85"/>
      <c r="V155" s="23"/>
      <c r="W155" s="23"/>
      <c r="X155" s="85"/>
      <c r="Y155" s="85"/>
      <c r="Z155" s="23"/>
      <c r="AA155" s="23"/>
      <c r="AB155" s="85"/>
      <c r="AC155" s="85"/>
      <c r="AD155" s="23"/>
      <c r="AE155" s="23"/>
      <c r="AF155" s="85"/>
      <c r="AG155" s="85"/>
      <c r="AH155" s="23"/>
      <c r="AI155" s="23"/>
      <c r="AJ155" s="24"/>
      <c r="AK155" s="24"/>
      <c r="AL155" s="25"/>
      <c r="AM155" s="25"/>
      <c r="AN155" s="379"/>
      <c r="AO155" s="380"/>
    </row>
    <row r="156" spans="1:46">
      <c r="A156" s="202" t="s">
        <v>24</v>
      </c>
      <c r="B156" s="315">
        <v>3607027457.1700001</v>
      </c>
      <c r="C156" s="316">
        <v>1.8</v>
      </c>
      <c r="D156" s="315">
        <v>3619190135.3400002</v>
      </c>
      <c r="E156" s="316">
        <v>1.8</v>
      </c>
      <c r="F156" s="23">
        <f>((D149-B156)/B156)</f>
        <v>-0.81962384049040071</v>
      </c>
      <c r="G156" s="23">
        <f>((E156-C156)/C156)</f>
        <v>0</v>
      </c>
      <c r="H156" s="315">
        <v>3620233880.8099999</v>
      </c>
      <c r="I156" s="316">
        <v>1.77</v>
      </c>
      <c r="J156" s="23">
        <f>((H149-D156)/D156)</f>
        <v>-0.81998200888697059</v>
      </c>
      <c r="K156" s="23">
        <f>((I156-E156)/E156)</f>
        <v>-1.666666666666668E-2</v>
      </c>
      <c r="L156" s="315">
        <v>3673350933.2600002</v>
      </c>
      <c r="M156" s="316">
        <v>1.83</v>
      </c>
      <c r="N156" s="23">
        <f>((L149-H156)/H156)</f>
        <v>-0.81997169253767188</v>
      </c>
      <c r="O156" s="23">
        <f>((M156-I156)/I156)</f>
        <v>3.389830508474579E-2</v>
      </c>
      <c r="P156" s="315">
        <v>3641135629.48</v>
      </c>
      <c r="Q156" s="316">
        <v>1.82</v>
      </c>
      <c r="R156" s="23">
        <f>((P149-L156)/L156)</f>
        <v>-0.82290589972500305</v>
      </c>
      <c r="S156" s="23">
        <f>((Q156-M156)/M156)</f>
        <v>-5.4644808743169442E-3</v>
      </c>
      <c r="T156" s="315">
        <v>3648462686.3000002</v>
      </c>
      <c r="U156" s="316">
        <v>1.82</v>
      </c>
      <c r="V156" s="23">
        <f>((T149-P156)/P156)</f>
        <v>-0.81823463598236845</v>
      </c>
      <c r="W156" s="23">
        <f>((U156-Q156)/Q156)</f>
        <v>0</v>
      </c>
      <c r="X156" s="315">
        <v>3656724039.7600002</v>
      </c>
      <c r="Y156" s="316">
        <v>1.82</v>
      </c>
      <c r="Z156" s="23">
        <f>((X149-T156)/T156)</f>
        <v>-0.81554158483871031</v>
      </c>
      <c r="AA156" s="23">
        <f>((Y156-U156)/U156)</f>
        <v>0</v>
      </c>
      <c r="AB156" s="315">
        <v>3665352380.4000001</v>
      </c>
      <c r="AC156" s="316">
        <v>1.83</v>
      </c>
      <c r="AD156" s="23">
        <f>((AB149-X156)/X156)</f>
        <v>-0.81678174544339632</v>
      </c>
      <c r="AE156" s="23">
        <f>((AC156-Y156)/Y156)</f>
        <v>5.4945054945054993E-3</v>
      </c>
      <c r="AF156" s="315">
        <v>3662980447.79</v>
      </c>
      <c r="AG156" s="316">
        <v>1.83</v>
      </c>
      <c r="AH156" s="23">
        <f>((AF149-AB156)/AB156)</f>
        <v>-0.81803066598273089</v>
      </c>
      <c r="AI156" s="23">
        <f>((AG156-AC156)/AC156)</f>
        <v>0</v>
      </c>
      <c r="AJ156" s="24">
        <f t="shared" si="151"/>
        <v>-0.81888400923590643</v>
      </c>
      <c r="AK156" s="24">
        <f t="shared" si="152"/>
        <v>2.1577078797834579E-3</v>
      </c>
      <c r="AL156" s="25">
        <f t="shared" si="153"/>
        <v>1.2099478284493606E-2</v>
      </c>
      <c r="AM156" s="25">
        <f t="shared" si="154"/>
        <v>1.666666666666668E-2</v>
      </c>
      <c r="AN156" s="379">
        <f t="shared" si="155"/>
        <v>2.2631459085753814E-3</v>
      </c>
      <c r="AO156" s="380">
        <f t="shared" si="156"/>
        <v>0.29044478673378027</v>
      </c>
    </row>
    <row r="157" spans="1:46" s="366" customFormat="1">
      <c r="A157" s="201" t="s">
        <v>65</v>
      </c>
      <c r="B157" s="315">
        <v>427209944.68000001</v>
      </c>
      <c r="C157" s="316">
        <v>338.82</v>
      </c>
      <c r="D157" s="315">
        <v>418488752.76999998</v>
      </c>
      <c r="E157" s="316">
        <v>338.82</v>
      </c>
      <c r="F157" s="23">
        <f>((D149-B157)/B157)</f>
        <v>0.52295555867114896</v>
      </c>
      <c r="G157" s="23">
        <f>((E157-C157)/C157)</f>
        <v>0</v>
      </c>
      <c r="H157" s="315">
        <v>450866416.00999999</v>
      </c>
      <c r="I157" s="316">
        <v>353.18</v>
      </c>
      <c r="J157" s="23">
        <f>((H149-D157)/D157)</f>
        <v>0.5568383458517292</v>
      </c>
      <c r="K157" s="23">
        <f>((I157-E157)/E157)</f>
        <v>4.238238592763123E-2</v>
      </c>
      <c r="L157" s="315">
        <v>457129538.98000002</v>
      </c>
      <c r="M157" s="316">
        <v>346.62</v>
      </c>
      <c r="N157" s="23">
        <f>((L149-H157)/H157)</f>
        <v>0.44553809074469758</v>
      </c>
      <c r="O157" s="23">
        <f>((M157-I157)/I157)</f>
        <v>-1.85740981935557E-2</v>
      </c>
      <c r="P157" s="315">
        <v>456924615.91000003</v>
      </c>
      <c r="Q157" s="316">
        <v>348.25</v>
      </c>
      <c r="R157" s="23">
        <f>((P149-L157)/L157)</f>
        <v>0.42307316208778495</v>
      </c>
      <c r="S157" s="23">
        <f>((Q157-M157)/M157)</f>
        <v>4.7025561133229345E-3</v>
      </c>
      <c r="T157" s="315">
        <v>485638650.45999998</v>
      </c>
      <c r="U157" s="316">
        <v>367.27</v>
      </c>
      <c r="V157" s="23">
        <f>((T149-P157)/P157)</f>
        <v>0.44844974441114471</v>
      </c>
      <c r="W157" s="23">
        <f>((U157-Q157)/Q157)</f>
        <v>5.4615936826992048E-2</v>
      </c>
      <c r="X157" s="315">
        <v>520621801.62</v>
      </c>
      <c r="Y157" s="316">
        <v>389.86</v>
      </c>
      <c r="Z157" s="23">
        <f>((X149-T157)/T157)</f>
        <v>0.38578270953627758</v>
      </c>
      <c r="AA157" s="23">
        <f>((Y157-U157)/U157)</f>
        <v>6.1507882484275966E-2</v>
      </c>
      <c r="AB157" s="315">
        <v>529669880.97000003</v>
      </c>
      <c r="AC157" s="316">
        <v>395.08</v>
      </c>
      <c r="AD157" s="23">
        <f>((AB149-X157)/X157)</f>
        <v>0.28688155946457083</v>
      </c>
      <c r="AE157" s="23">
        <f>((AC157-Y157)/Y157)</f>
        <v>1.3389421843738702E-2</v>
      </c>
      <c r="AF157" s="315">
        <v>517837902.87</v>
      </c>
      <c r="AG157" s="316">
        <v>383.72</v>
      </c>
      <c r="AH157" s="23">
        <f>((AF149-AB157)/AB157)</f>
        <v>0.25924043553040388</v>
      </c>
      <c r="AI157" s="23">
        <f>((AG157-AC157)/AC157)</f>
        <v>-2.8753670142755788E-2</v>
      </c>
      <c r="AJ157" s="24">
        <f t="shared" si="151"/>
        <v>0.4160949507872197</v>
      </c>
      <c r="AK157" s="24">
        <f t="shared" si="152"/>
        <v>1.6158801857456172E-2</v>
      </c>
      <c r="AL157" s="25">
        <f t="shared" si="153"/>
        <v>0.23739980929571597</v>
      </c>
      <c r="AM157" s="25">
        <f t="shared" si="154"/>
        <v>0.13251874151466866</v>
      </c>
      <c r="AN157" s="379">
        <f t="shared" si="155"/>
        <v>0.10379140536175097</v>
      </c>
      <c r="AO157" s="380">
        <f t="shared" si="156"/>
        <v>8.8277701420962043E-2</v>
      </c>
    </row>
    <row r="158" spans="1:46" ht="8.25" customHeight="1">
      <c r="A158" s="203"/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79"/>
      <c r="AO158" s="380"/>
    </row>
    <row r="159" spans="1:46">
      <c r="A159" s="207" t="s">
        <v>198</v>
      </c>
      <c r="B159" s="85"/>
      <c r="C159" s="85"/>
      <c r="D159" s="85"/>
      <c r="E159" s="85"/>
      <c r="F159" s="23"/>
      <c r="G159" s="23"/>
      <c r="H159" s="85"/>
      <c r="I159" s="85"/>
      <c r="J159" s="23"/>
      <c r="K159" s="23"/>
      <c r="L159" s="85"/>
      <c r="M159" s="85"/>
      <c r="N159" s="23"/>
      <c r="O159" s="23"/>
      <c r="P159" s="85"/>
      <c r="Q159" s="85"/>
      <c r="R159" s="23"/>
      <c r="S159" s="23"/>
      <c r="T159" s="85"/>
      <c r="U159" s="85"/>
      <c r="V159" s="23"/>
      <c r="W159" s="23"/>
      <c r="X159" s="85"/>
      <c r="Y159" s="85"/>
      <c r="Z159" s="23"/>
      <c r="AA159" s="23"/>
      <c r="AB159" s="85"/>
      <c r="AC159" s="85"/>
      <c r="AD159" s="23"/>
      <c r="AE159" s="23"/>
      <c r="AF159" s="85"/>
      <c r="AG159" s="85"/>
      <c r="AH159" s="23"/>
      <c r="AI159" s="23"/>
      <c r="AJ159" s="24"/>
      <c r="AK159" s="24"/>
      <c r="AL159" s="25"/>
      <c r="AM159" s="25"/>
      <c r="AN159" s="379"/>
      <c r="AO159" s="380"/>
    </row>
    <row r="160" spans="1:46">
      <c r="A160" s="201" t="s">
        <v>226</v>
      </c>
      <c r="B160" s="325">
        <v>474698025.01999998</v>
      </c>
      <c r="C160" s="325">
        <v>1044.21</v>
      </c>
      <c r="D160" s="325">
        <v>470757767.75</v>
      </c>
      <c r="E160" s="325">
        <v>1025.0999999999999</v>
      </c>
      <c r="F160" s="23">
        <f t="shared" ref="F160:G166" si="186">((D160-B160)/B160)</f>
        <v>-8.3005554317062309E-3</v>
      </c>
      <c r="G160" s="23">
        <f t="shared" si="186"/>
        <v>-1.8300916482316895E-2</v>
      </c>
      <c r="H160" s="325">
        <v>471694103.19</v>
      </c>
      <c r="I160" s="325">
        <v>1027.1400000000001</v>
      </c>
      <c r="J160" s="23">
        <f t="shared" ref="J160:J169" si="187">((H160-D160)/D160)</f>
        <v>1.9889962612305669E-3</v>
      </c>
      <c r="K160" s="23">
        <f t="shared" ref="K160:K162" si="188">((I160-E160)/E160)</f>
        <v>1.9900497512439675E-3</v>
      </c>
      <c r="L160" s="325">
        <v>472630097.77999997</v>
      </c>
      <c r="M160" s="325">
        <v>1029.18</v>
      </c>
      <c r="N160" s="23">
        <f t="shared" ref="N160:N169" si="189">((L160-H160)/H160)</f>
        <v>1.9843254000208518E-3</v>
      </c>
      <c r="O160" s="23">
        <f t="shared" ref="O160:O162" si="190">((M160-I160)/I160)</f>
        <v>1.986097318768584E-3</v>
      </c>
      <c r="P160" s="325">
        <v>473557433.18000001</v>
      </c>
      <c r="Q160" s="325">
        <v>1031.2</v>
      </c>
      <c r="R160" s="23">
        <f t="shared" ref="R160:R169" si="191">((P160-L160)/L160)</f>
        <v>1.9620743671548658E-3</v>
      </c>
      <c r="S160" s="23">
        <f t="shared" ref="S160:S162" si="192">((Q160-M160)/M160)</f>
        <v>1.9627276083872421E-3</v>
      </c>
      <c r="T160" s="325">
        <v>472962572.51999998</v>
      </c>
      <c r="U160" s="325">
        <v>1029.9000000000001</v>
      </c>
      <c r="V160" s="23">
        <f t="shared" ref="V160:V169" si="193">((T160-P160)/P160)</f>
        <v>-1.2561531470543271E-3</v>
      </c>
      <c r="W160" s="23">
        <f t="shared" ref="W160:W162" si="194">((U160-Q160)/Q160)</f>
        <v>-1.2606671838634158E-3</v>
      </c>
      <c r="X160" s="325">
        <v>447062416.44</v>
      </c>
      <c r="Y160" s="325">
        <v>1031.99</v>
      </c>
      <c r="Z160" s="23">
        <f t="shared" ref="Z160:Z169" si="195">((X160-T160)/T160)</f>
        <v>-5.4761534178065965E-2</v>
      </c>
      <c r="AA160" s="23">
        <f t="shared" ref="AA160:AA162" si="196">((Y160-U160)/U160)</f>
        <v>2.0293232352654803E-3</v>
      </c>
      <c r="AB160" s="325">
        <v>448123132.58999997</v>
      </c>
      <c r="AC160" s="325">
        <v>1034.44</v>
      </c>
      <c r="AD160" s="23">
        <f t="shared" ref="AD160:AD169" si="197">((AB160-X160)/X160)</f>
        <v>2.3726354777182088E-3</v>
      </c>
      <c r="AE160" s="23">
        <f t="shared" ref="AE160:AE162" si="198">((AC160-Y160)/Y160)</f>
        <v>2.3740540121513247E-3</v>
      </c>
      <c r="AF160" s="325">
        <v>449132137.16000003</v>
      </c>
      <c r="AG160" s="325">
        <v>1036.77</v>
      </c>
      <c r="AH160" s="23">
        <f t="shared" ref="AH160:AH166" si="199">((AF160-AB160)/AB160)</f>
        <v>2.2516234860904139E-3</v>
      </c>
      <c r="AI160" s="23">
        <f t="shared" ref="AI160:AI162" si="200">((AG160-AC160)/AC160)</f>
        <v>2.2524264336258528E-3</v>
      </c>
      <c r="AJ160" s="24">
        <f t="shared" si="151"/>
        <v>-6.7198234705764526E-3</v>
      </c>
      <c r="AK160" s="24">
        <f t="shared" si="152"/>
        <v>-8.7086316334223247E-4</v>
      </c>
      <c r="AL160" s="25">
        <f t="shared" si="153"/>
        <v>-4.5937915572504061E-2</v>
      </c>
      <c r="AM160" s="25">
        <f t="shared" si="154"/>
        <v>1.1384255194615231E-2</v>
      </c>
      <c r="AN160" s="379">
        <f t="shared" si="155"/>
        <v>1.9750215708078198E-2</v>
      </c>
      <c r="AO160" s="380">
        <f t="shared" si="156"/>
        <v>7.1416832735438337E-3</v>
      </c>
    </row>
    <row r="161" spans="1:41">
      <c r="A161" s="201" t="s">
        <v>229</v>
      </c>
      <c r="B161" s="325">
        <v>55697201.939999998</v>
      </c>
      <c r="C161" s="325">
        <v>104.2</v>
      </c>
      <c r="D161" s="325">
        <v>48815841.909999996</v>
      </c>
      <c r="E161" s="325">
        <v>104.34</v>
      </c>
      <c r="F161" s="23">
        <f t="shared" si="186"/>
        <v>-0.12354947448550414</v>
      </c>
      <c r="G161" s="23">
        <f t="shared" si="186"/>
        <v>1.3435700575815794E-3</v>
      </c>
      <c r="H161" s="325">
        <v>48776640.25</v>
      </c>
      <c r="I161" s="321">
        <v>104.48</v>
      </c>
      <c r="J161" s="23">
        <f t="shared" si="187"/>
        <v>-8.0305201070322841E-4</v>
      </c>
      <c r="K161" s="23">
        <f t="shared" si="188"/>
        <v>1.3417672992141131E-3</v>
      </c>
      <c r="L161" s="325">
        <v>48910653.93</v>
      </c>
      <c r="M161" s="321">
        <v>104.56</v>
      </c>
      <c r="N161" s="23">
        <f t="shared" si="189"/>
        <v>2.7474971484941443E-3</v>
      </c>
      <c r="O161" s="23">
        <f t="shared" si="190"/>
        <v>7.6569678407349055E-4</v>
      </c>
      <c r="P161" s="325">
        <v>48913503.640000001</v>
      </c>
      <c r="Q161" s="321">
        <v>104.67</v>
      </c>
      <c r="R161" s="23">
        <f t="shared" si="191"/>
        <v>5.8263584127894608E-5</v>
      </c>
      <c r="S161" s="23">
        <f t="shared" si="192"/>
        <v>1.0520275439938737E-3</v>
      </c>
      <c r="T161" s="325">
        <v>48879235.689999998</v>
      </c>
      <c r="U161" s="321">
        <v>104.77</v>
      </c>
      <c r="V161" s="23">
        <f t="shared" si="193"/>
        <v>-7.0058260909324182E-4</v>
      </c>
      <c r="W161" s="23">
        <f t="shared" si="194"/>
        <v>9.5538358650992946E-4</v>
      </c>
      <c r="X161" s="325">
        <v>49054537.969999999</v>
      </c>
      <c r="Y161" s="321">
        <v>109.04</v>
      </c>
      <c r="Z161" s="23">
        <f t="shared" si="195"/>
        <v>3.5864366028920038E-3</v>
      </c>
      <c r="AA161" s="23">
        <f t="shared" si="196"/>
        <v>4.0755941586332063E-2</v>
      </c>
      <c r="AB161" s="325">
        <v>47656031.539999999</v>
      </c>
      <c r="AC161" s="321">
        <v>109.21</v>
      </c>
      <c r="AD161" s="23">
        <f t="shared" si="197"/>
        <v>-2.8509216228991417E-2</v>
      </c>
      <c r="AE161" s="23">
        <f t="shared" si="198"/>
        <v>1.5590608950842579E-3</v>
      </c>
      <c r="AF161" s="325">
        <v>47754112.850000001</v>
      </c>
      <c r="AG161" s="321">
        <v>109.51</v>
      </c>
      <c r="AH161" s="23">
        <f t="shared" si="199"/>
        <v>2.0581090542060353E-3</v>
      </c>
      <c r="AI161" s="23">
        <f t="shared" si="200"/>
        <v>2.7470011903672868E-3</v>
      </c>
      <c r="AJ161" s="24">
        <f t="shared" si="151"/>
        <v>-1.8139002368071495E-2</v>
      </c>
      <c r="AK161" s="24">
        <f t="shared" si="152"/>
        <v>6.3150561178945738E-3</v>
      </c>
      <c r="AL161" s="25">
        <f t="shared" si="153"/>
        <v>-2.1749682448526986E-2</v>
      </c>
      <c r="AM161" s="25">
        <f t="shared" si="154"/>
        <v>4.9549549549549564E-2</v>
      </c>
      <c r="AN161" s="379">
        <f t="shared" si="155"/>
        <v>4.3868060272497393E-2</v>
      </c>
      <c r="AO161" s="380">
        <f t="shared" si="156"/>
        <v>1.3956701323924759E-2</v>
      </c>
    </row>
    <row r="162" spans="1:41">
      <c r="A162" s="201" t="s">
        <v>233</v>
      </c>
      <c r="B162" s="320">
        <v>52822177.859999999</v>
      </c>
      <c r="C162" s="321">
        <v>106.56</v>
      </c>
      <c r="D162" s="320">
        <v>52891054.869999997</v>
      </c>
      <c r="E162" s="321">
        <v>106.81</v>
      </c>
      <c r="F162" s="23">
        <f t="shared" si="186"/>
        <v>1.3039411245509352E-3</v>
      </c>
      <c r="G162" s="23">
        <f t="shared" si="186"/>
        <v>2.3460960960960961E-3</v>
      </c>
      <c r="H162" s="320">
        <v>52952923.119999997</v>
      </c>
      <c r="I162" s="321">
        <v>107.06</v>
      </c>
      <c r="J162" s="23">
        <f t="shared" si="187"/>
        <v>1.1697299316881635E-3</v>
      </c>
      <c r="K162" s="23">
        <f t="shared" si="188"/>
        <v>2.340604812283494E-3</v>
      </c>
      <c r="L162" s="320">
        <v>53059520.850000001</v>
      </c>
      <c r="M162" s="321">
        <v>107.31</v>
      </c>
      <c r="N162" s="23">
        <f t="shared" si="189"/>
        <v>2.0130660163639362E-3</v>
      </c>
      <c r="O162" s="23">
        <f t="shared" si="190"/>
        <v>2.3351391742947878E-3</v>
      </c>
      <c r="P162" s="320">
        <v>53116093.890000001</v>
      </c>
      <c r="Q162" s="321">
        <v>107.19</v>
      </c>
      <c r="R162" s="23">
        <f t="shared" si="191"/>
        <v>1.0662184485218378E-3</v>
      </c>
      <c r="S162" s="23">
        <f t="shared" si="192"/>
        <v>-1.1182555213866791E-3</v>
      </c>
      <c r="T162" s="320">
        <v>53172803.950000003</v>
      </c>
      <c r="U162" s="321">
        <v>107.44</v>
      </c>
      <c r="V162" s="23">
        <f t="shared" si="193"/>
        <v>1.0676624700122952E-3</v>
      </c>
      <c r="W162" s="23">
        <f t="shared" si="194"/>
        <v>2.3323071182013246E-3</v>
      </c>
      <c r="X162" s="320">
        <v>53234831.479999997</v>
      </c>
      <c r="Y162" s="321">
        <v>107.7</v>
      </c>
      <c r="Z162" s="23">
        <f t="shared" si="195"/>
        <v>1.1665273484227031E-3</v>
      </c>
      <c r="AA162" s="23">
        <f t="shared" si="196"/>
        <v>2.4199553239017601E-3</v>
      </c>
      <c r="AB162" s="320">
        <v>53292006.890000001</v>
      </c>
      <c r="AC162" s="321">
        <v>107.95</v>
      </c>
      <c r="AD162" s="23">
        <f t="shared" si="197"/>
        <v>1.0740225602382967E-3</v>
      </c>
      <c r="AE162" s="23">
        <f t="shared" si="198"/>
        <v>2.321262766945218E-3</v>
      </c>
      <c r="AF162" s="320">
        <v>53349143.259999998</v>
      </c>
      <c r="AG162" s="321">
        <v>108.2</v>
      </c>
      <c r="AH162" s="23">
        <f t="shared" si="199"/>
        <v>1.0721377057150889E-3</v>
      </c>
      <c r="AI162" s="23">
        <f t="shared" si="200"/>
        <v>2.3158869847151459E-3</v>
      </c>
      <c r="AJ162" s="24">
        <f t="shared" si="151"/>
        <v>1.241663200689157E-3</v>
      </c>
      <c r="AK162" s="24">
        <f t="shared" si="152"/>
        <v>1.9116245943813935E-3</v>
      </c>
      <c r="AL162" s="25">
        <f t="shared" si="153"/>
        <v>8.6609804082359125E-3</v>
      </c>
      <c r="AM162" s="25">
        <f t="shared" si="154"/>
        <v>1.3013762756296232E-2</v>
      </c>
      <c r="AN162" s="379">
        <f t="shared" si="155"/>
        <v>3.2241500063307887E-4</v>
      </c>
      <c r="AO162" s="380">
        <f t="shared" si="156"/>
        <v>1.2448108967079048E-3</v>
      </c>
    </row>
    <row r="163" spans="1:41" s="287" customFormat="1">
      <c r="A163" s="201" t="s">
        <v>185</v>
      </c>
      <c r="B163" s="325">
        <v>9810385719.7700005</v>
      </c>
      <c r="C163" s="321">
        <v>131.22</v>
      </c>
      <c r="D163" s="325">
        <v>9961497947.2000008</v>
      </c>
      <c r="E163" s="321">
        <v>131.54</v>
      </c>
      <c r="F163" s="23">
        <f t="shared" si="186"/>
        <v>1.5403291139254314E-2</v>
      </c>
      <c r="G163" s="23">
        <f t="shared" si="186"/>
        <v>2.4386526444139093E-3</v>
      </c>
      <c r="H163" s="325">
        <v>10434192000.98</v>
      </c>
      <c r="I163" s="321">
        <v>131.85</v>
      </c>
      <c r="J163" s="23">
        <f t="shared" si="187"/>
        <v>4.7452105726013286E-2</v>
      </c>
      <c r="K163" s="23">
        <f>((I163-E163)/E163)</f>
        <v>2.3566975824844327E-3</v>
      </c>
      <c r="L163" s="325">
        <v>10272804810.32</v>
      </c>
      <c r="M163" s="321">
        <v>132.19</v>
      </c>
      <c r="N163" s="23">
        <f t="shared" si="189"/>
        <v>-1.5467147877367223E-2</v>
      </c>
      <c r="O163" s="23">
        <f>((M163-I163)/I163)</f>
        <v>2.578687902920011E-3</v>
      </c>
      <c r="P163" s="325">
        <v>10373636336.01</v>
      </c>
      <c r="Q163" s="321">
        <v>132.5</v>
      </c>
      <c r="R163" s="23">
        <f t="shared" si="191"/>
        <v>9.8153841673995178E-3</v>
      </c>
      <c r="S163" s="23">
        <f>((Q163-M163)/M163)</f>
        <v>2.345109312353448E-3</v>
      </c>
      <c r="T163" s="325">
        <v>10391591264.639999</v>
      </c>
      <c r="U163" s="321">
        <v>132.82</v>
      </c>
      <c r="V163" s="23">
        <f t="shared" si="193"/>
        <v>1.7308230256416666E-3</v>
      </c>
      <c r="W163" s="23">
        <f>((U163-Q163)/Q163)</f>
        <v>2.41509433962259E-3</v>
      </c>
      <c r="X163" s="325">
        <v>10448838291.1</v>
      </c>
      <c r="Y163" s="321">
        <v>133.13999999999999</v>
      </c>
      <c r="Z163" s="23">
        <f t="shared" si="195"/>
        <v>5.5089759597068046E-3</v>
      </c>
      <c r="AA163" s="23">
        <f>((Y163-U163)/U163)</f>
        <v>2.4092757114891825E-3</v>
      </c>
      <c r="AB163" s="325">
        <v>10170894257.049999</v>
      </c>
      <c r="AC163" s="321">
        <v>133.46</v>
      </c>
      <c r="AD163" s="23">
        <f t="shared" si="197"/>
        <v>-2.6600472349806135E-2</v>
      </c>
      <c r="AE163" s="23">
        <f>((AC163-Y163)/Y163)</f>
        <v>2.4034850533274873E-3</v>
      </c>
      <c r="AF163" s="325">
        <v>10157425882.790001</v>
      </c>
      <c r="AG163" s="321">
        <v>133.78</v>
      </c>
      <c r="AH163" s="23">
        <f t="shared" si="199"/>
        <v>-1.3242074806414058E-3</v>
      </c>
      <c r="AI163" s="23">
        <f>((AG163-AC163)/AC163)</f>
        <v>2.3977221639442017E-3</v>
      </c>
      <c r="AJ163" s="24">
        <f t="shared" si="151"/>
        <v>4.5648440387751048E-3</v>
      </c>
      <c r="AK163" s="24">
        <f t="shared" si="152"/>
        <v>2.4180905888194076E-3</v>
      </c>
      <c r="AL163" s="25">
        <f t="shared" si="153"/>
        <v>1.9668521403959333E-2</v>
      </c>
      <c r="AM163" s="25">
        <f t="shared" si="154"/>
        <v>1.7029040596016492E-2</v>
      </c>
      <c r="AN163" s="379">
        <f t="shared" si="155"/>
        <v>2.2040608482448085E-2</v>
      </c>
      <c r="AO163" s="380">
        <f t="shared" si="156"/>
        <v>1.3260472664701737E-3</v>
      </c>
    </row>
    <row r="164" spans="1:41" s="301" customFormat="1">
      <c r="A164" s="201" t="s">
        <v>172</v>
      </c>
      <c r="B164" s="325">
        <v>636590031.21000004</v>
      </c>
      <c r="C164" s="326">
        <v>102.15</v>
      </c>
      <c r="D164" s="325">
        <v>669676938.19000006</v>
      </c>
      <c r="E164" s="326">
        <v>102.35</v>
      </c>
      <c r="F164" s="23">
        <f t="shared" si="186"/>
        <v>5.1975220091194332E-2</v>
      </c>
      <c r="G164" s="23">
        <f t="shared" si="186"/>
        <v>1.9579050416053709E-3</v>
      </c>
      <c r="H164" s="325">
        <v>660121858.90999997</v>
      </c>
      <c r="I164" s="326">
        <v>102.55</v>
      </c>
      <c r="J164" s="23">
        <f t="shared" si="187"/>
        <v>-1.4268192220902092E-2</v>
      </c>
      <c r="K164" s="23">
        <f>((I164-E164)/E164)</f>
        <v>1.954079140205206E-3</v>
      </c>
      <c r="L164" s="325">
        <v>658443252.82000005</v>
      </c>
      <c r="M164" s="326">
        <v>102.75</v>
      </c>
      <c r="N164" s="23">
        <f t="shared" si="189"/>
        <v>-2.5428730579709112E-3</v>
      </c>
      <c r="O164" s="23">
        <f>((M164-I164)/I164)</f>
        <v>1.9502681618722851E-3</v>
      </c>
      <c r="P164" s="325">
        <v>661215959.38999999</v>
      </c>
      <c r="Q164" s="326">
        <v>102.99</v>
      </c>
      <c r="R164" s="23">
        <f t="shared" si="191"/>
        <v>4.2110030866364025E-3</v>
      </c>
      <c r="S164" s="23">
        <f>((Q164-M164)/M164)</f>
        <v>2.3357664233576146E-3</v>
      </c>
      <c r="T164" s="325">
        <v>672856228.33000004</v>
      </c>
      <c r="U164" s="326">
        <v>103.19</v>
      </c>
      <c r="V164" s="23">
        <f t="shared" si="193"/>
        <v>1.7604337546145595E-2</v>
      </c>
      <c r="W164" s="23">
        <f>((U164-Q164)/Q164)</f>
        <v>1.9419361103019987E-3</v>
      </c>
      <c r="X164" s="325">
        <v>679691806.04999995</v>
      </c>
      <c r="Y164" s="326">
        <v>103.39</v>
      </c>
      <c r="Z164" s="23">
        <f t="shared" si="195"/>
        <v>1.0159046512752831E-2</v>
      </c>
      <c r="AA164" s="23">
        <f>((Y164-U164)/U164)</f>
        <v>1.9381723035178102E-3</v>
      </c>
      <c r="AB164" s="325">
        <v>695545937.29999995</v>
      </c>
      <c r="AC164" s="326">
        <v>103.59</v>
      </c>
      <c r="AD164" s="23">
        <f t="shared" si="197"/>
        <v>2.3325470616065845E-2</v>
      </c>
      <c r="AE164" s="23">
        <f>((AC164-Y164)/Y164)</f>
        <v>1.9344230583228828E-3</v>
      </c>
      <c r="AF164" s="325">
        <v>693735502.30999994</v>
      </c>
      <c r="AG164" s="326">
        <v>103.8</v>
      </c>
      <c r="AH164" s="23">
        <f t="shared" si="199"/>
        <v>-2.6028978000041717E-3</v>
      </c>
      <c r="AI164" s="23">
        <f>((AG164-AC164)/AC164)</f>
        <v>2.0272227048942345E-3</v>
      </c>
      <c r="AJ164" s="24">
        <f t="shared" si="151"/>
        <v>1.098263934673973E-2</v>
      </c>
      <c r="AK164" s="24">
        <f t="shared" si="152"/>
        <v>2.0049716180096755E-3</v>
      </c>
      <c r="AL164" s="25">
        <f t="shared" si="153"/>
        <v>3.5925627340587941E-2</v>
      </c>
      <c r="AM164" s="25">
        <f t="shared" si="154"/>
        <v>1.4167073766487572E-2</v>
      </c>
      <c r="AN164" s="379">
        <f t="shared" si="155"/>
        <v>2.0452831483705542E-2</v>
      </c>
      <c r="AO164" s="380">
        <f t="shared" si="156"/>
        <v>1.6337224929775154E-3</v>
      </c>
    </row>
    <row r="165" spans="1:41" s="301" customFormat="1">
      <c r="A165" s="201" t="s">
        <v>130</v>
      </c>
      <c r="B165" s="325">
        <v>8322909925.29</v>
      </c>
      <c r="C165" s="326">
        <v>124.89</v>
      </c>
      <c r="D165" s="325">
        <v>8326870609.3299999</v>
      </c>
      <c r="E165" s="326">
        <v>125.05</v>
      </c>
      <c r="F165" s="23">
        <f t="shared" si="186"/>
        <v>4.75877316413701E-4</v>
      </c>
      <c r="G165" s="23">
        <f t="shared" si="186"/>
        <v>1.2811273921050251E-3</v>
      </c>
      <c r="H165" s="325">
        <v>8495673660.0200005</v>
      </c>
      <c r="I165" s="326">
        <v>125.15</v>
      </c>
      <c r="J165" s="23">
        <f t="shared" si="187"/>
        <v>2.0272087631680258E-2</v>
      </c>
      <c r="K165" s="23">
        <f>((I165-E165)/E165)</f>
        <v>7.9968012794888867E-4</v>
      </c>
      <c r="L165" s="325">
        <v>8502604195.8400002</v>
      </c>
      <c r="M165" s="326">
        <v>125.31</v>
      </c>
      <c r="N165" s="23">
        <f t="shared" si="189"/>
        <v>8.1577236807179557E-4</v>
      </c>
      <c r="O165" s="23">
        <f>((M165-I165)/I165)</f>
        <v>1.2784658409907836E-3</v>
      </c>
      <c r="P165" s="325">
        <v>8487904395.6800003</v>
      </c>
      <c r="Q165" s="326">
        <v>125.42</v>
      </c>
      <c r="R165" s="23">
        <f t="shared" si="191"/>
        <v>-1.7288585733758956E-3</v>
      </c>
      <c r="S165" s="23">
        <f>((Q165-M165)/M165)</f>
        <v>8.7782299896256826E-4</v>
      </c>
      <c r="T165" s="325">
        <v>8460534801.4499998</v>
      </c>
      <c r="U165" s="326">
        <v>125.51</v>
      </c>
      <c r="V165" s="23">
        <f t="shared" si="193"/>
        <v>-3.2245408235194676E-3</v>
      </c>
      <c r="W165" s="23">
        <f>((U165-Q165)/Q165)</f>
        <v>7.1758890129168724E-4</v>
      </c>
      <c r="X165" s="325">
        <v>8479695487.8599997</v>
      </c>
      <c r="Y165" s="326">
        <v>125.68</v>
      </c>
      <c r="Z165" s="23">
        <f t="shared" si="195"/>
        <v>2.2647133851061061E-3</v>
      </c>
      <c r="AA165" s="23">
        <f>((Y165-U165)/U165)</f>
        <v>1.3544737471117975E-3</v>
      </c>
      <c r="AB165" s="325">
        <v>8499519153.4200001</v>
      </c>
      <c r="AC165" s="326">
        <v>125.84</v>
      </c>
      <c r="AD165" s="23">
        <f t="shared" si="197"/>
        <v>2.3377803587854157E-3</v>
      </c>
      <c r="AE165" s="23">
        <f>((AC165-Y165)/Y165)</f>
        <v>1.2730744748567519E-3</v>
      </c>
      <c r="AF165" s="325">
        <v>8480954472.5100002</v>
      </c>
      <c r="AG165" s="326">
        <v>125.93</v>
      </c>
      <c r="AH165" s="23">
        <f t="shared" si="199"/>
        <v>-2.1842036678663018E-3</v>
      </c>
      <c r="AI165" s="23">
        <f>((AG165-AC165)/AC165)</f>
        <v>7.1519389701210591E-4</v>
      </c>
      <c r="AJ165" s="24">
        <f t="shared" si="151"/>
        <v>2.3785784994119511E-3</v>
      </c>
      <c r="AK165" s="24">
        <f t="shared" si="152"/>
        <v>1.037178422534951E-3</v>
      </c>
      <c r="AL165" s="25">
        <f t="shared" si="153"/>
        <v>1.8504414252258721E-2</v>
      </c>
      <c r="AM165" s="25">
        <f t="shared" si="154"/>
        <v>7.0371851259496973E-3</v>
      </c>
      <c r="AN165" s="379">
        <f t="shared" si="155"/>
        <v>7.5151266520550111E-3</v>
      </c>
      <c r="AO165" s="380">
        <f t="shared" si="156"/>
        <v>1.1822786917072791E-3</v>
      </c>
    </row>
    <row r="166" spans="1:41" s="366" customFormat="1">
      <c r="A166" s="201" t="s">
        <v>163</v>
      </c>
      <c r="B166" s="325">
        <v>3726855539.23</v>
      </c>
      <c r="C166" s="326">
        <v>1.1282000000000001</v>
      </c>
      <c r="D166" s="325">
        <v>3747523395.4499998</v>
      </c>
      <c r="E166" s="326">
        <v>1.1295999999999999</v>
      </c>
      <c r="F166" s="23">
        <f t="shared" si="186"/>
        <v>5.545655312486286E-3</v>
      </c>
      <c r="G166" s="23">
        <f t="shared" si="186"/>
        <v>1.2409147314304605E-3</v>
      </c>
      <c r="H166" s="325">
        <v>3728038722.7800002</v>
      </c>
      <c r="I166" s="326">
        <v>1.131</v>
      </c>
      <c r="J166" s="23">
        <f t="shared" ref="J166" si="201">((H166-D166)/D166)</f>
        <v>-5.1993465053898338E-3</v>
      </c>
      <c r="K166" s="23">
        <f>((I166-E166)/E166)</f>
        <v>1.2393767705383037E-3</v>
      </c>
      <c r="L166" s="325">
        <v>3642600803.2800002</v>
      </c>
      <c r="M166" s="326">
        <v>1.1324000000000001</v>
      </c>
      <c r="N166" s="23">
        <f t="shared" ref="N166" si="202">((L166-H166)/H166)</f>
        <v>-2.2917658815595376E-2</v>
      </c>
      <c r="O166" s="23">
        <f>((M166-I166)/I166)</f>
        <v>1.2378426171530219E-3</v>
      </c>
      <c r="P166" s="325">
        <v>3604899926.6900001</v>
      </c>
      <c r="Q166" s="326">
        <v>1.1337999999999999</v>
      </c>
      <c r="R166" s="23">
        <f t="shared" ref="R166" si="203">((P166-L166)/L166)</f>
        <v>-1.0349988545561234E-2</v>
      </c>
      <c r="S166" s="23">
        <f>((Q166-M166)/M166)</f>
        <v>1.2363122571528132E-3</v>
      </c>
      <c r="T166" s="325">
        <v>3475427550</v>
      </c>
      <c r="U166" s="326">
        <v>1.1353</v>
      </c>
      <c r="V166" s="23">
        <f t="shared" ref="V166" si="204">((T166-P166)/P166)</f>
        <v>-3.5915664601785746E-2</v>
      </c>
      <c r="W166" s="23">
        <f>((U166-Q166)/Q166)</f>
        <v>1.322984653378071E-3</v>
      </c>
      <c r="X166" s="325">
        <v>3631577658.48</v>
      </c>
      <c r="Y166" s="326">
        <v>1.1374</v>
      </c>
      <c r="Z166" s="23">
        <f t="shared" ref="Z166" si="205">((X166-T166)/T166)</f>
        <v>4.4929755039779209E-2</v>
      </c>
      <c r="AA166" s="23">
        <f>((Y166-U166)/U166)</f>
        <v>1.8497313485422275E-3</v>
      </c>
      <c r="AB166" s="325">
        <v>3636154105.5</v>
      </c>
      <c r="AC166" s="326">
        <v>1.1394</v>
      </c>
      <c r="AD166" s="23">
        <f t="shared" ref="AD166" si="206">((AB166-X166)/X166)</f>
        <v>1.2601815107309193E-3</v>
      </c>
      <c r="AE166" s="23">
        <f>((AC166-Y166)/Y166)</f>
        <v>1.7583963425356092E-3</v>
      </c>
      <c r="AF166" s="325">
        <v>3654403630.3299999</v>
      </c>
      <c r="AG166" s="326">
        <v>1.1415</v>
      </c>
      <c r="AH166" s="23">
        <f t="shared" si="199"/>
        <v>5.0189085227152304E-3</v>
      </c>
      <c r="AI166" s="23">
        <f>((AG166-AC166)/AC166)</f>
        <v>1.8430753027909345E-3</v>
      </c>
      <c r="AJ166" s="24">
        <f t="shared" si="151"/>
        <v>-2.2035197603275675E-3</v>
      </c>
      <c r="AK166" s="24">
        <f t="shared" si="152"/>
        <v>1.4660792529401804E-3</v>
      </c>
      <c r="AL166" s="25">
        <f t="shared" si="153"/>
        <v>-2.4848347907063067E-2</v>
      </c>
      <c r="AM166" s="25">
        <f t="shared" si="154"/>
        <v>1.053470254957509E-2</v>
      </c>
      <c r="AN166" s="379">
        <f t="shared" si="155"/>
        <v>2.38647384908541E-2</v>
      </c>
      <c r="AO166" s="380">
        <f t="shared" si="156"/>
        <v>1.2995575305997239E-3</v>
      </c>
    </row>
    <row r="167" spans="1:41">
      <c r="A167" s="201" t="s">
        <v>277</v>
      </c>
      <c r="B167" s="315">
        <v>0</v>
      </c>
      <c r="C167" s="316">
        <v>0</v>
      </c>
      <c r="D167" s="315">
        <v>0</v>
      </c>
      <c r="E167" s="316">
        <v>0</v>
      </c>
      <c r="F167" s="23" t="e">
        <f>((D159-B167)/B167)</f>
        <v>#DIV/0!</v>
      </c>
      <c r="G167" s="23" t="e">
        <f>((E167-C167)/C167)</f>
        <v>#DIV/0!</v>
      </c>
      <c r="H167" s="315">
        <v>0</v>
      </c>
      <c r="I167" s="316">
        <v>0</v>
      </c>
      <c r="J167" s="23" t="e">
        <f>((H159-D167)/D167)</f>
        <v>#DIV/0!</v>
      </c>
      <c r="K167" s="23" t="e">
        <f>((I167-E167)/E167)</f>
        <v>#DIV/0!</v>
      </c>
      <c r="L167" s="315">
        <v>0</v>
      </c>
      <c r="M167" s="316">
        <v>0</v>
      </c>
      <c r="N167" s="23" t="e">
        <f>((L159-H167)/H167)</f>
        <v>#DIV/0!</v>
      </c>
      <c r="O167" s="23" t="e">
        <f>((M167-I167)/I167)</f>
        <v>#DIV/0!</v>
      </c>
      <c r="P167" s="315">
        <v>0</v>
      </c>
      <c r="Q167" s="316">
        <v>0</v>
      </c>
      <c r="R167" s="23" t="e">
        <f>((P159-L167)/L167)</f>
        <v>#DIV/0!</v>
      </c>
      <c r="S167" s="23" t="e">
        <f>((Q167-M167)/M167)</f>
        <v>#DIV/0!</v>
      </c>
      <c r="T167" s="315">
        <v>0</v>
      </c>
      <c r="U167" s="316">
        <v>0</v>
      </c>
      <c r="V167" s="23" t="e">
        <f>((T159-P167)/P167)</f>
        <v>#DIV/0!</v>
      </c>
      <c r="W167" s="23" t="e">
        <f>((U167-Q167)/Q167)</f>
        <v>#DIV/0!</v>
      </c>
      <c r="X167" s="315">
        <v>0</v>
      </c>
      <c r="Y167" s="316">
        <v>0</v>
      </c>
      <c r="Z167" s="23" t="e">
        <f>((X159-T167)/T167)</f>
        <v>#DIV/0!</v>
      </c>
      <c r="AA167" s="23" t="e">
        <f>((Y167-U167)/U167)</f>
        <v>#DIV/0!</v>
      </c>
      <c r="AB167" s="315">
        <v>316215054.29000002</v>
      </c>
      <c r="AC167" s="316">
        <v>98.9876</v>
      </c>
      <c r="AD167" s="23" t="e">
        <f>((AB159-X167)/X167)</f>
        <v>#DIV/0!</v>
      </c>
      <c r="AE167" s="23" t="e">
        <f>((AC167-Y167)/Y167)</f>
        <v>#DIV/0!</v>
      </c>
      <c r="AF167" s="315">
        <v>316215054.29000002</v>
      </c>
      <c r="AG167" s="316">
        <v>98.9876</v>
      </c>
      <c r="AH167" s="23">
        <f>((AF159-AB167)/AB167)</f>
        <v>-1</v>
      </c>
      <c r="AI167" s="23">
        <f>((AG167-AC167)/AC167)</f>
        <v>0</v>
      </c>
      <c r="AJ167" s="24" t="e">
        <f t="shared" si="151"/>
        <v>#DIV/0!</v>
      </c>
      <c r="AK167" s="24" t="e">
        <f t="shared" si="152"/>
        <v>#DIV/0!</v>
      </c>
      <c r="AL167" s="25" t="e">
        <f t="shared" si="153"/>
        <v>#DIV/0!</v>
      </c>
      <c r="AM167" s="25" t="e">
        <f t="shared" si="154"/>
        <v>#DIV/0!</v>
      </c>
      <c r="AN167" s="379" t="e">
        <f t="shared" si="155"/>
        <v>#DIV/0!</v>
      </c>
      <c r="AO167" s="380" t="e">
        <f t="shared" si="156"/>
        <v>#DIV/0!</v>
      </c>
    </row>
    <row r="168" spans="1:41">
      <c r="A168" s="203" t="s">
        <v>42</v>
      </c>
      <c r="B168" s="76">
        <f>SUM(B156:B167)</f>
        <v>27114196022.169998</v>
      </c>
      <c r="C168" s="85"/>
      <c r="D168" s="76">
        <f>SUM(D156:D167)</f>
        <v>27315712442.810001</v>
      </c>
      <c r="E168" s="85"/>
      <c r="F168" s="23">
        <f>((D168-B168)/B168)</f>
        <v>7.4321370427222972E-3</v>
      </c>
      <c r="G168" s="23"/>
      <c r="H168" s="76">
        <f>SUM(H156:H167)</f>
        <v>27962550206.07</v>
      </c>
      <c r="I168" s="85"/>
      <c r="J168" s="23">
        <f t="shared" si="187"/>
        <v>2.3680061964858543E-2</v>
      </c>
      <c r="K168" s="23"/>
      <c r="L168" s="76">
        <f>SUM(L156:L167)</f>
        <v>27781533807.059998</v>
      </c>
      <c r="M168" s="85"/>
      <c r="N168" s="23">
        <f t="shared" si="189"/>
        <v>-6.4735296915339226E-3</v>
      </c>
      <c r="O168" s="23"/>
      <c r="P168" s="76">
        <f>SUM(P156:P167)</f>
        <v>27801303893.869999</v>
      </c>
      <c r="Q168" s="85"/>
      <c r="R168" s="23">
        <f t="shared" si="191"/>
        <v>7.1162690106682622E-4</v>
      </c>
      <c r="S168" s="23"/>
      <c r="T168" s="76">
        <f>SUM(T156:T167)</f>
        <v>27709525793.34</v>
      </c>
      <c r="U168" s="85"/>
      <c r="V168" s="23">
        <f t="shared" si="193"/>
        <v>-3.301215686874141E-3</v>
      </c>
      <c r="W168" s="23"/>
      <c r="X168" s="76">
        <f>SUM(X156:X167)</f>
        <v>27966500870.759998</v>
      </c>
      <c r="Y168" s="85"/>
      <c r="Z168" s="23">
        <f t="shared" si="195"/>
        <v>9.2738893958900694E-3</v>
      </c>
      <c r="AA168" s="23"/>
      <c r="AB168" s="76">
        <f>SUM(AB156:AB167)</f>
        <v>28062421939.949997</v>
      </c>
      <c r="AC168" s="85"/>
      <c r="AD168" s="23">
        <f t="shared" si="197"/>
        <v>3.4298559420527157E-3</v>
      </c>
      <c r="AE168" s="23"/>
      <c r="AF168" s="76">
        <f>SUM(AF156:AF167)</f>
        <v>28033788286.160004</v>
      </c>
      <c r="AG168" s="85"/>
      <c r="AH168" s="23">
        <f t="shared" ref="AH168:AH169" si="207">((AF168-AB168)/AB168)</f>
        <v>-1.0203557572922841E-3</v>
      </c>
      <c r="AI168" s="23"/>
      <c r="AJ168" s="24">
        <f t="shared" si="151"/>
        <v>4.2165587638612629E-3</v>
      </c>
      <c r="AK168" s="24"/>
      <c r="AL168" s="25">
        <f t="shared" si="153"/>
        <v>2.6288014447853548E-2</v>
      </c>
      <c r="AM168" s="25"/>
      <c r="AN168" s="379">
        <f t="shared" si="155"/>
        <v>9.455672068848538E-3</v>
      </c>
      <c r="AO168" s="380"/>
    </row>
    <row r="169" spans="1:41">
      <c r="A169" s="203" t="s">
        <v>28</v>
      </c>
      <c r="B169" s="302">
        <f>SUM(B21,B53,B86,B112,B119,B146,B152,B168)</f>
        <v>1920923279532.677</v>
      </c>
      <c r="C169" s="85"/>
      <c r="D169" s="302">
        <f>SUM(D21,D53,D86,D112,D119,D146,D152,D168)</f>
        <v>1925391614328.5334</v>
      </c>
      <c r="E169" s="85"/>
      <c r="F169" s="23">
        <f>((D169-B169)/B169)</f>
        <v>2.326139124589871E-3</v>
      </c>
      <c r="G169" s="23"/>
      <c r="H169" s="302">
        <f>SUM(H21,H53,H86,H112,H119,H146,H152,H168)</f>
        <v>1916191660933.4709</v>
      </c>
      <c r="I169" s="85"/>
      <c r="J169" s="23">
        <f t="shared" si="187"/>
        <v>-4.7782245059122264E-3</v>
      </c>
      <c r="K169" s="23"/>
      <c r="L169" s="302">
        <f>SUM(L21,L53,L86,L112,L119,L146,L152,L168)</f>
        <v>1919113759297.0952</v>
      </c>
      <c r="M169" s="85"/>
      <c r="N169" s="23">
        <f t="shared" si="189"/>
        <v>1.5249509864794892E-3</v>
      </c>
      <c r="O169" s="23"/>
      <c r="P169" s="302">
        <f>SUM(P21,P53,P86,P112,P119,P146,P152,P168)</f>
        <v>1917546500429.8425</v>
      </c>
      <c r="Q169" s="85"/>
      <c r="R169" s="23">
        <f t="shared" si="191"/>
        <v>-8.1665761587094141E-4</v>
      </c>
      <c r="S169" s="23"/>
      <c r="T169" s="302">
        <f>SUM(T21,T53,T86,T112,T119,T146,T152,T168)</f>
        <v>1943407345708.8286</v>
      </c>
      <c r="U169" s="85"/>
      <c r="V169" s="23">
        <f t="shared" si="193"/>
        <v>1.3486424070127657E-2</v>
      </c>
      <c r="W169" s="23"/>
      <c r="X169" s="302">
        <f>SUM(X21,X53,X86,X112,X119,X146,X152,X168)</f>
        <v>1922810043593.2705</v>
      </c>
      <c r="Y169" s="85"/>
      <c r="Z169" s="23">
        <f t="shared" si="195"/>
        <v>-1.0598551127759348E-2</v>
      </c>
      <c r="AA169" s="23"/>
      <c r="AB169" s="302">
        <f>SUM(AB21,AB53,AB86,AB112,AB119,AB146,AB152,AB168)</f>
        <v>1905565030169.3159</v>
      </c>
      <c r="AC169" s="85"/>
      <c r="AD169" s="23">
        <f t="shared" si="197"/>
        <v>-8.96865162599619E-3</v>
      </c>
      <c r="AE169" s="23"/>
      <c r="AF169" s="302">
        <f>SUM(AF21,AF53,AF86,AF112,AF119,AF146,AF152,AF168)</f>
        <v>1930034404358.7712</v>
      </c>
      <c r="AG169" s="85"/>
      <c r="AH169" s="23">
        <f t="shared" si="207"/>
        <v>1.2841007156434402E-2</v>
      </c>
      <c r="AI169" s="23"/>
      <c r="AJ169" s="24">
        <f t="shared" si="151"/>
        <v>6.2705455776158924E-4</v>
      </c>
      <c r="AK169" s="24"/>
      <c r="AL169" s="25">
        <f t="shared" si="153"/>
        <v>2.4113484216336596E-3</v>
      </c>
      <c r="AM169" s="25"/>
      <c r="AN169" s="379">
        <f t="shared" si="155"/>
        <v>9.0050007969256982E-3</v>
      </c>
      <c r="AO169" s="380"/>
    </row>
    <row r="170" spans="1:41" s="108" customFormat="1" ht="6" customHeight="1">
      <c r="A170" s="203"/>
      <c r="B170" s="85"/>
      <c r="C170" s="85"/>
      <c r="D170" s="85"/>
      <c r="E170" s="85"/>
      <c r="F170" s="23"/>
      <c r="G170" s="23"/>
      <c r="H170" s="85"/>
      <c r="I170" s="85"/>
      <c r="J170" s="23"/>
      <c r="K170" s="23"/>
      <c r="L170" s="85"/>
      <c r="M170" s="85"/>
      <c r="N170" s="23"/>
      <c r="O170" s="23"/>
      <c r="P170" s="85"/>
      <c r="Q170" s="85"/>
      <c r="R170" s="23"/>
      <c r="S170" s="23"/>
      <c r="T170" s="85"/>
      <c r="U170" s="85"/>
      <c r="V170" s="23"/>
      <c r="W170" s="23"/>
      <c r="X170" s="85"/>
      <c r="Y170" s="85"/>
      <c r="Z170" s="23"/>
      <c r="AA170" s="23"/>
      <c r="AB170" s="85"/>
      <c r="AC170" s="85"/>
      <c r="AD170" s="23"/>
      <c r="AE170" s="23"/>
      <c r="AF170" s="85"/>
      <c r="AG170" s="85"/>
      <c r="AH170" s="23"/>
      <c r="AI170" s="23"/>
      <c r="AJ170" s="24"/>
      <c r="AK170" s="24"/>
      <c r="AL170" s="25"/>
      <c r="AM170" s="25"/>
      <c r="AN170" s="379"/>
      <c r="AO170" s="380"/>
    </row>
    <row r="171" spans="1:41" s="108" customFormat="1">
      <c r="A171" s="207" t="s">
        <v>199</v>
      </c>
      <c r="B171" s="85"/>
      <c r="C171" s="85"/>
      <c r="D171" s="85"/>
      <c r="E171" s="85"/>
      <c r="F171" s="23"/>
      <c r="G171" s="23"/>
      <c r="H171" s="85"/>
      <c r="I171" s="85"/>
      <c r="J171" s="23"/>
      <c r="K171" s="23"/>
      <c r="L171" s="85"/>
      <c r="M171" s="85"/>
      <c r="N171" s="23"/>
      <c r="O171" s="23"/>
      <c r="P171" s="85"/>
      <c r="Q171" s="85"/>
      <c r="R171" s="23"/>
      <c r="S171" s="23"/>
      <c r="T171" s="85"/>
      <c r="U171" s="85"/>
      <c r="V171" s="23"/>
      <c r="W171" s="23"/>
      <c r="X171" s="85"/>
      <c r="Y171" s="85"/>
      <c r="Z171" s="23"/>
      <c r="AA171" s="23"/>
      <c r="AB171" s="85"/>
      <c r="AC171" s="85"/>
      <c r="AD171" s="23"/>
      <c r="AE171" s="23"/>
      <c r="AF171" s="85"/>
      <c r="AG171" s="85"/>
      <c r="AH171" s="23"/>
      <c r="AI171" s="23"/>
      <c r="AJ171" s="24"/>
      <c r="AK171" s="24"/>
      <c r="AL171" s="25"/>
      <c r="AM171" s="25"/>
      <c r="AN171" s="379"/>
      <c r="AO171" s="380"/>
    </row>
    <row r="172" spans="1:41" s="108" customFormat="1">
      <c r="A172" s="208" t="s">
        <v>118</v>
      </c>
      <c r="B172" s="325">
        <v>92548651821</v>
      </c>
      <c r="C172" s="326">
        <v>108.39</v>
      </c>
      <c r="D172" s="325">
        <v>92548651821</v>
      </c>
      <c r="E172" s="326">
        <v>108.39</v>
      </c>
      <c r="F172" s="23">
        <f>((D172-B172)/B172)</f>
        <v>0</v>
      </c>
      <c r="G172" s="23">
        <f>((E172-C172)/C172)</f>
        <v>0</v>
      </c>
      <c r="H172" s="325">
        <v>92548651821</v>
      </c>
      <c r="I172" s="326">
        <v>108.39</v>
      </c>
      <c r="J172" s="23">
        <f>((H172-D172)/D172)</f>
        <v>0</v>
      </c>
      <c r="K172" s="23">
        <f>((I172-E172)/E172)</f>
        <v>0</v>
      </c>
      <c r="L172" s="325">
        <v>92548651821</v>
      </c>
      <c r="M172" s="326">
        <v>108.39</v>
      </c>
      <c r="N172" s="23">
        <f>((L172-H172)/H172)</f>
        <v>0</v>
      </c>
      <c r="O172" s="23">
        <f>((M172-I172)/I172)</f>
        <v>0</v>
      </c>
      <c r="P172" s="325">
        <v>92548651821</v>
      </c>
      <c r="Q172" s="326">
        <v>108.39</v>
      </c>
      <c r="R172" s="23">
        <f>((P172-L172)/L172)</f>
        <v>0</v>
      </c>
      <c r="S172" s="23">
        <f>((Q172-M172)/M172)</f>
        <v>0</v>
      </c>
      <c r="T172" s="325">
        <v>92548651821</v>
      </c>
      <c r="U172" s="326">
        <v>108.39</v>
      </c>
      <c r="V172" s="23">
        <f>((T172-P172)/P172)</f>
        <v>0</v>
      </c>
      <c r="W172" s="23">
        <f>((U172-Q172)/Q172)</f>
        <v>0</v>
      </c>
      <c r="X172" s="325">
        <v>92548651821</v>
      </c>
      <c r="Y172" s="326">
        <v>108.39</v>
      </c>
      <c r="Z172" s="23">
        <f>((X172-T172)/T172)</f>
        <v>0</v>
      </c>
      <c r="AA172" s="23">
        <f>((Y172-U172)/U172)</f>
        <v>0</v>
      </c>
      <c r="AB172" s="325">
        <v>92548651821</v>
      </c>
      <c r="AC172" s="326">
        <v>108.39</v>
      </c>
      <c r="AD172" s="23">
        <f>((AB172-X172)/X172)</f>
        <v>0</v>
      </c>
      <c r="AE172" s="23">
        <f>((AC172-Y172)/Y172)</f>
        <v>0</v>
      </c>
      <c r="AF172" s="325">
        <v>92548651821</v>
      </c>
      <c r="AG172" s="326">
        <v>108.39</v>
      </c>
      <c r="AH172" s="23">
        <f>((AF172-AB172)/AB172)</f>
        <v>0</v>
      </c>
      <c r="AI172" s="23">
        <f>((AG172-AC172)/AC172)</f>
        <v>0</v>
      </c>
      <c r="AJ172" s="24">
        <f t="shared" si="151"/>
        <v>0</v>
      </c>
      <c r="AK172" s="24">
        <f t="shared" si="152"/>
        <v>0</v>
      </c>
      <c r="AL172" s="25">
        <f t="shared" si="153"/>
        <v>0</v>
      </c>
      <c r="AM172" s="25">
        <f t="shared" si="154"/>
        <v>0</v>
      </c>
      <c r="AN172" s="379">
        <f t="shared" si="155"/>
        <v>0</v>
      </c>
      <c r="AO172" s="380">
        <f t="shared" si="156"/>
        <v>0</v>
      </c>
    </row>
    <row r="173" spans="1:41" s="108" customFormat="1">
      <c r="A173" s="208" t="s">
        <v>241</v>
      </c>
      <c r="B173" s="325">
        <v>1908752165.51</v>
      </c>
      <c r="C173" s="327">
        <v>1000000</v>
      </c>
      <c r="D173" s="325">
        <v>1936599109.53</v>
      </c>
      <c r="E173" s="327">
        <v>1000000</v>
      </c>
      <c r="F173" s="23">
        <f>((D173-B173)/B173)</f>
        <v>1.4589083131470632E-2</v>
      </c>
      <c r="G173" s="23">
        <f>((E173-C173)/C173)</f>
        <v>0</v>
      </c>
      <c r="H173" s="325">
        <v>1944452686.1800001</v>
      </c>
      <c r="I173" s="327">
        <v>1000000</v>
      </c>
      <c r="J173" s="23">
        <f>((H173-D173)/D173)</f>
        <v>4.0553445529085816E-3</v>
      </c>
      <c r="K173" s="23">
        <f>((I173-E173)/E173)</f>
        <v>0</v>
      </c>
      <c r="L173" s="325">
        <v>1950918586.28</v>
      </c>
      <c r="M173" s="327">
        <v>1000000</v>
      </c>
      <c r="N173" s="23">
        <f>((L173-H173)/H173)</f>
        <v>3.3253059567638918E-3</v>
      </c>
      <c r="O173" s="23">
        <f>((M173-I173)/I173)</f>
        <v>0</v>
      </c>
      <c r="P173" s="325">
        <v>1956537586.3199999</v>
      </c>
      <c r="Q173" s="327">
        <v>1000000</v>
      </c>
      <c r="R173" s="23">
        <f>((P173-L173)/L173)</f>
        <v>2.8801817151756382E-3</v>
      </c>
      <c r="S173" s="23">
        <f>((Q173-M173)/M173)</f>
        <v>0</v>
      </c>
      <c r="T173" s="325">
        <v>1962877099.2</v>
      </c>
      <c r="U173" s="327">
        <v>1000000</v>
      </c>
      <c r="V173" s="23">
        <f>((T173-P173)/P173)</f>
        <v>3.2401692276834496E-3</v>
      </c>
      <c r="W173" s="23">
        <f>((U173-Q173)/Q173)</f>
        <v>0</v>
      </c>
      <c r="X173" s="325">
        <v>2116260834.49</v>
      </c>
      <c r="Y173" s="327">
        <v>1000000</v>
      </c>
      <c r="Z173" s="23">
        <f>((X173-T173)/T173)</f>
        <v>7.8142302109751954E-2</v>
      </c>
      <c r="AA173" s="23">
        <f>((Y173-U173)/U173)</f>
        <v>0</v>
      </c>
      <c r="AB173" s="325">
        <v>1974644884.5899999</v>
      </c>
      <c r="AC173" s="327">
        <v>1000000</v>
      </c>
      <c r="AD173" s="23">
        <f>((AB173-X173)/X173)</f>
        <v>-6.6918003486147903E-2</v>
      </c>
      <c r="AE173" s="23">
        <f>((AC173-Y173)/Y173)</f>
        <v>0</v>
      </c>
      <c r="AF173" s="325">
        <v>2001888131.3900001</v>
      </c>
      <c r="AG173" s="327">
        <v>1000000</v>
      </c>
      <c r="AH173" s="23">
        <f>((AF173-AB173)/AB173)</f>
        <v>1.3796529701418576E-2</v>
      </c>
      <c r="AI173" s="23">
        <f>((AG173-AC173)/AC173)</f>
        <v>0</v>
      </c>
      <c r="AJ173" s="24">
        <f t="shared" si="151"/>
        <v>6.638864113628103E-3</v>
      </c>
      <c r="AK173" s="24">
        <f t="shared" si="152"/>
        <v>0</v>
      </c>
      <c r="AL173" s="25">
        <f t="shared" si="153"/>
        <v>3.3713235505847858E-2</v>
      </c>
      <c r="AM173" s="25">
        <f t="shared" si="154"/>
        <v>0</v>
      </c>
      <c r="AN173" s="379">
        <f t="shared" si="155"/>
        <v>3.906245116428405E-2</v>
      </c>
      <c r="AO173" s="380">
        <f t="shared" si="156"/>
        <v>4.8778098543573447E-3</v>
      </c>
    </row>
    <row r="174" spans="1:41" s="108" customFormat="1">
      <c r="A174" s="203" t="s">
        <v>42</v>
      </c>
      <c r="B174" s="77">
        <f>SUM(B172:B173)</f>
        <v>94457403986.509995</v>
      </c>
      <c r="C174" s="85"/>
      <c r="D174" s="77">
        <f>SUM(D172:D173)</f>
        <v>94485250930.529999</v>
      </c>
      <c r="E174" s="85"/>
      <c r="F174" s="23"/>
      <c r="G174" s="23"/>
      <c r="H174" s="77">
        <f>SUM(H172:H173)</f>
        <v>94493104507.179993</v>
      </c>
      <c r="I174" s="85"/>
      <c r="J174" s="23"/>
      <c r="K174" s="23"/>
      <c r="L174" s="77">
        <f>SUM(L172:L173)</f>
        <v>94499570407.279999</v>
      </c>
      <c r="M174" s="85"/>
      <c r="N174" s="23"/>
      <c r="O174" s="23"/>
      <c r="P174" s="77">
        <f>SUM(P172:P173)</f>
        <v>94505189407.320007</v>
      </c>
      <c r="Q174" s="85"/>
      <c r="R174" s="23"/>
      <c r="S174" s="23"/>
      <c r="T174" s="77">
        <f>SUM(T172:T173)</f>
        <v>94511528920.199997</v>
      </c>
      <c r="U174" s="85"/>
      <c r="V174" s="23"/>
      <c r="W174" s="23"/>
      <c r="X174" s="77">
        <f>SUM(X172:X173)</f>
        <v>94664912655.490005</v>
      </c>
      <c r="Y174" s="85"/>
      <c r="Z174" s="23"/>
      <c r="AA174" s="23"/>
      <c r="AB174" s="77">
        <f>SUM(AB172:AB173)</f>
        <v>94523296705.589996</v>
      </c>
      <c r="AC174" s="85"/>
      <c r="AD174" s="23"/>
      <c r="AE174" s="23"/>
      <c r="AF174" s="77">
        <f>SUM(AF172:AF173)</f>
        <v>94550539952.389999</v>
      </c>
      <c r="AG174" s="85"/>
      <c r="AH174" s="23"/>
      <c r="AI174" s="23"/>
      <c r="AJ174" s="24"/>
      <c r="AK174" s="24"/>
      <c r="AL174" s="25"/>
      <c r="AM174" s="25"/>
      <c r="AN174" s="379"/>
      <c r="AO174" s="380"/>
    </row>
    <row r="175" spans="1:41" ht="6" customHeight="1">
      <c r="A175" s="202"/>
      <c r="B175" s="85"/>
      <c r="C175" s="85"/>
      <c r="D175" s="85"/>
      <c r="E175" s="85"/>
      <c r="F175" s="23"/>
      <c r="G175" s="23"/>
      <c r="H175" s="85"/>
      <c r="I175" s="85"/>
      <c r="J175" s="23"/>
      <c r="K175" s="23"/>
      <c r="L175" s="85"/>
      <c r="M175" s="85"/>
      <c r="N175" s="23"/>
      <c r="O175" s="23"/>
      <c r="P175" s="85"/>
      <c r="Q175" s="85"/>
      <c r="R175" s="23"/>
      <c r="S175" s="23"/>
      <c r="T175" s="85"/>
      <c r="U175" s="85"/>
      <c r="V175" s="23"/>
      <c r="W175" s="23"/>
      <c r="X175" s="85"/>
      <c r="Y175" s="85"/>
      <c r="Z175" s="23"/>
      <c r="AA175" s="23"/>
      <c r="AB175" s="85"/>
      <c r="AC175" s="85"/>
      <c r="AD175" s="23"/>
      <c r="AE175" s="23"/>
      <c r="AF175" s="85"/>
      <c r="AG175" s="85"/>
      <c r="AH175" s="23"/>
      <c r="AI175" s="23"/>
      <c r="AJ175" s="24"/>
      <c r="AK175" s="24"/>
      <c r="AL175" s="25"/>
      <c r="AM175" s="25"/>
      <c r="AN175" s="26"/>
      <c r="AO175" s="78"/>
    </row>
    <row r="176" spans="1:41" ht="26.25" customHeight="1">
      <c r="A176" s="198" t="s">
        <v>46</v>
      </c>
      <c r="B176" s="460" t="s">
        <v>268</v>
      </c>
      <c r="C176" s="460"/>
      <c r="D176" s="460" t="s">
        <v>269</v>
      </c>
      <c r="E176" s="460"/>
      <c r="F176" s="382" t="s">
        <v>58</v>
      </c>
      <c r="G176" s="382" t="s">
        <v>3</v>
      </c>
      <c r="H176" s="460" t="s">
        <v>270</v>
      </c>
      <c r="I176" s="460"/>
      <c r="J176" s="385" t="s">
        <v>58</v>
      </c>
      <c r="K176" s="385" t="s">
        <v>3</v>
      </c>
      <c r="L176" s="460" t="s">
        <v>271</v>
      </c>
      <c r="M176" s="460"/>
      <c r="N176" s="386" t="s">
        <v>58</v>
      </c>
      <c r="O176" s="386" t="s">
        <v>3</v>
      </c>
      <c r="P176" s="460" t="s">
        <v>273</v>
      </c>
      <c r="Q176" s="460"/>
      <c r="R176" s="387" t="s">
        <v>58</v>
      </c>
      <c r="S176" s="387" t="s">
        <v>3</v>
      </c>
      <c r="T176" s="460" t="s">
        <v>274</v>
      </c>
      <c r="U176" s="460"/>
      <c r="V176" s="390" t="s">
        <v>58</v>
      </c>
      <c r="W176" s="390" t="s">
        <v>3</v>
      </c>
      <c r="X176" s="460" t="s">
        <v>275</v>
      </c>
      <c r="Y176" s="460"/>
      <c r="Z176" s="393" t="s">
        <v>58</v>
      </c>
      <c r="AA176" s="393" t="s">
        <v>3</v>
      </c>
      <c r="AB176" s="460" t="s">
        <v>279</v>
      </c>
      <c r="AC176" s="460"/>
      <c r="AD176" s="396" t="s">
        <v>58</v>
      </c>
      <c r="AE176" s="396" t="s">
        <v>3</v>
      </c>
      <c r="AF176" s="460" t="s">
        <v>287</v>
      </c>
      <c r="AG176" s="460"/>
      <c r="AH176" s="409" t="s">
        <v>58</v>
      </c>
      <c r="AI176" s="409" t="s">
        <v>3</v>
      </c>
      <c r="AJ176" s="304" t="s">
        <v>77</v>
      </c>
      <c r="AK176" s="304" t="s">
        <v>77</v>
      </c>
      <c r="AL176" s="304" t="s">
        <v>77</v>
      </c>
      <c r="AM176" s="304" t="s">
        <v>77</v>
      </c>
      <c r="AN176" s="15" t="s">
        <v>77</v>
      </c>
      <c r="AO176" s="16" t="s">
        <v>77</v>
      </c>
    </row>
    <row r="177" spans="1:41">
      <c r="A177" s="202" t="s">
        <v>140</v>
      </c>
      <c r="B177" s="323">
        <v>682684240.78999996</v>
      </c>
      <c r="C177" s="327">
        <v>157.16999999999999</v>
      </c>
      <c r="D177" s="323">
        <v>650895364.13663208</v>
      </c>
      <c r="E177" s="327">
        <v>152.83000000000001</v>
      </c>
      <c r="F177" s="23">
        <f t="shared" ref="F177:F188" si="208">((D177-B177)/B177)</f>
        <v>-4.6564538558238715E-2</v>
      </c>
      <c r="G177" s="23">
        <f t="shared" ref="G177:G188" si="209">((E177-C177)/C177)</f>
        <v>-2.7613412228796687E-2</v>
      </c>
      <c r="H177" s="323">
        <v>652364003.98888946</v>
      </c>
      <c r="I177" s="327">
        <v>152.83000000000001</v>
      </c>
      <c r="J177" s="23">
        <f t="shared" ref="J177:J188" si="210">((H177-D177)/D177)</f>
        <v>2.2563378588591129E-3</v>
      </c>
      <c r="K177" s="23">
        <f t="shared" ref="K177:K188" si="211">((I177-E177)/E177)</f>
        <v>0</v>
      </c>
      <c r="L177" s="323">
        <v>654579731.20072305</v>
      </c>
      <c r="M177" s="327">
        <v>153.68</v>
      </c>
      <c r="N177" s="23">
        <f t="shared" ref="N177:N188" si="212">((L177-H177)/H177)</f>
        <v>3.3964584162913636E-3</v>
      </c>
      <c r="O177" s="23">
        <f t="shared" ref="O177:O188" si="213">((M177-I177)/I177)</f>
        <v>5.5617352614015193E-3</v>
      </c>
      <c r="P177" s="323">
        <v>650142850.86092305</v>
      </c>
      <c r="Q177" s="327">
        <v>152.66</v>
      </c>
      <c r="R177" s="23">
        <f t="shared" ref="R177:R188" si="214">((P177-L177)/L177)</f>
        <v>-6.7782122304050636E-3</v>
      </c>
      <c r="S177" s="23">
        <f t="shared" ref="S177:S188" si="215">((Q177-M177)/M177)</f>
        <v>-6.637168141592987E-3</v>
      </c>
      <c r="T177" s="323">
        <v>664827517.27999997</v>
      </c>
      <c r="U177" s="327">
        <v>156.04</v>
      </c>
      <c r="V177" s="23">
        <f t="shared" ref="V177:V188" si="216">((T177-P177)/P177)</f>
        <v>2.2586830570591365E-2</v>
      </c>
      <c r="W177" s="23">
        <f t="shared" ref="W177:W188" si="217">((U177-Q177)/Q177)</f>
        <v>2.2140704834272211E-2</v>
      </c>
      <c r="X177" s="323">
        <v>687767970.75398576</v>
      </c>
      <c r="Y177" s="327">
        <v>161.31958479106711</v>
      </c>
      <c r="Z177" s="23">
        <f t="shared" ref="Z177:Z188" si="218">((X177-T177)/T177)</f>
        <v>3.450587239204804E-2</v>
      </c>
      <c r="AA177" s="23">
        <f t="shared" ref="AA177:AA188" si="219">((Y177-U177)/U177)</f>
        <v>3.3834816656415807E-2</v>
      </c>
      <c r="AB177" s="323">
        <v>693144591.02525568</v>
      </c>
      <c r="AC177" s="327">
        <v>162.56</v>
      </c>
      <c r="AD177" s="23">
        <f t="shared" ref="AD177:AD188" si="220">((AB177-X177)/X177)</f>
        <v>7.8174915086197463E-3</v>
      </c>
      <c r="AE177" s="23">
        <f t="shared" ref="AE177:AE188" si="221">((AC177-Y177)/Y177)</f>
        <v>7.6891792806149974E-3</v>
      </c>
      <c r="AF177" s="323">
        <v>684785503.34995151</v>
      </c>
      <c r="AG177" s="327">
        <v>160.63</v>
      </c>
      <c r="AH177" s="23">
        <f t="shared" ref="AH177:AH188" si="222">((AF177-AB177)/AB177)</f>
        <v>-1.2059659389305685E-2</v>
      </c>
      <c r="AI177" s="23">
        <f t="shared" ref="AI177:AI188" si="223">((AG177-AC177)/AC177)</f>
        <v>-1.1872539370078782E-2</v>
      </c>
      <c r="AJ177" s="24">
        <f t="shared" ref="AJ177" si="224">AVERAGE(F177,J177,N177,R177,V177,Z177,AD177,AH177)</f>
        <v>6.4507257105752029E-4</v>
      </c>
      <c r="AK177" s="24">
        <f t="shared" ref="AK177" si="225">AVERAGE(G177,K177,O177,S177,W177,AA177,AE177,AI177)</f>
        <v>2.8879145365295102E-3</v>
      </c>
      <c r="AL177" s="25">
        <f t="shared" ref="AL177" si="226">((AF177-D177)/D177)</f>
        <v>5.206695435336578E-2</v>
      </c>
      <c r="AM177" s="25">
        <f t="shared" ref="AM177" si="227">((AG177-E177)/E177)</f>
        <v>5.1037100045802412E-2</v>
      </c>
      <c r="AN177" s="379">
        <f t="shared" ref="AN177" si="228">STDEV(F177,J177,N177,R177,V177,Z177,AD177,AH177)</f>
        <v>2.4304224078330494E-2</v>
      </c>
      <c r="AO177" s="380">
        <f t="shared" ref="AO177" si="229">STDEV(G177,K177,O177,S177,W177,AA177,AE177,AH177)</f>
        <v>1.9314709124134282E-2</v>
      </c>
    </row>
    <row r="178" spans="1:41">
      <c r="A178" s="202" t="s">
        <v>47</v>
      </c>
      <c r="B178" s="323">
        <v>693707418.95000005</v>
      </c>
      <c r="C178" s="327">
        <v>20.49</v>
      </c>
      <c r="D178" s="323">
        <v>701848406</v>
      </c>
      <c r="E178" s="327">
        <v>21.01</v>
      </c>
      <c r="F178" s="23">
        <f t="shared" si="208"/>
        <v>1.1735476409236334E-2</v>
      </c>
      <c r="G178" s="23">
        <f t="shared" si="209"/>
        <v>2.5378233284529192E-2</v>
      </c>
      <c r="H178" s="323">
        <v>692410486.17999995</v>
      </c>
      <c r="I178" s="327">
        <v>21.01</v>
      </c>
      <c r="J178" s="23">
        <f t="shared" si="210"/>
        <v>-1.3447234102573501E-2</v>
      </c>
      <c r="K178" s="23">
        <f t="shared" si="211"/>
        <v>0</v>
      </c>
      <c r="L178" s="323">
        <v>693201817.89999998</v>
      </c>
      <c r="M178" s="327">
        <v>20.75</v>
      </c>
      <c r="N178" s="23">
        <f t="shared" si="212"/>
        <v>1.1428650140262505E-3</v>
      </c>
      <c r="O178" s="23">
        <f t="shared" si="213"/>
        <v>-1.2375059495478418E-2</v>
      </c>
      <c r="P178" s="323">
        <v>691760282.20000005</v>
      </c>
      <c r="Q178" s="327">
        <v>20.71</v>
      </c>
      <c r="R178" s="23">
        <f t="shared" si="214"/>
        <v>-2.079532486465409E-3</v>
      </c>
      <c r="S178" s="23">
        <f t="shared" si="215"/>
        <v>-1.9277108433734529E-3</v>
      </c>
      <c r="T178" s="323">
        <v>705187821.41999996</v>
      </c>
      <c r="U178" s="327">
        <v>21.11</v>
      </c>
      <c r="V178" s="23">
        <f t="shared" si="216"/>
        <v>1.9410682523281628E-2</v>
      </c>
      <c r="W178" s="23">
        <f t="shared" si="217"/>
        <v>1.9314340898116782E-2</v>
      </c>
      <c r="X178" s="323">
        <v>723373148.36000001</v>
      </c>
      <c r="Y178" s="327">
        <v>21.66</v>
      </c>
      <c r="Z178" s="23">
        <f t="shared" si="218"/>
        <v>2.5787919739426599E-2</v>
      </c>
      <c r="AA178" s="23">
        <f t="shared" si="219"/>
        <v>2.6054002842254891E-2</v>
      </c>
      <c r="AB178" s="323">
        <v>723976732.95000005</v>
      </c>
      <c r="AC178" s="327">
        <v>21.68</v>
      </c>
      <c r="AD178" s="23">
        <f t="shared" si="220"/>
        <v>8.3440281322088607E-4</v>
      </c>
      <c r="AE178" s="23">
        <f t="shared" si="221"/>
        <v>9.2336103416433861E-4</v>
      </c>
      <c r="AF178" s="323">
        <v>718787830.10000002</v>
      </c>
      <c r="AG178" s="327">
        <v>21.52</v>
      </c>
      <c r="AH178" s="23">
        <f t="shared" si="222"/>
        <v>-7.1672232184268065E-3</v>
      </c>
      <c r="AI178" s="23">
        <f t="shared" si="223"/>
        <v>-7.3800738007380141E-3</v>
      </c>
      <c r="AJ178" s="24">
        <f t="shared" ref="AJ178:AJ190" si="230">AVERAGE(F178,J178,N178,R178,V178,Z178,AD178,AH178)</f>
        <v>4.5271695864657477E-3</v>
      </c>
      <c r="AK178" s="24">
        <f t="shared" ref="AK178:AK188" si="231">AVERAGE(G178,K178,O178,S178,W178,AA178,AE178,AI178)</f>
        <v>6.2483867399344148E-3</v>
      </c>
      <c r="AL178" s="25">
        <f t="shared" ref="AL178:AL190" si="232">((AF178-D178)/D178)</f>
        <v>2.4135445710480138E-2</v>
      </c>
      <c r="AM178" s="25">
        <f t="shared" ref="AM178:AM188" si="233">((AG178-E178)/E178)</f>
        <v>2.4274155164207424E-2</v>
      </c>
      <c r="AN178" s="379">
        <f t="shared" ref="AN178:AN190" si="234">STDEV(F178,J178,N178,R178,V178,Z178,AD178,AH178)</f>
        <v>1.3384824609934464E-2</v>
      </c>
      <c r="AO178" s="380">
        <f t="shared" ref="AO178:AO188" si="235">STDEV(G178,K178,O178,S178,W178,AA178,AE178,AH178)</f>
        <v>1.5071188693537706E-2</v>
      </c>
    </row>
    <row r="179" spans="1:41">
      <c r="A179" s="202" t="s">
        <v>183</v>
      </c>
      <c r="B179" s="323">
        <v>263432307.55000001</v>
      </c>
      <c r="C179" s="327">
        <v>19.25</v>
      </c>
      <c r="D179" s="323">
        <v>268120408.99000001</v>
      </c>
      <c r="E179" s="327">
        <v>19.25</v>
      </c>
      <c r="F179" s="23">
        <f t="shared" si="208"/>
        <v>1.7796228122513736E-2</v>
      </c>
      <c r="G179" s="23">
        <f t="shared" si="209"/>
        <v>0</v>
      </c>
      <c r="H179" s="323">
        <v>261176003.83000001</v>
      </c>
      <c r="I179" s="327">
        <v>19.25</v>
      </c>
      <c r="J179" s="23">
        <f t="shared" si="210"/>
        <v>-2.5900322866727388E-2</v>
      </c>
      <c r="K179" s="23">
        <f t="shared" si="211"/>
        <v>0</v>
      </c>
      <c r="L179" s="323">
        <v>260600578.40000001</v>
      </c>
      <c r="M179" s="327">
        <v>19.25</v>
      </c>
      <c r="N179" s="23">
        <f t="shared" si="212"/>
        <v>-2.203209412663166E-3</v>
      </c>
      <c r="O179" s="23">
        <f t="shared" si="213"/>
        <v>0</v>
      </c>
      <c r="P179" s="323">
        <v>258551809.02000001</v>
      </c>
      <c r="Q179" s="327">
        <v>19.25</v>
      </c>
      <c r="R179" s="23">
        <f t="shared" si="214"/>
        <v>-7.8617223053715039E-3</v>
      </c>
      <c r="S179" s="23">
        <f t="shared" si="215"/>
        <v>0</v>
      </c>
      <c r="T179" s="323">
        <v>266220817.55000001</v>
      </c>
      <c r="U179" s="327">
        <v>19.25</v>
      </c>
      <c r="V179" s="23">
        <f t="shared" si="216"/>
        <v>2.9661399620711116E-2</v>
      </c>
      <c r="W179" s="23">
        <f t="shared" si="217"/>
        <v>0</v>
      </c>
      <c r="X179" s="323">
        <v>282270547.17000002</v>
      </c>
      <c r="Y179" s="327">
        <v>19.25</v>
      </c>
      <c r="Z179" s="23">
        <f t="shared" si="218"/>
        <v>6.028728244358892E-2</v>
      </c>
      <c r="AA179" s="23">
        <f t="shared" si="219"/>
        <v>0</v>
      </c>
      <c r="AB179" s="323">
        <v>286927810.92000002</v>
      </c>
      <c r="AC179" s="327">
        <v>19.25</v>
      </c>
      <c r="AD179" s="23">
        <f t="shared" si="220"/>
        <v>1.6499290473954834E-2</v>
      </c>
      <c r="AE179" s="23">
        <f t="shared" si="221"/>
        <v>0</v>
      </c>
      <c r="AF179" s="323">
        <v>286927810.92000002</v>
      </c>
      <c r="AG179" s="327">
        <v>19.25</v>
      </c>
      <c r="AH179" s="23">
        <f t="shared" si="222"/>
        <v>0</v>
      </c>
      <c r="AI179" s="23">
        <f t="shared" si="223"/>
        <v>0</v>
      </c>
      <c r="AJ179" s="24">
        <f t="shared" si="230"/>
        <v>1.1034868259500818E-2</v>
      </c>
      <c r="AK179" s="24">
        <f t="shared" si="231"/>
        <v>0</v>
      </c>
      <c r="AL179" s="25">
        <f t="shared" si="232"/>
        <v>7.0145357456550275E-2</v>
      </c>
      <c r="AM179" s="25">
        <f t="shared" si="233"/>
        <v>0</v>
      </c>
      <c r="AN179" s="379">
        <f t="shared" si="234"/>
        <v>2.6367264247580909E-2</v>
      </c>
      <c r="AO179" s="380">
        <f t="shared" si="235"/>
        <v>0</v>
      </c>
    </row>
    <row r="180" spans="1:41">
      <c r="A180" s="202" t="s">
        <v>182</v>
      </c>
      <c r="B180" s="323">
        <v>375529786.19</v>
      </c>
      <c r="C180" s="327">
        <v>27.77</v>
      </c>
      <c r="D180" s="323">
        <v>373153756.23000002</v>
      </c>
      <c r="E180" s="327">
        <v>27.77</v>
      </c>
      <c r="F180" s="23">
        <f t="shared" si="208"/>
        <v>-6.3271411413363138E-3</v>
      </c>
      <c r="G180" s="23">
        <f t="shared" si="209"/>
        <v>0</v>
      </c>
      <c r="H180" s="323">
        <v>370231469.66000003</v>
      </c>
      <c r="I180" s="327">
        <v>27.8</v>
      </c>
      <c r="J180" s="23">
        <f t="shared" si="210"/>
        <v>-7.8313202566257668E-3</v>
      </c>
      <c r="K180" s="23">
        <f t="shared" si="211"/>
        <v>1.0803024846957558E-3</v>
      </c>
      <c r="L180" s="323">
        <v>371226490.92000002</v>
      </c>
      <c r="M180" s="327">
        <v>27.8</v>
      </c>
      <c r="N180" s="23">
        <f t="shared" si="212"/>
        <v>2.6875653247784761E-3</v>
      </c>
      <c r="O180" s="23">
        <f t="shared" si="213"/>
        <v>0</v>
      </c>
      <c r="P180" s="323">
        <v>364534747.94</v>
      </c>
      <c r="Q180" s="327">
        <v>27.8</v>
      </c>
      <c r="R180" s="23">
        <f t="shared" si="214"/>
        <v>-1.8026038398865511E-2</v>
      </c>
      <c r="S180" s="23">
        <f t="shared" si="215"/>
        <v>0</v>
      </c>
      <c r="T180" s="323">
        <v>362040379.38999999</v>
      </c>
      <c r="U180" s="327">
        <v>27.8</v>
      </c>
      <c r="V180" s="23">
        <f t="shared" si="216"/>
        <v>-6.8426084594014301E-3</v>
      </c>
      <c r="W180" s="23">
        <f t="shared" si="217"/>
        <v>0</v>
      </c>
      <c r="X180" s="323">
        <v>386379305.58999997</v>
      </c>
      <c r="Y180" s="327">
        <v>27.8</v>
      </c>
      <c r="Z180" s="23">
        <f t="shared" si="218"/>
        <v>6.7227103896555743E-2</v>
      </c>
      <c r="AA180" s="23">
        <f t="shared" si="219"/>
        <v>0</v>
      </c>
      <c r="AB180" s="323">
        <v>404605814.07999998</v>
      </c>
      <c r="AC180" s="327">
        <v>27.8</v>
      </c>
      <c r="AD180" s="23">
        <f t="shared" si="220"/>
        <v>4.717257944798102E-2</v>
      </c>
      <c r="AE180" s="23">
        <f t="shared" si="221"/>
        <v>0</v>
      </c>
      <c r="AF180" s="323">
        <v>404605814.07999998</v>
      </c>
      <c r="AG180" s="327">
        <v>27.8</v>
      </c>
      <c r="AH180" s="23">
        <f t="shared" si="222"/>
        <v>0</v>
      </c>
      <c r="AI180" s="23">
        <f t="shared" si="223"/>
        <v>0</v>
      </c>
      <c r="AJ180" s="24">
        <f t="shared" si="230"/>
        <v>9.7575175516357773E-3</v>
      </c>
      <c r="AK180" s="24">
        <f t="shared" si="231"/>
        <v>1.3503781058696947E-4</v>
      </c>
      <c r="AL180" s="25">
        <f t="shared" si="232"/>
        <v>8.428712648577473E-2</v>
      </c>
      <c r="AM180" s="25">
        <f t="shared" si="233"/>
        <v>1.0803024846957558E-3</v>
      </c>
      <c r="AN180" s="379">
        <f t="shared" si="234"/>
        <v>3.038657412687331E-2</v>
      </c>
      <c r="AO180" s="380">
        <f t="shared" si="235"/>
        <v>3.8194460633052268E-4</v>
      </c>
    </row>
    <row r="181" spans="1:41">
      <c r="A181" s="202" t="s">
        <v>32</v>
      </c>
      <c r="B181" s="323">
        <v>628231700</v>
      </c>
      <c r="C181" s="327">
        <v>14150</v>
      </c>
      <c r="D181" s="323">
        <v>701395164.20000005</v>
      </c>
      <c r="E181" s="327">
        <v>15797.9</v>
      </c>
      <c r="F181" s="23">
        <f t="shared" si="208"/>
        <v>0.11645936395759725</v>
      </c>
      <c r="G181" s="23">
        <f t="shared" si="209"/>
        <v>0.11645936395759715</v>
      </c>
      <c r="H181" s="323">
        <v>696249436</v>
      </c>
      <c r="I181" s="327">
        <v>15682</v>
      </c>
      <c r="J181" s="23">
        <f t="shared" si="210"/>
        <v>-7.3364181315238777E-3</v>
      </c>
      <c r="K181" s="23">
        <f t="shared" si="211"/>
        <v>-7.3364181315237875E-3</v>
      </c>
      <c r="L181" s="323">
        <v>621572000</v>
      </c>
      <c r="M181" s="327">
        <v>14000</v>
      </c>
      <c r="N181" s="23">
        <f t="shared" si="212"/>
        <v>-0.10725672745823236</v>
      </c>
      <c r="O181" s="23">
        <f t="shared" si="213"/>
        <v>-0.10725672745823236</v>
      </c>
      <c r="P181" s="323">
        <v>630452043.98000002</v>
      </c>
      <c r="Q181" s="327">
        <v>14200.01</v>
      </c>
      <c r="R181" s="23">
        <f t="shared" si="214"/>
        <v>1.4286428571428603E-2</v>
      </c>
      <c r="S181" s="23">
        <f t="shared" si="215"/>
        <v>1.4286428571428587E-2</v>
      </c>
      <c r="T181" s="323">
        <v>621572000</v>
      </c>
      <c r="U181" s="327">
        <v>14000</v>
      </c>
      <c r="V181" s="23">
        <f t="shared" si="216"/>
        <v>-1.4085201348449785E-2</v>
      </c>
      <c r="W181" s="23">
        <f t="shared" si="217"/>
        <v>-1.4085201348449769E-2</v>
      </c>
      <c r="X181" s="323">
        <v>621572000</v>
      </c>
      <c r="Y181" s="327">
        <v>14000</v>
      </c>
      <c r="Z181" s="23">
        <f t="shared" si="218"/>
        <v>0</v>
      </c>
      <c r="AA181" s="23">
        <f t="shared" si="219"/>
        <v>0</v>
      </c>
      <c r="AB181" s="323">
        <v>577174000</v>
      </c>
      <c r="AC181" s="327">
        <v>13000</v>
      </c>
      <c r="AD181" s="23">
        <f t="shared" si="220"/>
        <v>-7.1428571428571425E-2</v>
      </c>
      <c r="AE181" s="23">
        <f t="shared" si="221"/>
        <v>-7.1428571428571425E-2</v>
      </c>
      <c r="AF181" s="323">
        <v>630380600</v>
      </c>
      <c r="AG181" s="327">
        <v>14200</v>
      </c>
      <c r="AH181" s="23">
        <f t="shared" si="222"/>
        <v>9.2184679143551163E-2</v>
      </c>
      <c r="AI181" s="23">
        <f t="shared" si="223"/>
        <v>9.2307692307692313E-2</v>
      </c>
      <c r="AJ181" s="24">
        <f t="shared" si="230"/>
        <v>2.8529441632249453E-3</v>
      </c>
      <c r="AK181" s="24">
        <f t="shared" si="231"/>
        <v>2.8683208087425874E-3</v>
      </c>
      <c r="AL181" s="25">
        <f t="shared" si="232"/>
        <v>-0.1012475817123691</v>
      </c>
      <c r="AM181" s="25">
        <f t="shared" si="233"/>
        <v>-0.10114635489527087</v>
      </c>
      <c r="AN181" s="379">
        <f t="shared" si="234"/>
        <v>7.4697531580701471E-2</v>
      </c>
      <c r="AO181" s="380">
        <f t="shared" si="235"/>
        <v>7.4697531580701457E-2</v>
      </c>
    </row>
    <row r="182" spans="1:41">
      <c r="A182" s="202" t="s">
        <v>94</v>
      </c>
      <c r="B182" s="323">
        <v>904521541.37</v>
      </c>
      <c r="C182" s="327">
        <v>85</v>
      </c>
      <c r="D182" s="323">
        <v>913584473.54999995</v>
      </c>
      <c r="E182" s="327">
        <v>85</v>
      </c>
      <c r="F182" s="23">
        <f t="shared" si="208"/>
        <v>1.0019586892616304E-2</v>
      </c>
      <c r="G182" s="23">
        <f t="shared" si="209"/>
        <v>0</v>
      </c>
      <c r="H182" s="323">
        <v>904419756.62</v>
      </c>
      <c r="I182" s="327">
        <v>93.5</v>
      </c>
      <c r="J182" s="23">
        <f t="shared" si="210"/>
        <v>-1.0031603201822987E-2</v>
      </c>
      <c r="K182" s="23">
        <f t="shared" si="211"/>
        <v>0.1</v>
      </c>
      <c r="L182" s="323">
        <v>914158634.20000005</v>
      </c>
      <c r="M182" s="327">
        <v>93.5</v>
      </c>
      <c r="N182" s="23">
        <f t="shared" si="212"/>
        <v>1.076809469133691E-2</v>
      </c>
      <c r="O182" s="23">
        <f t="shared" si="213"/>
        <v>0</v>
      </c>
      <c r="P182" s="323">
        <v>842451986.74000001</v>
      </c>
      <c r="Q182" s="327">
        <v>102.8</v>
      </c>
      <c r="R182" s="23">
        <f t="shared" si="214"/>
        <v>-7.844004834319819E-2</v>
      </c>
      <c r="S182" s="23">
        <f t="shared" si="215"/>
        <v>9.9465240641711195E-2</v>
      </c>
      <c r="T182" s="323">
        <v>847118276.70000005</v>
      </c>
      <c r="U182" s="327">
        <v>113.08</v>
      </c>
      <c r="V182" s="23">
        <f t="shared" si="216"/>
        <v>5.5389387566844948E-3</v>
      </c>
      <c r="W182" s="23">
        <f t="shared" si="217"/>
        <v>0.10000000000000002</v>
      </c>
      <c r="X182" s="323">
        <v>873484399.74000001</v>
      </c>
      <c r="Y182" s="327">
        <v>159.80000000000001</v>
      </c>
      <c r="Z182" s="23">
        <f t="shared" si="218"/>
        <v>3.1124488474868907E-2</v>
      </c>
      <c r="AA182" s="23">
        <f t="shared" si="219"/>
        <v>0.41315882561018757</v>
      </c>
      <c r="AB182" s="323">
        <v>885927492.50999999</v>
      </c>
      <c r="AC182" s="327">
        <v>212.66</v>
      </c>
      <c r="AD182" s="23">
        <f t="shared" si="220"/>
        <v>1.4245352033423576E-2</v>
      </c>
      <c r="AE182" s="23">
        <f t="shared" si="221"/>
        <v>0.33078848560700863</v>
      </c>
      <c r="AF182" s="323">
        <v>877612571.36000001</v>
      </c>
      <c r="AG182" s="327">
        <v>205</v>
      </c>
      <c r="AH182" s="23">
        <f t="shared" si="222"/>
        <v>-9.3855549357004745E-3</v>
      </c>
      <c r="AI182" s="23">
        <f t="shared" si="223"/>
        <v>-3.6019937929088669E-2</v>
      </c>
      <c r="AJ182" s="24">
        <f t="shared" si="230"/>
        <v>-3.2700932039739323E-3</v>
      </c>
      <c r="AK182" s="24">
        <f t="shared" si="231"/>
        <v>0.12592407674122735</v>
      </c>
      <c r="AL182" s="25">
        <f t="shared" si="232"/>
        <v>-3.9374467530321068E-2</v>
      </c>
      <c r="AM182" s="25">
        <f t="shared" si="233"/>
        <v>1.411764705882353</v>
      </c>
      <c r="AN182" s="379">
        <f t="shared" si="234"/>
        <v>3.3111721007480839E-2</v>
      </c>
      <c r="AO182" s="380">
        <f t="shared" si="235"/>
        <v>0.15876810642811234</v>
      </c>
    </row>
    <row r="183" spans="1:41">
      <c r="A183" s="202" t="s">
        <v>40</v>
      </c>
      <c r="B183" s="323">
        <v>585239895.66999996</v>
      </c>
      <c r="C183" s="327">
        <v>260</v>
      </c>
      <c r="D183" s="323">
        <v>585327326.66999996</v>
      </c>
      <c r="E183" s="327">
        <v>220.5</v>
      </c>
      <c r="F183" s="23">
        <f t="shared" si="208"/>
        <v>1.4939343788226603E-4</v>
      </c>
      <c r="G183" s="23">
        <f t="shared" si="209"/>
        <v>-0.15192307692307691</v>
      </c>
      <c r="H183" s="323">
        <v>577083235.82000005</v>
      </c>
      <c r="I183" s="327">
        <v>237.6</v>
      </c>
      <c r="J183" s="23">
        <f t="shared" si="210"/>
        <v>-1.4084582206167554E-2</v>
      </c>
      <c r="K183" s="23">
        <f t="shared" si="211"/>
        <v>7.7551020408163238E-2</v>
      </c>
      <c r="L183" s="323">
        <v>578774054.28999996</v>
      </c>
      <c r="M183" s="327">
        <v>244.98</v>
      </c>
      <c r="N183" s="23">
        <f t="shared" si="212"/>
        <v>2.9299386380499505E-3</v>
      </c>
      <c r="O183" s="23">
        <f t="shared" si="213"/>
        <v>3.1060606060606042E-2</v>
      </c>
      <c r="P183" s="323">
        <v>563848388.20000005</v>
      </c>
      <c r="Q183" s="327">
        <v>244.99</v>
      </c>
      <c r="R183" s="23">
        <f t="shared" si="214"/>
        <v>-2.5788416013758066E-2</v>
      </c>
      <c r="S183" s="23">
        <f t="shared" si="215"/>
        <v>4.0819658747731761E-5</v>
      </c>
      <c r="T183" s="323">
        <v>575459072.04999995</v>
      </c>
      <c r="U183" s="327">
        <v>212</v>
      </c>
      <c r="V183" s="23">
        <f t="shared" si="216"/>
        <v>2.0591854287400273E-2</v>
      </c>
      <c r="W183" s="23">
        <f t="shared" si="217"/>
        <v>-0.13465855749214256</v>
      </c>
      <c r="X183" s="323">
        <v>592931630.91999996</v>
      </c>
      <c r="Y183" s="327">
        <v>260</v>
      </c>
      <c r="Z183" s="23">
        <f t="shared" si="218"/>
        <v>3.0362817650534606E-2</v>
      </c>
      <c r="AA183" s="23">
        <f t="shared" si="219"/>
        <v>0.22641509433962265</v>
      </c>
      <c r="AB183" s="323">
        <v>596822445.79999995</v>
      </c>
      <c r="AC183" s="327">
        <v>253</v>
      </c>
      <c r="AD183" s="23">
        <f t="shared" si="220"/>
        <v>6.5619958138562438E-3</v>
      </c>
      <c r="AE183" s="23">
        <f t="shared" si="221"/>
        <v>-2.6923076923076925E-2</v>
      </c>
      <c r="AF183" s="323">
        <v>589894658.48000002</v>
      </c>
      <c r="AG183" s="327">
        <v>280</v>
      </c>
      <c r="AH183" s="23">
        <f t="shared" si="222"/>
        <v>-1.1607786149386028E-2</v>
      </c>
      <c r="AI183" s="23">
        <f t="shared" si="223"/>
        <v>0.1067193675889328</v>
      </c>
      <c r="AJ183" s="24">
        <f t="shared" si="230"/>
        <v>1.1394019323014615E-3</v>
      </c>
      <c r="AK183" s="24">
        <f t="shared" si="231"/>
        <v>1.6035274589722009E-2</v>
      </c>
      <c r="AL183" s="25">
        <f t="shared" si="232"/>
        <v>7.8030387475400836E-3</v>
      </c>
      <c r="AM183" s="25">
        <f t="shared" si="233"/>
        <v>0.26984126984126983</v>
      </c>
      <c r="AN183" s="379">
        <f t="shared" si="234"/>
        <v>1.8459857870372184E-2</v>
      </c>
      <c r="AO183" s="380">
        <f t="shared" si="235"/>
        <v>0.11970408272313471</v>
      </c>
    </row>
    <row r="184" spans="1:41">
      <c r="A184" s="202" t="s">
        <v>50</v>
      </c>
      <c r="B184" s="323">
        <v>197699420.80000001</v>
      </c>
      <c r="C184" s="327">
        <v>8.92</v>
      </c>
      <c r="D184" s="323">
        <v>192688040.13999999</v>
      </c>
      <c r="E184" s="327">
        <v>8.7100000000000009</v>
      </c>
      <c r="F184" s="23">
        <f t="shared" si="208"/>
        <v>-2.5348484278412343E-2</v>
      </c>
      <c r="G184" s="23">
        <f t="shared" si="209"/>
        <v>-2.3542600896860885E-2</v>
      </c>
      <c r="H184" s="323">
        <v>197155230.56</v>
      </c>
      <c r="I184" s="327">
        <v>8.91</v>
      </c>
      <c r="J184" s="23">
        <f t="shared" si="210"/>
        <v>2.3183537581026419E-2</v>
      </c>
      <c r="K184" s="23">
        <f t="shared" si="211"/>
        <v>2.2962112514351235E-2</v>
      </c>
      <c r="L184" s="323">
        <v>195116441.81</v>
      </c>
      <c r="M184" s="327">
        <v>8.83</v>
      </c>
      <c r="N184" s="23">
        <f t="shared" si="212"/>
        <v>-1.0341033023618098E-2</v>
      </c>
      <c r="O184" s="23">
        <f t="shared" si="213"/>
        <v>-8.9786756453423197E-3</v>
      </c>
      <c r="P184" s="323">
        <v>199819185.72999999</v>
      </c>
      <c r="Q184" s="327">
        <v>9.0399999999999991</v>
      </c>
      <c r="R184" s="23">
        <f t="shared" si="214"/>
        <v>2.4102243134278827E-2</v>
      </c>
      <c r="S184" s="23">
        <f t="shared" si="215"/>
        <v>2.3782559456398535E-2</v>
      </c>
      <c r="T184" s="323">
        <v>223519089.94</v>
      </c>
      <c r="U184" s="327">
        <v>10.08</v>
      </c>
      <c r="V184" s="23">
        <f t="shared" si="216"/>
        <v>0.11860675001460487</v>
      </c>
      <c r="W184" s="23">
        <f t="shared" si="217"/>
        <v>0.11504424778761073</v>
      </c>
      <c r="X184" s="323">
        <v>240727083.00999999</v>
      </c>
      <c r="Y184" s="327">
        <v>10.84</v>
      </c>
      <c r="Z184" s="23">
        <f t="shared" si="218"/>
        <v>7.6986681874103874E-2</v>
      </c>
      <c r="AA184" s="23">
        <f t="shared" si="219"/>
        <v>7.5396825396825379E-2</v>
      </c>
      <c r="AB184" s="323">
        <v>249157734.88</v>
      </c>
      <c r="AC184" s="327">
        <v>11.08</v>
      </c>
      <c r="AD184" s="23">
        <f t="shared" si="220"/>
        <v>3.5021617694963675E-2</v>
      </c>
      <c r="AE184" s="23">
        <f t="shared" si="221"/>
        <v>2.2140221402214041E-2</v>
      </c>
      <c r="AF184" s="323">
        <v>244398156.22</v>
      </c>
      <c r="AG184" s="327">
        <v>10.87</v>
      </c>
      <c r="AH184" s="23">
        <f t="shared" si="222"/>
        <v>-1.9102672699654769E-2</v>
      </c>
      <c r="AI184" s="23">
        <f t="shared" si="223"/>
        <v>-1.895306859205784E-2</v>
      </c>
      <c r="AJ184" s="24">
        <f t="shared" si="230"/>
        <v>2.7888580037161558E-2</v>
      </c>
      <c r="AK184" s="24">
        <f t="shared" si="231"/>
        <v>2.5981452677892359E-2</v>
      </c>
      <c r="AL184" s="25">
        <f t="shared" si="232"/>
        <v>0.26836183523600821</v>
      </c>
      <c r="AM184" s="25">
        <f t="shared" si="233"/>
        <v>0.24799081515499405</v>
      </c>
      <c r="AN184" s="379">
        <f t="shared" si="234"/>
        <v>4.9615133249304492E-2</v>
      </c>
      <c r="AO184" s="380">
        <f t="shared" si="235"/>
        <v>4.7973482490820646E-2</v>
      </c>
    </row>
    <row r="185" spans="1:41">
      <c r="A185" s="202" t="s">
        <v>59</v>
      </c>
      <c r="B185" s="75">
        <v>588818916.37</v>
      </c>
      <c r="C185" s="327">
        <v>7.08</v>
      </c>
      <c r="D185" s="75">
        <v>576424197.48000002</v>
      </c>
      <c r="E185" s="327">
        <v>6.93</v>
      </c>
      <c r="F185" s="23">
        <f t="shared" si="208"/>
        <v>-2.1050137054719611E-2</v>
      </c>
      <c r="G185" s="23">
        <f t="shared" si="209"/>
        <v>-2.1186440677966153E-2</v>
      </c>
      <c r="H185" s="75">
        <v>564654288.44000006</v>
      </c>
      <c r="I185" s="327">
        <v>6.78</v>
      </c>
      <c r="J185" s="23">
        <f t="shared" si="210"/>
        <v>-2.0418832331216174E-2</v>
      </c>
      <c r="K185" s="23">
        <f t="shared" si="211"/>
        <v>-2.1645021645021568E-2</v>
      </c>
      <c r="L185" s="75">
        <v>571169548.72000003</v>
      </c>
      <c r="M185" s="327">
        <v>6.87</v>
      </c>
      <c r="N185" s="23">
        <f t="shared" si="212"/>
        <v>1.1538494284706527E-2</v>
      </c>
      <c r="O185" s="23">
        <f t="shared" si="213"/>
        <v>1.327433628318582E-2</v>
      </c>
      <c r="P185" s="75">
        <v>559942467.96000004</v>
      </c>
      <c r="Q185" s="327">
        <v>6.73</v>
      </c>
      <c r="R185" s="23">
        <f t="shared" si="214"/>
        <v>-1.9656301329719093E-2</v>
      </c>
      <c r="S185" s="23">
        <f t="shared" si="215"/>
        <v>-2.0378457059679719E-2</v>
      </c>
      <c r="T185" s="75">
        <v>540966994.87</v>
      </c>
      <c r="U185" s="327">
        <v>6.49</v>
      </c>
      <c r="V185" s="23">
        <f t="shared" si="216"/>
        <v>-3.3888254911494879E-2</v>
      </c>
      <c r="W185" s="23">
        <f t="shared" si="217"/>
        <v>-3.5661218424962879E-2</v>
      </c>
      <c r="X185" s="75">
        <v>566676527.20000005</v>
      </c>
      <c r="Y185" s="327">
        <v>6.82</v>
      </c>
      <c r="Z185" s="23">
        <f t="shared" si="218"/>
        <v>4.7525140302096085E-2</v>
      </c>
      <c r="AA185" s="23">
        <f t="shared" si="219"/>
        <v>5.0847457627118654E-2</v>
      </c>
      <c r="AB185" s="75">
        <v>595799387.82000005</v>
      </c>
      <c r="AC185" s="327">
        <v>7.19</v>
      </c>
      <c r="AD185" s="23">
        <f t="shared" si="220"/>
        <v>5.1392389171117943E-2</v>
      </c>
      <c r="AE185" s="23">
        <f t="shared" si="221"/>
        <v>5.425219941348975E-2</v>
      </c>
      <c r="AF185" s="75">
        <v>577269462.83000004</v>
      </c>
      <c r="AG185" s="327">
        <v>6.96</v>
      </c>
      <c r="AH185" s="23">
        <f t="shared" si="222"/>
        <v>-3.110094667569242E-2</v>
      </c>
      <c r="AI185" s="23">
        <f t="shared" si="223"/>
        <v>-3.1988873435326901E-2</v>
      </c>
      <c r="AJ185" s="24">
        <f t="shared" si="230"/>
        <v>-1.957306068115203E-3</v>
      </c>
      <c r="AK185" s="24">
        <f t="shared" si="231"/>
        <v>-1.5607522398953747E-3</v>
      </c>
      <c r="AL185" s="25">
        <f t="shared" si="232"/>
        <v>1.4663946338396936E-3</v>
      </c>
      <c r="AM185" s="25">
        <f t="shared" si="233"/>
        <v>4.3290043290043654E-3</v>
      </c>
      <c r="AN185" s="379">
        <f t="shared" si="234"/>
        <v>3.4567521854814931E-2</v>
      </c>
      <c r="AO185" s="380">
        <f t="shared" si="235"/>
        <v>3.6370717722814389E-2</v>
      </c>
    </row>
    <row r="186" spans="1:41">
      <c r="A186" s="202" t="s">
        <v>92</v>
      </c>
      <c r="B186" s="323">
        <v>511990968.25999999</v>
      </c>
      <c r="C186" s="327">
        <v>146.44</v>
      </c>
      <c r="D186" s="323">
        <v>507339964.98000002</v>
      </c>
      <c r="E186" s="327">
        <v>145.12</v>
      </c>
      <c r="F186" s="23">
        <f t="shared" si="208"/>
        <v>-9.0841510267386048E-3</v>
      </c>
      <c r="G186" s="23">
        <f t="shared" si="209"/>
        <v>-9.0139306200491213E-3</v>
      </c>
      <c r="H186" s="323">
        <v>506037376.98000002</v>
      </c>
      <c r="I186" s="327">
        <v>144.75</v>
      </c>
      <c r="J186" s="23">
        <f t="shared" si="210"/>
        <v>-2.56748549279249E-3</v>
      </c>
      <c r="K186" s="23">
        <f t="shared" si="211"/>
        <v>-2.549614112458686E-3</v>
      </c>
      <c r="L186" s="323">
        <v>504256502.29000002</v>
      </c>
      <c r="M186" s="327">
        <v>144.24</v>
      </c>
      <c r="N186" s="23">
        <f t="shared" si="212"/>
        <v>-3.5192552388682201E-3</v>
      </c>
      <c r="O186" s="23">
        <f t="shared" si="213"/>
        <v>-3.5233160621761031E-3</v>
      </c>
      <c r="P186" s="323">
        <v>500949975.83999997</v>
      </c>
      <c r="Q186" s="327">
        <v>141.30000000000001</v>
      </c>
      <c r="R186" s="23">
        <f t="shared" si="214"/>
        <v>-6.5572311610935866E-3</v>
      </c>
      <c r="S186" s="23">
        <f t="shared" si="215"/>
        <v>-2.0382695507487503E-2</v>
      </c>
      <c r="T186" s="323">
        <v>496224413.14999998</v>
      </c>
      <c r="U186" s="327">
        <v>141.96</v>
      </c>
      <c r="V186" s="23">
        <f t="shared" si="216"/>
        <v>-9.4332027505862389E-3</v>
      </c>
      <c r="W186" s="23">
        <f t="shared" si="217"/>
        <v>4.6709129511677038E-3</v>
      </c>
      <c r="X186" s="323">
        <v>498263793.85000002</v>
      </c>
      <c r="Y186" s="327">
        <v>142.54</v>
      </c>
      <c r="Z186" s="23">
        <f t="shared" si="218"/>
        <v>4.1097951772549705E-3</v>
      </c>
      <c r="AA186" s="23">
        <f t="shared" si="219"/>
        <v>4.0856579318116655E-3</v>
      </c>
      <c r="AB186" s="323">
        <v>496447067.19999999</v>
      </c>
      <c r="AC186" s="327">
        <v>142.02000000000001</v>
      </c>
      <c r="AD186" s="23">
        <f t="shared" si="220"/>
        <v>-3.6461141114880057E-3</v>
      </c>
      <c r="AE186" s="23">
        <f t="shared" si="221"/>
        <v>-3.6480987792898963E-3</v>
      </c>
      <c r="AF186" s="323">
        <v>493812313.94</v>
      </c>
      <c r="AG186" s="327">
        <v>141.27000000000001</v>
      </c>
      <c r="AH186" s="23">
        <f t="shared" si="222"/>
        <v>-5.3072189042433137E-3</v>
      </c>
      <c r="AI186" s="23">
        <f t="shared" si="223"/>
        <v>-5.2809463455851281E-3</v>
      </c>
      <c r="AJ186" s="24">
        <f t="shared" si="230"/>
        <v>-4.5006079385694359E-3</v>
      </c>
      <c r="AK186" s="24">
        <f t="shared" si="231"/>
        <v>-4.4552538180083834E-3</v>
      </c>
      <c r="AL186" s="25">
        <f t="shared" si="232"/>
        <v>-2.6663878215336927E-2</v>
      </c>
      <c r="AM186" s="25">
        <f t="shared" si="233"/>
        <v>-2.6529768467475155E-2</v>
      </c>
      <c r="AN186" s="379">
        <f t="shared" si="234"/>
        <v>4.3059576034523844E-3</v>
      </c>
      <c r="AO186" s="380">
        <f t="shared" si="235"/>
        <v>7.8973436268707994E-3</v>
      </c>
    </row>
    <row r="187" spans="1:41">
      <c r="A187" s="202" t="s">
        <v>30</v>
      </c>
      <c r="B187" s="323">
        <v>3451333698.3099999</v>
      </c>
      <c r="C187" s="327">
        <v>24.12</v>
      </c>
      <c r="D187" s="323">
        <v>3453776496.79</v>
      </c>
      <c r="E187" s="327">
        <v>24.14</v>
      </c>
      <c r="F187" s="23">
        <f t="shared" si="208"/>
        <v>7.0778391588045342E-4</v>
      </c>
      <c r="G187" s="23">
        <f t="shared" si="209"/>
        <v>8.291873963515577E-4</v>
      </c>
      <c r="H187" s="323">
        <v>3458506493.6799998</v>
      </c>
      <c r="I187" s="327">
        <v>24.18</v>
      </c>
      <c r="J187" s="23">
        <f t="shared" si="210"/>
        <v>1.3695144704343226E-3</v>
      </c>
      <c r="K187" s="23">
        <f t="shared" si="211"/>
        <v>1.6570008285003788E-3</v>
      </c>
      <c r="L187" s="323">
        <v>3467794816.6300001</v>
      </c>
      <c r="M187" s="327">
        <v>24.24</v>
      </c>
      <c r="N187" s="23">
        <f t="shared" si="212"/>
        <v>2.6856456586025115E-3</v>
      </c>
      <c r="O187" s="23">
        <f t="shared" si="213"/>
        <v>2.4813895781637188E-3</v>
      </c>
      <c r="P187" s="323">
        <v>3464666966.0700002</v>
      </c>
      <c r="Q187" s="327">
        <v>24.06</v>
      </c>
      <c r="R187" s="23">
        <f t="shared" si="214"/>
        <v>-9.0197105809148919E-4</v>
      </c>
      <c r="S187" s="23">
        <f t="shared" si="215"/>
        <v>-7.4257425742574141E-3</v>
      </c>
      <c r="T187" s="323">
        <v>3537957378.96</v>
      </c>
      <c r="U187" s="327">
        <v>24.56</v>
      </c>
      <c r="V187" s="23">
        <f t="shared" si="216"/>
        <v>2.1153667468690008E-2</v>
      </c>
      <c r="W187" s="23">
        <f t="shared" si="217"/>
        <v>2.0781379883624274E-2</v>
      </c>
      <c r="X187" s="323">
        <v>3649788764.3600001</v>
      </c>
      <c r="Y187" s="327">
        <v>25.34</v>
      </c>
      <c r="Z187" s="23">
        <f t="shared" si="218"/>
        <v>3.160902561038581E-2</v>
      </c>
      <c r="AA187" s="23">
        <f t="shared" si="219"/>
        <v>3.1758957654723176E-2</v>
      </c>
      <c r="AB187" s="323">
        <v>3677564501.5900002</v>
      </c>
      <c r="AC187" s="327">
        <v>25.33</v>
      </c>
      <c r="AD187" s="23">
        <f t="shared" si="220"/>
        <v>7.6102314471535081E-3</v>
      </c>
      <c r="AE187" s="23">
        <f t="shared" si="221"/>
        <v>-3.9463299131813588E-4</v>
      </c>
      <c r="AF187" s="323">
        <v>3644999523.2199998</v>
      </c>
      <c r="AG187" s="327">
        <v>25.26</v>
      </c>
      <c r="AH187" s="23">
        <f t="shared" si="222"/>
        <v>-8.8550393489824179E-3</v>
      </c>
      <c r="AI187" s="23">
        <f t="shared" si="223"/>
        <v>-2.7635215159888169E-3</v>
      </c>
      <c r="AJ187" s="24">
        <f t="shared" si="230"/>
        <v>6.9223572705090879E-3</v>
      </c>
      <c r="AK187" s="24">
        <f t="shared" si="231"/>
        <v>5.865502282474842E-3</v>
      </c>
      <c r="AL187" s="25">
        <f t="shared" si="232"/>
        <v>5.5366358132243311E-2</v>
      </c>
      <c r="AM187" s="25">
        <f t="shared" si="233"/>
        <v>4.6396023198011636E-2</v>
      </c>
      <c r="AN187" s="379">
        <f t="shared" si="234"/>
        <v>1.3147438766706964E-2</v>
      </c>
      <c r="AO187" s="380">
        <f t="shared" si="235"/>
        <v>1.4017260341478058E-2</v>
      </c>
    </row>
    <row r="188" spans="1:41">
      <c r="A188" s="202" t="s">
        <v>51</v>
      </c>
      <c r="B188" s="75">
        <v>298047576.13999999</v>
      </c>
      <c r="C188" s="327">
        <v>28.64</v>
      </c>
      <c r="D188" s="75">
        <v>296989283.70999998</v>
      </c>
      <c r="E188" s="327">
        <v>28.55</v>
      </c>
      <c r="F188" s="23">
        <f t="shared" si="208"/>
        <v>-3.5507499967149612E-3</v>
      </c>
      <c r="G188" s="23">
        <f t="shared" si="209"/>
        <v>-3.1424581005586542E-3</v>
      </c>
      <c r="H188" s="75">
        <v>297502295.94999999</v>
      </c>
      <c r="I188" s="327">
        <v>28.55</v>
      </c>
      <c r="J188" s="23">
        <f t="shared" si="210"/>
        <v>1.7273762662121798E-3</v>
      </c>
      <c r="K188" s="23">
        <f t="shared" si="211"/>
        <v>0</v>
      </c>
      <c r="L188" s="75">
        <v>296254914.07999998</v>
      </c>
      <c r="M188" s="327">
        <v>28.51</v>
      </c>
      <c r="N188" s="23">
        <f t="shared" si="212"/>
        <v>-4.1928478770787278E-3</v>
      </c>
      <c r="O188" s="23">
        <f t="shared" si="213"/>
        <v>-1.4010507880910384E-3</v>
      </c>
      <c r="P188" s="75">
        <v>299854466.44999999</v>
      </c>
      <c r="Q188" s="327">
        <v>28.61</v>
      </c>
      <c r="R188" s="23">
        <f t="shared" si="214"/>
        <v>1.2150186204263232E-2</v>
      </c>
      <c r="S188" s="23">
        <f t="shared" si="215"/>
        <v>3.5075412136091849E-3</v>
      </c>
      <c r="T188" s="75">
        <v>299661540.26999998</v>
      </c>
      <c r="U188" s="327">
        <v>28.61</v>
      </c>
      <c r="V188" s="23">
        <f t="shared" si="216"/>
        <v>-6.433993873230404E-4</v>
      </c>
      <c r="W188" s="23">
        <f t="shared" si="217"/>
        <v>0</v>
      </c>
      <c r="X188" s="75">
        <v>305064197.12</v>
      </c>
      <c r="Y188" s="327">
        <v>29.17</v>
      </c>
      <c r="Z188" s="23">
        <f t="shared" si="218"/>
        <v>1.8029196690146292E-2</v>
      </c>
      <c r="AA188" s="23">
        <f t="shared" si="219"/>
        <v>1.9573575672841743E-2</v>
      </c>
      <c r="AB188" s="75">
        <v>303525475.61000001</v>
      </c>
      <c r="AC188" s="327">
        <v>29.03</v>
      </c>
      <c r="AD188" s="23">
        <f t="shared" si="220"/>
        <v>-5.0439268997361864E-3</v>
      </c>
      <c r="AE188" s="23">
        <f t="shared" si="221"/>
        <v>-4.7994514912581615E-3</v>
      </c>
      <c r="AF188" s="75">
        <v>302641865.83999997</v>
      </c>
      <c r="AG188" s="327">
        <v>28.95</v>
      </c>
      <c r="AH188" s="23">
        <f t="shared" si="222"/>
        <v>-2.9111552110221914E-3</v>
      </c>
      <c r="AI188" s="23">
        <f t="shared" si="223"/>
        <v>-2.7557698932139801E-3</v>
      </c>
      <c r="AJ188" s="24">
        <f t="shared" si="230"/>
        <v>1.9455849735933247E-3</v>
      </c>
      <c r="AK188" s="24">
        <f t="shared" si="231"/>
        <v>1.3727983266661366E-3</v>
      </c>
      <c r="AL188" s="25">
        <f t="shared" si="232"/>
        <v>1.9032949806766602E-2</v>
      </c>
      <c r="AM188" s="25">
        <f t="shared" si="233"/>
        <v>1.4010507880910633E-2</v>
      </c>
      <c r="AN188" s="379">
        <f t="shared" si="234"/>
        <v>8.5347873402512667E-3</v>
      </c>
      <c r="AO188" s="380">
        <f t="shared" si="235"/>
        <v>7.7838868445210671E-3</v>
      </c>
    </row>
    <row r="189" spans="1:41" ht="15.75" thickBot="1">
      <c r="A189" s="203" t="s">
        <v>33</v>
      </c>
      <c r="B189" s="77">
        <f>SUM(B177:B188)</f>
        <v>9181237470.3999996</v>
      </c>
      <c r="C189" s="306"/>
      <c r="D189" s="77">
        <f>SUM(D177:D188)</f>
        <v>9221542882.8766327</v>
      </c>
      <c r="E189" s="306"/>
      <c r="F189" s="23">
        <f>((D189-B189)/B189)</f>
        <v>4.389976036081886E-3</v>
      </c>
      <c r="G189" s="209"/>
      <c r="H189" s="77">
        <f>SUM(H177:H188)</f>
        <v>9177790077.7088909</v>
      </c>
      <c r="I189" s="306"/>
      <c r="J189" s="23">
        <f>((H189-D189)/D189)</f>
        <v>-4.7446295835142527E-3</v>
      </c>
      <c r="K189" s="209"/>
      <c r="L189" s="77">
        <f>SUM(L177:L188)</f>
        <v>9128705530.4407215</v>
      </c>
      <c r="M189" s="306"/>
      <c r="N189" s="23">
        <f>((L189-H189)/H189)</f>
        <v>-5.3481880553562068E-3</v>
      </c>
      <c r="O189" s="209"/>
      <c r="P189" s="77">
        <f>SUM(P177:P188)</f>
        <v>9026975170.9909229</v>
      </c>
      <c r="Q189" s="306"/>
      <c r="R189" s="23">
        <f>((P189-L189)/L189)</f>
        <v>-1.1144007122430116E-2</v>
      </c>
      <c r="S189" s="209"/>
      <c r="T189" s="77">
        <f>SUM(T177:T188)</f>
        <v>9140755301.5800018</v>
      </c>
      <c r="U189" s="306"/>
      <c r="V189" s="23">
        <f>((T189-P189)/P189)</f>
        <v>1.2604458130639663E-2</v>
      </c>
      <c r="W189" s="209"/>
      <c r="X189" s="77">
        <f>SUM(X177:X188)</f>
        <v>9428299368.073988</v>
      </c>
      <c r="Y189" s="306"/>
      <c r="Z189" s="23">
        <f>((X189-T189)/T189)</f>
        <v>3.1457363971255571E-2</v>
      </c>
      <c r="AA189" s="209"/>
      <c r="AB189" s="77">
        <f>SUM(AB177:AB188)</f>
        <v>9491073054.3852577</v>
      </c>
      <c r="AC189" s="306"/>
      <c r="AD189" s="23">
        <f>((AB189-X189)/X189)</f>
        <v>6.6580073309756562E-3</v>
      </c>
      <c r="AE189" s="209"/>
      <c r="AF189" s="77">
        <f>SUM(AF177:AF188)</f>
        <v>9456116110.3399506</v>
      </c>
      <c r="AG189" s="306"/>
      <c r="AH189" s="23">
        <f>((AF189-AB189)/AB189)</f>
        <v>-3.683139287306997E-3</v>
      </c>
      <c r="AI189" s="209"/>
      <c r="AJ189" s="24">
        <f t="shared" si="230"/>
        <v>3.7737301775431511E-3</v>
      </c>
      <c r="AK189" s="24"/>
      <c r="AL189" s="25">
        <f t="shared" si="232"/>
        <v>2.5437524982819735E-2</v>
      </c>
      <c r="AM189" s="25"/>
      <c r="AN189" s="379">
        <f t="shared" si="234"/>
        <v>1.3559286662101403E-2</v>
      </c>
      <c r="AO189" s="380"/>
    </row>
    <row r="190" spans="1:41" ht="15.75" thickBot="1">
      <c r="A190" s="63" t="s">
        <v>43</v>
      </c>
      <c r="B190" s="222">
        <f>SUM(B169,B174,B189)</f>
        <v>2024561920989.5869</v>
      </c>
      <c r="C190" s="307"/>
      <c r="D190" s="222">
        <f>SUM(D169,D174,D189)</f>
        <v>2029098408141.9402</v>
      </c>
      <c r="E190" s="307"/>
      <c r="F190" s="209">
        <f>((D190-B190)/B190)</f>
        <v>2.2407253170779184E-3</v>
      </c>
      <c r="G190" s="305"/>
      <c r="H190" s="222">
        <f>SUM(H169,H174,H189)</f>
        <v>2019862555518.3599</v>
      </c>
      <c r="I190" s="307"/>
      <c r="J190" s="209">
        <f>((H190-D190)/D190)</f>
        <v>-4.551702660906258E-3</v>
      </c>
      <c r="K190" s="305"/>
      <c r="L190" s="222">
        <f>SUM(L169,L174,L189)</f>
        <v>2022742035234.8159</v>
      </c>
      <c r="M190" s="307"/>
      <c r="N190" s="209">
        <f>((L190-H190)/H190)</f>
        <v>1.4255820073445988E-3</v>
      </c>
      <c r="O190" s="305"/>
      <c r="P190" s="222">
        <f>SUM(P169,P174,P189)</f>
        <v>2021078665008.1536</v>
      </c>
      <c r="Q190" s="307"/>
      <c r="R190" s="209">
        <f>((P190-L190)/L190)</f>
        <v>-8.223343351191376E-4</v>
      </c>
      <c r="S190" s="305"/>
      <c r="T190" s="222">
        <f>SUM(T169,T174,T189)</f>
        <v>2047059629930.6086</v>
      </c>
      <c r="U190" s="307"/>
      <c r="V190" s="209">
        <f>((T190-P190)/P190)</f>
        <v>1.2854999348751358E-2</v>
      </c>
      <c r="W190" s="305"/>
      <c r="X190" s="222">
        <f>SUM(X169,X174,X189)</f>
        <v>2026903255616.8345</v>
      </c>
      <c r="Y190" s="307"/>
      <c r="Z190" s="209">
        <f>((X190-T190)/T190)</f>
        <v>-9.8465008146623612E-3</v>
      </c>
      <c r="AA190" s="305"/>
      <c r="AB190" s="222">
        <f>SUM(AB169,AB174,AB189)</f>
        <v>2009579399929.2913</v>
      </c>
      <c r="AC190" s="307"/>
      <c r="AD190" s="209">
        <f>((AB190-X190)/X190)</f>
        <v>-8.5469573545438673E-3</v>
      </c>
      <c r="AE190" s="305"/>
      <c r="AF190" s="222">
        <f>SUM(AF169,AF174,AF189)</f>
        <v>2034041060421.501</v>
      </c>
      <c r="AG190" s="307"/>
      <c r="AH190" s="209">
        <f>((AF190-AB190)/AB190)</f>
        <v>1.2172527491608652E-2</v>
      </c>
      <c r="AI190" s="305"/>
      <c r="AJ190" s="24">
        <f t="shared" si="230"/>
        <v>6.1579237494386284E-4</v>
      </c>
      <c r="AK190" s="24"/>
      <c r="AL190" s="25">
        <f t="shared" si="232"/>
        <v>2.4358859381723198E-3</v>
      </c>
      <c r="AM190" s="25"/>
      <c r="AN190" s="379">
        <f t="shared" si="234"/>
        <v>8.5259206037477091E-3</v>
      </c>
      <c r="AO190" s="380"/>
    </row>
  </sheetData>
  <protectedRanges>
    <protectedRange password="CADF" sqref="B9" name="Fund Name_1_1_1_3_1_1_7"/>
    <protectedRange password="CADF" sqref="B16" name="Yield_2_1_2_5_5"/>
    <protectedRange password="CADF" sqref="C9" name="Fund Name_1_1_1_1_1_1_8"/>
    <protectedRange password="CADF" sqref="B46" name="Yield_2_1_2_3_1_7"/>
    <protectedRange password="CADF" sqref="B51" name="Yield_2_1_2_4_1_7"/>
    <protectedRange password="CADF" sqref="B77" name="Yield_2_1_2_1_1"/>
    <protectedRange password="CADF" sqref="C77" name="Fund Name_2_2_1_1_1"/>
    <protectedRange password="CADF" sqref="C76" name="BidOffer Prices_2_1_1_1_1_1_1_1_1_1_2"/>
    <protectedRange password="CADF" sqref="B93:B94" name="Yield_2_1_2_6_3_5"/>
    <protectedRange password="CADF" sqref="B136 B144:B145" name="Fund Name_1_1_1_2_2"/>
    <protectedRange password="CADF" sqref="C136 C144:C145" name="Fund Name_1_1_1_1_2_1"/>
    <protectedRange password="CADF" sqref="D9" name="Fund Name_1_1_1_3_1_1_2"/>
    <protectedRange password="CADF" sqref="D16" name="Yield_2_1_2_5_6"/>
    <protectedRange password="CADF" sqref="E9" name="Fund Name_1_1_1_1_1_1_2"/>
    <protectedRange password="CADF" sqref="D46" name="Yield_2_1_2_3_1"/>
    <protectedRange password="CADF" sqref="D51" name="Yield_2_1_2_4_1"/>
    <protectedRange password="CADF" sqref="D77" name="Yield_2_1_2_1_1_6"/>
    <protectedRange password="CADF" sqref="E77" name="Fund Name_2_2_1_1_2"/>
    <protectedRange password="CADF" sqref="E76" name="BidOffer Prices_2_1_1_1_1_1_1_1_1_1_7"/>
    <protectedRange password="CADF" sqref="D93:D94" name="Yield_2_1_2_6_3_6"/>
    <protectedRange password="CADF" sqref="D136 D144:D145" name="Fund Name_1_1_1_2_8"/>
    <protectedRange password="CADF" sqref="E136 E144:E145" name="Fund Name_1_1_1_1_2_2"/>
    <protectedRange password="CADF" sqref="H9" name="Fund Name_1_1_1_3_1_1_3"/>
    <protectedRange password="CADF" sqref="H16" name="Yield_2_1_2_5_7"/>
    <protectedRange password="CADF" sqref="I9" name="Fund Name_1_1_1_1_1_1_3"/>
    <protectedRange password="CADF" sqref="H46" name="Yield_2_1_2_3_1_2"/>
    <protectedRange password="CADF" sqref="H51" name="Yield_2_1_2_4_1_2"/>
    <protectedRange password="CADF" sqref="H93:H94" name="Yield_2_1_2_6_3_7"/>
    <protectedRange password="CADF" sqref="H136 H144:H145" name="Fund Name_1_1_1_2_3"/>
    <protectedRange password="CADF" sqref="I136 I144:I145" name="Fund Name_1_1_1_1_2_3"/>
    <protectedRange password="CADF" sqref="H77" name="Yield_2_1_2_1_1_7"/>
    <protectedRange password="CADF" sqref="I77" name="Fund Name_2_2_1_1_8"/>
    <protectedRange password="CADF" sqref="I76" name="BidOffer Prices_2_1_1_1_1_1_1_1_1_1_8"/>
    <protectedRange password="CADF" sqref="L9" name="Fund Name_1_1_1_3_1_1_8"/>
    <protectedRange password="CADF" sqref="L16" name="Yield_2_1_2_5_8"/>
    <protectedRange password="CADF" sqref="M9" name="Fund Name_1_1_1_1_1_1_7"/>
    <protectedRange password="CADF" sqref="L46" name="Yield_2_1_2_3_1_8"/>
    <protectedRange password="CADF" sqref="L51" name="Yield_2_1_2_4_1_8"/>
    <protectedRange password="CADF" sqref="L77" name="Yield_2_1_2_1_1_8"/>
    <protectedRange password="CADF" sqref="M77" name="Fund Name_2_2_1_1_9"/>
    <protectedRange password="CADF" sqref="M76" name="BidOffer Prices_2_1_1_1_1_1_1_1_1_1_9"/>
    <protectedRange password="CADF" sqref="L93:L94" name="Yield_2_1_2_6_3_8"/>
    <protectedRange password="CADF" sqref="L136 L144:L145" name="Fund Name_1_1_1_2_7"/>
    <protectedRange password="CADF" sqref="M136 M144:M145" name="Fund Name_1_1_1_1_2_8"/>
    <protectedRange password="CADF" sqref="P9" name="Fund Name_1_1_1_3_1_1_4"/>
    <protectedRange password="CADF" sqref="P16" name="Yield_2_1_2_5_9"/>
    <protectedRange password="CADF" sqref="Q9" name="Fund Name_1_1_1_1_1_1_4"/>
    <protectedRange password="CADF" sqref="P46" name="Yield_2_1_2_3_1_3"/>
    <protectedRange password="CADF" sqref="P51" name="Yield_2_1_2_4_1_3"/>
    <protectedRange password="CADF" sqref="P77" name="Yield_2_1_2_1_1_2"/>
    <protectedRange password="CADF" sqref="Q77" name="Fund Name_2_2_1_1_3"/>
    <protectedRange password="CADF" sqref="Q76" name="BidOffer Prices_2_1_1_1_1_1_1_1_1_1"/>
    <protectedRange password="CADF" sqref="P136 P144:P145" name="Fund Name_1_1_1_2"/>
    <protectedRange password="CADF" sqref="Q136 Q144:Q145" name="Fund Name_1_1_1_1_2_4"/>
    <protectedRange password="CADF" sqref="P93:P94" name="Yield_2_1_2_6_3"/>
    <protectedRange password="CADF" sqref="T9" name="Fund Name_1_1_1_3_1_1"/>
    <protectedRange password="CADF" sqref="T16" name="Yield_2_1_2_5"/>
    <protectedRange password="CADF" sqref="U9" name="Fund Name_1_1_1_1_1_1"/>
    <protectedRange password="CADF" sqref="T46" name="Yield_2_1_2_3_1_4"/>
    <protectedRange password="CADF" sqref="T51" name="Yield_2_1_2_4_1_4"/>
    <protectedRange password="CADF" sqref="T77" name="Yield_2_1_2_1_1_3"/>
    <protectedRange password="CADF" sqref="U77" name="Fund Name_2_2_1_1_4"/>
    <protectedRange password="CADF" sqref="U76" name="BidOffer Prices_2_1_1_1_1_1_1_1_1_1_3"/>
    <protectedRange password="CADF" sqref="T93:T94" name="Yield_2_1_2_6_3_1"/>
    <protectedRange password="CADF" sqref="T136 T144:T145" name="Fund Name_1_1_1_2_4"/>
    <protectedRange password="CADF" sqref="U136 U144:U145" name="Fund Name_1_1_1_1_2_5"/>
    <protectedRange password="CADF" sqref="X9" name="Fund Name_1_1_1_3_1_1_10"/>
    <protectedRange password="CADF" sqref="X16" name="Yield_2_1_2_5_10"/>
    <protectedRange password="CADF" sqref="Y9" name="Fund Name_1_1_1_1_1_1_9"/>
    <protectedRange password="CADF" sqref="X46" name="Yield_2_1_2_3_1_9"/>
    <protectedRange password="CADF" sqref="X51" name="Yield_2_1_2_4_1_9"/>
    <protectedRange password="CADF" sqref="X77" name="Yield_2_1_2_1_1_9"/>
    <protectedRange password="CADF" sqref="Y77" name="Fund Name_2_2_1_1_5"/>
    <protectedRange password="CADF" sqref="Y76" name="BidOffer Prices_2_1_1_1_1_1_1_1_1_1_4"/>
    <protectedRange password="CADF" sqref="X93:X94" name="Yield_2_1_2_6_3_9"/>
    <protectedRange password="CADF" sqref="X136 X144:X145" name="Fund Name_1_1_1_2_9"/>
    <protectedRange password="CADF" sqref="Y136 Y144:Y145" name="Fund Name_1_1_1_1_2_9"/>
    <protectedRange password="CADF" sqref="AB9" name="Fund Name_1_1_1_3_1_1_5"/>
    <protectedRange password="CADF" sqref="AB16" name="Yield_2_1_2_5_1"/>
    <protectedRange password="CADF" sqref="AC9" name="Fund Name_1_1_1_1_1_1_5"/>
    <protectedRange password="CADF" sqref="AB46" name="Yield_2_1_2_3_1_5"/>
    <protectedRange password="CADF" sqref="AB51" name="Yield_2_1_2_4_1_5"/>
    <protectedRange password="CADF" sqref="AB77" name="Yield_2_1_2_1_1_4"/>
    <protectedRange password="CADF" sqref="AC77" name="Fund Name_2_2_1_1_6"/>
    <protectedRange password="CADF" sqref="AC76" name="BidOffer Prices_2_1_1_1_1_1_1_1_1_1_5"/>
    <protectedRange password="CADF" sqref="AB93:AB94" name="Yield_2_1_2_6_3_2"/>
    <protectedRange password="CADF" sqref="AB136 AB144:AB145" name="Fund Name_1_1_1_2_5"/>
    <protectedRange password="CADF" sqref="AC136 AC144:AC145" name="Fund Name_1_1_1_1_2_6"/>
    <protectedRange password="CADF" sqref="AF9" name="Fund Name_1_1_1_3_1_1_6"/>
    <protectedRange password="CADF" sqref="AF16" name="Yield_2_1_2_5_2"/>
    <protectedRange password="CADF" sqref="AG9" name="Fund Name_1_1_1_1_1_1_6"/>
    <protectedRange password="CADF" sqref="AF46" name="Yield_2_1_2_3_1_6"/>
    <protectedRange password="CADF" sqref="AF51" name="Yield_2_1_2_4_1_6"/>
    <protectedRange password="CADF" sqref="AF77" name="Yield_2_1_2_1_1_5"/>
    <protectedRange password="CADF" sqref="AG77" name="Fund Name_2_2_1_1_7"/>
    <protectedRange password="CADF" sqref="AG76" name="BidOffer Prices_2_1_1_1_1_1_1_1_1_1_6"/>
    <protectedRange password="CADF" sqref="AF93:AF94" name="Yield_2_1_2_6_3_3"/>
    <protectedRange password="CADF" sqref="AF136 AF144:AF145" name="Fund Name_1_1_1_2_6"/>
    <protectedRange password="CADF" sqref="AG136 AG144:AG145" name="Fund Name_1_1_1_1_2_7"/>
  </protectedRanges>
  <sortState ref="A174:AO185">
    <sortCondition ref="A174:A185"/>
  </sortState>
  <mergeCells count="32">
    <mergeCell ref="AF2:AG2"/>
    <mergeCell ref="AH2:AI2"/>
    <mergeCell ref="AF176:AG176"/>
    <mergeCell ref="AB176:AC176"/>
    <mergeCell ref="A1:AO1"/>
    <mergeCell ref="AN2:AO2"/>
    <mergeCell ref="AL2:AM2"/>
    <mergeCell ref="AJ2:AK2"/>
    <mergeCell ref="B2:C2"/>
    <mergeCell ref="X2:Y2"/>
    <mergeCell ref="Z2:AA2"/>
    <mergeCell ref="AB2:AC2"/>
    <mergeCell ref="AD2:AE2"/>
    <mergeCell ref="D2:E2"/>
    <mergeCell ref="F2:G2"/>
    <mergeCell ref="D176:E176"/>
    <mergeCell ref="B176:C176"/>
    <mergeCell ref="AQ2:AR2"/>
    <mergeCell ref="AQ128:AR128"/>
    <mergeCell ref="H2:I2"/>
    <mergeCell ref="J2:K2"/>
    <mergeCell ref="H176:I176"/>
    <mergeCell ref="L2:M2"/>
    <mergeCell ref="N2:O2"/>
    <mergeCell ref="L176:M176"/>
    <mergeCell ref="P2:Q2"/>
    <mergeCell ref="P176:Q176"/>
    <mergeCell ref="R2:S2"/>
    <mergeCell ref="T2:U2"/>
    <mergeCell ref="V2:W2"/>
    <mergeCell ref="T176:U176"/>
    <mergeCell ref="X176:Y17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2023-09-28T09:57:19Z</dcterms:modified>
</cp:coreProperties>
</file>