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10155" windowHeight="6150" tabRatio="599"/>
  </bookViews>
  <sheets>
    <sheet name="Data" sheetId="9" r:id="rId1"/>
    <sheet name="NAV COMPARISON" sheetId="13" r:id="rId2"/>
    <sheet name="Market Share" sheetId="12" r:id="rId3"/>
    <sheet name="Total NAV" sheetId="8" r:id="rId4"/>
    <sheet name="Sector Trend" sheetId="4" r:id="rId5"/>
    <sheet name="NAV Trend" sheetId="1" state="hidden" r:id="rId6"/>
    <sheet name="Volatility Measure" sheetId="11" r:id="rId7"/>
  </sheets>
  <definedNames>
    <definedName name="_GoBack" localSheetId="0">Data!#REF!</definedName>
    <definedName name="OLE_LINK6" localSheetId="0">Data!$K$65</definedName>
    <definedName name="_xlnm.Print_Area" localSheetId="0">Data!$A$1:$AQ$193</definedName>
    <definedName name="_xlnm.Print_Area" localSheetId="5">'NAV Trend'!$B$1:$J$10</definedName>
  </definedNames>
  <calcPr calcId="162913"/>
</workbook>
</file>

<file path=xl/calcChain.xml><?xml version="1.0" encoding="utf-8"?>
<calcChain xmlns="http://schemas.openxmlformats.org/spreadsheetml/2006/main">
  <c r="AJ176" i="11" l="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K185" i="11"/>
  <c r="AL185" i="11"/>
  <c r="AM185" i="11"/>
  <c r="AN185" i="11"/>
  <c r="AO185" i="11"/>
  <c r="AJ186" i="11"/>
  <c r="AK186" i="11"/>
  <c r="AL186" i="11"/>
  <c r="AM186" i="11"/>
  <c r="AN186" i="11"/>
  <c r="AO186" i="11"/>
  <c r="AJ187" i="11"/>
  <c r="AL187" i="11"/>
  <c r="AN187" i="11"/>
  <c r="AJ188" i="11"/>
  <c r="AL188" i="11"/>
  <c r="AN188" i="11"/>
  <c r="AO175" i="11"/>
  <c r="AN175" i="11"/>
  <c r="AM175" i="11"/>
  <c r="AL175" i="11"/>
  <c r="AK175" i="11"/>
  <c r="AJ17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L118" i="11"/>
  <c r="AN118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L145" i="11"/>
  <c r="AN145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L151" i="11"/>
  <c r="AN151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L166" i="11"/>
  <c r="AN166" i="11"/>
  <c r="AJ167" i="11"/>
  <c r="AL167" i="11"/>
  <c r="AN167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O5" i="11" l="1"/>
  <c r="AN5" i="11"/>
  <c r="AM5" i="11"/>
  <c r="AL5" i="11"/>
  <c r="AK5" i="11"/>
  <c r="AJ5" i="11"/>
  <c r="AF118" i="11"/>
  <c r="AF86" i="11"/>
  <c r="AF187" i="11" l="1"/>
  <c r="AF172" i="11"/>
  <c r="AF166" i="11"/>
  <c r="AF167" i="11" s="1"/>
  <c r="AH167" i="11" s="1"/>
  <c r="AF151" i="11"/>
  <c r="AH151" i="11" s="1"/>
  <c r="AF145" i="11"/>
  <c r="AH145" i="11" s="1"/>
  <c r="AG106" i="11"/>
  <c r="AI106" i="11" s="1"/>
  <c r="AG103" i="11"/>
  <c r="AF111" i="11"/>
  <c r="AF103" i="11"/>
  <c r="AG98" i="11"/>
  <c r="AI98" i="11" s="1"/>
  <c r="AG97" i="11"/>
  <c r="AG95" i="11"/>
  <c r="AG91" i="11"/>
  <c r="AG90" i="11"/>
  <c r="AF98" i="11"/>
  <c r="AF97" i="11"/>
  <c r="AH97" i="11" s="1"/>
  <c r="AF95" i="11"/>
  <c r="AF91" i="11"/>
  <c r="AF53" i="11"/>
  <c r="AF21" i="11"/>
  <c r="AH21" i="11" s="1"/>
  <c r="AH187" i="11"/>
  <c r="AI186" i="11"/>
  <c r="AH186" i="11"/>
  <c r="AI185" i="1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1" i="11"/>
  <c r="AH171" i="11"/>
  <c r="AI170" i="11"/>
  <c r="AH170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9" i="11"/>
  <c r="AH159" i="11"/>
  <c r="AI156" i="11"/>
  <c r="AH156" i="11"/>
  <c r="AI155" i="11"/>
  <c r="AH155" i="11"/>
  <c r="AI150" i="11"/>
  <c r="AH150" i="11"/>
  <c r="AI149" i="11"/>
  <c r="AH149" i="11"/>
  <c r="AI148" i="11"/>
  <c r="AH148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H118" i="11"/>
  <c r="AI117" i="11"/>
  <c r="AH117" i="11"/>
  <c r="AI116" i="11"/>
  <c r="AH116" i="11"/>
  <c r="AI115" i="11"/>
  <c r="AH115" i="11"/>
  <c r="AI114" i="11"/>
  <c r="AH114" i="11"/>
  <c r="AI110" i="11"/>
  <c r="AH110" i="11"/>
  <c r="AI109" i="11"/>
  <c r="AH109" i="11"/>
  <c r="AI108" i="11"/>
  <c r="AH108" i="11"/>
  <c r="AI107" i="11"/>
  <c r="AH107" i="11"/>
  <c r="AH106" i="11"/>
  <c r="AI105" i="11"/>
  <c r="AH105" i="11"/>
  <c r="AI104" i="11"/>
  <c r="AH104" i="11"/>
  <c r="AI103" i="11"/>
  <c r="AH103" i="11"/>
  <c r="AI102" i="11"/>
  <c r="AH102" i="11"/>
  <c r="AI99" i="11"/>
  <c r="AH99" i="11"/>
  <c r="AH98" i="11"/>
  <c r="AI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88" i="11" l="1"/>
  <c r="AH188" i="11" s="1"/>
  <c r="AH166" i="11"/>
  <c r="M96" i="9"/>
  <c r="L96" i="9"/>
  <c r="J96" i="9"/>
  <c r="M107" i="9" l="1"/>
  <c r="L107" i="9"/>
  <c r="M92" i="9" l="1"/>
  <c r="L92" i="9"/>
  <c r="J92" i="9"/>
  <c r="M104" i="9" l="1"/>
  <c r="L104" i="9"/>
  <c r="J104" i="9"/>
  <c r="P130" i="9" l="1"/>
  <c r="M98" i="9" l="1"/>
  <c r="L98" i="9"/>
  <c r="J98" i="9"/>
  <c r="M99" i="9"/>
  <c r="L99" i="9"/>
  <c r="J99" i="9"/>
  <c r="M91" i="9" l="1"/>
  <c r="L91" i="9"/>
  <c r="D192" i="9" l="1"/>
  <c r="D175" i="9"/>
  <c r="D167" i="9"/>
  <c r="D152" i="9"/>
  <c r="D146" i="9"/>
  <c r="D119" i="9"/>
  <c r="G107" i="9"/>
  <c r="F107" i="9"/>
  <c r="G104" i="9"/>
  <c r="F104" i="9"/>
  <c r="D104" i="9"/>
  <c r="G99" i="9"/>
  <c r="F99" i="9"/>
  <c r="G98" i="9"/>
  <c r="F98" i="9"/>
  <c r="G96" i="9"/>
  <c r="F96" i="9"/>
  <c r="G92" i="9"/>
  <c r="F92" i="9"/>
  <c r="G91" i="9"/>
  <c r="F91" i="9"/>
  <c r="D99" i="9"/>
  <c r="D98" i="9"/>
  <c r="D96" i="9"/>
  <c r="D92" i="9"/>
  <c r="D87" i="9"/>
  <c r="D54" i="9"/>
  <c r="D22" i="9"/>
  <c r="D112" i="9" l="1"/>
  <c r="D168" i="9"/>
  <c r="D193" i="9" s="1"/>
  <c r="AB187" i="11"/>
  <c r="AB172" i="11"/>
  <c r="AB166" i="11"/>
  <c r="AB151" i="11"/>
  <c r="AB145" i="11"/>
  <c r="AB118" i="11"/>
  <c r="AC106" i="11"/>
  <c r="AC103" i="11"/>
  <c r="AB103" i="11"/>
  <c r="AD90" i="11" s="1"/>
  <c r="AC98" i="11"/>
  <c r="AC97" i="11"/>
  <c r="AC95" i="11"/>
  <c r="AC91" i="11"/>
  <c r="AC90" i="11"/>
  <c r="AB98" i="11"/>
  <c r="AB97" i="11"/>
  <c r="AB95" i="11"/>
  <c r="AB91" i="11"/>
  <c r="AB86" i="11"/>
  <c r="AB53" i="11"/>
  <c r="AB21" i="11"/>
  <c r="AE38" i="11"/>
  <c r="AD38" i="11"/>
  <c r="AA38" i="11"/>
  <c r="Z38" i="11"/>
  <c r="W38" i="11"/>
  <c r="V38" i="11"/>
  <c r="S38" i="11"/>
  <c r="R38" i="11"/>
  <c r="O38" i="11"/>
  <c r="N38" i="11"/>
  <c r="K38" i="11"/>
  <c r="J38" i="11"/>
  <c r="G38" i="11"/>
  <c r="F38" i="11"/>
  <c r="AE186" i="11"/>
  <c r="AD186" i="11"/>
  <c r="AE185" i="11"/>
  <c r="AD185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1" i="11"/>
  <c r="AD171" i="11"/>
  <c r="AE170" i="11"/>
  <c r="AD170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9" i="11"/>
  <c r="AD159" i="11"/>
  <c r="AE156" i="11"/>
  <c r="AD156" i="11"/>
  <c r="AE155" i="11"/>
  <c r="AD155" i="11"/>
  <c r="AE150" i="11"/>
  <c r="AD150" i="11"/>
  <c r="AE149" i="11"/>
  <c r="AD149" i="11"/>
  <c r="AE148" i="11"/>
  <c r="AD148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17" i="11"/>
  <c r="AD117" i="11"/>
  <c r="AE116" i="11"/>
  <c r="AD116" i="11"/>
  <c r="AE115" i="11"/>
  <c r="AD115" i="11"/>
  <c r="AE114" i="11"/>
  <c r="AD114" i="11"/>
  <c r="AE110" i="11"/>
  <c r="AD110" i="11"/>
  <c r="AE109" i="11"/>
  <c r="AD109" i="11"/>
  <c r="AE108" i="11"/>
  <c r="AD108" i="11"/>
  <c r="AE107" i="11"/>
  <c r="AD107" i="11"/>
  <c r="AD106" i="11"/>
  <c r="AE105" i="11"/>
  <c r="AD105" i="11"/>
  <c r="AE104" i="11"/>
  <c r="AD104" i="11"/>
  <c r="AE102" i="11"/>
  <c r="AD102" i="11"/>
  <c r="AE99" i="11"/>
  <c r="AE96" i="11"/>
  <c r="AD96" i="11"/>
  <c r="AE94" i="11"/>
  <c r="AD94" i="11"/>
  <c r="AE93" i="11"/>
  <c r="AD93" i="11"/>
  <c r="AE92" i="11"/>
  <c r="AD92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11" i="11" l="1"/>
  <c r="AD99" i="11" s="1"/>
  <c r="AB167" i="11"/>
  <c r="S38" i="9"/>
  <c r="R38" i="9"/>
  <c r="Q38" i="9"/>
  <c r="P38" i="9"/>
  <c r="AB188" i="11" l="1"/>
  <c r="X187" i="11"/>
  <c r="AD187" i="11" s="1"/>
  <c r="X172" i="11"/>
  <c r="X166" i="11"/>
  <c r="AD166" i="11" s="1"/>
  <c r="X151" i="11"/>
  <c r="AD151" i="11" s="1"/>
  <c r="X145" i="11"/>
  <c r="AD145" i="11" s="1"/>
  <c r="X118" i="11"/>
  <c r="AD118" i="11" s="1"/>
  <c r="Y106" i="11"/>
  <c r="AE106" i="11" s="1"/>
  <c r="Y103" i="11"/>
  <c r="AE103" i="11" s="1"/>
  <c r="X103" i="11"/>
  <c r="AD103" i="11" s="1"/>
  <c r="Y98" i="11"/>
  <c r="AE98" i="11" s="1"/>
  <c r="Y97" i="11"/>
  <c r="AE97" i="11" s="1"/>
  <c r="Y95" i="11"/>
  <c r="AE95" i="11" s="1"/>
  <c r="Y91" i="11"/>
  <c r="AE91" i="11" s="1"/>
  <c r="Y90" i="11"/>
  <c r="AE90" i="11" s="1"/>
  <c r="X98" i="11"/>
  <c r="AD98" i="11" s="1"/>
  <c r="X97" i="11"/>
  <c r="AD97" i="11" s="1"/>
  <c r="X95" i="11"/>
  <c r="AD95" i="11" s="1"/>
  <c r="X91" i="11"/>
  <c r="AD91" i="11" s="1"/>
  <c r="X86" i="11"/>
  <c r="AD86" i="11" s="1"/>
  <c r="X53" i="11"/>
  <c r="AD53" i="11" s="1"/>
  <c r="X21" i="11"/>
  <c r="AD21" i="11" s="1"/>
  <c r="AA186" i="11"/>
  <c r="Z186" i="1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1" i="11"/>
  <c r="Z171" i="11"/>
  <c r="AA170" i="11"/>
  <c r="Z170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9" i="11"/>
  <c r="Z159" i="11"/>
  <c r="AA156" i="11"/>
  <c r="Z156" i="11"/>
  <c r="AA155" i="11"/>
  <c r="Z155" i="11"/>
  <c r="AA150" i="11"/>
  <c r="Z150" i="11"/>
  <c r="AA149" i="11"/>
  <c r="Z149" i="11"/>
  <c r="AA148" i="11"/>
  <c r="Z148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17" i="11"/>
  <c r="Z117" i="11"/>
  <c r="AA116" i="11"/>
  <c r="Z116" i="11"/>
  <c r="AA115" i="11"/>
  <c r="Z115" i="11"/>
  <c r="AA114" i="11"/>
  <c r="Z114" i="11"/>
  <c r="AA110" i="11"/>
  <c r="Z110" i="11"/>
  <c r="AA109" i="11"/>
  <c r="Z109" i="11"/>
  <c r="AA108" i="11"/>
  <c r="Z108" i="11"/>
  <c r="AA107" i="11"/>
  <c r="Z107" i="11"/>
  <c r="Z106" i="11"/>
  <c r="AA105" i="11"/>
  <c r="Z105" i="11"/>
  <c r="AA104" i="11"/>
  <c r="Z104" i="11"/>
  <c r="AA102" i="11"/>
  <c r="Z102" i="11"/>
  <c r="AA99" i="11"/>
  <c r="AA96" i="11"/>
  <c r="Z96" i="11"/>
  <c r="AA94" i="11"/>
  <c r="Z94" i="11"/>
  <c r="AA93" i="11"/>
  <c r="Z93" i="11"/>
  <c r="AA92" i="11"/>
  <c r="Z92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11" i="11" l="1"/>
  <c r="Z90" i="11"/>
  <c r="Z99" i="11" l="1"/>
  <c r="X167" i="11"/>
  <c r="AD167" i="11" s="1"/>
  <c r="T187" i="11"/>
  <c r="Z187" i="11" s="1"/>
  <c r="T172" i="11"/>
  <c r="T166" i="11"/>
  <c r="Z166" i="11" s="1"/>
  <c r="T151" i="11"/>
  <c r="Z151" i="11" s="1"/>
  <c r="T145" i="11"/>
  <c r="Z145" i="11" s="1"/>
  <c r="T118" i="11"/>
  <c r="Z118" i="11" s="1"/>
  <c r="U106" i="11"/>
  <c r="AA106" i="11" s="1"/>
  <c r="U103" i="11"/>
  <c r="AA103" i="11" s="1"/>
  <c r="T103" i="11"/>
  <c r="U98" i="11"/>
  <c r="AA98" i="11" s="1"/>
  <c r="U97" i="11"/>
  <c r="AA97" i="11" s="1"/>
  <c r="U95" i="11"/>
  <c r="AA95" i="11" s="1"/>
  <c r="U91" i="11"/>
  <c r="AA91" i="11" s="1"/>
  <c r="U90" i="11"/>
  <c r="AA90" i="11" s="1"/>
  <c r="T98" i="11"/>
  <c r="Z98" i="11" s="1"/>
  <c r="T97" i="11"/>
  <c r="Z97" i="11" s="1"/>
  <c r="T95" i="11"/>
  <c r="Z95" i="11" s="1"/>
  <c r="T91" i="11"/>
  <c r="Z91" i="11" s="1"/>
  <c r="T86" i="11"/>
  <c r="Z86" i="11" s="1"/>
  <c r="T53" i="11"/>
  <c r="Z53" i="11" s="1"/>
  <c r="T21" i="11"/>
  <c r="Z21" i="11" s="1"/>
  <c r="W186" i="11"/>
  <c r="V186" i="11"/>
  <c r="W185" i="11"/>
  <c r="V185" i="1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1" i="11"/>
  <c r="V171" i="11"/>
  <c r="W170" i="11"/>
  <c r="V170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9" i="11"/>
  <c r="V159" i="11"/>
  <c r="W156" i="11"/>
  <c r="V156" i="11"/>
  <c r="W155" i="11"/>
  <c r="V155" i="11"/>
  <c r="W150" i="11"/>
  <c r="V150" i="11"/>
  <c r="W149" i="11"/>
  <c r="V149" i="11"/>
  <c r="W148" i="11"/>
  <c r="V148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17" i="11"/>
  <c r="V117" i="11"/>
  <c r="W116" i="11"/>
  <c r="V116" i="11"/>
  <c r="W115" i="11"/>
  <c r="V115" i="11"/>
  <c r="W114" i="11"/>
  <c r="V114" i="11"/>
  <c r="W110" i="11"/>
  <c r="V110" i="11"/>
  <c r="W109" i="11"/>
  <c r="V109" i="11"/>
  <c r="W108" i="11"/>
  <c r="V108" i="11"/>
  <c r="W107" i="11"/>
  <c r="V107" i="11"/>
  <c r="V106" i="11"/>
  <c r="W105" i="11"/>
  <c r="V105" i="11"/>
  <c r="W104" i="11"/>
  <c r="V104" i="11"/>
  <c r="W102" i="11"/>
  <c r="V102" i="11"/>
  <c r="W99" i="11"/>
  <c r="W96" i="11"/>
  <c r="V96" i="11"/>
  <c r="W94" i="11"/>
  <c r="V94" i="11"/>
  <c r="W93" i="11"/>
  <c r="V93" i="11"/>
  <c r="W92" i="11"/>
  <c r="V92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V90" i="11" l="1"/>
  <c r="Z103" i="11"/>
  <c r="X188" i="11"/>
  <c r="AD188" i="11" s="1"/>
  <c r="T111" i="11"/>
  <c r="T167" i="11" s="1"/>
  <c r="Z167" i="11" s="1"/>
  <c r="T188" i="11" l="1"/>
  <c r="Z188" i="11" s="1"/>
  <c r="V99" i="11"/>
  <c r="S182" i="11"/>
  <c r="P187" i="11"/>
  <c r="V187" i="11" s="1"/>
  <c r="P172" i="11"/>
  <c r="P166" i="11"/>
  <c r="V166" i="11" s="1"/>
  <c r="P151" i="11"/>
  <c r="V151" i="11" s="1"/>
  <c r="P145" i="11"/>
  <c r="V145" i="11" s="1"/>
  <c r="P118" i="11"/>
  <c r="V118" i="11" s="1"/>
  <c r="Q106" i="11"/>
  <c r="W106" i="11" s="1"/>
  <c r="Q103" i="11"/>
  <c r="W103" i="11" s="1"/>
  <c r="P103" i="11"/>
  <c r="V103" i="11" s="1"/>
  <c r="Q98" i="11"/>
  <c r="W98" i="11" s="1"/>
  <c r="Q97" i="11"/>
  <c r="W97" i="11" s="1"/>
  <c r="Q95" i="11"/>
  <c r="W95" i="11" s="1"/>
  <c r="Q91" i="11"/>
  <c r="W91" i="11" s="1"/>
  <c r="Q90" i="11"/>
  <c r="W90" i="11" s="1"/>
  <c r="P98" i="11"/>
  <c r="V98" i="11" s="1"/>
  <c r="P97" i="11"/>
  <c r="V97" i="11" s="1"/>
  <c r="P95" i="11"/>
  <c r="V95" i="11" s="1"/>
  <c r="P91" i="11"/>
  <c r="V91" i="11" s="1"/>
  <c r="P86" i="11"/>
  <c r="V86" i="11" s="1"/>
  <c r="P53" i="11"/>
  <c r="V53" i="11" s="1"/>
  <c r="P21" i="11"/>
  <c r="V21" i="11" s="1"/>
  <c r="S186" i="11"/>
  <c r="R186" i="11"/>
  <c r="S185" i="11"/>
  <c r="R185" i="11"/>
  <c r="S184" i="11"/>
  <c r="R184" i="11"/>
  <c r="S183" i="11"/>
  <c r="R183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1" i="11"/>
  <c r="R171" i="11"/>
  <c r="S170" i="11"/>
  <c r="R170" i="11"/>
  <c r="S165" i="11"/>
  <c r="R165" i="11"/>
  <c r="S164" i="11"/>
  <c r="R164" i="11"/>
  <c r="S163" i="11"/>
  <c r="R163" i="11"/>
  <c r="S162" i="11"/>
  <c r="R162" i="11"/>
  <c r="S161" i="11"/>
  <c r="R161" i="11"/>
  <c r="S160" i="11"/>
  <c r="R160" i="11"/>
  <c r="S159" i="11"/>
  <c r="R159" i="11"/>
  <c r="S156" i="11"/>
  <c r="R156" i="11"/>
  <c r="S155" i="11"/>
  <c r="R155" i="11"/>
  <c r="S150" i="11"/>
  <c r="R150" i="11"/>
  <c r="S149" i="11"/>
  <c r="R149" i="11"/>
  <c r="S148" i="11"/>
  <c r="R148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17" i="11"/>
  <c r="R117" i="11"/>
  <c r="S116" i="11"/>
  <c r="R116" i="11"/>
  <c r="S115" i="11"/>
  <c r="R115" i="11"/>
  <c r="S114" i="11"/>
  <c r="R114" i="11"/>
  <c r="S110" i="11"/>
  <c r="R110" i="11"/>
  <c r="S109" i="11"/>
  <c r="R109" i="11"/>
  <c r="S108" i="11"/>
  <c r="R108" i="11"/>
  <c r="S107" i="11"/>
  <c r="R107" i="11"/>
  <c r="R106" i="11"/>
  <c r="S105" i="11"/>
  <c r="R105" i="11"/>
  <c r="S104" i="11"/>
  <c r="R104" i="11"/>
  <c r="S102" i="11"/>
  <c r="R102" i="11"/>
  <c r="S99" i="11"/>
  <c r="S96" i="11"/>
  <c r="R96" i="11"/>
  <c r="S94" i="11"/>
  <c r="R94" i="11"/>
  <c r="S93" i="11"/>
  <c r="R93" i="11"/>
  <c r="S92" i="11"/>
  <c r="R92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11" i="11" l="1"/>
  <c r="P167" i="11" s="1"/>
  <c r="V167" i="11" s="1"/>
  <c r="R90" i="11"/>
  <c r="R99" i="11" l="1"/>
  <c r="P188" i="11"/>
  <c r="V188" i="11" s="1"/>
  <c r="E122" i="9"/>
  <c r="E129" i="9" l="1"/>
  <c r="E144" i="9"/>
  <c r="E127" i="9"/>
  <c r="E142" i="9"/>
  <c r="E134" i="9"/>
  <c r="E126" i="9"/>
  <c r="E145" i="9"/>
  <c r="E136" i="9"/>
  <c r="E135" i="9"/>
  <c r="E141" i="9"/>
  <c r="E133" i="9"/>
  <c r="E125" i="9"/>
  <c r="E137" i="9"/>
  <c r="E143" i="9"/>
  <c r="E140" i="9"/>
  <c r="E132" i="9"/>
  <c r="E124" i="9"/>
  <c r="E128" i="9"/>
  <c r="E139" i="9"/>
  <c r="E131" i="9"/>
  <c r="E123" i="9"/>
  <c r="E138" i="9"/>
  <c r="E130" i="9"/>
  <c r="L187" i="11" l="1"/>
  <c r="R187" i="11" s="1"/>
  <c r="L172" i="11"/>
  <c r="L166" i="11"/>
  <c r="R166" i="11" s="1"/>
  <c r="L151" i="11"/>
  <c r="R151" i="11" s="1"/>
  <c r="L145" i="11"/>
  <c r="R145" i="11" s="1"/>
  <c r="L118" i="11"/>
  <c r="R118" i="11" s="1"/>
  <c r="M106" i="11"/>
  <c r="S106" i="11" s="1"/>
  <c r="M103" i="11"/>
  <c r="S103" i="11" s="1"/>
  <c r="L103" i="11"/>
  <c r="R103" i="11" s="1"/>
  <c r="M98" i="11"/>
  <c r="S98" i="11" s="1"/>
  <c r="M97" i="11"/>
  <c r="S97" i="11" s="1"/>
  <c r="M95" i="11"/>
  <c r="S95" i="11" s="1"/>
  <c r="M91" i="11"/>
  <c r="S91" i="11" s="1"/>
  <c r="M90" i="11"/>
  <c r="S90" i="11" s="1"/>
  <c r="L98" i="11"/>
  <c r="R98" i="11" s="1"/>
  <c r="L97" i="11"/>
  <c r="R97" i="11" s="1"/>
  <c r="L95" i="11"/>
  <c r="R95" i="11" s="1"/>
  <c r="L91" i="11"/>
  <c r="R91" i="11" s="1"/>
  <c r="L86" i="11"/>
  <c r="R86" i="11" s="1"/>
  <c r="L53" i="11"/>
  <c r="R53" i="11" s="1"/>
  <c r="L21" i="11"/>
  <c r="R21" i="11" s="1"/>
  <c r="O186" i="11"/>
  <c r="N186" i="11"/>
  <c r="O185" i="11"/>
  <c r="N185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1" i="11"/>
  <c r="N171" i="11"/>
  <c r="O170" i="11"/>
  <c r="N170" i="11"/>
  <c r="O165" i="11"/>
  <c r="N165" i="11"/>
  <c r="O164" i="11"/>
  <c r="N164" i="11"/>
  <c r="O163" i="11"/>
  <c r="N163" i="11"/>
  <c r="O162" i="11"/>
  <c r="N162" i="11"/>
  <c r="O161" i="11"/>
  <c r="N161" i="11"/>
  <c r="O160" i="11"/>
  <c r="N160" i="11"/>
  <c r="O159" i="11"/>
  <c r="N159" i="11"/>
  <c r="O156" i="11"/>
  <c r="N156" i="11"/>
  <c r="O155" i="11"/>
  <c r="N155" i="11"/>
  <c r="O150" i="11"/>
  <c r="N150" i="11"/>
  <c r="O149" i="11"/>
  <c r="N149" i="11"/>
  <c r="O148" i="11"/>
  <c r="N148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17" i="11"/>
  <c r="N117" i="11"/>
  <c r="O116" i="11"/>
  <c r="N116" i="11"/>
  <c r="O115" i="11"/>
  <c r="N115" i="11"/>
  <c r="O114" i="11"/>
  <c r="N114" i="11"/>
  <c r="O110" i="11"/>
  <c r="N110" i="11"/>
  <c r="O109" i="11"/>
  <c r="N109" i="11"/>
  <c r="O108" i="11"/>
  <c r="N108" i="11"/>
  <c r="O107" i="11"/>
  <c r="N107" i="11"/>
  <c r="N106" i="11"/>
  <c r="O105" i="11"/>
  <c r="N105" i="11"/>
  <c r="O104" i="11"/>
  <c r="N104" i="11"/>
  <c r="O102" i="11"/>
  <c r="N102" i="11"/>
  <c r="O99" i="11"/>
  <c r="O96" i="11"/>
  <c r="N96" i="11"/>
  <c r="O94" i="11"/>
  <c r="N94" i="11"/>
  <c r="O93" i="11"/>
  <c r="N93" i="11"/>
  <c r="O92" i="11"/>
  <c r="N92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N90" i="11" l="1"/>
  <c r="L111" i="11"/>
  <c r="P110" i="9"/>
  <c r="Q110" i="9"/>
  <c r="R110" i="9"/>
  <c r="S110" i="9"/>
  <c r="N99" i="11" l="1"/>
  <c r="L167" i="11"/>
  <c r="R167" i="11" s="1"/>
  <c r="H187" i="11"/>
  <c r="N187" i="11" s="1"/>
  <c r="H172" i="11"/>
  <c r="H166" i="11"/>
  <c r="N166" i="11" s="1"/>
  <c r="H151" i="11"/>
  <c r="N151" i="11" s="1"/>
  <c r="H145" i="11"/>
  <c r="N145" i="11" s="1"/>
  <c r="H118" i="11"/>
  <c r="N118" i="11" s="1"/>
  <c r="I106" i="11"/>
  <c r="O106" i="11" s="1"/>
  <c r="I103" i="11"/>
  <c r="O103" i="11" s="1"/>
  <c r="H103" i="11"/>
  <c r="I98" i="11"/>
  <c r="O98" i="11" s="1"/>
  <c r="I97" i="11"/>
  <c r="O97" i="11" s="1"/>
  <c r="I95" i="11"/>
  <c r="O95" i="11" s="1"/>
  <c r="I91" i="11"/>
  <c r="O91" i="11" s="1"/>
  <c r="I90" i="11"/>
  <c r="O90" i="11" s="1"/>
  <c r="H98" i="11"/>
  <c r="N98" i="11" s="1"/>
  <c r="H97" i="11"/>
  <c r="N97" i="11" s="1"/>
  <c r="H95" i="11"/>
  <c r="N95" i="11" s="1"/>
  <c r="H91" i="11"/>
  <c r="N91" i="11" s="1"/>
  <c r="H86" i="11"/>
  <c r="N86" i="11" s="1"/>
  <c r="H53" i="11"/>
  <c r="N53" i="11" s="1"/>
  <c r="H21" i="11"/>
  <c r="N21" i="11" s="1"/>
  <c r="K186" i="11"/>
  <c r="J186" i="11"/>
  <c r="K185" i="11"/>
  <c r="J185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1" i="11"/>
  <c r="J171" i="11"/>
  <c r="K170" i="11"/>
  <c r="J170" i="11"/>
  <c r="K165" i="11"/>
  <c r="J165" i="11"/>
  <c r="K164" i="11"/>
  <c r="J164" i="11"/>
  <c r="K163" i="11"/>
  <c r="J163" i="11"/>
  <c r="K162" i="11"/>
  <c r="J162" i="11"/>
  <c r="K161" i="11"/>
  <c r="J161" i="11"/>
  <c r="K160" i="11"/>
  <c r="J160" i="11"/>
  <c r="K159" i="11"/>
  <c r="J159" i="11"/>
  <c r="K156" i="11"/>
  <c r="J156" i="11"/>
  <c r="K155" i="11"/>
  <c r="J155" i="11"/>
  <c r="K150" i="11"/>
  <c r="J150" i="11"/>
  <c r="K149" i="11"/>
  <c r="J149" i="11"/>
  <c r="K148" i="11"/>
  <c r="J148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17" i="11"/>
  <c r="J117" i="11"/>
  <c r="K116" i="11"/>
  <c r="J116" i="11"/>
  <c r="K115" i="11"/>
  <c r="J115" i="11"/>
  <c r="K114" i="11"/>
  <c r="J114" i="11"/>
  <c r="K110" i="11"/>
  <c r="J110" i="11"/>
  <c r="K109" i="11"/>
  <c r="J109" i="11"/>
  <c r="K108" i="11"/>
  <c r="J108" i="11"/>
  <c r="K107" i="11"/>
  <c r="J107" i="11"/>
  <c r="J106" i="11"/>
  <c r="K105" i="11"/>
  <c r="J105" i="11"/>
  <c r="K104" i="11"/>
  <c r="J104" i="11"/>
  <c r="K102" i="11"/>
  <c r="J102" i="11"/>
  <c r="K99" i="11"/>
  <c r="K96" i="11"/>
  <c r="J96" i="11"/>
  <c r="K94" i="11"/>
  <c r="J94" i="11"/>
  <c r="K93" i="11"/>
  <c r="J93" i="11"/>
  <c r="K92" i="11"/>
  <c r="J92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J90" i="11" l="1"/>
  <c r="N103" i="11"/>
  <c r="L188" i="11"/>
  <c r="R188" i="11" s="1"/>
  <c r="H111" i="11"/>
  <c r="J99" i="11" l="1"/>
  <c r="H167" i="11"/>
  <c r="N167" i="11" s="1"/>
  <c r="D53" i="11"/>
  <c r="J53" i="11" s="1"/>
  <c r="D145" i="11"/>
  <c r="J145" i="11" s="1"/>
  <c r="E98" i="11"/>
  <c r="K98" i="11" s="1"/>
  <c r="E97" i="11"/>
  <c r="K97" i="11" s="1"/>
  <c r="E95" i="11"/>
  <c r="K95" i="11" s="1"/>
  <c r="E91" i="11"/>
  <c r="K91" i="11" s="1"/>
  <c r="E90" i="11"/>
  <c r="K90" i="11" s="1"/>
  <c r="D98" i="11"/>
  <c r="J98" i="11" s="1"/>
  <c r="D97" i="11"/>
  <c r="J97" i="11" s="1"/>
  <c r="D95" i="11"/>
  <c r="J95" i="11" s="1"/>
  <c r="D91" i="11"/>
  <c r="J91" i="11" s="1"/>
  <c r="D86" i="11"/>
  <c r="J86" i="11" s="1"/>
  <c r="D21" i="11"/>
  <c r="J21" i="11" s="1"/>
  <c r="H188" i="11" l="1"/>
  <c r="N188" i="11" s="1"/>
  <c r="E106" i="11"/>
  <c r="K106" i="11" s="1"/>
  <c r="E103" i="11"/>
  <c r="K103" i="11" s="1"/>
  <c r="D103" i="11"/>
  <c r="J103" i="11" s="1"/>
  <c r="D118" i="11"/>
  <c r="J118" i="11" s="1"/>
  <c r="D151" i="11"/>
  <c r="J151" i="11" s="1"/>
  <c r="D166" i="11"/>
  <c r="J166" i="11" s="1"/>
  <c r="D172" i="11"/>
  <c r="D187" i="11"/>
  <c r="J187" i="11" s="1"/>
  <c r="G134" i="11"/>
  <c r="F134" i="11"/>
  <c r="G41" i="11"/>
  <c r="F41" i="11"/>
  <c r="G12" i="11"/>
  <c r="F12" i="11"/>
  <c r="G186" i="11"/>
  <c r="F186" i="11"/>
  <c r="G185" i="11"/>
  <c r="F185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1" i="11"/>
  <c r="F171" i="11"/>
  <c r="G170" i="11"/>
  <c r="F170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9" i="11"/>
  <c r="F159" i="11"/>
  <c r="G156" i="11"/>
  <c r="F156" i="11"/>
  <c r="G155" i="11"/>
  <c r="F155" i="11"/>
  <c r="G150" i="11"/>
  <c r="F150" i="11"/>
  <c r="G149" i="11"/>
  <c r="F149" i="11"/>
  <c r="G148" i="11"/>
  <c r="F148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17" i="11"/>
  <c r="F117" i="11"/>
  <c r="G116" i="11"/>
  <c r="F116" i="11"/>
  <c r="G115" i="11"/>
  <c r="F115" i="11"/>
  <c r="G114" i="11"/>
  <c r="F114" i="11"/>
  <c r="G110" i="11"/>
  <c r="F110" i="11"/>
  <c r="G109" i="11"/>
  <c r="F109" i="11"/>
  <c r="G108" i="11"/>
  <c r="F108" i="11"/>
  <c r="G107" i="11"/>
  <c r="F107" i="11"/>
  <c r="F106" i="11"/>
  <c r="G105" i="11"/>
  <c r="F105" i="11"/>
  <c r="G104" i="11"/>
  <c r="F104" i="11"/>
  <c r="G102" i="11"/>
  <c r="F102" i="11"/>
  <c r="G99" i="11"/>
  <c r="G96" i="11"/>
  <c r="F96" i="11"/>
  <c r="G94" i="11"/>
  <c r="F94" i="11"/>
  <c r="G93" i="11"/>
  <c r="F93" i="11"/>
  <c r="G92" i="11"/>
  <c r="F92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0" i="11"/>
  <c r="F40" i="11"/>
  <c r="G39" i="11"/>
  <c r="F39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11" i="11" l="1"/>
  <c r="D167" i="11" s="1"/>
  <c r="J167" i="11" s="1"/>
  <c r="F90" i="11"/>
  <c r="F99" i="11" l="1"/>
  <c r="D188" i="11"/>
  <c r="J188" i="11" s="1"/>
  <c r="S135" i="9"/>
  <c r="R135" i="9"/>
  <c r="Q135" i="9"/>
  <c r="P135" i="9"/>
  <c r="S42" i="9"/>
  <c r="R42" i="9"/>
  <c r="Q42" i="9"/>
  <c r="P42" i="9"/>
  <c r="S13" i="9"/>
  <c r="R13" i="9"/>
  <c r="Q13" i="9"/>
  <c r="P13" i="9"/>
  <c r="E13" i="9" l="1"/>
  <c r="B187" i="11" l="1"/>
  <c r="B172" i="11"/>
  <c r="B166" i="11"/>
  <c r="B151" i="11"/>
  <c r="B145" i="11"/>
  <c r="B118" i="11"/>
  <c r="C106" i="11"/>
  <c r="C103" i="11"/>
  <c r="B103" i="11"/>
  <c r="C98" i="11"/>
  <c r="C97" i="11"/>
  <c r="C95" i="11"/>
  <c r="C91" i="11"/>
  <c r="C90" i="11"/>
  <c r="B98" i="11"/>
  <c r="B97" i="11"/>
  <c r="B95" i="11"/>
  <c r="B91" i="11"/>
  <c r="B86" i="11"/>
  <c r="B53" i="11"/>
  <c r="B21" i="11"/>
  <c r="F97" i="11" l="1"/>
  <c r="G106" i="11"/>
  <c r="G103" i="11"/>
  <c r="F98" i="11"/>
  <c r="G90" i="11"/>
  <c r="F118" i="11"/>
  <c r="F21" i="11"/>
  <c r="F145" i="11"/>
  <c r="F151" i="11"/>
  <c r="F86" i="11"/>
  <c r="G97" i="11"/>
  <c r="F166" i="11"/>
  <c r="F53" i="11"/>
  <c r="F91" i="11"/>
  <c r="G98" i="11"/>
  <c r="G91" i="11"/>
  <c r="G95" i="11"/>
  <c r="F95" i="11"/>
  <c r="F103" i="11"/>
  <c r="F187" i="11"/>
  <c r="B111" i="11"/>
  <c r="B167" i="11" l="1"/>
  <c r="F167" i="11" l="1"/>
  <c r="B188" i="11"/>
  <c r="F188" i="11" l="1"/>
  <c r="J10" i="1"/>
  <c r="I10" i="1"/>
  <c r="H10" i="1"/>
  <c r="G10" i="1"/>
  <c r="F10" i="1"/>
  <c r="E10" i="1"/>
  <c r="D10" i="1"/>
  <c r="C10" i="1"/>
  <c r="Q95" i="9" l="1"/>
  <c r="P95" i="9" l="1"/>
  <c r="S95" i="9"/>
  <c r="R95" i="9"/>
  <c r="P94" i="9"/>
  <c r="E95" i="9" l="1"/>
  <c r="J152" i="9" l="1"/>
  <c r="K150" i="9" s="1"/>
  <c r="K149" i="9" l="1"/>
  <c r="K151" i="9"/>
  <c r="P47" i="9" l="1"/>
  <c r="S190" i="9" l="1"/>
  <c r="S188" i="9"/>
  <c r="S187" i="9"/>
  <c r="S191" i="9"/>
  <c r="S189" i="9"/>
  <c r="S184" i="9"/>
  <c r="S181" i="9"/>
  <c r="S186" i="9"/>
  <c r="S185" i="9"/>
  <c r="S180" i="9"/>
  <c r="S183" i="9"/>
  <c r="S182" i="9"/>
  <c r="S192" i="9"/>
  <c r="S179" i="9"/>
  <c r="S174" i="9"/>
  <c r="S175" i="9"/>
  <c r="S173" i="9"/>
  <c r="S163" i="9"/>
  <c r="S166" i="9"/>
  <c r="S164" i="9"/>
  <c r="S160" i="9"/>
  <c r="S161" i="9"/>
  <c r="S162" i="9"/>
  <c r="S167" i="9"/>
  <c r="S165" i="9"/>
  <c r="S157" i="9"/>
  <c r="S156" i="9"/>
  <c r="S151" i="9"/>
  <c r="S149" i="9"/>
  <c r="S152" i="9"/>
  <c r="S150" i="9"/>
  <c r="S145" i="9"/>
  <c r="S142" i="9"/>
  <c r="S123" i="9"/>
  <c r="S124" i="9"/>
  <c r="S132" i="9"/>
  <c r="S144" i="9"/>
  <c r="S126" i="9"/>
  <c r="S133" i="9"/>
  <c r="S137" i="9"/>
  <c r="S139" i="9"/>
  <c r="S143" i="9"/>
  <c r="S129" i="9"/>
  <c r="S134" i="9"/>
  <c r="S122" i="9"/>
  <c r="S127" i="9"/>
  <c r="S136" i="9"/>
  <c r="S125" i="9"/>
  <c r="S138" i="9"/>
  <c r="S131" i="9"/>
  <c r="S128" i="9"/>
  <c r="S130" i="9"/>
  <c r="S141" i="9"/>
  <c r="S146" i="9"/>
  <c r="S140" i="9"/>
  <c r="S117" i="9"/>
  <c r="S118" i="9"/>
  <c r="S115" i="9"/>
  <c r="S119" i="9"/>
  <c r="S116" i="9"/>
  <c r="S111" i="9"/>
  <c r="S105" i="9"/>
  <c r="S103" i="9"/>
  <c r="S106" i="9"/>
  <c r="S108" i="9"/>
  <c r="S107" i="9"/>
  <c r="S104" i="9"/>
  <c r="S112" i="9"/>
  <c r="S109" i="9"/>
  <c r="S100" i="9"/>
  <c r="S97" i="9"/>
  <c r="S99" i="9"/>
  <c r="S91" i="9"/>
  <c r="S92" i="9"/>
  <c r="S93" i="9"/>
  <c r="S96" i="9"/>
  <c r="S98" i="9"/>
  <c r="S94" i="9"/>
  <c r="S75" i="9"/>
  <c r="S69" i="9"/>
  <c r="S68" i="9"/>
  <c r="S63" i="9"/>
  <c r="S84" i="9"/>
  <c r="S85" i="9"/>
  <c r="S86" i="9"/>
  <c r="S62" i="9"/>
  <c r="S82" i="9"/>
  <c r="S77" i="9"/>
  <c r="S72" i="9"/>
  <c r="S78" i="9"/>
  <c r="S80" i="9"/>
  <c r="S76" i="9"/>
  <c r="S73" i="9"/>
  <c r="S70" i="9"/>
  <c r="S67" i="9"/>
  <c r="S71" i="9"/>
  <c r="S65" i="9"/>
  <c r="S57" i="9"/>
  <c r="S58" i="9"/>
  <c r="S81" i="9"/>
  <c r="S60" i="9"/>
  <c r="S61" i="9"/>
  <c r="S74" i="9"/>
  <c r="S64" i="9"/>
  <c r="S59" i="9"/>
  <c r="S66" i="9"/>
  <c r="S83" i="9"/>
  <c r="S87" i="9"/>
  <c r="S79" i="9"/>
  <c r="S50" i="9"/>
  <c r="S26" i="9"/>
  <c r="S28" i="9"/>
  <c r="S44" i="9"/>
  <c r="S29" i="9"/>
  <c r="S41" i="9"/>
  <c r="S32" i="9"/>
  <c r="S47" i="9"/>
  <c r="S30" i="9"/>
  <c r="S35" i="9"/>
  <c r="S36" i="9"/>
  <c r="S34" i="9"/>
  <c r="S53" i="9"/>
  <c r="S25" i="9"/>
  <c r="S43" i="9"/>
  <c r="S40" i="9"/>
  <c r="S52" i="9"/>
  <c r="S31" i="9"/>
  <c r="S39" i="9"/>
  <c r="S27" i="9"/>
  <c r="S49" i="9"/>
  <c r="S51" i="9"/>
  <c r="S46" i="9"/>
  <c r="S37" i="9"/>
  <c r="S33" i="9"/>
  <c r="S45" i="9"/>
  <c r="S54" i="9"/>
  <c r="S48" i="9"/>
  <c r="S14" i="9"/>
  <c r="S11" i="9"/>
  <c r="S17" i="9"/>
  <c r="S6" i="9"/>
  <c r="S21" i="9"/>
  <c r="S8" i="9"/>
  <c r="S10" i="9"/>
  <c r="S15" i="9"/>
  <c r="S18" i="9"/>
  <c r="S9" i="9"/>
  <c r="S16" i="9"/>
  <c r="S7" i="9"/>
  <c r="S12" i="9"/>
  <c r="S20" i="9"/>
  <c r="S22" i="9"/>
  <c r="S19" i="9"/>
  <c r="P16" i="9" l="1"/>
  <c r="K10" i="1" l="1"/>
  <c r="K12" i="1" l="1"/>
  <c r="R104" i="9" l="1"/>
  <c r="Q104" i="9"/>
  <c r="P104" i="9"/>
  <c r="R98" i="9"/>
  <c r="Q98" i="9"/>
  <c r="P98" i="9"/>
  <c r="E110" i="9" l="1"/>
  <c r="E98" i="9"/>
  <c r="J22" i="9" l="1"/>
  <c r="K13" i="9" l="1"/>
  <c r="K15" i="9"/>
  <c r="R96" i="9"/>
  <c r="P96" i="9"/>
  <c r="Q96" i="9"/>
  <c r="E96" i="9" l="1"/>
  <c r="R192" i="9" l="1"/>
  <c r="Q99" i="9"/>
  <c r="Q19" i="9"/>
  <c r="R130" i="9" l="1"/>
  <c r="Q130" i="9"/>
  <c r="R66" i="9"/>
  <c r="Q66" i="9"/>
  <c r="P66" i="9"/>
  <c r="R12" i="9"/>
  <c r="Q12" i="9"/>
  <c r="P12" i="9"/>
  <c r="E66" i="9" l="1"/>
  <c r="E12" i="9"/>
  <c r="R59" i="9" l="1"/>
  <c r="Q59" i="9"/>
  <c r="P59" i="9"/>
  <c r="E59" i="9" l="1"/>
  <c r="J146" i="9" l="1"/>
  <c r="J119" i="9"/>
  <c r="J112" i="9"/>
  <c r="J87" i="9"/>
  <c r="K76" i="9" s="1"/>
  <c r="J54" i="9"/>
  <c r="K38" i="9" s="1"/>
  <c r="K95" i="9" l="1"/>
  <c r="K103" i="9"/>
  <c r="K122" i="9"/>
  <c r="K129" i="9"/>
  <c r="K145" i="9"/>
  <c r="K135" i="9"/>
  <c r="K25" i="9"/>
  <c r="K42" i="9"/>
  <c r="K138" i="9"/>
  <c r="K142" i="9"/>
  <c r="K110" i="9"/>
  <c r="K128" i="9"/>
  <c r="K82" i="9"/>
  <c r="K80" i="9"/>
  <c r="K104" i="9"/>
  <c r="E104" i="9"/>
  <c r="K96" i="9"/>
  <c r="K98" i="9"/>
  <c r="K52" i="9"/>
  <c r="K44" i="9"/>
  <c r="K66" i="9"/>
  <c r="K60" i="9"/>
  <c r="K130" i="9"/>
  <c r="K124" i="9"/>
  <c r="K43" i="9"/>
  <c r="K46" i="9"/>
  <c r="K27" i="9"/>
  <c r="K40" i="9"/>
  <c r="K37" i="9"/>
  <c r="K51" i="9"/>
  <c r="K33" i="9"/>
  <c r="K39" i="9"/>
  <c r="K49" i="9"/>
  <c r="K31" i="9"/>
  <c r="K45" i="9"/>
  <c r="K137" i="9"/>
  <c r="K125" i="9"/>
  <c r="K59" i="9"/>
  <c r="K73" i="9"/>
  <c r="R93" i="9"/>
  <c r="Q93" i="9"/>
  <c r="P93" i="9"/>
  <c r="K93" i="9"/>
  <c r="R161" i="9"/>
  <c r="Q161" i="9"/>
  <c r="P161" i="9"/>
  <c r="R128" i="9"/>
  <c r="Q128" i="9"/>
  <c r="P128" i="9"/>
  <c r="E93" i="9"/>
  <c r="E161" i="9" l="1"/>
  <c r="J192" i="9" l="1"/>
  <c r="J175" i="9"/>
  <c r="J167" i="9"/>
  <c r="K156" i="9" s="1"/>
  <c r="J168" i="9" l="1"/>
  <c r="K183" i="9"/>
  <c r="K190" i="9"/>
  <c r="K161" i="9"/>
  <c r="J193" i="9" l="1"/>
  <c r="K167" i="9"/>
  <c r="R182" i="9"/>
  <c r="Q182" i="9"/>
  <c r="P182" i="9"/>
  <c r="E182" i="9"/>
  <c r="R183" i="9"/>
  <c r="Q183" i="9"/>
  <c r="P183" i="9"/>
  <c r="E183" i="9"/>
  <c r="R180" i="9"/>
  <c r="Q180" i="9"/>
  <c r="P180" i="9"/>
  <c r="E180" i="9"/>
  <c r="R185" i="9"/>
  <c r="Q185" i="9"/>
  <c r="P185" i="9"/>
  <c r="E185" i="9"/>
  <c r="R186" i="9"/>
  <c r="Q186" i="9"/>
  <c r="P186" i="9"/>
  <c r="E186" i="9"/>
  <c r="R181" i="9"/>
  <c r="Q181" i="9"/>
  <c r="P181" i="9"/>
  <c r="E181" i="9"/>
  <c r="R184" i="9"/>
  <c r="Q184" i="9"/>
  <c r="P184" i="9"/>
  <c r="E184" i="9"/>
  <c r="R189" i="9"/>
  <c r="Q189" i="9"/>
  <c r="P189" i="9"/>
  <c r="E189" i="9"/>
  <c r="R191" i="9"/>
  <c r="Q191" i="9"/>
  <c r="P191" i="9"/>
  <c r="E191" i="9"/>
  <c r="R187" i="9"/>
  <c r="Q187" i="9"/>
  <c r="P187" i="9"/>
  <c r="E187" i="9"/>
  <c r="R188" i="9"/>
  <c r="Q188" i="9"/>
  <c r="P188" i="9"/>
  <c r="E188" i="9"/>
  <c r="R190" i="9"/>
  <c r="Q190" i="9"/>
  <c r="P190" i="9"/>
  <c r="E190" i="9"/>
  <c r="R175" i="9"/>
  <c r="P175" i="9"/>
  <c r="R174" i="9"/>
  <c r="Q174" i="9"/>
  <c r="P174" i="9"/>
  <c r="K174" i="9"/>
  <c r="E174" i="9"/>
  <c r="R173" i="9"/>
  <c r="Q173" i="9"/>
  <c r="P173" i="9"/>
  <c r="K173" i="9"/>
  <c r="E173" i="9"/>
  <c r="R167" i="9"/>
  <c r="K165" i="9"/>
  <c r="E157" i="9"/>
  <c r="R162" i="9"/>
  <c r="Q162" i="9"/>
  <c r="P162" i="9"/>
  <c r="R160" i="9"/>
  <c r="Q160" i="9"/>
  <c r="P160" i="9"/>
  <c r="R164" i="9"/>
  <c r="Q164" i="9"/>
  <c r="P164" i="9"/>
  <c r="R166" i="9"/>
  <c r="Q166" i="9"/>
  <c r="P166" i="9"/>
  <c r="R163" i="9"/>
  <c r="Q163" i="9"/>
  <c r="P163" i="9"/>
  <c r="E163" i="9"/>
  <c r="R165" i="9"/>
  <c r="Q165" i="9"/>
  <c r="P165" i="9"/>
  <c r="R157" i="9"/>
  <c r="Q157" i="9"/>
  <c r="P157" i="9"/>
  <c r="K157" i="9"/>
  <c r="R156" i="9"/>
  <c r="Q156" i="9"/>
  <c r="P156" i="9"/>
  <c r="R152" i="9"/>
  <c r="P152" i="9"/>
  <c r="R149" i="9"/>
  <c r="Q149" i="9"/>
  <c r="P149" i="9"/>
  <c r="E149" i="9"/>
  <c r="R151" i="9"/>
  <c r="Q151" i="9"/>
  <c r="P151" i="9"/>
  <c r="E151" i="9"/>
  <c r="R150" i="9"/>
  <c r="Q150" i="9"/>
  <c r="P150" i="9"/>
  <c r="E150" i="9"/>
  <c r="R146" i="9"/>
  <c r="R141" i="9"/>
  <c r="Q141" i="9"/>
  <c r="P141" i="9"/>
  <c r="R131" i="9"/>
  <c r="Q131" i="9"/>
  <c r="P131" i="9"/>
  <c r="R138" i="9"/>
  <c r="Q138" i="9"/>
  <c r="P138" i="9"/>
  <c r="R125" i="9"/>
  <c r="Q125" i="9"/>
  <c r="P125" i="9"/>
  <c r="R136" i="9"/>
  <c r="Q136" i="9"/>
  <c r="P136" i="9"/>
  <c r="R127" i="9"/>
  <c r="Q127" i="9"/>
  <c r="P127" i="9"/>
  <c r="R122" i="9"/>
  <c r="Q122" i="9"/>
  <c r="P122" i="9"/>
  <c r="R134" i="9"/>
  <c r="Q134" i="9"/>
  <c r="P134" i="9"/>
  <c r="R129" i="9"/>
  <c r="Q129" i="9"/>
  <c r="P129" i="9"/>
  <c r="R143" i="9"/>
  <c r="Q143" i="9"/>
  <c r="P143" i="9"/>
  <c r="R139" i="9"/>
  <c r="Q139" i="9"/>
  <c r="P139" i="9"/>
  <c r="R137" i="9"/>
  <c r="Q137" i="9"/>
  <c r="P137" i="9"/>
  <c r="R133" i="9"/>
  <c r="Q133" i="9"/>
  <c r="P133" i="9"/>
  <c r="R126" i="9"/>
  <c r="Q126" i="9"/>
  <c r="P126" i="9"/>
  <c r="R144" i="9"/>
  <c r="Q144" i="9"/>
  <c r="P144" i="9"/>
  <c r="R132" i="9"/>
  <c r="Q132" i="9"/>
  <c r="P132" i="9"/>
  <c r="R124" i="9"/>
  <c r="Q124" i="9"/>
  <c r="P124" i="9"/>
  <c r="R123" i="9"/>
  <c r="Q123" i="9"/>
  <c r="P123" i="9"/>
  <c r="R142" i="9"/>
  <c r="Q142" i="9"/>
  <c r="P142" i="9"/>
  <c r="R145" i="9"/>
  <c r="Q145" i="9"/>
  <c r="P145" i="9"/>
  <c r="R140" i="9"/>
  <c r="Q140" i="9"/>
  <c r="P140" i="9"/>
  <c r="R119" i="9"/>
  <c r="P119" i="9"/>
  <c r="E115" i="9"/>
  <c r="R115" i="9"/>
  <c r="Q115" i="9"/>
  <c r="P115" i="9"/>
  <c r="R118" i="9"/>
  <c r="Q118" i="9"/>
  <c r="P118" i="9"/>
  <c r="E118" i="9"/>
  <c r="R117" i="9"/>
  <c r="Q117" i="9"/>
  <c r="P117" i="9"/>
  <c r="R116" i="9"/>
  <c r="Q116" i="9"/>
  <c r="P116" i="9"/>
  <c r="E116" i="9"/>
  <c r="R112" i="9"/>
  <c r="R107" i="9"/>
  <c r="Q107" i="9"/>
  <c r="P107" i="9"/>
  <c r="R108" i="9"/>
  <c r="Q108" i="9"/>
  <c r="P108" i="9"/>
  <c r="R106" i="9"/>
  <c r="Q106" i="9"/>
  <c r="P106" i="9"/>
  <c r="R103" i="9"/>
  <c r="Q103" i="9"/>
  <c r="P103" i="9"/>
  <c r="R105" i="9"/>
  <c r="Q105" i="9"/>
  <c r="P105" i="9"/>
  <c r="R111" i="9"/>
  <c r="Q111" i="9"/>
  <c r="P111" i="9"/>
  <c r="R109" i="9"/>
  <c r="Q109" i="9"/>
  <c r="P109" i="9"/>
  <c r="R92" i="9"/>
  <c r="Q92" i="9"/>
  <c r="R91" i="9"/>
  <c r="P91" i="9"/>
  <c r="Q91" i="9"/>
  <c r="R99" i="9"/>
  <c r="P99" i="9"/>
  <c r="R97" i="9"/>
  <c r="Q97" i="9"/>
  <c r="P97" i="9"/>
  <c r="R100" i="9"/>
  <c r="Q100" i="9"/>
  <c r="P100" i="9"/>
  <c r="R94" i="9"/>
  <c r="Q94" i="9"/>
  <c r="R87" i="9"/>
  <c r="P87" i="9"/>
  <c r="E83" i="9"/>
  <c r="R83" i="9"/>
  <c r="Q83" i="9"/>
  <c r="P83" i="9"/>
  <c r="R64" i="9"/>
  <c r="Q64" i="9"/>
  <c r="P64" i="9"/>
  <c r="E64" i="9"/>
  <c r="R74" i="9"/>
  <c r="Q74" i="9"/>
  <c r="P74" i="9"/>
  <c r="R61" i="9"/>
  <c r="Q61" i="9"/>
  <c r="P61" i="9"/>
  <c r="R60" i="9"/>
  <c r="Q60" i="9"/>
  <c r="P60" i="9"/>
  <c r="E60" i="9"/>
  <c r="R81" i="9"/>
  <c r="Q81" i="9"/>
  <c r="P81" i="9"/>
  <c r="E81" i="9"/>
  <c r="R58" i="9"/>
  <c r="Q58" i="9"/>
  <c r="P58" i="9"/>
  <c r="E58" i="9"/>
  <c r="R57" i="9"/>
  <c r="Q57" i="9"/>
  <c r="E57" i="9"/>
  <c r="R65" i="9"/>
  <c r="Q65" i="9"/>
  <c r="P65" i="9"/>
  <c r="E65" i="9"/>
  <c r="R71" i="9"/>
  <c r="Q71" i="9"/>
  <c r="P71" i="9"/>
  <c r="E71" i="9"/>
  <c r="R67" i="9"/>
  <c r="Q67" i="9"/>
  <c r="P67" i="9"/>
  <c r="E67" i="9"/>
  <c r="R70" i="9"/>
  <c r="Q70" i="9"/>
  <c r="P70" i="9"/>
  <c r="E70" i="9"/>
  <c r="R73" i="9"/>
  <c r="Q73" i="9"/>
  <c r="P73" i="9"/>
  <c r="E73" i="9"/>
  <c r="R76" i="9"/>
  <c r="Q76" i="9"/>
  <c r="P76" i="9"/>
  <c r="E76" i="9"/>
  <c r="R80" i="9"/>
  <c r="Q80" i="9"/>
  <c r="P80" i="9"/>
  <c r="E80" i="9"/>
  <c r="R78" i="9"/>
  <c r="Q78" i="9"/>
  <c r="P78" i="9"/>
  <c r="E78" i="9"/>
  <c r="R72" i="9"/>
  <c r="Q72" i="9"/>
  <c r="P72" i="9"/>
  <c r="E72" i="9"/>
  <c r="R77" i="9"/>
  <c r="Q77" i="9"/>
  <c r="P77" i="9"/>
  <c r="E77" i="9"/>
  <c r="R82" i="9"/>
  <c r="Q82" i="9"/>
  <c r="P82" i="9"/>
  <c r="E82" i="9"/>
  <c r="R62" i="9"/>
  <c r="Q62" i="9"/>
  <c r="P62" i="9"/>
  <c r="E62" i="9"/>
  <c r="R86" i="9"/>
  <c r="Q86" i="9"/>
  <c r="P86" i="9"/>
  <c r="E86" i="9"/>
  <c r="R85" i="9"/>
  <c r="Q85" i="9"/>
  <c r="P85" i="9"/>
  <c r="E85" i="9"/>
  <c r="R84" i="9"/>
  <c r="Q84" i="9"/>
  <c r="P84" i="9"/>
  <c r="E84" i="9"/>
  <c r="R63" i="9"/>
  <c r="Q63" i="9"/>
  <c r="P63" i="9"/>
  <c r="E63" i="9"/>
  <c r="R68" i="9"/>
  <c r="Q68" i="9"/>
  <c r="E68" i="9"/>
  <c r="R69" i="9"/>
  <c r="Q69" i="9"/>
  <c r="P69" i="9"/>
  <c r="E69" i="9"/>
  <c r="R75" i="9"/>
  <c r="Q75" i="9"/>
  <c r="P75" i="9"/>
  <c r="E75" i="9"/>
  <c r="R79" i="9"/>
  <c r="Q79" i="9"/>
  <c r="P79" i="9"/>
  <c r="E79" i="9"/>
  <c r="R54" i="9"/>
  <c r="E39" i="9"/>
  <c r="R45" i="9"/>
  <c r="Q45" i="9"/>
  <c r="P45" i="9"/>
  <c r="R33" i="9"/>
  <c r="Q33" i="9"/>
  <c r="P33" i="9"/>
  <c r="R37" i="9"/>
  <c r="Q37" i="9"/>
  <c r="P37" i="9"/>
  <c r="R46" i="9"/>
  <c r="Q46" i="9"/>
  <c r="P46" i="9"/>
  <c r="R51" i="9"/>
  <c r="Q51" i="9"/>
  <c r="P51" i="9"/>
  <c r="R49" i="9"/>
  <c r="Q49" i="9"/>
  <c r="P49" i="9"/>
  <c r="R27" i="9"/>
  <c r="Q27" i="9"/>
  <c r="P27" i="9"/>
  <c r="R39" i="9"/>
  <c r="Q39" i="9"/>
  <c r="P39" i="9"/>
  <c r="R31" i="9"/>
  <c r="Q31" i="9"/>
  <c r="P31" i="9"/>
  <c r="R52" i="9"/>
  <c r="Q52" i="9"/>
  <c r="P52" i="9"/>
  <c r="R40" i="9"/>
  <c r="Q40" i="9"/>
  <c r="P40" i="9"/>
  <c r="R43" i="9"/>
  <c r="Q43" i="9"/>
  <c r="P43" i="9"/>
  <c r="R25" i="9"/>
  <c r="Q25" i="9"/>
  <c r="P25" i="9"/>
  <c r="R53" i="9"/>
  <c r="Q53" i="9"/>
  <c r="P53" i="9"/>
  <c r="R34" i="9"/>
  <c r="Q34" i="9"/>
  <c r="P34" i="9"/>
  <c r="R36" i="9"/>
  <c r="Q36" i="9"/>
  <c r="P36" i="9"/>
  <c r="R35" i="9"/>
  <c r="Q35" i="9"/>
  <c r="P35" i="9"/>
  <c r="R30" i="9"/>
  <c r="Q30" i="9"/>
  <c r="P30" i="9"/>
  <c r="R47" i="9"/>
  <c r="Q47" i="9"/>
  <c r="R32" i="9"/>
  <c r="Q32" i="9"/>
  <c r="P32" i="9"/>
  <c r="R41" i="9"/>
  <c r="Q41" i="9"/>
  <c r="P41" i="9"/>
  <c r="R29" i="9"/>
  <c r="Q29" i="9"/>
  <c r="P29" i="9"/>
  <c r="R44" i="9"/>
  <c r="Q44" i="9"/>
  <c r="P44" i="9"/>
  <c r="R28" i="9"/>
  <c r="Q28" i="9"/>
  <c r="P28" i="9"/>
  <c r="R26" i="9"/>
  <c r="Q26" i="9"/>
  <c r="P26" i="9"/>
  <c r="R50" i="9"/>
  <c r="Q50" i="9"/>
  <c r="P50" i="9"/>
  <c r="R48" i="9"/>
  <c r="Q48" i="9"/>
  <c r="P48" i="9"/>
  <c r="R22" i="9"/>
  <c r="P22" i="9"/>
  <c r="E8" i="9"/>
  <c r="R20" i="9"/>
  <c r="Q20" i="9"/>
  <c r="P20" i="9"/>
  <c r="R7" i="9"/>
  <c r="Q7" i="9"/>
  <c r="R16" i="9"/>
  <c r="Q16" i="9"/>
  <c r="R9" i="9"/>
  <c r="Q9" i="9"/>
  <c r="P9" i="9"/>
  <c r="R18" i="9"/>
  <c r="Q18" i="9"/>
  <c r="P18" i="9"/>
  <c r="R15" i="9"/>
  <c r="Q15" i="9"/>
  <c r="P15" i="9"/>
  <c r="E15" i="9"/>
  <c r="R10" i="9"/>
  <c r="Q10" i="9"/>
  <c r="P10" i="9"/>
  <c r="R8" i="9"/>
  <c r="Q8" i="9"/>
  <c r="P8" i="9"/>
  <c r="R21" i="9"/>
  <c r="Q21" i="9"/>
  <c r="P21" i="9"/>
  <c r="E21" i="9"/>
  <c r="R6" i="9"/>
  <c r="Q6" i="9"/>
  <c r="P6" i="9"/>
  <c r="R17" i="9"/>
  <c r="Q17" i="9"/>
  <c r="P17" i="9"/>
  <c r="E17" i="9"/>
  <c r="R11" i="9"/>
  <c r="Q11" i="9"/>
  <c r="P11" i="9"/>
  <c r="R14" i="9"/>
  <c r="Q14" i="9"/>
  <c r="P14" i="9"/>
  <c r="R19" i="9"/>
  <c r="P19" i="9"/>
  <c r="E19" i="9"/>
  <c r="K180" i="9" l="1"/>
  <c r="K187" i="9"/>
  <c r="K189" i="9"/>
  <c r="K181" i="9"/>
  <c r="K188" i="9"/>
  <c r="K185" i="9"/>
  <c r="P192" i="9"/>
  <c r="K186" i="9"/>
  <c r="K182" i="9"/>
  <c r="K184" i="9"/>
  <c r="K166" i="9"/>
  <c r="K163" i="9"/>
  <c r="K164" i="9"/>
  <c r="K160" i="9"/>
  <c r="K162" i="9"/>
  <c r="K123" i="9"/>
  <c r="K67" i="9"/>
  <c r="K75" i="9"/>
  <c r="K85" i="9"/>
  <c r="K78" i="9"/>
  <c r="K64" i="9"/>
  <c r="K84" i="9"/>
  <c r="K63" i="9"/>
  <c r="K65" i="9"/>
  <c r="K58" i="9"/>
  <c r="K61" i="9"/>
  <c r="K34" i="9"/>
  <c r="K29" i="9"/>
  <c r="K28" i="9"/>
  <c r="K50" i="9"/>
  <c r="K35" i="9"/>
  <c r="K32" i="9"/>
  <c r="K48" i="9"/>
  <c r="K30" i="9"/>
  <c r="P54" i="9"/>
  <c r="K14" i="9"/>
  <c r="K17" i="9"/>
  <c r="K21" i="9"/>
  <c r="K16" i="9"/>
  <c r="K19" i="9"/>
  <c r="K18" i="9"/>
  <c r="K10" i="9"/>
  <c r="K11" i="9"/>
  <c r="K144" i="9"/>
  <c r="K139" i="9"/>
  <c r="K134" i="9"/>
  <c r="K117" i="9"/>
  <c r="K118" i="9"/>
  <c r="K116" i="9"/>
  <c r="K7" i="9"/>
  <c r="K6" i="9"/>
  <c r="K8" i="9"/>
  <c r="K9" i="9"/>
  <c r="E156" i="9"/>
  <c r="E160" i="9"/>
  <c r="P167" i="9"/>
  <c r="E7" i="9"/>
  <c r="K68" i="9"/>
  <c r="K72" i="9"/>
  <c r="K71" i="9"/>
  <c r="K132" i="9"/>
  <c r="K141" i="9"/>
  <c r="P146" i="9"/>
  <c r="E164" i="9"/>
  <c r="E11" i="9"/>
  <c r="E9" i="9"/>
  <c r="E10" i="9"/>
  <c r="K26" i="9"/>
  <c r="K41" i="9"/>
  <c r="K47" i="9"/>
  <c r="K36" i="9"/>
  <c r="K53" i="9"/>
  <c r="K79" i="9"/>
  <c r="K62" i="9"/>
  <c r="K70" i="9"/>
  <c r="E74" i="9"/>
  <c r="E117" i="9"/>
  <c r="E165" i="9"/>
  <c r="P92" i="9"/>
  <c r="K133" i="9"/>
  <c r="K127" i="9"/>
  <c r="K57" i="9"/>
  <c r="K74" i="9"/>
  <c r="K126" i="9"/>
  <c r="E162" i="9"/>
  <c r="K140" i="9"/>
  <c r="E14" i="9"/>
  <c r="E18" i="9"/>
  <c r="E20" i="9"/>
  <c r="K69" i="9"/>
  <c r="K77" i="9"/>
  <c r="K81" i="9"/>
  <c r="K143" i="9"/>
  <c r="K131" i="9"/>
  <c r="E166" i="9"/>
  <c r="E92" i="9"/>
  <c r="E6" i="9"/>
  <c r="E16" i="9"/>
  <c r="K86" i="9"/>
  <c r="E61" i="9"/>
  <c r="K83" i="9"/>
  <c r="K115" i="9"/>
  <c r="E109" i="9" l="1"/>
  <c r="E103" i="9"/>
  <c r="E107" i="9"/>
  <c r="E111" i="9"/>
  <c r="E97" i="9"/>
  <c r="E106" i="9"/>
  <c r="E99" i="9"/>
  <c r="E108" i="9"/>
  <c r="E94" i="9"/>
  <c r="E91" i="9"/>
  <c r="E105" i="9"/>
  <c r="E100" i="9"/>
  <c r="E146" i="9" l="1"/>
  <c r="E119" i="9"/>
  <c r="E152" i="9"/>
  <c r="E167" i="9"/>
  <c r="E54" i="9"/>
  <c r="E22" i="9"/>
  <c r="E87" i="9"/>
  <c r="E112" i="9"/>
  <c r="AT143" i="11" l="1"/>
  <c r="AT138" i="11"/>
  <c r="AQ138" i="11"/>
  <c r="AS138" i="11" s="1"/>
  <c r="AT137" i="11"/>
  <c r="AS137" i="11"/>
  <c r="AT136" i="11"/>
  <c r="AS136" i="11"/>
  <c r="AT135" i="11"/>
  <c r="AS135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Q125" i="11"/>
  <c r="AQ143" i="11" s="1"/>
  <c r="AS143" i="11" s="1"/>
  <c r="AT124" i="11"/>
  <c r="AQ124" i="11"/>
  <c r="AS124" i="11" s="1"/>
  <c r="AT120" i="11"/>
  <c r="AS120" i="11"/>
  <c r="AT118" i="11"/>
  <c r="AS118" i="11"/>
  <c r="AT117" i="11"/>
  <c r="AS117" i="11"/>
  <c r="AT116" i="11"/>
  <c r="AS116" i="11"/>
  <c r="AT115" i="11"/>
  <c r="AS115" i="11"/>
  <c r="AT114" i="11"/>
  <c r="AS114" i="11"/>
  <c r="AT113" i="11"/>
  <c r="AQ113" i="11"/>
  <c r="AS113" i="11" s="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6" i="11"/>
  <c r="AS96" i="11"/>
  <c r="AT95" i="11"/>
  <c r="AS95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15" i="11"/>
  <c r="AS15" i="11"/>
  <c r="AT14" i="11"/>
  <c r="AS14" i="11"/>
  <c r="AT13" i="11"/>
  <c r="AS13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5" i="11" l="1"/>
  <c r="T175" i="9"/>
  <c r="T193" i="9"/>
  <c r="K106" i="9"/>
  <c r="P168" i="9" l="1"/>
  <c r="K99" i="9"/>
  <c r="K92" i="9"/>
  <c r="K107" i="9"/>
  <c r="K109" i="9"/>
  <c r="K105" i="9"/>
  <c r="K108" i="9"/>
  <c r="K97" i="9"/>
  <c r="P112" i="9"/>
  <c r="K100" i="9"/>
  <c r="K94" i="9"/>
  <c r="K91" i="9"/>
  <c r="K111" i="9"/>
  <c r="K54" i="9" l="1"/>
  <c r="K87" i="9"/>
  <c r="T168" i="9"/>
  <c r="K152" i="9"/>
  <c r="K22" i="9"/>
  <c r="K112" i="9"/>
  <c r="K146" i="9"/>
  <c r="K119" i="9"/>
</calcChain>
</file>

<file path=xl/sharedStrings.xml><?xml version="1.0" encoding="utf-8"?>
<sst xmlns="http://schemas.openxmlformats.org/spreadsheetml/2006/main" count="722" uniqueCount="285">
  <si>
    <t>EQUITY BASED FUNDS</t>
  </si>
  <si>
    <t>S/N</t>
  </si>
  <si>
    <t>FUND</t>
  </si>
  <si>
    <t>Unit Price</t>
  </si>
  <si>
    <t>N</t>
  </si>
  <si>
    <t>Stanbic IBTC Asset Mgt. Limited</t>
  </si>
  <si>
    <t>Asset &amp; Resources Mgt. Co. Ltd</t>
  </si>
  <si>
    <t>FSDH Asset Management Ltd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</si>
  <si>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</si>
  <si>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</si>
  <si>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</si>
  <si>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</si>
  <si>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</si>
  <si>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</si>
  <si>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</si>
  <si>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</si>
  <si>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</si>
  <si>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</si>
  <si>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</si>
  <si>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</si>
  <si>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</si>
  <si>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</si>
  <si>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</si>
  <si>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</si>
  <si>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</si>
  <si>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</si>
  <si>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</si>
  <si>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</si>
  <si>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</si>
  <si>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</si>
  <si>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</si>
  <si>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</si>
  <si>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</si>
  <si>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</si>
  <si>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</si>
  <si>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</si>
  <si>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</si>
  <si>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</si>
  <si>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</si>
  <si>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</si>
  <si>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</si>
  <si>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</si>
  <si>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</si>
  <si>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</si>
  <si>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</si>
  <si>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</si>
  <si>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</si>
  <si>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</si>
  <si>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</si>
  <si>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</si>
  <si>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</si>
  <si>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</si>
  <si>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</si>
  <si>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</si>
  <si>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</si>
  <si>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</si>
  <si>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</si>
  <si>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</si>
  <si>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</si>
  <si>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</si>
  <si>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</si>
  <si>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</si>
  <si>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</si>
  <si>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</si>
  <si>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</si>
  <si>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</si>
  <si>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</si>
  <si>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</si>
  <si>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</si>
  <si>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</si>
  <si>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</si>
  <si>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</si>
  <si>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</si>
  <si>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</si>
  <si>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</si>
  <si>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</si>
  <si>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</si>
  <si>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</si>
  <si>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</si>
  <si>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</si>
  <si>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</si>
  <si>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</si>
  <si>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</si>
  <si>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</si>
  <si>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</si>
  <si>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</si>
  <si>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</si>
  <si>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</si>
  <si>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</si>
  <si>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</si>
  <si>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</si>
  <si>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</si>
  <si>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</si>
  <si>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</si>
  <si>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</si>
  <si>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</si>
  <si>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</si>
  <si>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</si>
  <si>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</si>
  <si>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</si>
  <si>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</si>
  <si>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</si>
  <si>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</si>
  <si>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</si>
  <si>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</si>
  <si>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</si>
  <si>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</si>
  <si>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</si>
  <si>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</si>
  <si>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</si>
  <si>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</si>
  <si>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</si>
  <si>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</si>
  <si>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</si>
  <si>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</si>
  <si>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</si>
  <si>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</si>
  <si>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</si>
  <si>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</si>
  <si>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</si>
  <si>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Legacy USD Bond Fund</t>
  </si>
  <si>
    <t>Legacy Money Market Fund</t>
  </si>
  <si>
    <t>GDL Money Market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</si>
  <si>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</si>
  <si>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</si>
  <si>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</si>
  <si>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</si>
  <si>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</si>
  <si>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</si>
  <si>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</si>
  <si>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</si>
  <si>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</si>
  <si>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</si>
  <si>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</si>
  <si>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</si>
  <si>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</si>
  <si>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</si>
  <si>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</si>
  <si>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</si>
  <si>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</si>
  <si>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</si>
  <si>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</si>
  <si>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</si>
  <si>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</si>
  <si>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</si>
  <si>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</si>
  <si>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</si>
  <si>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</si>
  <si>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</si>
  <si>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</si>
  <si>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</si>
  <si>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</si>
  <si>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</si>
  <si>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</si>
  <si>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</si>
  <si>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</si>
  <si>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</si>
  <si>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</si>
  <si>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</si>
  <si>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 xml:space="preserve">Novambl Asset Management 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</si>
  <si>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</si>
  <si>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</si>
  <si>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</si>
  <si>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</si>
  <si>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</si>
  <si>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</si>
  <si>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</si>
  <si>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</si>
  <si>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</si>
  <si>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</si>
  <si>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</si>
  <si>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</si>
  <si>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</si>
  <si>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</si>
  <si>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</si>
  <si>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</si>
  <si>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</si>
  <si>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</si>
  <si>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</si>
  <si>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</si>
  <si>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</si>
  <si>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</si>
  <si>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</si>
  <si>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</si>
  <si>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</si>
  <si>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</si>
  <si>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</si>
  <si>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</si>
  <si>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</si>
  <si>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</si>
  <si>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</si>
  <si>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</si>
  <si>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</si>
  <si>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</si>
  <si>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</si>
  <si>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</si>
  <si>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</si>
  <si>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</si>
  <si>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</si>
  <si>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</si>
  <si>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</si>
  <si>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</si>
  <si>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</si>
  <si>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</si>
  <si>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</si>
  <si>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</si>
  <si>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</si>
  <si>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</si>
  <si>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</si>
  <si>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</si>
  <si>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</si>
  <si>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</si>
  <si>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</si>
  <si>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</si>
  <si>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</si>
  <si>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</si>
  <si>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</si>
  <si>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</si>
  <si>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</si>
  <si>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</si>
  <si>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</si>
  <si>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</si>
  <si>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</si>
  <si>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</si>
  <si>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</si>
  <si>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</si>
  <si>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</si>
  <si>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</si>
  <si>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</si>
  <si>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</si>
  <si>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</si>
  <si>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</si>
  <si>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</si>
  <si>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</si>
  <si>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</si>
  <si>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</si>
  <si>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</si>
  <si>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</si>
  <si>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</si>
  <si>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</si>
  <si>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</si>
  <si>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</si>
  <si>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</si>
  <si>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</si>
  <si>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</si>
  <si>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</si>
  <si>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</si>
  <si>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</si>
  <si>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</si>
  <si>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</si>
  <si>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</si>
  <si>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United Capital Nigerian Eurobond Fund</t>
  </si>
  <si>
    <t>United Capital Global Fixed Income Fund</t>
  </si>
  <si>
    <t>Yield (WTD)</t>
  </si>
  <si>
    <t>Yield  (YTD)</t>
  </si>
  <si>
    <t>Greenwich Balanced Fund</t>
  </si>
  <si>
    <t>Yield (%) WYD</t>
  </si>
  <si>
    <t>Yield (%) YTD</t>
  </si>
  <si>
    <t>Coronation Asset Management Ltd</t>
  </si>
  <si>
    <t>% Change in Total NAV of ETFs</t>
  </si>
  <si>
    <t>% Change in Total NAV of CIS</t>
  </si>
  <si>
    <t>First Ally Money Market Fund</t>
  </si>
  <si>
    <t>BOND/FIXED INCOME FUNDS</t>
  </si>
  <si>
    <t>Emerging Africa Balanced-Diversity Fund</t>
  </si>
  <si>
    <t>GDL CanaryGrowth Fund</t>
  </si>
  <si>
    <t>Coral Balanced Fund</t>
  </si>
  <si>
    <t>FBN Specialized Dollar Fund</t>
  </si>
  <si>
    <t>NAV and Unit Price as at Week Ended June 9, 2023</t>
  </si>
  <si>
    <t>Guaranty Trust Equity Income Fund (GTEIF)</t>
  </si>
  <si>
    <t>Guaranty Trust Money Market Fund (GTMMF)</t>
  </si>
  <si>
    <t>Vantage Guaranteed Income Fund (VGIF)</t>
  </si>
  <si>
    <t>Vantage Dollar Fund (VDF)</t>
  </si>
  <si>
    <t>Guaranty Trust Balanced Fund (GTBF)</t>
  </si>
  <si>
    <t>NAV and Unit Price as at Week Ended June 16, 2023</t>
  </si>
  <si>
    <t>NAV and Unit Price as at Week Ended June 23, 2023</t>
  </si>
  <si>
    <t>NAV and Unit Price as at Week Ended June 30, 2023</t>
  </si>
  <si>
    <t>NAV and Unit Price as at Week Ended July 7, 2023</t>
  </si>
  <si>
    <t>NAV and Unit Price as at Week Ended July 14, 2023</t>
  </si>
  <si>
    <t>NAV and Unit Price as at Week Ended July 21, 2023</t>
  </si>
  <si>
    <t>NAV, Unit Price and Yield as at Week Ended July 28, 2023</t>
  </si>
  <si>
    <t>NAV and Unit Price as at Week Ended July 28, 2023</t>
  </si>
  <si>
    <t>NET ASSET VALUES AND UNIT PRICES OF COLLECTIVE INVESTMENT SCHEMES AS AT WEEK ENDED AUGUST 4, 2023</t>
  </si>
  <si>
    <t>NAV, Unit Price and Yield as at Week Ended August 4, 2023</t>
  </si>
  <si>
    <t>NAV and Unit Price as at Week Ended August 4, 2023</t>
  </si>
  <si>
    <t>The chart above shows that Money Market Fund category has 44.68% share of the Net Asset Value (NAV), followed by Dollar Fund (Eurobonds and Fixed Income) with 28.87%, Bond/Fixed Income Fund at 16.75%, Real Estate Investment Trust at 4.88%.  Next is Balanced Fund at 2.03%, Shari'ah Compliant Fund at 1.46%, Equity Fund at 1.14%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</si>
</sst>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&quot;True&quot;;&quot;True&quot;;&quot;False&quot;"/>
    <numFmt numFmtId="171" formatCode="#,##0_ ;\-#,##0\ "/>
    <numFmt numFmtId="172" formatCode="&quot; &quot;#,##0.00&quot; &quot;;&quot;-&quot;#,##0.00&quot; &quot;;&quot; -&quot;00&quot; &quot;;&quot; &quot;@&quot; &quot;"/>
    <numFmt numFmtId="173" formatCode="_([$€]* #,##0.00_);_([$€]* \(#,##0.00\);_([$€]* &quot;-&quot;??_);_(@_)"/>
  </numFmts>
  <fonts count="9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  <font>
      <b/>
      <sz val="14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6"/>
      <color theme="0"/>
      <name val="Arial Narrow"/>
      <family val="2"/>
    </font>
    <font>
      <b/>
      <sz val="10"/>
      <color theme="0"/>
      <name val="Arial Narrow"/>
      <family val="2"/>
    </font>
    <font>
      <b/>
      <sz val="36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14" borderId="0" applyNumberFormat="0" applyBorder="0" applyAlignment="0" applyProtection="0"/>
    <xf numFmtId="0" fontId="46" fillId="16" borderId="15" applyNumberFormat="0" applyAlignment="0" applyProtection="0"/>
    <xf numFmtId="0" fontId="47" fillId="17" borderId="16" applyNumberFormat="0" applyAlignment="0" applyProtection="0"/>
    <xf numFmtId="0" fontId="48" fillId="17" borderId="15" applyNumberFormat="0" applyAlignment="0" applyProtection="0"/>
    <xf numFmtId="0" fontId="49" fillId="0" borderId="17" applyNumberFormat="0" applyFill="0" applyAlignment="0" applyProtection="0"/>
    <xf numFmtId="0" fontId="50" fillId="18" borderId="18" applyNumberFormat="0" applyAlignment="0" applyProtection="0"/>
    <xf numFmtId="0" fontId="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2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8" fillId="0" borderId="0"/>
    <xf numFmtId="0" fontId="70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" fillId="19" borderId="19" applyNumberFormat="0" applyFont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74" fillId="0" borderId="0">
      <alignment vertical="top"/>
    </xf>
    <xf numFmtId="0" fontId="74" fillId="0" borderId="0">
      <alignment vertical="top"/>
    </xf>
    <xf numFmtId="0" fontId="53" fillId="0" borderId="0">
      <alignment wrapText="1"/>
    </xf>
    <xf numFmtId="0" fontId="55" fillId="0" borderId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5" fillId="0" borderId="0"/>
    <xf numFmtId="164" fontId="53" fillId="0" borderId="0" applyFont="0" applyFill="0" applyBorder="0" applyAlignment="0" applyProtection="0"/>
    <xf numFmtId="0" fontId="76" fillId="48" borderId="0" applyNumberFormat="0" applyBorder="0" applyAlignment="0" applyProtection="0"/>
    <xf numFmtId="0" fontId="77" fillId="16" borderId="15" applyNumberFormat="0" applyAlignment="0" applyProtection="0"/>
    <xf numFmtId="0" fontId="78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/>
    <xf numFmtId="0" fontId="5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43" fontId="5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7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/>
    <xf numFmtId="0" fontId="53" fillId="0" borderId="0">
      <alignment wrapText="1"/>
    </xf>
    <xf numFmtId="0" fontId="53" fillId="0" borderId="0">
      <alignment wrapText="1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57" fillId="0" borderId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7" fillId="0" borderId="0" applyNumberFormat="0" applyFont="0" applyBorder="0" applyProtection="0"/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5" fillId="19" borderId="19" applyNumberFormat="0" applyFont="0" applyAlignment="0" applyProtection="0"/>
    <xf numFmtId="9" fontId="57" fillId="0" borderId="0" applyFont="0" applyFill="0" applyBorder="0" applyAlignment="0" applyProtection="0"/>
    <xf numFmtId="9" fontId="87" fillId="0" borderId="0" applyFont="0" applyFill="0" applyBorder="0" applyAlignment="0" applyProtection="0"/>
    <xf numFmtId="169" fontId="53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>
      <alignment wrapText="1"/>
    </xf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8" fillId="0" borderId="0"/>
    <xf numFmtId="0" fontId="53" fillId="0" borderId="0">
      <alignment wrapText="1"/>
    </xf>
    <xf numFmtId="0" fontId="5" fillId="0" borderId="0"/>
    <xf numFmtId="0" fontId="5" fillId="0" borderId="0"/>
    <xf numFmtId="0" fontId="53" fillId="0" borderId="0"/>
    <xf numFmtId="0" fontId="88" fillId="0" borderId="0"/>
    <xf numFmtId="0" fontId="55" fillId="0" borderId="0"/>
    <xf numFmtId="0" fontId="58" fillId="0" borderId="0"/>
    <xf numFmtId="0" fontId="58" fillId="0" borderId="0"/>
    <xf numFmtId="0" fontId="53" fillId="0" borderId="0"/>
    <xf numFmtId="0" fontId="53" fillId="0" borderId="0">
      <alignment wrapText="1"/>
    </xf>
    <xf numFmtId="0" fontId="5" fillId="0" borderId="0"/>
    <xf numFmtId="0" fontId="53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88" fillId="0" borderId="0"/>
    <xf numFmtId="0" fontId="58" fillId="0" borderId="0"/>
    <xf numFmtId="0" fontId="53" fillId="0" borderId="0">
      <alignment wrapText="1"/>
    </xf>
    <xf numFmtId="0" fontId="5" fillId="0" borderId="0"/>
    <xf numFmtId="0" fontId="53" fillId="0" borderId="0">
      <alignment wrapText="1"/>
    </xf>
    <xf numFmtId="0" fontId="53" fillId="0" borderId="0">
      <alignment wrapText="1"/>
    </xf>
    <xf numFmtId="0" fontId="5" fillId="0" borderId="0"/>
    <xf numFmtId="0" fontId="5" fillId="0" borderId="0"/>
    <xf numFmtId="0" fontId="5" fillId="0" borderId="0"/>
    <xf numFmtId="0" fontId="53" fillId="0" borderId="0"/>
    <xf numFmtId="0" fontId="38" fillId="0" borderId="0"/>
    <xf numFmtId="0" fontId="53" fillId="0" borderId="0">
      <alignment wrapText="1"/>
    </xf>
    <xf numFmtId="0" fontId="88" fillId="0" borderId="0"/>
    <xf numFmtId="0" fontId="88" fillId="0" borderId="0"/>
    <xf numFmtId="0" fontId="88" fillId="0" borderId="0"/>
    <xf numFmtId="0" fontId="53" fillId="0" borderId="0"/>
    <xf numFmtId="0" fontId="38" fillId="0" borderId="0"/>
    <xf numFmtId="0" fontId="53" fillId="0" borderId="0"/>
    <xf numFmtId="0" fontId="53" fillId="0" borderId="0"/>
    <xf numFmtId="0" fontId="53" fillId="0" borderId="0"/>
    <xf numFmtId="0" fontId="89" fillId="0" borderId="0"/>
    <xf numFmtId="0" fontId="89" fillId="0" borderId="0"/>
    <xf numFmtId="0" fontId="89" fillId="0" borderId="0"/>
    <xf numFmtId="0" fontId="53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>
      <alignment wrapText="1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7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59" fillId="0" borderId="0" xfId="0" applyFont="1" applyBorder="1"/>
    <xf numFmtId="0" fontId="59" fillId="0" borderId="0" xfId="0" applyFont="1" applyAlignment="1">
      <alignment horizontal="right"/>
    </xf>
    <xf numFmtId="4" fontId="60" fillId="0" borderId="0" xfId="0" applyNumberFormat="1" applyFont="1"/>
    <xf numFmtId="0" fontId="3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2" fillId="6" borderId="0" xfId="0" quotePrefix="1" applyFont="1" applyFill="1" applyBorder="1" applyAlignment="1">
      <alignment horizontal="center"/>
    </xf>
    <xf numFmtId="10" fontId="61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5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4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0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67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6" fillId="6" borderId="0" xfId="0" applyFont="1" applyFill="1" applyBorder="1" applyAlignment="1">
      <alignment vertical="center"/>
    </xf>
    <xf numFmtId="4" fontId="66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39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8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3" fillId="6" borderId="0" xfId="0" applyFont="1" applyFill="1" applyBorder="1"/>
    <xf numFmtId="4" fontId="35" fillId="6" borderId="0" xfId="0" applyNumberFormat="1" applyFont="1" applyFill="1" applyBorder="1"/>
    <xf numFmtId="0" fontId="40" fillId="6" borderId="0" xfId="0" applyFont="1" applyFill="1" applyBorder="1"/>
    <xf numFmtId="4" fontId="40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2" fillId="0" borderId="0" xfId="0" applyFont="1" applyBorder="1"/>
    <xf numFmtId="4" fontId="52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69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8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1" fillId="6" borderId="0" xfId="0" applyNumberFormat="1" applyFont="1" applyFill="1" applyBorder="1" applyAlignment="1">
      <alignment horizontal="center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3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79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16" fontId="80" fillId="6" borderId="1" xfId="0" applyNumberFormat="1" applyFont="1" applyFill="1" applyBorder="1"/>
    <xf numFmtId="4" fontId="64" fillId="6" borderId="1" xfId="0" applyNumberFormat="1" applyFont="1" applyFill="1" applyBorder="1"/>
    <xf numFmtId="4" fontId="64" fillId="6" borderId="1" xfId="0" applyNumberFormat="1" applyFont="1" applyFill="1" applyBorder="1" applyAlignment="1">
      <alignment horizontal="right"/>
    </xf>
    <xf numFmtId="165" fontId="81" fillId="6" borderId="1" xfId="2" applyFont="1" applyFill="1" applyBorder="1" applyAlignment="1">
      <alignment horizontal="right" vertical="top" wrapText="1"/>
    </xf>
    <xf numFmtId="0" fontId="64" fillId="0" borderId="0" xfId="0" applyFont="1"/>
    <xf numFmtId="165" fontId="64" fillId="0" borderId="0" xfId="2" applyFont="1"/>
    <xf numFmtId="0" fontId="82" fillId="0" borderId="1" xfId="0" applyFont="1" applyBorder="1" applyAlignment="1">
      <alignment horizontal="right"/>
    </xf>
    <xf numFmtId="0" fontId="80" fillId="0" borderId="1" xfId="0" applyFont="1" applyBorder="1" applyAlignment="1">
      <alignment horizontal="right"/>
    </xf>
    <xf numFmtId="0" fontId="83" fillId="44" borderId="1" xfId="0" applyFont="1" applyFill="1" applyBorder="1" applyAlignment="1">
      <alignment horizontal="right"/>
    </xf>
    <xf numFmtId="165" fontId="83" fillId="44" borderId="1" xfId="0" applyNumberFormat="1" applyFont="1" applyFill="1" applyBorder="1"/>
    <xf numFmtId="0" fontId="82" fillId="50" borderId="1" xfId="0" applyFont="1" applyFill="1" applyBorder="1" applyAlignment="1">
      <alignment horizontal="right"/>
    </xf>
    <xf numFmtId="165" fontId="82" fillId="50" borderId="1" xfId="0" quotePrefix="1" applyNumberFormat="1" applyFont="1" applyFill="1" applyBorder="1" applyAlignment="1">
      <alignment horizontal="center"/>
    </xf>
    <xf numFmtId="165" fontId="82" fillId="50" borderId="1" xfId="0" applyNumberFormat="1" applyFont="1" applyFill="1" applyBorder="1"/>
    <xf numFmtId="165" fontId="82" fillId="50" borderId="1" xfId="2" applyFont="1" applyFill="1" applyBorder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16" fontId="80" fillId="6" borderId="0" xfId="0" applyNumberFormat="1" applyFont="1" applyFill="1" applyBorder="1"/>
    <xf numFmtId="0" fontId="80" fillId="0" borderId="0" xfId="0" applyFont="1" applyBorder="1" applyAlignment="1">
      <alignment horizontal="right"/>
    </xf>
    <xf numFmtId="4" fontId="64" fillId="6" borderId="0" xfId="0" applyNumberFormat="1" applyFont="1" applyFill="1" applyBorder="1"/>
    <xf numFmtId="4" fontId="64" fillId="6" borderId="0" xfId="0" applyNumberFormat="1" applyFont="1" applyFill="1" applyBorder="1" applyAlignment="1">
      <alignment horizontal="right"/>
    </xf>
    <xf numFmtId="165" fontId="81" fillId="6" borderId="0" xfId="2" applyFont="1" applyFill="1" applyBorder="1" applyAlignment="1">
      <alignment horizontal="right" vertical="top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0" fontId="10" fillId="8" borderId="3" xfId="2" applyNumberFormat="1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0" fontId="0" fillId="0" borderId="0" xfId="0"/>
    <xf numFmtId="165" fontId="3" fillId="46" borderId="1" xfId="2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center" vertical="top" wrapText="1"/>
    </xf>
    <xf numFmtId="165" fontId="72" fillId="46" borderId="1" xfId="2" applyFont="1" applyFill="1" applyBorder="1" applyAlignment="1">
      <alignment horizontal="right" vertical="top" wrapText="1"/>
    </xf>
    <xf numFmtId="10" fontId="13" fillId="46" borderId="1" xfId="6" applyNumberFormat="1" applyFont="1" applyFill="1" applyBorder="1" applyAlignment="1">
      <alignment horizontal="center" vertical="top" wrapText="1"/>
    </xf>
    <xf numFmtId="166" fontId="13" fillId="46" borderId="1" xfId="6" applyNumberFormat="1" applyFont="1" applyFill="1" applyBorder="1" applyAlignment="1">
      <alignment horizontal="center" vertical="top" wrapText="1"/>
    </xf>
    <xf numFmtId="10" fontId="10" fillId="46" borderId="3" xfId="2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right"/>
    </xf>
    <xf numFmtId="0" fontId="2" fillId="46" borderId="1" xfId="0" applyFont="1" applyFill="1" applyBorder="1" applyAlignment="1">
      <alignment horizontal="right"/>
    </xf>
    <xf numFmtId="0" fontId="90" fillId="0" borderId="0" xfId="0" applyFont="1"/>
    <xf numFmtId="4" fontId="9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8" fillId="0" borderId="0" xfId="0" applyFont="1"/>
    <xf numFmtId="0" fontId="2" fillId="44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horizontal="center" vertical="center"/>
    </xf>
    <xf numFmtId="10" fontId="2" fillId="8" borderId="3" xfId="6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5" fillId="6" borderId="0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9" fontId="96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69" fillId="44" borderId="6" xfId="0" applyFont="1" applyFill="1" applyBorder="1" applyAlignment="1">
      <alignment horizontal="center"/>
    </xf>
    <xf numFmtId="0" fontId="69" fillId="44" borderId="26" xfId="0" applyFont="1" applyFill="1" applyBorder="1" applyAlignment="1">
      <alignment horizontal="center"/>
    </xf>
    <xf numFmtId="0" fontId="69" fillId="44" borderId="1" xfId="0" applyFont="1" applyFill="1" applyBorder="1" applyAlignment="1">
      <alignment horizontal="center"/>
    </xf>
    <xf numFmtId="0" fontId="69" fillId="44" borderId="3" xfId="0" applyFont="1" applyFill="1" applyBorder="1" applyAlignment="1">
      <alignment horizontal="center"/>
    </xf>
    <xf numFmtId="0" fontId="69" fillId="44" borderId="6" xfId="0" applyFont="1" applyFill="1" applyBorder="1" applyAlignment="1">
      <alignment horizontal="center" wrapText="1"/>
    </xf>
    <xf numFmtId="0" fontId="69" fillId="44" borderId="26" xfId="0" applyFont="1" applyFill="1" applyBorder="1" applyAlignment="1">
      <alignment horizontal="center" wrapText="1"/>
    </xf>
    <xf numFmtId="0" fontId="69" fillId="44" borderId="1" xfId="0" applyFont="1" applyFill="1" applyBorder="1" applyAlignment="1">
      <alignment horizontal="center" wrapText="1"/>
    </xf>
    <xf numFmtId="0" fontId="69" fillId="44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0" fillId="6" borderId="0" xfId="0" applyFill="1" applyBorder="1" applyAlignment="1">
      <alignment wrapText="1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69" fillId="44" borderId="6" xfId="0" applyFont="1" applyFill="1" applyBorder="1" applyAlignment="1">
      <alignment horizontal="center" vertical="top" wrapText="1"/>
    </xf>
    <xf numFmtId="0" fontId="69" fillId="44" borderId="26" xfId="0" applyFont="1" applyFill="1" applyBorder="1" applyAlignment="1">
      <alignment horizontal="center" vertical="top" wrapText="1"/>
    </xf>
    <xf numFmtId="0" fontId="69" fillId="44" borderId="1" xfId="0" applyFont="1" applyFill="1" applyBorder="1" applyAlignment="1">
      <alignment horizontal="center" vertical="top" wrapText="1"/>
    </xf>
    <xf numFmtId="0" fontId="69" fillId="44" borderId="3" xfId="0" applyFont="1" applyFill="1" applyBorder="1" applyAlignment="1">
      <alignment horizontal="center" vertical="top" wrapText="1"/>
    </xf>
    <xf numFmtId="0" fontId="92" fillId="49" borderId="21" xfId="0" applyFont="1" applyFill="1" applyBorder="1" applyAlignment="1">
      <alignment horizontal="center"/>
    </xf>
    <xf numFmtId="0" fontId="92" fillId="49" borderId="25" xfId="0" applyFont="1" applyFill="1" applyBorder="1" applyAlignment="1">
      <alignment horizontal="center"/>
    </xf>
    <xf numFmtId="0" fontId="92" fillId="49" borderId="22" xfId="0" applyFont="1" applyFill="1" applyBorder="1" applyAlignment="1">
      <alignment horizontal="center"/>
    </xf>
    <xf numFmtId="0" fontId="92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2" fillId="7" borderId="26" xfId="0" applyFont="1" applyFill="1" applyBorder="1" applyAlignment="1">
      <alignment horizontal="center" vertical="top" wrapText="1"/>
    </xf>
    <xf numFmtId="0" fontId="93" fillId="45" borderId="6" xfId="0" applyFont="1" applyFill="1" applyBorder="1" applyAlignment="1">
      <alignment horizontal="center"/>
    </xf>
    <xf numFmtId="0" fontId="93" fillId="45" borderId="26" xfId="0" applyFont="1" applyFill="1" applyBorder="1" applyAlignment="1">
      <alignment horizontal="center"/>
    </xf>
    <xf numFmtId="0" fontId="93" fillId="45" borderId="1" xfId="0" applyFont="1" applyFill="1" applyBorder="1" applyAlignment="1">
      <alignment horizontal="center"/>
    </xf>
    <xf numFmtId="0" fontId="93" fillId="45" borderId="3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1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94" fillId="6" borderId="21" xfId="0" applyFont="1" applyFill="1" applyBorder="1" applyAlignment="1">
      <alignment horizontal="center"/>
    </xf>
    <xf numFmtId="0" fontId="94" fillId="6" borderId="22" xfId="0" applyFont="1" applyFill="1" applyBorder="1" applyAlignment="1">
      <alignment horizontal="center"/>
    </xf>
    <xf numFmtId="0" fontId="94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2" fontId="23" fillId="0" borderId="0" xfId="0" applyNumberFormat="1" applyFont="1" applyAlignment="1">
      <alignment horizontal="center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bg1"/>
                </a:solidFill>
              </a:rPr>
              <a:t>NAV COMPARISON </a:t>
            </a:r>
            <a:r>
              <a:rPr lang="en-GB" sz="1600">
                <a:solidFill>
                  <a:schemeClr val="bg1"/>
                </a:solidFill>
              </a:rPr>
              <a:t>(</a:t>
            </a:r>
            <a:r>
              <a:rPr lang="en-GB" sz="1600" b="1" i="0" u="none" strike="noStrike" baseline="0">
                <a:effectLst/>
              </a:rPr>
              <a:t>28TH JULY &amp; 4TH AUGUST, 2023</a:t>
            </a:r>
            <a:r>
              <a:rPr lang="en-GB" sz="1600">
                <a:solidFill>
                  <a:schemeClr val="bg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27062393045291039"/>
          <c:y val="1.6723191732694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Trend'!$C$15</c:f>
              <c:strCache>
                <c:ptCount val="1"/>
                <c:pt idx="0">
                  <c:v>28-Jul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Trend'!$C$16:$C$23</c:f>
              <c:numCache>
                <c:formatCode>#,##0.00</c:formatCode>
                <c:ptCount val="8"/>
                <c:pt idx="0">
                  <c:v>21710538133.900002</c:v>
                </c:pt>
                <c:pt idx="1">
                  <c:v>849994179796.46228</c:v>
                </c:pt>
                <c:pt idx="2">
                  <c:v>320399612573.65601</c:v>
                </c:pt>
                <c:pt idx="3">
                  <c:v>569956762301.13733</c:v>
                </c:pt>
                <c:pt idx="4">
                  <c:v>93558457831.729996</c:v>
                </c:pt>
                <c:pt idx="5" formatCode="_(* #,##0.00_);_(* \(#,##0.00\);_(* &quot;-&quot;??_);_(@_)">
                  <c:v>38690467865.717575</c:v>
                </c:pt>
                <c:pt idx="6">
                  <c:v>3765883383.1199999</c:v>
                </c:pt>
                <c:pt idx="7">
                  <c:v>27315712442.810001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264-BE05-31414DBC076F}"/>
            </c:ext>
          </c:extLst>
        </c:ser>
        <c:ser>
          <c:idx val="1"/>
          <c:order val="1"/>
          <c:tx>
            <c:strRef>
              <c:f>'NAV Trend'!$D$15</c:f>
              <c:strCache>
                <c:ptCount val="1"/>
                <c:pt idx="0">
                  <c:v>04-Aug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Trend'!$D$16:$D$23</c:f>
              <c:numCache>
                <c:formatCode>#,##0.00</c:formatCode>
                <c:ptCount val="8"/>
                <c:pt idx="0">
                  <c:v>21798118395</c:v>
                </c:pt>
                <c:pt idx="1">
                  <c:v>856179741726.49231</c:v>
                </c:pt>
                <c:pt idx="2">
                  <c:v>320872331713.32611</c:v>
                </c:pt>
                <c:pt idx="3">
                  <c:v>553123134779.05676</c:v>
                </c:pt>
                <c:pt idx="4">
                  <c:v>93574800912.410004</c:v>
                </c:pt>
                <c:pt idx="5" formatCode="_(* #,##0.00_);_(* \(#,##0.00\);_(* &quot;-&quot;??_);_(@_)">
                  <c:v>38884096485.686134</c:v>
                </c:pt>
                <c:pt idx="6">
                  <c:v>3796886715.4300003</c:v>
                </c:pt>
                <c:pt idx="7">
                  <c:v>27962550206.07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264-BE05-31414DBC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1727743"/>
        <c:axId val="1841729407"/>
      </c:barChart>
      <c:catAx>
        <c:axId val="1841727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bg1"/>
                    </a:solidFill>
                  </a:rPr>
                  <a:t>CLASSES of fund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9407"/>
        <c:crosses val="autoZero"/>
        <c:auto val="1"/>
        <c:lblAlgn val="ctr"/>
        <c:lblOffset val="100"/>
        <c:noMultiLvlLbl val="0"/>
      </c:catAx>
      <c:valAx>
        <c:axId val="184172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NET ASSET VALUE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PERCENTAGE MARKET SHARE TO TOTAL NET ASSET VALUE (NAV)</a:t>
            </a:r>
          </a:p>
          <a:p>
            <a:pPr>
              <a:defRPr/>
            </a:pPr>
            <a:r>
              <a:rPr lang="en-US" sz="1600"/>
              <a:t>AS AT 4TH AUGUST, 2023</a:t>
            </a:r>
          </a:p>
        </c:rich>
      </c:tx>
      <c:layout>
        <c:manualLayout>
          <c:xMode val="edge"/>
          <c:yMode val="edge"/>
          <c:x val="0.10454722440145399"/>
          <c:y val="3.037476194296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explosion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6E716E55-EB6B-4877-A6BD-D6007AE9287A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F1-4D3F-AFC0-2F3DDA5A1E0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687598-1C8E-439B-8460-85BBB1BAF98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9F1-4D3F-AFC0-2F3DDA5A1E0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EF13CA9-F9CE-4F67-AAAA-B796E6BBDFA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9F1-4D3F-AFC0-2F3DDA5A1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21710538133.900002</c:v>
                </c:pt>
                <c:pt idx="1">
                  <c:v>849994179796.46228</c:v>
                </c:pt>
                <c:pt idx="2">
                  <c:v>320399612573.65601</c:v>
                </c:pt>
                <c:pt idx="3">
                  <c:v>569956762301.13733</c:v>
                </c:pt>
                <c:pt idx="4">
                  <c:v>93558457831.729996</c:v>
                </c:pt>
                <c:pt idx="5">
                  <c:v>38690467865.717575</c:v>
                </c:pt>
                <c:pt idx="6">
                  <c:v>3765883383.1199999</c:v>
                </c:pt>
                <c:pt idx="7">
                  <c:v>27315712442.810001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MOVEMENT IN TOTAL NAV</a:t>
            </a:r>
          </a:p>
          <a:p>
            <a:pPr>
              <a:defRPr/>
            </a:pPr>
            <a:r>
              <a:rPr lang="en-US" sz="1600"/>
              <a:t>(EIGHT (8) WEEKS ENDING AUGUST 4, 2023)</a:t>
            </a:r>
          </a:p>
        </c:rich>
      </c:tx>
      <c:layout>
        <c:manualLayout>
          <c:xMode val="edge"/>
          <c:yMode val="edge"/>
          <c:x val="0.25289723399959624"/>
          <c:y val="1.985347898078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C2-43E7-AB45-8CDF11C29D80}"/>
                </c:ext>
              </c:extLst>
            </c:dLbl>
            <c:dLbl>
              <c:idx val="1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1C2-43E7-AB45-8CDF11C29D80}"/>
                </c:ext>
              </c:extLst>
            </c:dLbl>
            <c:dLbl>
              <c:idx val="2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1C2-43E7-AB45-8CDF11C29D80}"/>
                </c:ext>
              </c:extLst>
            </c:dLbl>
            <c:dLbl>
              <c:idx val="3"/>
              <c:layout>
                <c:manualLayout>
                  <c:x val="-3.4260102102621842E-2"/>
                  <c:y val="-7.396115601633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379448-DA4C-428C-A43B-051C34405DCF}" type="VALUE">
                      <a:rPr lang="en-US" b="1"/>
                      <a:pPr>
                        <a:defRPr b="1"/>
                      </a:pPr>
                      <a:t>[VALUE]</a:t>
                    </a:fld>
                    <a:endParaRPr lang="en-GB"/>
                  </a:p>
                </c:rich>
              </c:tx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C2-43E7-AB45-8CDF11C29D8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8A58AFB-9FC3-4D71-B7D2-0E69E956DAC8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C2-43E7-AB45-8CDF11C29D80}"/>
                </c:ext>
              </c:extLst>
            </c:dLbl>
            <c:dLbl>
              <c:idx val="5"/>
              <c:layout>
                <c:manualLayout>
                  <c:x val="-3.4161229846269216E-2"/>
                  <c:y val="6.0514372163388806E-3"/>
                </c:manualLayout>
              </c:layout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C2-43E7-AB45-8CDF11C29D80}"/>
                </c:ext>
              </c:extLst>
            </c:dLbl>
            <c:dLbl>
              <c:idx val="6"/>
              <c:layout>
                <c:manualLayout>
                  <c:x val="-3.1230826915866285E-2"/>
                  <c:y val="2.017145738779627E-3"/>
                </c:manualLayout>
              </c:layout>
              <c:tx>
                <c:rich>
                  <a:bodyPr/>
                  <a:lstStyle/>
                  <a:p>
                    <a:fld id="{EA19ED88-20A6-44D2-AD83-B59ACAB9E417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C2-43E7-AB45-8CDF11C29D8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199C8AF-947A-4B1A-A6D2-B7A3848BD034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C2-43E7-AB45-8CDF11C29D80}"/>
                </c:ext>
              </c:extLst>
            </c:dLbl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45093</c:v>
                </c:pt>
                <c:pt idx="1">
                  <c:v>45100</c:v>
                </c:pt>
                <c:pt idx="2">
                  <c:v>45107</c:v>
                </c:pt>
                <c:pt idx="3">
                  <c:v>45114</c:v>
                </c:pt>
                <c:pt idx="4">
                  <c:v>45121</c:v>
                </c:pt>
                <c:pt idx="5">
                  <c:v>45128</c:v>
                </c:pt>
                <c:pt idx="6">
                  <c:v>45135</c:v>
                </c:pt>
                <c:pt idx="7">
                  <c:v>45142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1783352855386.8538</c:v>
                </c:pt>
                <c:pt idx="1">
                  <c:v>1875033373373.3662</c:v>
                </c:pt>
                <c:pt idx="2">
                  <c:v>1877975298694.9844</c:v>
                </c:pt>
                <c:pt idx="3">
                  <c:v>1901850384231.1636</c:v>
                </c:pt>
                <c:pt idx="4">
                  <c:v>1922447870685.2349</c:v>
                </c:pt>
                <c:pt idx="5">
                  <c:v>1920923279532.677</c:v>
                </c:pt>
                <c:pt idx="6">
                  <c:v>1925391614328.5334</c:v>
                </c:pt>
                <c:pt idx="7">
                  <c:v>1916191660933.4709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N&quot;\ #0.00,,,\ 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37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MOVEMENT IN NAV BY CLASSes OF FUND</a:t>
            </a:r>
          </a:p>
          <a:p>
            <a:pPr>
              <a:defRPr/>
            </a:pPr>
            <a:r>
              <a:rPr lang="en-US" sz="1600">
                <a:solidFill>
                  <a:schemeClr val="bg1"/>
                </a:solidFill>
              </a:rPr>
              <a:t>(Eight (8) Weeks Ending AUGUST 4,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4479213175276168"/>
          <c:y val="9.555552908382669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98927057194774"/>
          <c:y val="0.17748849472484626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45093</c:v>
                </c:pt>
                <c:pt idx="1">
                  <c:v>45100</c:v>
                </c:pt>
                <c:pt idx="2">
                  <c:v>45107</c:v>
                </c:pt>
                <c:pt idx="3">
                  <c:v>45114</c:v>
                </c:pt>
                <c:pt idx="4">
                  <c:v>45121</c:v>
                </c:pt>
                <c:pt idx="5">
                  <c:v>45128</c:v>
                </c:pt>
                <c:pt idx="6">
                  <c:v>45135</c:v>
                </c:pt>
                <c:pt idx="7">
                  <c:v>45142</c:v>
                </c:pt>
              </c:numCache>
            </c:numRef>
          </c:cat>
          <c:val>
            <c:numRef>
              <c:f>'NAV Trend'!$C$9:$K$9</c:f>
              <c:numCache>
                <c:formatCode>#,##0.00</c:formatCode>
                <c:ptCount val="9"/>
                <c:pt idx="0">
                  <c:v>25776389309.68</c:v>
                </c:pt>
                <c:pt idx="1">
                  <c:v>25810810447.57</c:v>
                </c:pt>
                <c:pt idx="2">
                  <c:v>26082310834.120003</c:v>
                </c:pt>
                <c:pt idx="3">
                  <c:v>26010301617.079998</c:v>
                </c:pt>
                <c:pt idx="4">
                  <c:v>26335558994.479996</c:v>
                </c:pt>
                <c:pt idx="5">
                  <c:v>27169515243.780003</c:v>
                </c:pt>
                <c:pt idx="6">
                  <c:v>27114196022.169998</c:v>
                </c:pt>
                <c:pt idx="7">
                  <c:v>27315712442.810001</c:v>
                </c:pt>
                <c:pt idx="8">
                  <c:v>27962550206.07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45093</c:v>
                </c:pt>
                <c:pt idx="1">
                  <c:v>45100</c:v>
                </c:pt>
                <c:pt idx="2">
                  <c:v>45107</c:v>
                </c:pt>
                <c:pt idx="3">
                  <c:v>45114</c:v>
                </c:pt>
                <c:pt idx="4">
                  <c:v>45121</c:v>
                </c:pt>
                <c:pt idx="5">
                  <c:v>45128</c:v>
                </c:pt>
                <c:pt idx="6">
                  <c:v>45135</c:v>
                </c:pt>
                <c:pt idx="7">
                  <c:v>45142</c:v>
                </c:pt>
              </c:numCache>
            </c:numRef>
          </c:cat>
          <c:val>
            <c:numRef>
              <c:f>'NAV Trend'!$C$8:$K$8</c:f>
              <c:numCache>
                <c:formatCode>#,##0.00</c:formatCode>
                <c:ptCount val="9"/>
                <c:pt idx="0">
                  <c:v>3226244064.04</c:v>
                </c:pt>
                <c:pt idx="1">
                  <c:v>3394394975.1899996</c:v>
                </c:pt>
                <c:pt idx="2">
                  <c:v>3378418489.8299999</c:v>
                </c:pt>
                <c:pt idx="3">
                  <c:v>3481681169.4399996</c:v>
                </c:pt>
                <c:pt idx="4">
                  <c:v>3684466270.75</c:v>
                </c:pt>
                <c:pt idx="5">
                  <c:v>3699554011.3700004</c:v>
                </c:pt>
                <c:pt idx="6">
                  <c:v>3844664135.71</c:v>
                </c:pt>
                <c:pt idx="7">
                  <c:v>3765883383.1199999</c:v>
                </c:pt>
                <c:pt idx="8">
                  <c:v>3796886715.4300003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45093</c:v>
                </c:pt>
                <c:pt idx="1">
                  <c:v>45100</c:v>
                </c:pt>
                <c:pt idx="2">
                  <c:v>45107</c:v>
                </c:pt>
                <c:pt idx="3">
                  <c:v>45114</c:v>
                </c:pt>
                <c:pt idx="4">
                  <c:v>45121</c:v>
                </c:pt>
                <c:pt idx="5">
                  <c:v>45128</c:v>
                </c:pt>
                <c:pt idx="6">
                  <c:v>45135</c:v>
                </c:pt>
                <c:pt idx="7">
                  <c:v>45142</c:v>
                </c:pt>
              </c:numCache>
            </c:numRef>
          </c:cat>
          <c:val>
            <c:numRef>
              <c:f>'NAV Trend'!$C$7:$K$7</c:f>
              <c:numCache>
                <c:formatCode>_(* #,##0.00_);_(* \(#,##0.00\);_(* "-"??_);_(@_)</c:formatCode>
                <c:ptCount val="9"/>
                <c:pt idx="0">
                  <c:v>33719080186.031113</c:v>
                </c:pt>
                <c:pt idx="1">
                  <c:v>35744115521.98378</c:v>
                </c:pt>
                <c:pt idx="2">
                  <c:v>36228102075.464104</c:v>
                </c:pt>
                <c:pt idx="3">
                  <c:v>36851874319.96862</c:v>
                </c:pt>
                <c:pt idx="4">
                  <c:v>38388002959.524063</c:v>
                </c:pt>
                <c:pt idx="5">
                  <c:v>37664855902.908386</c:v>
                </c:pt>
                <c:pt idx="6">
                  <c:v>38533905044.200745</c:v>
                </c:pt>
                <c:pt idx="7">
                  <c:v>38690467865.717575</c:v>
                </c:pt>
                <c:pt idx="8">
                  <c:v>38884096485.686134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45093</c:v>
                </c:pt>
                <c:pt idx="1">
                  <c:v>45100</c:v>
                </c:pt>
                <c:pt idx="2">
                  <c:v>45107</c:v>
                </c:pt>
                <c:pt idx="3">
                  <c:v>45114</c:v>
                </c:pt>
                <c:pt idx="4">
                  <c:v>45121</c:v>
                </c:pt>
                <c:pt idx="5">
                  <c:v>45128</c:v>
                </c:pt>
                <c:pt idx="6">
                  <c:v>45135</c:v>
                </c:pt>
                <c:pt idx="7">
                  <c:v>45142</c:v>
                </c:pt>
              </c:numCache>
            </c:numRef>
          </c:cat>
          <c:val>
            <c:numRef>
              <c:f>'NAV Trend'!$C$2:$K$2</c:f>
              <c:numCache>
                <c:formatCode>#,##0.00</c:formatCode>
                <c:ptCount val="9"/>
                <c:pt idx="0">
                  <c:v>18707350348.629997</c:v>
                </c:pt>
                <c:pt idx="1">
                  <c:v>20030863173.209999</c:v>
                </c:pt>
                <c:pt idx="2">
                  <c:v>20288689104.509998</c:v>
                </c:pt>
                <c:pt idx="3">
                  <c:v>20576058059.739998</c:v>
                </c:pt>
                <c:pt idx="4">
                  <c:v>21710685651.219997</c:v>
                </c:pt>
                <c:pt idx="5">
                  <c:v>20938164830.360001</c:v>
                </c:pt>
                <c:pt idx="6">
                  <c:v>21667567762.559998</c:v>
                </c:pt>
                <c:pt idx="7">
                  <c:v>21710538133.900002</c:v>
                </c:pt>
                <c:pt idx="8">
                  <c:v>21798118395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45093</c:v>
                </c:pt>
                <c:pt idx="1">
                  <c:v>45100</c:v>
                </c:pt>
                <c:pt idx="2">
                  <c:v>45107</c:v>
                </c:pt>
                <c:pt idx="3">
                  <c:v>45114</c:v>
                </c:pt>
                <c:pt idx="4">
                  <c:v>45121</c:v>
                </c:pt>
                <c:pt idx="5">
                  <c:v>45128</c:v>
                </c:pt>
                <c:pt idx="6">
                  <c:v>45135</c:v>
                </c:pt>
                <c:pt idx="7">
                  <c:v>45142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93428704507.080002</c:v>
                </c:pt>
                <c:pt idx="1">
                  <c:v>93449896565.160004</c:v>
                </c:pt>
                <c:pt idx="2">
                  <c:v>93463222418.470001</c:v>
                </c:pt>
                <c:pt idx="3">
                  <c:v>93491559414.529999</c:v>
                </c:pt>
                <c:pt idx="4">
                  <c:v>93531954973.449997</c:v>
                </c:pt>
                <c:pt idx="5">
                  <c:v>93572406322.790009</c:v>
                </c:pt>
                <c:pt idx="6">
                  <c:v>93543514118.800003</c:v>
                </c:pt>
                <c:pt idx="7">
                  <c:v>93558457831.729996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45093</c:v>
                </c:pt>
                <c:pt idx="1">
                  <c:v>45100</c:v>
                </c:pt>
                <c:pt idx="2">
                  <c:v>45107</c:v>
                </c:pt>
                <c:pt idx="3">
                  <c:v>45114</c:v>
                </c:pt>
                <c:pt idx="4">
                  <c:v>45121</c:v>
                </c:pt>
                <c:pt idx="5">
                  <c:v>45128</c:v>
                </c:pt>
                <c:pt idx="6">
                  <c:v>45135</c:v>
                </c:pt>
                <c:pt idx="7">
                  <c:v>45142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810860786783.24963</c:v>
                </c:pt>
                <c:pt idx="1">
                  <c:v>816758455712.61926</c:v>
                </c:pt>
                <c:pt idx="2">
                  <c:v>817523630430.57593</c:v>
                </c:pt>
                <c:pt idx="3">
                  <c:v>822530716125.65808</c:v>
                </c:pt>
                <c:pt idx="4">
                  <c:v>835884528785.64209</c:v>
                </c:pt>
                <c:pt idx="5">
                  <c:v>846543599278.24768</c:v>
                </c:pt>
                <c:pt idx="6">
                  <c:v>847949243662.16028</c:v>
                </c:pt>
                <c:pt idx="7">
                  <c:v>849994179796.46228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45093</c:v>
                </c:pt>
                <c:pt idx="1">
                  <c:v>45100</c:v>
                </c:pt>
                <c:pt idx="2">
                  <c:v>45107</c:v>
                </c:pt>
                <c:pt idx="3">
                  <c:v>45114</c:v>
                </c:pt>
                <c:pt idx="4">
                  <c:v>45121</c:v>
                </c:pt>
                <c:pt idx="5">
                  <c:v>45128</c:v>
                </c:pt>
                <c:pt idx="6">
                  <c:v>45135</c:v>
                </c:pt>
                <c:pt idx="7">
                  <c:v>45142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319908980259.00153</c:v>
                </c:pt>
                <c:pt idx="1">
                  <c:v>317665884188.13855</c:v>
                </c:pt>
                <c:pt idx="2">
                  <c:v>327549421729.35663</c:v>
                </c:pt>
                <c:pt idx="3">
                  <c:v>321409973646.99713</c:v>
                </c:pt>
                <c:pt idx="4">
                  <c:v>320721885218.37311</c:v>
                </c:pt>
                <c:pt idx="5">
                  <c:v>309847018533.15375</c:v>
                </c:pt>
                <c:pt idx="6">
                  <c:v>319728597414.12091</c:v>
                </c:pt>
                <c:pt idx="7">
                  <c:v>320399612573.65601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45093</c:v>
                </c:pt>
                <c:pt idx="1">
                  <c:v>45100</c:v>
                </c:pt>
                <c:pt idx="2">
                  <c:v>45107</c:v>
                </c:pt>
                <c:pt idx="3">
                  <c:v>45114</c:v>
                </c:pt>
                <c:pt idx="4">
                  <c:v>45121</c:v>
                </c:pt>
                <c:pt idx="5">
                  <c:v>45128</c:v>
                </c:pt>
                <c:pt idx="6">
                  <c:v>45135</c:v>
                </c:pt>
                <c:pt idx="7">
                  <c:v>45142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338597314330.35101</c:v>
                </c:pt>
                <c:pt idx="1">
                  <c:v>470498434802.98218</c:v>
                </c:pt>
                <c:pt idx="2">
                  <c:v>550519578291.03943</c:v>
                </c:pt>
                <c:pt idx="3">
                  <c:v>553623134341.57056</c:v>
                </c:pt>
                <c:pt idx="4">
                  <c:v>561593301377.72437</c:v>
                </c:pt>
                <c:pt idx="5">
                  <c:v>583012756562.62463</c:v>
                </c:pt>
                <c:pt idx="6">
                  <c:v>568541591372.9552</c:v>
                </c:pt>
                <c:pt idx="7">
                  <c:v>569956762301.13733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28213780969686"/>
          <c:y val="0.87222287077957916"/>
          <c:w val="0.78992299039543135"/>
          <c:h val="7.2619152560544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96</xdr:row>
      <xdr:rowOff>0</xdr:rowOff>
    </xdr:from>
    <xdr:to>
      <xdr:col>20</xdr:col>
      <xdr:colOff>304800</xdr:colOff>
      <xdr:row>97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14430</xdr:colOff>
      <xdr:row>0</xdr:row>
      <xdr:rowOff>0</xdr:rowOff>
    </xdr:from>
    <xdr:to>
      <xdr:col>10</xdr:col>
      <xdr:colOff>532946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0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T86" sqref="T86"/>
    </sheetView>
  </sheetViews>
  <sheetFormatPr defaultColWidth="8.85546875" defaultRowHeight="12" customHeight="1"/>
  <cols>
    <col min="1" max="1" width="3.85546875" style="2" customWidth="1"/>
    <col min="2" max="2" width="33.42578125" style="3" customWidth="1"/>
    <col min="3" max="3" width="29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22" customWidth="1"/>
    <col min="9" max="9" width="7.28515625" style="222" customWidth="1"/>
    <col min="10" max="10" width="18" style="218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06" customWidth="1"/>
    <col min="19" max="19" width="7.5703125" style="106" customWidth="1"/>
    <col min="20" max="20" width="29" style="107" customWidth="1"/>
    <col min="21" max="21" width="18.42578125" style="106" customWidth="1"/>
    <col min="22" max="22" width="18.140625" style="106" customWidth="1"/>
    <col min="23" max="23" width="9.42578125" style="106" customWidth="1"/>
    <col min="24" max="24" width="18.42578125" style="106" customWidth="1"/>
    <col min="25" max="25" width="8.85546875" style="106" customWidth="1"/>
    <col min="26" max="26" width="25.140625" style="106" customWidth="1"/>
    <col min="27" max="32" width="8.85546875" style="106"/>
    <col min="33" max="33" width="9" style="106" bestFit="1" customWidth="1"/>
    <col min="34" max="42" width="8.85546875" style="106"/>
    <col min="43" max="43" width="9.28515625" style="106" bestFit="1" customWidth="1"/>
    <col min="44" max="51" width="8.85546875" style="106"/>
    <col min="52" max="52" width="8.85546875" style="106" customWidth="1"/>
    <col min="53" max="103" width="8.85546875" style="106"/>
    <col min="104" max="16384" width="8.85546875" style="3"/>
  </cols>
  <sheetData>
    <row r="1" spans="1:26" s="112" customFormat="1" ht="22.5" customHeight="1">
      <c r="A1" s="441" t="s">
        <v>281</v>
      </c>
      <c r="B1" s="442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4"/>
      <c r="T1" s="289"/>
      <c r="U1" s="113"/>
    </row>
    <row r="2" spans="1:26" s="112" customFormat="1" ht="25.5" customHeight="1">
      <c r="A2" s="242"/>
      <c r="B2" s="243"/>
      <c r="C2" s="243"/>
      <c r="D2" s="445" t="s">
        <v>279</v>
      </c>
      <c r="E2" s="446"/>
      <c r="F2" s="446"/>
      <c r="G2" s="446"/>
      <c r="H2" s="446"/>
      <c r="I2" s="447"/>
      <c r="J2" s="445" t="s">
        <v>282</v>
      </c>
      <c r="K2" s="446"/>
      <c r="L2" s="446"/>
      <c r="M2" s="446"/>
      <c r="N2" s="446"/>
      <c r="O2" s="447"/>
      <c r="P2" s="410" t="s">
        <v>62</v>
      </c>
      <c r="Q2" s="410"/>
      <c r="R2" s="410" t="s">
        <v>215</v>
      </c>
      <c r="S2" s="430"/>
      <c r="T2" s="289"/>
      <c r="U2" s="113"/>
    </row>
    <row r="3" spans="1:26" s="112" customFormat="1" ht="24.75" customHeight="1">
      <c r="A3" s="294" t="s">
        <v>1</v>
      </c>
      <c r="B3" s="295" t="s">
        <v>2</v>
      </c>
      <c r="C3" s="295" t="s">
        <v>193</v>
      </c>
      <c r="D3" s="296" t="s">
        <v>202</v>
      </c>
      <c r="E3" s="297" t="s">
        <v>61</v>
      </c>
      <c r="F3" s="297" t="s">
        <v>212</v>
      </c>
      <c r="G3" s="297" t="s">
        <v>213</v>
      </c>
      <c r="H3" s="297" t="s">
        <v>253</v>
      </c>
      <c r="I3" s="297" t="s">
        <v>254</v>
      </c>
      <c r="J3" s="298" t="s">
        <v>202</v>
      </c>
      <c r="K3" s="297" t="s">
        <v>61</v>
      </c>
      <c r="L3" s="297" t="s">
        <v>212</v>
      </c>
      <c r="M3" s="297" t="s">
        <v>213</v>
      </c>
      <c r="N3" s="297" t="s">
        <v>253</v>
      </c>
      <c r="O3" s="297" t="s">
        <v>254</v>
      </c>
      <c r="P3" s="299" t="s">
        <v>203</v>
      </c>
      <c r="Q3" s="300" t="s">
        <v>119</v>
      </c>
      <c r="R3" s="297" t="s">
        <v>256</v>
      </c>
      <c r="S3" s="301" t="s">
        <v>257</v>
      </c>
      <c r="T3" s="289"/>
      <c r="U3" s="113"/>
    </row>
    <row r="4" spans="1:26" s="112" customFormat="1" ht="5.25" customHeight="1">
      <c r="A4" s="433"/>
      <c r="B4" s="434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6"/>
      <c r="T4" s="289"/>
      <c r="U4" s="113"/>
    </row>
    <row r="5" spans="1:26" s="112" customFormat="1" ht="12.95" customHeight="1">
      <c r="A5" s="437" t="s">
        <v>0</v>
      </c>
      <c r="B5" s="438"/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439"/>
      <c r="N5" s="439"/>
      <c r="O5" s="439"/>
      <c r="P5" s="439"/>
      <c r="Q5" s="439"/>
      <c r="R5" s="439"/>
      <c r="S5" s="440"/>
      <c r="T5" s="289"/>
      <c r="U5" s="113"/>
    </row>
    <row r="6" spans="1:26" s="112" customFormat="1" ht="12.95" customHeight="1">
      <c r="A6" s="392">
        <v>1</v>
      </c>
      <c r="B6" s="394" t="s">
        <v>13</v>
      </c>
      <c r="C6" s="395" t="s">
        <v>57</v>
      </c>
      <c r="D6" s="326">
        <v>612427190.11000001</v>
      </c>
      <c r="E6" s="333">
        <f t="shared" ref="E6:E21" si="0">(D6/$D$22)</f>
        <v>2.8208752189045158E-2</v>
      </c>
      <c r="F6" s="325">
        <v>258.01069999999999</v>
      </c>
      <c r="G6" s="325">
        <v>260.09980000000002</v>
      </c>
      <c r="H6" s="334">
        <v>-1.6134902787433347E-2</v>
      </c>
      <c r="I6" s="334">
        <v>0.36867776252866036</v>
      </c>
      <c r="J6" s="326">
        <v>621969400.20000005</v>
      </c>
      <c r="K6" s="333">
        <f t="shared" ref="K6:K11" si="1">(J6/$J$22)</f>
        <v>2.8533169190541965E-2</v>
      </c>
      <c r="L6" s="325">
        <v>257.52140000000003</v>
      </c>
      <c r="M6" s="325">
        <v>259.68880000000001</v>
      </c>
      <c r="N6" s="334">
        <v>-1.896340977824873E-3</v>
      </c>
      <c r="O6" s="334">
        <v>0.3660822828021395</v>
      </c>
      <c r="P6" s="109">
        <f>((J6-D6)/D6)</f>
        <v>1.5580970675528182E-2</v>
      </c>
      <c r="Q6" s="109">
        <f t="shared" ref="Q6:Q21" si="2">((M6-G6)/G6)</f>
        <v>-1.5801626913976917E-3</v>
      </c>
      <c r="R6" s="329">
        <f>L6-H6</f>
        <v>257.53753490278746</v>
      </c>
      <c r="S6" s="364">
        <f t="shared" ref="S6:S21" si="3">O6-I6</f>
        <v>-2.5954797265208551E-3</v>
      </c>
      <c r="U6" s="113"/>
    </row>
    <row r="7" spans="1:26" s="112" customFormat="1" ht="12.95" customHeight="1">
      <c r="A7" s="401">
        <v>2</v>
      </c>
      <c r="B7" s="394" t="s">
        <v>135</v>
      </c>
      <c r="C7" s="395" t="s">
        <v>134</v>
      </c>
      <c r="D7" s="325">
        <v>518294394.38999999</v>
      </c>
      <c r="E7" s="333">
        <f t="shared" si="0"/>
        <v>2.3872940928198701E-2</v>
      </c>
      <c r="F7" s="325">
        <v>185.7062</v>
      </c>
      <c r="G7" s="325">
        <v>188.03749999999999</v>
      </c>
      <c r="H7" s="334">
        <v>-9.5580000000000005E-3</v>
      </c>
      <c r="I7" s="334">
        <v>0.28120000000000001</v>
      </c>
      <c r="J7" s="325">
        <v>510579594.36000001</v>
      </c>
      <c r="K7" s="333">
        <f t="shared" si="1"/>
        <v>2.3423104008698088E-2</v>
      </c>
      <c r="L7" s="325">
        <v>186.3715</v>
      </c>
      <c r="M7" s="325">
        <v>188.75640000000001</v>
      </c>
      <c r="N7" s="334">
        <v>3.777E-3</v>
      </c>
      <c r="O7" s="334">
        <v>0.2858</v>
      </c>
      <c r="P7" s="329">
        <v>5.6480000000000002E-3</v>
      </c>
      <c r="Q7" s="329">
        <f t="shared" si="2"/>
        <v>3.8231735691020099E-3</v>
      </c>
      <c r="R7" s="329">
        <f t="shared" ref="R7:R21" si="4">N7-H7</f>
        <v>1.3335E-2</v>
      </c>
      <c r="S7" s="364">
        <f t="shared" si="3"/>
        <v>4.599999999999993E-3</v>
      </c>
      <c r="T7" s="289"/>
      <c r="U7" s="113"/>
    </row>
    <row r="8" spans="1:26" s="112" customFormat="1" ht="12.95" customHeight="1">
      <c r="A8" s="401">
        <v>3</v>
      </c>
      <c r="B8" s="394" t="s">
        <v>11</v>
      </c>
      <c r="C8" s="395" t="s">
        <v>6</v>
      </c>
      <c r="D8" s="325">
        <v>3218728320.0500002</v>
      </c>
      <c r="E8" s="333">
        <f t="shared" si="0"/>
        <v>0.14825649646261438</v>
      </c>
      <c r="F8" s="325">
        <v>28.861999999999998</v>
      </c>
      <c r="G8" s="325">
        <v>29.732199999999999</v>
      </c>
      <c r="H8" s="315">
        <v>-0.23730000000000001</v>
      </c>
      <c r="I8" s="315">
        <v>0.52780000000000005</v>
      </c>
      <c r="J8" s="325">
        <v>3206531932.8299999</v>
      </c>
      <c r="K8" s="333">
        <f t="shared" si="1"/>
        <v>0.1471013174038685</v>
      </c>
      <c r="L8" s="325">
        <v>28.771000000000001</v>
      </c>
      <c r="M8" s="325">
        <v>29.638500000000001</v>
      </c>
      <c r="N8" s="315">
        <v>-0.1643</v>
      </c>
      <c r="O8" s="315">
        <v>0.50370000000000004</v>
      </c>
      <c r="P8" s="329">
        <f t="shared" ref="P8:P22" si="5">((J8-D8)/D8)</f>
        <v>-3.7891943672371847E-3</v>
      </c>
      <c r="Q8" s="329">
        <f t="shared" si="2"/>
        <v>-3.1514654146009491E-3</v>
      </c>
      <c r="R8" s="329">
        <f t="shared" si="4"/>
        <v>7.3000000000000009E-2</v>
      </c>
      <c r="S8" s="364">
        <f t="shared" si="3"/>
        <v>-2.410000000000001E-2</v>
      </c>
      <c r="T8" s="289"/>
      <c r="U8" s="113"/>
      <c r="V8" s="145"/>
      <c r="W8" s="114"/>
      <c r="X8" s="114"/>
      <c r="Y8" s="115"/>
    </row>
    <row r="9" spans="1:26" s="112" customFormat="1" ht="12.95" customHeight="1">
      <c r="A9" s="397">
        <v>4</v>
      </c>
      <c r="B9" s="394" t="s">
        <v>81</v>
      </c>
      <c r="C9" s="395" t="s">
        <v>80</v>
      </c>
      <c r="D9" s="325">
        <v>352680850.66000003</v>
      </c>
      <c r="E9" s="333">
        <f t="shared" si="0"/>
        <v>1.6244684884586309E-2</v>
      </c>
      <c r="F9" s="325">
        <v>172.21</v>
      </c>
      <c r="G9" s="325">
        <v>173.42</v>
      </c>
      <c r="H9" s="334">
        <v>1.46E-2</v>
      </c>
      <c r="I9" s="334">
        <v>0.2767</v>
      </c>
      <c r="J9" s="325">
        <v>360548914.51999998</v>
      </c>
      <c r="K9" s="333">
        <f t="shared" si="1"/>
        <v>1.6540368667907677E-2</v>
      </c>
      <c r="L9" s="325">
        <v>173.02</v>
      </c>
      <c r="M9" s="325">
        <v>174.23</v>
      </c>
      <c r="N9" s="334">
        <v>4.7000000000000002E-3</v>
      </c>
      <c r="O9" s="334">
        <v>0.28270000000000001</v>
      </c>
      <c r="P9" s="329">
        <f t="shared" si="5"/>
        <v>2.2309302717388298E-2</v>
      </c>
      <c r="Q9" s="329">
        <f t="shared" si="2"/>
        <v>4.6707415523007858E-3</v>
      </c>
      <c r="R9" s="329">
        <f t="shared" si="4"/>
        <v>-9.8999999999999991E-3</v>
      </c>
      <c r="S9" s="364">
        <f t="shared" si="3"/>
        <v>6.0000000000000053E-3</v>
      </c>
      <c r="T9" s="289"/>
      <c r="U9" s="113"/>
      <c r="V9" s="145"/>
      <c r="W9" s="114"/>
      <c r="X9" s="114"/>
      <c r="Y9" s="115"/>
    </row>
    <row r="10" spans="1:26" s="112" customFormat="1" ht="12.95" customHeight="1">
      <c r="A10" s="396">
        <v>5</v>
      </c>
      <c r="B10" s="394" t="s">
        <v>52</v>
      </c>
      <c r="C10" s="395" t="s">
        <v>184</v>
      </c>
      <c r="D10" s="325">
        <v>572941963.38999999</v>
      </c>
      <c r="E10" s="333">
        <f t="shared" si="0"/>
        <v>2.6390039705896446E-2</v>
      </c>
      <c r="F10" s="325">
        <v>236.97</v>
      </c>
      <c r="G10" s="325">
        <v>239.8</v>
      </c>
      <c r="H10" s="315">
        <v>-5.3E-3</v>
      </c>
      <c r="I10" s="315">
        <v>0.43090000000000001</v>
      </c>
      <c r="J10" s="325">
        <v>565564799.84000003</v>
      </c>
      <c r="K10" s="333">
        <f t="shared" si="1"/>
        <v>2.594557886105105E-2</v>
      </c>
      <c r="L10" s="325">
        <v>234.77</v>
      </c>
      <c r="M10" s="325">
        <v>237.83</v>
      </c>
      <c r="N10" s="315">
        <v>-8.8000000000000005E-3</v>
      </c>
      <c r="O10" s="315">
        <v>0.41770000000000002</v>
      </c>
      <c r="P10" s="329">
        <f t="shared" si="5"/>
        <v>-1.2875935123254949E-2</v>
      </c>
      <c r="Q10" s="329">
        <f t="shared" si="2"/>
        <v>-8.2151793160967421E-3</v>
      </c>
      <c r="R10" s="329">
        <f t="shared" si="4"/>
        <v>-3.5000000000000005E-3</v>
      </c>
      <c r="S10" s="364">
        <f t="shared" si="3"/>
        <v>-1.319999999999999E-2</v>
      </c>
      <c r="T10" s="289"/>
      <c r="U10" s="113"/>
      <c r="V10" s="145"/>
      <c r="W10" s="114"/>
      <c r="X10" s="114"/>
      <c r="Y10" s="115"/>
    </row>
    <row r="11" spans="1:26" s="112" customFormat="1" ht="12.95" customHeight="1">
      <c r="A11" s="402">
        <v>6</v>
      </c>
      <c r="B11" s="394" t="s">
        <v>8</v>
      </c>
      <c r="C11" s="395" t="s">
        <v>56</v>
      </c>
      <c r="D11" s="326">
        <v>309368782.70999998</v>
      </c>
      <c r="E11" s="333">
        <f t="shared" si="0"/>
        <v>1.4249705871036652E-2</v>
      </c>
      <c r="F11" s="325">
        <v>155.62</v>
      </c>
      <c r="G11" s="325">
        <v>163.79</v>
      </c>
      <c r="H11" s="334">
        <v>-1.8800000000000001E-2</v>
      </c>
      <c r="I11" s="334">
        <v>0.23799999999999999</v>
      </c>
      <c r="J11" s="326">
        <v>319107515.81</v>
      </c>
      <c r="K11" s="333">
        <f t="shared" si="1"/>
        <v>1.4639222983723041E-2</v>
      </c>
      <c r="L11" s="325">
        <v>160.51</v>
      </c>
      <c r="M11" s="325">
        <v>165.09</v>
      </c>
      <c r="N11" s="334">
        <v>3.1399999999999997E-2</v>
      </c>
      <c r="O11" s="334">
        <v>0.27679999999999999</v>
      </c>
      <c r="P11" s="329">
        <f t="shared" si="5"/>
        <v>3.1479365871019509E-2</v>
      </c>
      <c r="Q11" s="329">
        <f t="shared" si="2"/>
        <v>7.9369924903840983E-3</v>
      </c>
      <c r="R11" s="329">
        <f t="shared" si="4"/>
        <v>5.0199999999999995E-2</v>
      </c>
      <c r="S11" s="364">
        <f t="shared" si="3"/>
        <v>3.8800000000000001E-2</v>
      </c>
      <c r="T11" s="289"/>
      <c r="U11" s="113"/>
      <c r="V11" s="147"/>
      <c r="W11" s="115"/>
      <c r="X11" s="115"/>
      <c r="Y11" s="116"/>
      <c r="Z11" s="117"/>
    </row>
    <row r="12" spans="1:26" s="112" customFormat="1" ht="12.95" customHeight="1">
      <c r="A12" s="402">
        <v>7</v>
      </c>
      <c r="B12" s="394" t="s">
        <v>216</v>
      </c>
      <c r="C12" s="395" t="s">
        <v>217</v>
      </c>
      <c r="D12" s="74">
        <v>37600681.560000002</v>
      </c>
      <c r="E12" s="333">
        <f t="shared" si="0"/>
        <v>1.7319092381818154E-3</v>
      </c>
      <c r="F12" s="325">
        <v>145.96</v>
      </c>
      <c r="G12" s="325">
        <v>150.88</v>
      </c>
      <c r="H12" s="334">
        <v>-0.03</v>
      </c>
      <c r="I12" s="334">
        <v>0.50249999999999995</v>
      </c>
      <c r="J12" s="74">
        <v>37284486.909999996</v>
      </c>
      <c r="K12" s="333">
        <v>0.96619999999999995</v>
      </c>
      <c r="L12" s="325">
        <v>144.74</v>
      </c>
      <c r="M12" s="325">
        <v>149.61000000000001</v>
      </c>
      <c r="N12" s="334">
        <v>8.3999999999999995E-3</v>
      </c>
      <c r="O12" s="334">
        <v>0.5</v>
      </c>
      <c r="P12" s="329">
        <f t="shared" si="5"/>
        <v>-8.4092797492367043E-3</v>
      </c>
      <c r="Q12" s="329">
        <f t="shared" si="2"/>
        <v>-8.417285259808999E-3</v>
      </c>
      <c r="R12" s="329">
        <f t="shared" si="4"/>
        <v>3.8399999999999997E-2</v>
      </c>
      <c r="S12" s="364">
        <f t="shared" si="3"/>
        <v>-2.4999999999999467E-3</v>
      </c>
      <c r="T12" s="144"/>
      <c r="U12" s="113"/>
    </row>
    <row r="13" spans="1:26" s="330" customFormat="1" ht="12.95" customHeight="1">
      <c r="A13" s="399">
        <v>8</v>
      </c>
      <c r="B13" s="394" t="s">
        <v>268</v>
      </c>
      <c r="C13" s="395" t="s">
        <v>242</v>
      </c>
      <c r="D13" s="326">
        <v>464858734.13</v>
      </c>
      <c r="E13" s="333">
        <f t="shared" si="0"/>
        <v>2.1411663371169256E-2</v>
      </c>
      <c r="F13" s="325">
        <v>1.65</v>
      </c>
      <c r="G13" s="325">
        <v>1.7</v>
      </c>
      <c r="H13" s="334">
        <v>4.1700000000000001E-2</v>
      </c>
      <c r="I13" s="334">
        <v>0.32919999999999999</v>
      </c>
      <c r="J13" s="326">
        <v>465808101.41000003</v>
      </c>
      <c r="K13" s="333">
        <f t="shared" ref="K13:K19" si="6">(J13/$J$22)</f>
        <v>2.1369188522108677E-2</v>
      </c>
      <c r="L13" s="325">
        <v>1.61</v>
      </c>
      <c r="M13" s="325">
        <v>1.66</v>
      </c>
      <c r="N13" s="334">
        <v>-2.2735540196434978E-2</v>
      </c>
      <c r="O13" s="334">
        <v>0.2989765492787495</v>
      </c>
      <c r="P13" s="329">
        <f t="shared" ref="P13" si="7">((J13-D13)/D13)</f>
        <v>2.0422705013315632E-3</v>
      </c>
      <c r="Q13" s="329">
        <f t="shared" ref="Q13" si="8">((M13-G13)/G13)</f>
        <v>-2.3529411764705903E-2</v>
      </c>
      <c r="R13" s="329">
        <f t="shared" ref="R13" si="9">N13-H13</f>
        <v>-6.4435540196434979E-2</v>
      </c>
      <c r="S13" s="364">
        <f t="shared" ref="S13" si="10">O13-I13</f>
        <v>-3.0223450721250489E-2</v>
      </c>
      <c r="T13" s="144"/>
      <c r="U13" s="113"/>
    </row>
    <row r="14" spans="1:26" s="112" customFormat="1" ht="12.95" customHeight="1">
      <c r="A14" s="396">
        <v>9</v>
      </c>
      <c r="B14" s="394" t="s">
        <v>45</v>
      </c>
      <c r="C14" s="395" t="s">
        <v>132</v>
      </c>
      <c r="D14" s="326">
        <v>1312949517.6400001</v>
      </c>
      <c r="E14" s="333">
        <f t="shared" si="0"/>
        <v>6.0475217589834408E-2</v>
      </c>
      <c r="F14" s="325">
        <v>2.62</v>
      </c>
      <c r="G14" s="325">
        <v>2.68</v>
      </c>
      <c r="H14" s="334">
        <v>0.2326</v>
      </c>
      <c r="I14" s="334">
        <v>0.32519999999999999</v>
      </c>
      <c r="J14" s="326">
        <v>1312949517.6400001</v>
      </c>
      <c r="K14" s="333">
        <f t="shared" si="6"/>
        <v>6.0232240868145819E-2</v>
      </c>
      <c r="L14" s="325">
        <v>2.61</v>
      </c>
      <c r="M14" s="325">
        <v>2.67</v>
      </c>
      <c r="N14" s="334">
        <v>0.23050000000000001</v>
      </c>
      <c r="O14" s="334">
        <v>0.32290000000000002</v>
      </c>
      <c r="P14" s="329">
        <f t="shared" si="5"/>
        <v>0</v>
      </c>
      <c r="Q14" s="329">
        <f t="shared" si="2"/>
        <v>-3.7313432835821753E-3</v>
      </c>
      <c r="R14" s="329">
        <f t="shared" si="4"/>
        <v>-2.0999999999999908E-3</v>
      </c>
      <c r="S14" s="364">
        <f t="shared" si="3"/>
        <v>-2.2999999999999687E-3</v>
      </c>
      <c r="T14" s="144"/>
      <c r="U14" s="113"/>
    </row>
    <row r="15" spans="1:26" s="112" customFormat="1" ht="12.95" customHeight="1">
      <c r="A15" s="393">
        <v>10</v>
      </c>
      <c r="B15" s="394" t="s">
        <v>53</v>
      </c>
      <c r="C15" s="395" t="s">
        <v>54</v>
      </c>
      <c r="D15" s="325">
        <v>408928035.31999999</v>
      </c>
      <c r="E15" s="333">
        <f t="shared" si="0"/>
        <v>1.8835462888940453E-2</v>
      </c>
      <c r="F15" s="325">
        <v>15.994564</v>
      </c>
      <c r="G15" s="325">
        <v>16.093239000000001</v>
      </c>
      <c r="H15" s="334">
        <v>-1.0969039608609177E-2</v>
      </c>
      <c r="I15" s="334">
        <v>0.38048630349045798</v>
      </c>
      <c r="J15" s="325">
        <v>408936246.33999997</v>
      </c>
      <c r="K15" s="333">
        <f t="shared" si="6"/>
        <v>1.8760162640175437E-2</v>
      </c>
      <c r="L15" s="325">
        <v>15.965097</v>
      </c>
      <c r="M15" s="325">
        <v>16.071612999999999</v>
      </c>
      <c r="N15" s="334">
        <v>0</v>
      </c>
      <c r="O15" s="334">
        <v>0.37840000000000001</v>
      </c>
      <c r="P15" s="329">
        <f t="shared" si="5"/>
        <v>2.0079376542514446E-5</v>
      </c>
      <c r="Q15" s="329">
        <f t="shared" si="2"/>
        <v>-1.3437941237311678E-3</v>
      </c>
      <c r="R15" s="329">
        <f t="shared" si="4"/>
        <v>1.0969039608609177E-2</v>
      </c>
      <c r="S15" s="364">
        <f t="shared" si="3"/>
        <v>-2.0863034904579636E-3</v>
      </c>
      <c r="T15" s="144"/>
      <c r="U15" s="148"/>
      <c r="V15" s="148"/>
    </row>
    <row r="16" spans="1:26" s="112" customFormat="1" ht="12.95" customHeight="1">
      <c r="A16" s="392">
        <v>11</v>
      </c>
      <c r="B16" s="394" t="s">
        <v>125</v>
      </c>
      <c r="C16" s="395" t="s">
        <v>90</v>
      </c>
      <c r="D16" s="325">
        <v>379252284.41000003</v>
      </c>
      <c r="E16" s="333">
        <f t="shared" si="0"/>
        <v>1.7468580560783757E-2</v>
      </c>
      <c r="F16" s="325">
        <v>2.1020509999999999</v>
      </c>
      <c r="G16" s="325">
        <v>2.1379790000000001</v>
      </c>
      <c r="H16" s="334">
        <v>1.2999999999999999E-3</v>
      </c>
      <c r="I16" s="334">
        <v>0.48249999999999998</v>
      </c>
      <c r="J16" s="325">
        <v>379915413.87</v>
      </c>
      <c r="K16" s="333">
        <f t="shared" si="6"/>
        <v>1.7428816881604976E-2</v>
      </c>
      <c r="L16" s="325">
        <v>2.1057260000000002</v>
      </c>
      <c r="M16" s="325">
        <v>2.1423709999999998</v>
      </c>
      <c r="N16" s="334">
        <v>1.2999999999999999E-3</v>
      </c>
      <c r="O16" s="334">
        <v>0.48530000000000001</v>
      </c>
      <c r="P16" s="329">
        <f t="shared" si="5"/>
        <v>1.7485180373576501E-3</v>
      </c>
      <c r="Q16" s="329">
        <f t="shared" si="2"/>
        <v>2.054276491957933E-3</v>
      </c>
      <c r="R16" s="329">
        <f t="shared" si="4"/>
        <v>0</v>
      </c>
      <c r="S16" s="364">
        <f t="shared" si="3"/>
        <v>2.8000000000000247E-3</v>
      </c>
      <c r="T16" s="144"/>
      <c r="U16" s="149"/>
      <c r="V16" s="149"/>
    </row>
    <row r="17" spans="1:25" s="112" customFormat="1" ht="12.95" customHeight="1">
      <c r="A17" s="402">
        <v>12</v>
      </c>
      <c r="B17" s="394" t="s">
        <v>10</v>
      </c>
      <c r="C17" s="395" t="s">
        <v>9</v>
      </c>
      <c r="D17" s="326">
        <v>997332344.42999995</v>
      </c>
      <c r="E17" s="333">
        <f t="shared" si="0"/>
        <v>4.59377072221306E-2</v>
      </c>
      <c r="F17" s="325">
        <v>23.37</v>
      </c>
      <c r="G17" s="325">
        <v>23.88</v>
      </c>
      <c r="H17" s="334">
        <v>1.1999999999999999E-3</v>
      </c>
      <c r="I17" s="334">
        <v>0.41570000000000001</v>
      </c>
      <c r="J17" s="326">
        <v>1005680298.39</v>
      </c>
      <c r="K17" s="333">
        <f t="shared" si="6"/>
        <v>4.613610588612458E-2</v>
      </c>
      <c r="L17" s="325">
        <v>24.15</v>
      </c>
      <c r="M17" s="325">
        <v>24.67</v>
      </c>
      <c r="N17" s="334">
        <v>1.01E-2</v>
      </c>
      <c r="O17" s="334">
        <v>0.41439999999999999</v>
      </c>
      <c r="P17" s="329">
        <f t="shared" si="5"/>
        <v>8.370282992046247E-3</v>
      </c>
      <c r="Q17" s="329">
        <f t="shared" si="2"/>
        <v>3.3082077051926416E-2</v>
      </c>
      <c r="R17" s="329">
        <f t="shared" si="4"/>
        <v>8.8999999999999999E-3</v>
      </c>
      <c r="S17" s="364">
        <f t="shared" si="3"/>
        <v>-1.3000000000000234E-3</v>
      </c>
      <c r="T17" s="144"/>
      <c r="U17" s="150"/>
      <c r="V17" s="150"/>
    </row>
    <row r="18" spans="1:25" s="112" customFormat="1" ht="12.95" customHeight="1">
      <c r="A18" s="403">
        <v>13</v>
      </c>
      <c r="B18" s="394" t="s">
        <v>67</v>
      </c>
      <c r="C18" s="395" t="s">
        <v>5</v>
      </c>
      <c r="D18" s="326">
        <v>454152055.87</v>
      </c>
      <c r="E18" s="333">
        <f t="shared" si="0"/>
        <v>2.0918507550066783E-2</v>
      </c>
      <c r="F18" s="325">
        <v>4657.46</v>
      </c>
      <c r="G18" s="325">
        <v>4714.97</v>
      </c>
      <c r="H18" s="334">
        <v>-1.83E-2</v>
      </c>
      <c r="I18" s="334">
        <v>0.44</v>
      </c>
      <c r="J18" s="326">
        <v>455991554.86000001</v>
      </c>
      <c r="K18" s="333">
        <f t="shared" si="6"/>
        <v>2.0918849351905265E-2</v>
      </c>
      <c r="L18" s="325">
        <v>4676.33</v>
      </c>
      <c r="M18" s="325">
        <v>4734.1099999999997</v>
      </c>
      <c r="N18" s="334">
        <v>1.5100000000000001E-2</v>
      </c>
      <c r="O18" s="334">
        <v>0.44579999999999997</v>
      </c>
      <c r="P18" s="329">
        <f t="shared" si="5"/>
        <v>4.0504033092532378E-3</v>
      </c>
      <c r="Q18" s="329">
        <f t="shared" si="2"/>
        <v>4.0594107703759335E-3</v>
      </c>
      <c r="R18" s="329">
        <f t="shared" si="4"/>
        <v>3.3399999999999999E-2</v>
      </c>
      <c r="S18" s="364">
        <f t="shared" si="3"/>
        <v>5.7999999999999718E-3</v>
      </c>
      <c r="T18" s="144"/>
      <c r="U18" s="149"/>
      <c r="V18" s="149"/>
    </row>
    <row r="19" spans="1:25" s="112" customFormat="1" ht="12.95" customHeight="1">
      <c r="A19" s="403">
        <v>14</v>
      </c>
      <c r="B19" s="394" t="s">
        <v>224</v>
      </c>
      <c r="C19" s="395" t="s">
        <v>5</v>
      </c>
      <c r="D19" s="326">
        <v>9455283943.4599991</v>
      </c>
      <c r="E19" s="333">
        <f t="shared" si="0"/>
        <v>0.4355158718381103</v>
      </c>
      <c r="F19" s="325">
        <v>16221.2</v>
      </c>
      <c r="G19" s="325">
        <v>16409.68</v>
      </c>
      <c r="H19" s="334">
        <v>4.1999999999999997E-3</v>
      </c>
      <c r="I19" s="334">
        <v>0.32640000000000002</v>
      </c>
      <c r="J19" s="326">
        <v>9558347137.9400005</v>
      </c>
      <c r="K19" s="333">
        <f t="shared" si="6"/>
        <v>0.43849413810562987</v>
      </c>
      <c r="L19" s="325">
        <v>16709.87</v>
      </c>
      <c r="M19" s="325">
        <v>16516.150000000001</v>
      </c>
      <c r="N19" s="334">
        <v>4.1999999999999997E-3</v>
      </c>
      <c r="O19" s="334">
        <v>0.35060000000000002</v>
      </c>
      <c r="P19" s="329">
        <f t="shared" si="5"/>
        <v>1.0900063403308779E-2</v>
      </c>
      <c r="Q19" s="329">
        <f t="shared" si="2"/>
        <v>6.4882435245538711E-3</v>
      </c>
      <c r="R19" s="329">
        <f t="shared" si="4"/>
        <v>0</v>
      </c>
      <c r="S19" s="364">
        <f t="shared" si="3"/>
        <v>2.4199999999999999E-2</v>
      </c>
      <c r="T19" s="144"/>
      <c r="U19" s="151"/>
      <c r="V19" s="151"/>
    </row>
    <row r="20" spans="1:25" s="112" customFormat="1" ht="12.95" customHeight="1">
      <c r="A20" s="396">
        <v>15</v>
      </c>
      <c r="B20" s="394" t="s">
        <v>244</v>
      </c>
      <c r="C20" s="395" t="s">
        <v>245</v>
      </c>
      <c r="D20" s="74">
        <v>69684504.700000003</v>
      </c>
      <c r="E20" s="333">
        <f t="shared" si="0"/>
        <v>3.2097087723123212E-3</v>
      </c>
      <c r="F20" s="325">
        <v>129.46420000000001</v>
      </c>
      <c r="G20" s="325">
        <v>130.1129</v>
      </c>
      <c r="H20" s="334">
        <v>0.156415</v>
      </c>
      <c r="I20" s="334">
        <v>0.2223</v>
      </c>
      <c r="J20" s="74">
        <v>71901495.480000004</v>
      </c>
      <c r="K20" s="333">
        <v>0.96619999999999995</v>
      </c>
      <c r="L20" s="325">
        <v>128.0393</v>
      </c>
      <c r="M20" s="325">
        <v>128.4442</v>
      </c>
      <c r="N20" s="334">
        <v>0.15002299999999999</v>
      </c>
      <c r="O20" s="334">
        <v>0.21870000000000001</v>
      </c>
      <c r="P20" s="329">
        <f t="shared" si="5"/>
        <v>3.1814688065078561E-2</v>
      </c>
      <c r="Q20" s="329">
        <f t="shared" si="2"/>
        <v>-1.2825015813189939E-2</v>
      </c>
      <c r="R20" s="329">
        <f t="shared" si="4"/>
        <v>-6.3920000000000088E-3</v>
      </c>
      <c r="S20" s="364">
        <f t="shared" si="3"/>
        <v>-3.5999999999999921E-3</v>
      </c>
      <c r="T20" s="309"/>
      <c r="U20" s="309"/>
      <c r="V20" s="151"/>
    </row>
    <row r="21" spans="1:25" s="330" customFormat="1" ht="12.95" customHeight="1">
      <c r="A21" s="397">
        <v>16</v>
      </c>
      <c r="B21" s="395" t="s">
        <v>75</v>
      </c>
      <c r="C21" s="395" t="s">
        <v>41</v>
      </c>
      <c r="D21" s="325">
        <v>2546054531.0700002</v>
      </c>
      <c r="E21" s="333">
        <f t="shared" si="0"/>
        <v>0.11727275092709258</v>
      </c>
      <c r="F21" s="325">
        <v>1.2665999999999999</v>
      </c>
      <c r="G21" s="310">
        <v>1.252</v>
      </c>
      <c r="H21" s="334">
        <v>2.4400000000000002E-2</v>
      </c>
      <c r="I21" s="334">
        <v>0.3715</v>
      </c>
      <c r="J21" s="325">
        <v>2517001984.5999999</v>
      </c>
      <c r="K21" s="333">
        <f>(J21/$J$22)</f>
        <v>0.11546877299177087</v>
      </c>
      <c r="L21" s="325">
        <v>1.248</v>
      </c>
      <c r="M21" s="310">
        <v>1.2625</v>
      </c>
      <c r="N21" s="334">
        <v>-3.2000000000000002E-3</v>
      </c>
      <c r="O21" s="334">
        <v>0.36730000000000002</v>
      </c>
      <c r="P21" s="329">
        <f t="shared" si="5"/>
        <v>-1.1410810772301369E-2</v>
      </c>
      <c r="Q21" s="329">
        <f t="shared" si="2"/>
        <v>8.3865814696485255E-3</v>
      </c>
      <c r="R21" s="329">
        <f t="shared" si="4"/>
        <v>-2.7600000000000003E-2</v>
      </c>
      <c r="S21" s="364">
        <f t="shared" si="3"/>
        <v>-4.1999999999999815E-3</v>
      </c>
      <c r="T21" s="309"/>
      <c r="U21" s="309"/>
      <c r="V21" s="151"/>
    </row>
    <row r="22" spans="1:25" s="112" customFormat="1" ht="12.95" customHeight="1">
      <c r="A22" s="214"/>
      <c r="C22" s="244" t="s">
        <v>42</v>
      </c>
      <c r="D22" s="70">
        <f>SUM(D6:D21)</f>
        <v>21710538133.900002</v>
      </c>
      <c r="E22" s="262">
        <f>(D22/$D$168)</f>
        <v>1.1275907702273543E-2</v>
      </c>
      <c r="F22" s="264"/>
      <c r="G22" s="71"/>
      <c r="H22" s="281"/>
      <c r="I22" s="281"/>
      <c r="J22" s="70">
        <f>SUM(J6:J21)</f>
        <v>21798118395</v>
      </c>
      <c r="K22" s="262">
        <f>(J22/$J$168)</f>
        <v>1.1375750578301268E-2</v>
      </c>
      <c r="L22" s="264"/>
      <c r="M22" s="71"/>
      <c r="N22" s="281"/>
      <c r="O22" s="281"/>
      <c r="P22" s="266">
        <f t="shared" si="5"/>
        <v>4.0339977093080872E-3</v>
      </c>
      <c r="Q22" s="266"/>
      <c r="R22" s="266">
        <f t="shared" ref="R22" si="11">N22-H22</f>
        <v>0</v>
      </c>
      <c r="S22" s="364">
        <f t="shared" ref="S22" si="12">O22-I22</f>
        <v>0</v>
      </c>
      <c r="T22" s="144"/>
      <c r="U22" s="152"/>
      <c r="X22" s="119"/>
      <c r="Y22" s="119"/>
    </row>
    <row r="23" spans="1:25" s="112" customFormat="1" ht="5.25" customHeight="1">
      <c r="A23" s="411"/>
      <c r="B23" s="412"/>
      <c r="C23" s="413"/>
      <c r="D23" s="413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3"/>
      <c r="R23" s="413"/>
      <c r="S23" s="426"/>
      <c r="T23" s="144"/>
      <c r="U23" s="152"/>
      <c r="X23" s="119"/>
      <c r="Y23" s="119"/>
    </row>
    <row r="24" spans="1:25" s="112" customFormat="1" ht="12.95" customHeight="1">
      <c r="A24" s="418" t="s">
        <v>44</v>
      </c>
      <c r="B24" s="419"/>
      <c r="C24" s="420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1"/>
      <c r="T24" s="153"/>
      <c r="V24" s="154"/>
    </row>
    <row r="25" spans="1:25" s="112" customFormat="1" ht="12.95" customHeight="1">
      <c r="A25" s="392">
        <v>17</v>
      </c>
      <c r="B25" s="394" t="s">
        <v>115</v>
      </c>
      <c r="C25" s="395" t="s">
        <v>57</v>
      </c>
      <c r="D25" s="321">
        <v>835877117.96000004</v>
      </c>
      <c r="E25" s="193">
        <v>7.9600000000000004E-2</v>
      </c>
      <c r="F25" s="310">
        <v>100</v>
      </c>
      <c r="G25" s="310">
        <v>100</v>
      </c>
      <c r="H25" s="334">
        <v>8.7999999999999995E-2</v>
      </c>
      <c r="I25" s="334">
        <v>8.7999999999999995E-2</v>
      </c>
      <c r="J25" s="321">
        <v>813920925.62</v>
      </c>
      <c r="K25" s="333">
        <f t="shared" ref="K25:K41" si="13">(J25/$J$54)</f>
        <v>9.5064258817748114E-4</v>
      </c>
      <c r="L25" s="310">
        <v>100</v>
      </c>
      <c r="M25" s="310">
        <v>100</v>
      </c>
      <c r="N25" s="334">
        <v>8.2400000000000001E-2</v>
      </c>
      <c r="O25" s="334">
        <v>8.2400000000000001E-2</v>
      </c>
      <c r="P25" s="109">
        <f t="shared" ref="P25:P53" si="14">((J25-D25)/D25)</f>
        <v>-2.6267248939156537E-2</v>
      </c>
      <c r="Q25" s="109">
        <f t="shared" ref="Q25:Q53" si="15">((M25-G25)/G25)</f>
        <v>0</v>
      </c>
      <c r="R25" s="329">
        <f t="shared" ref="R25:R53" si="16">N25-H25</f>
        <v>-5.5999999999999939E-3</v>
      </c>
      <c r="S25" s="364">
        <f t="shared" ref="S25:S53" si="17">O25-I25</f>
        <v>-5.5999999999999939E-3</v>
      </c>
      <c r="T25" s="156"/>
      <c r="U25" s="120"/>
      <c r="V25" s="154"/>
      <c r="W25" s="157"/>
    </row>
    <row r="26" spans="1:25" s="112" customFormat="1" ht="12.95" customHeight="1">
      <c r="A26" s="397">
        <v>18</v>
      </c>
      <c r="B26" s="394" t="s">
        <v>37</v>
      </c>
      <c r="C26" s="395" t="s">
        <v>36</v>
      </c>
      <c r="D26" s="321">
        <v>3341828994.2600002</v>
      </c>
      <c r="E26" s="193">
        <v>8.6400000000000005E-2</v>
      </c>
      <c r="F26" s="310">
        <v>100</v>
      </c>
      <c r="G26" s="310">
        <v>100</v>
      </c>
      <c r="H26" s="334">
        <v>0.11625199999999999</v>
      </c>
      <c r="I26" s="334">
        <v>0.11625199999999999</v>
      </c>
      <c r="J26" s="321">
        <v>3433386374.0999999</v>
      </c>
      <c r="K26" s="333">
        <f t="shared" si="13"/>
        <v>4.0101233500065689E-3</v>
      </c>
      <c r="L26" s="310">
        <v>100</v>
      </c>
      <c r="M26" s="310">
        <v>100</v>
      </c>
      <c r="N26" s="334">
        <v>0.117729</v>
      </c>
      <c r="O26" s="334">
        <v>0.117729</v>
      </c>
      <c r="P26" s="329">
        <f t="shared" si="14"/>
        <v>2.7397386280764414E-2</v>
      </c>
      <c r="Q26" s="329">
        <f t="shared" si="15"/>
        <v>0</v>
      </c>
      <c r="R26" s="329">
        <f t="shared" si="16"/>
        <v>1.4770000000000061E-3</v>
      </c>
      <c r="S26" s="364">
        <f t="shared" si="17"/>
        <v>1.4770000000000061E-3</v>
      </c>
      <c r="T26" s="144"/>
      <c r="U26" s="113"/>
    </row>
    <row r="27" spans="1:25" s="112" customFormat="1" ht="12.95" customHeight="1">
      <c r="A27" s="401">
        <v>19</v>
      </c>
      <c r="B27" s="394" t="s">
        <v>136</v>
      </c>
      <c r="C27" s="395" t="s">
        <v>134</v>
      </c>
      <c r="D27" s="321">
        <v>424945120.56</v>
      </c>
      <c r="E27" s="193">
        <v>2.0000000000000001E-4</v>
      </c>
      <c r="F27" s="310">
        <v>100</v>
      </c>
      <c r="G27" s="310">
        <v>100</v>
      </c>
      <c r="H27" s="334">
        <v>7.2099999999999997E-2</v>
      </c>
      <c r="I27" s="334">
        <v>7.2099999999999997E-2</v>
      </c>
      <c r="J27" s="321">
        <v>419760490.38999999</v>
      </c>
      <c r="K27" s="333">
        <f t="shared" si="13"/>
        <v>4.9027145812110672E-4</v>
      </c>
      <c r="L27" s="310">
        <v>100</v>
      </c>
      <c r="M27" s="310">
        <v>100</v>
      </c>
      <c r="N27" s="334">
        <v>7.0300000000000001E-2</v>
      </c>
      <c r="O27" s="334">
        <v>7.0300000000000001E-2</v>
      </c>
      <c r="P27" s="329">
        <f t="shared" si="14"/>
        <v>-1.2200705265582581E-2</v>
      </c>
      <c r="Q27" s="329">
        <f t="shared" si="15"/>
        <v>0</v>
      </c>
      <c r="R27" s="329">
        <f t="shared" si="16"/>
        <v>-1.799999999999996E-3</v>
      </c>
      <c r="S27" s="364">
        <f t="shared" si="17"/>
        <v>-1.799999999999996E-3</v>
      </c>
      <c r="T27" s="144"/>
      <c r="U27" s="120"/>
    </row>
    <row r="28" spans="1:25" s="112" customFormat="1" ht="12.95" customHeight="1">
      <c r="A28" s="401">
        <v>20</v>
      </c>
      <c r="B28" s="394" t="s">
        <v>15</v>
      </c>
      <c r="C28" s="395" t="s">
        <v>6</v>
      </c>
      <c r="D28" s="321">
        <v>79461020448.75</v>
      </c>
      <c r="E28" s="193">
        <v>6.54E-2</v>
      </c>
      <c r="F28" s="310">
        <v>1</v>
      </c>
      <c r="G28" s="310">
        <v>1</v>
      </c>
      <c r="H28" s="334">
        <v>9.3100000000000002E-2</v>
      </c>
      <c r="I28" s="334">
        <v>9.3100000000000002E-2</v>
      </c>
      <c r="J28" s="321">
        <v>79179387352.850006</v>
      </c>
      <c r="K28" s="333">
        <f t="shared" si="13"/>
        <v>9.2479865493178132E-2</v>
      </c>
      <c r="L28" s="310">
        <v>1</v>
      </c>
      <c r="M28" s="310">
        <v>1</v>
      </c>
      <c r="N28" s="334">
        <v>8.8499999999999995E-2</v>
      </c>
      <c r="O28" s="334">
        <v>8.8499999999999995E-2</v>
      </c>
      <c r="P28" s="329">
        <f t="shared" si="14"/>
        <v>-3.5442924632668026E-3</v>
      </c>
      <c r="Q28" s="329">
        <f t="shared" si="15"/>
        <v>0</v>
      </c>
      <c r="R28" s="329">
        <f t="shared" si="16"/>
        <v>-4.6000000000000069E-3</v>
      </c>
      <c r="S28" s="364">
        <f t="shared" si="17"/>
        <v>-4.6000000000000069E-3</v>
      </c>
      <c r="T28" s="153"/>
      <c r="U28" s="113"/>
    </row>
    <row r="29" spans="1:25" s="112" customFormat="1" ht="12.95" customHeight="1">
      <c r="A29" s="397">
        <v>21</v>
      </c>
      <c r="B29" s="394" t="s">
        <v>82</v>
      </c>
      <c r="C29" s="395" t="s">
        <v>80</v>
      </c>
      <c r="D29" s="321">
        <v>40095551080.629997</v>
      </c>
      <c r="E29" s="193">
        <v>6.9800000000000001E-2</v>
      </c>
      <c r="F29" s="310">
        <v>1</v>
      </c>
      <c r="G29" s="310">
        <v>1</v>
      </c>
      <c r="H29" s="334">
        <v>8.9899999999999994E-2</v>
      </c>
      <c r="I29" s="334">
        <v>8.9899999999999994E-2</v>
      </c>
      <c r="J29" s="321">
        <v>39990420892.980003</v>
      </c>
      <c r="K29" s="333">
        <f t="shared" si="13"/>
        <v>4.670797373964846E-2</v>
      </c>
      <c r="L29" s="310">
        <v>1</v>
      </c>
      <c r="M29" s="310">
        <v>1</v>
      </c>
      <c r="N29" s="334">
        <v>8.8900000000000007E-2</v>
      </c>
      <c r="O29" s="334">
        <v>8.9499999999999996E-2</v>
      </c>
      <c r="P29" s="329">
        <f t="shared" si="14"/>
        <v>-2.6219913386046931E-3</v>
      </c>
      <c r="Q29" s="329">
        <f t="shared" si="15"/>
        <v>0</v>
      </c>
      <c r="R29" s="329">
        <f t="shared" si="16"/>
        <v>-9.9999999999998701E-4</v>
      </c>
      <c r="S29" s="364">
        <f t="shared" si="17"/>
        <v>-3.9999999999999758E-4</v>
      </c>
      <c r="T29" s="144"/>
      <c r="U29" s="148"/>
      <c r="V29" s="429"/>
      <c r="W29" s="429"/>
    </row>
    <row r="30" spans="1:25" s="112" customFormat="1" ht="12.95" customHeight="1">
      <c r="A30" s="402">
        <v>22</v>
      </c>
      <c r="B30" s="394" t="s">
        <v>97</v>
      </c>
      <c r="C30" s="395" t="s">
        <v>9</v>
      </c>
      <c r="D30" s="321">
        <v>6073036021.4700003</v>
      </c>
      <c r="E30" s="193">
        <v>5.3699999999999998E-2</v>
      </c>
      <c r="F30" s="310">
        <v>100</v>
      </c>
      <c r="G30" s="310">
        <v>100</v>
      </c>
      <c r="H30" s="334">
        <v>8.6699999999999999E-2</v>
      </c>
      <c r="I30" s="334">
        <v>8.6699999999999999E-2</v>
      </c>
      <c r="J30" s="321">
        <v>6278151194.9899998</v>
      </c>
      <c r="K30" s="333">
        <f t="shared" si="13"/>
        <v>7.3327490584279243E-3</v>
      </c>
      <c r="L30" s="310">
        <v>100</v>
      </c>
      <c r="M30" s="310">
        <v>100</v>
      </c>
      <c r="N30" s="334">
        <v>8.6699999999999999E-2</v>
      </c>
      <c r="O30" s="334">
        <v>8.6699999999999999E-2</v>
      </c>
      <c r="P30" s="329">
        <f t="shared" si="14"/>
        <v>3.377473355910552E-2</v>
      </c>
      <c r="Q30" s="329">
        <f t="shared" si="15"/>
        <v>0</v>
      </c>
      <c r="R30" s="329">
        <f t="shared" si="16"/>
        <v>0</v>
      </c>
      <c r="S30" s="364">
        <f t="shared" si="17"/>
        <v>0</v>
      </c>
      <c r="T30" s="144"/>
      <c r="U30" s="113"/>
      <c r="V30" s="431"/>
      <c r="W30" s="431"/>
    </row>
    <row r="31" spans="1:25" s="112" customFormat="1" ht="12.95" customHeight="1">
      <c r="A31" s="402">
        <v>23</v>
      </c>
      <c r="B31" s="394" t="s">
        <v>229</v>
      </c>
      <c r="C31" s="395" t="s">
        <v>7</v>
      </c>
      <c r="D31" s="321">
        <v>12818435327.519999</v>
      </c>
      <c r="E31" s="193">
        <v>6.1269999999999998E-2</v>
      </c>
      <c r="F31" s="310">
        <v>100</v>
      </c>
      <c r="G31" s="310">
        <v>100</v>
      </c>
      <c r="H31" s="334">
        <v>9.69E-2</v>
      </c>
      <c r="I31" s="334">
        <v>9.69E-2</v>
      </c>
      <c r="J31" s="321">
        <v>12742981407.68</v>
      </c>
      <c r="K31" s="333">
        <f t="shared" si="13"/>
        <v>1.488353529830511E-2</v>
      </c>
      <c r="L31" s="310">
        <v>100</v>
      </c>
      <c r="M31" s="310">
        <v>100</v>
      </c>
      <c r="N31" s="334">
        <v>9.6100000000000005E-2</v>
      </c>
      <c r="O31" s="334">
        <v>9.6100000000000005E-2</v>
      </c>
      <c r="P31" s="329">
        <f t="shared" si="14"/>
        <v>-5.8863595994439067E-3</v>
      </c>
      <c r="Q31" s="329">
        <f t="shared" si="15"/>
        <v>0</v>
      </c>
      <c r="R31" s="329">
        <f t="shared" si="16"/>
        <v>-7.9999999999999516E-4</v>
      </c>
      <c r="S31" s="364">
        <f t="shared" si="17"/>
        <v>-7.9999999999999516E-4</v>
      </c>
      <c r="T31" s="144"/>
      <c r="U31" s="113"/>
      <c r="V31" s="432"/>
      <c r="W31" s="432"/>
    </row>
    <row r="32" spans="1:25" s="112" customFormat="1" ht="12.95" customHeight="1">
      <c r="A32" s="401">
        <v>24</v>
      </c>
      <c r="B32" s="394" t="s">
        <v>89</v>
      </c>
      <c r="C32" s="395" t="s">
        <v>88</v>
      </c>
      <c r="D32" s="321">
        <v>5360735339.1700001</v>
      </c>
      <c r="E32" s="193">
        <v>7.0599999999999996E-2</v>
      </c>
      <c r="F32" s="310">
        <v>100</v>
      </c>
      <c r="G32" s="310">
        <v>100</v>
      </c>
      <c r="H32" s="334">
        <v>8.5599999999999996E-2</v>
      </c>
      <c r="I32" s="334">
        <v>8.5599999999999996E-2</v>
      </c>
      <c r="J32" s="321">
        <v>5563436722.6800003</v>
      </c>
      <c r="K32" s="333">
        <f t="shared" si="13"/>
        <v>6.4979775291824733E-3</v>
      </c>
      <c r="L32" s="310">
        <v>100</v>
      </c>
      <c r="M32" s="310">
        <v>100</v>
      </c>
      <c r="N32" s="334">
        <v>8.5300000000000001E-2</v>
      </c>
      <c r="O32" s="334">
        <v>8.5300000000000001E-2</v>
      </c>
      <c r="P32" s="329">
        <f t="shared" si="14"/>
        <v>3.7812234830713429E-2</v>
      </c>
      <c r="Q32" s="329">
        <f t="shared" si="15"/>
        <v>0</v>
      </c>
      <c r="R32" s="329">
        <f t="shared" si="16"/>
        <v>-2.9999999999999472E-4</v>
      </c>
      <c r="S32" s="364">
        <f t="shared" si="17"/>
        <v>-2.9999999999999472E-4</v>
      </c>
      <c r="T32" s="144"/>
      <c r="U32" s="113"/>
    </row>
    <row r="33" spans="1:23" s="112" customFormat="1" ht="12.95" customHeight="1">
      <c r="A33" s="402">
        <v>25</v>
      </c>
      <c r="B33" s="394" t="s">
        <v>178</v>
      </c>
      <c r="C33" s="395" t="s">
        <v>177</v>
      </c>
      <c r="D33" s="321">
        <v>44514190.369999997</v>
      </c>
      <c r="E33" s="193">
        <v>3.7000000000000002E-3</v>
      </c>
      <c r="F33" s="310">
        <v>100</v>
      </c>
      <c r="G33" s="310">
        <v>100</v>
      </c>
      <c r="H33" s="334">
        <v>0</v>
      </c>
      <c r="I33" s="334">
        <v>0</v>
      </c>
      <c r="J33" s="321">
        <v>44514190.369999997</v>
      </c>
      <c r="K33" s="333">
        <f t="shared" si="13"/>
        <v>5.1991641708593602E-5</v>
      </c>
      <c r="L33" s="310">
        <v>100</v>
      </c>
      <c r="M33" s="310">
        <v>100</v>
      </c>
      <c r="N33" s="334">
        <v>0</v>
      </c>
      <c r="O33" s="334">
        <v>0</v>
      </c>
      <c r="P33" s="329">
        <f t="shared" si="14"/>
        <v>0</v>
      </c>
      <c r="Q33" s="329">
        <f t="shared" si="15"/>
        <v>0</v>
      </c>
      <c r="R33" s="329">
        <f t="shared" si="16"/>
        <v>0</v>
      </c>
      <c r="S33" s="364">
        <f t="shared" si="17"/>
        <v>0</v>
      </c>
      <c r="T33" s="146"/>
      <c r="U33" s="158"/>
    </row>
    <row r="34" spans="1:23" s="112" customFormat="1" ht="12.95" customHeight="1">
      <c r="A34" s="402">
        <v>26</v>
      </c>
      <c r="B34" s="394" t="s">
        <v>108</v>
      </c>
      <c r="C34" s="395" t="s">
        <v>258</v>
      </c>
      <c r="D34" s="321">
        <v>4745469606.2600002</v>
      </c>
      <c r="E34" s="193">
        <v>6.3E-2</v>
      </c>
      <c r="F34" s="310">
        <v>1</v>
      </c>
      <c r="G34" s="310">
        <v>1</v>
      </c>
      <c r="H34" s="334">
        <v>7.0699999999999999E-2</v>
      </c>
      <c r="I34" s="334">
        <v>7.0699999999999999E-2</v>
      </c>
      <c r="J34" s="321">
        <v>4754926961.3400002</v>
      </c>
      <c r="K34" s="333">
        <f t="shared" si="13"/>
        <v>5.5536550675114749E-3</v>
      </c>
      <c r="L34" s="310">
        <v>1</v>
      </c>
      <c r="M34" s="310">
        <v>1</v>
      </c>
      <c r="N34" s="334">
        <v>8.6099999999999996E-2</v>
      </c>
      <c r="O34" s="334">
        <v>8.6099999999999996E-2</v>
      </c>
      <c r="P34" s="329">
        <f t="shared" si="14"/>
        <v>1.992922906412513E-3</v>
      </c>
      <c r="Q34" s="329">
        <f t="shared" si="15"/>
        <v>0</v>
      </c>
      <c r="R34" s="329">
        <f t="shared" si="16"/>
        <v>1.5399999999999997E-2</v>
      </c>
      <c r="S34" s="364">
        <f t="shared" si="17"/>
        <v>1.5399999999999997E-2</v>
      </c>
      <c r="T34" s="159"/>
      <c r="U34" s="113"/>
      <c r="V34" s="429"/>
      <c r="W34" s="429"/>
    </row>
    <row r="35" spans="1:23" s="112" customFormat="1" ht="12.95" customHeight="1">
      <c r="A35" s="397">
        <v>27</v>
      </c>
      <c r="B35" s="394" t="s">
        <v>100</v>
      </c>
      <c r="C35" s="395" t="s">
        <v>98</v>
      </c>
      <c r="D35" s="321">
        <v>13539988654.25</v>
      </c>
      <c r="E35" s="193">
        <v>4.5100000000000001E-2</v>
      </c>
      <c r="F35" s="69">
        <v>100</v>
      </c>
      <c r="G35" s="69">
        <v>100</v>
      </c>
      <c r="H35" s="334">
        <v>8.72E-2</v>
      </c>
      <c r="I35" s="334">
        <v>8.72E-2</v>
      </c>
      <c r="J35" s="321">
        <v>14527961910.5</v>
      </c>
      <c r="K35" s="333">
        <f t="shared" si="13"/>
        <v>1.6968355127399144E-2</v>
      </c>
      <c r="L35" s="69">
        <v>100</v>
      </c>
      <c r="M35" s="69">
        <v>100</v>
      </c>
      <c r="N35" s="334">
        <v>7.9899999999999999E-2</v>
      </c>
      <c r="O35" s="334">
        <v>7.9899999999999999E-2</v>
      </c>
      <c r="P35" s="329">
        <f t="shared" si="14"/>
        <v>7.2967066773714756E-2</v>
      </c>
      <c r="Q35" s="329">
        <f t="shared" si="15"/>
        <v>0</v>
      </c>
      <c r="R35" s="329">
        <f t="shared" si="16"/>
        <v>-7.3000000000000009E-3</v>
      </c>
      <c r="S35" s="364">
        <f t="shared" si="17"/>
        <v>-7.3000000000000009E-3</v>
      </c>
      <c r="T35" s="144"/>
      <c r="U35" s="122"/>
    </row>
    <row r="36" spans="1:23" s="112" customFormat="1" ht="12.95" customHeight="1">
      <c r="A36" s="397">
        <v>28</v>
      </c>
      <c r="B36" s="394" t="s">
        <v>99</v>
      </c>
      <c r="C36" s="395" t="s">
        <v>98</v>
      </c>
      <c r="D36" s="321">
        <v>1080347151.77</v>
      </c>
      <c r="E36" s="193">
        <v>5.2900000000000003E-2</v>
      </c>
      <c r="F36" s="69">
        <v>1000000</v>
      </c>
      <c r="G36" s="69">
        <v>1000000</v>
      </c>
      <c r="H36" s="334">
        <v>7.85E-2</v>
      </c>
      <c r="I36" s="334">
        <v>7.85E-2</v>
      </c>
      <c r="J36" s="321">
        <v>1081979680.1500001</v>
      </c>
      <c r="K36" s="333">
        <f t="shared" si="13"/>
        <v>1.2637295972083859E-3</v>
      </c>
      <c r="L36" s="69">
        <v>1000000</v>
      </c>
      <c r="M36" s="69">
        <v>1000000</v>
      </c>
      <c r="N36" s="334">
        <v>7.9899999999999999E-2</v>
      </c>
      <c r="O36" s="334">
        <v>7.9899999999999999E-2</v>
      </c>
      <c r="P36" s="329">
        <f t="shared" si="14"/>
        <v>1.5111146239664183E-3</v>
      </c>
      <c r="Q36" s="329">
        <f t="shared" si="15"/>
        <v>0</v>
      </c>
      <c r="R36" s="329">
        <f t="shared" si="16"/>
        <v>1.3999999999999985E-3</v>
      </c>
      <c r="S36" s="364">
        <f t="shared" si="17"/>
        <v>1.3999999999999985E-3</v>
      </c>
      <c r="T36" s="144"/>
      <c r="U36" s="123"/>
    </row>
    <row r="37" spans="1:23" s="112" customFormat="1" ht="12.95" customHeight="1">
      <c r="A37" s="396">
        <v>29</v>
      </c>
      <c r="B37" s="394" t="s">
        <v>168</v>
      </c>
      <c r="C37" s="395" t="s">
        <v>167</v>
      </c>
      <c r="D37" s="321">
        <v>2370574483</v>
      </c>
      <c r="E37" s="193">
        <v>9.0300000000000005E-2</v>
      </c>
      <c r="F37" s="310">
        <v>1</v>
      </c>
      <c r="G37" s="310">
        <v>1</v>
      </c>
      <c r="H37" s="334">
        <v>0.13370000000000001</v>
      </c>
      <c r="I37" s="334">
        <v>0.13370000000000001</v>
      </c>
      <c r="J37" s="321">
        <v>2489458643.8299999</v>
      </c>
      <c r="K37" s="333">
        <f t="shared" si="13"/>
        <v>2.9076355378486176E-3</v>
      </c>
      <c r="L37" s="310">
        <v>1</v>
      </c>
      <c r="M37" s="310">
        <v>1</v>
      </c>
      <c r="N37" s="334">
        <v>0.13389999999999999</v>
      </c>
      <c r="O37" s="334">
        <v>0.13389999999999999</v>
      </c>
      <c r="P37" s="329">
        <f t="shared" si="14"/>
        <v>5.0149936938302865E-2</v>
      </c>
      <c r="Q37" s="329">
        <f t="shared" si="15"/>
        <v>0</v>
      </c>
      <c r="R37" s="329">
        <f t="shared" si="16"/>
        <v>1.9999999999997797E-4</v>
      </c>
      <c r="S37" s="364">
        <f t="shared" si="17"/>
        <v>1.9999999999997797E-4</v>
      </c>
      <c r="T37" s="144"/>
      <c r="U37" s="122"/>
    </row>
    <row r="38" spans="1:23" s="330" customFormat="1" ht="12.95" customHeight="1">
      <c r="A38" s="396">
        <v>30</v>
      </c>
      <c r="B38" s="394" t="s">
        <v>14</v>
      </c>
      <c r="C38" s="395" t="s">
        <v>184</v>
      </c>
      <c r="D38" s="321">
        <v>202577681162.17001</v>
      </c>
      <c r="E38" s="193">
        <v>6.2600000000000003E-2</v>
      </c>
      <c r="F38" s="310">
        <v>100</v>
      </c>
      <c r="G38" s="310">
        <v>100</v>
      </c>
      <c r="H38" s="334">
        <v>0.1016</v>
      </c>
      <c r="I38" s="334">
        <v>0.1016</v>
      </c>
      <c r="J38" s="321">
        <v>205188776678.94</v>
      </c>
      <c r="K38" s="333">
        <f t="shared" si="13"/>
        <v>0.23965619212757291</v>
      </c>
      <c r="L38" s="310">
        <v>100</v>
      </c>
      <c r="M38" s="310">
        <v>100</v>
      </c>
      <c r="N38" s="334">
        <v>0.1009</v>
      </c>
      <c r="O38" s="334">
        <v>0.1009</v>
      </c>
      <c r="P38" s="329">
        <f t="shared" ref="P38" si="18">((J38-D38)/D38)</f>
        <v>1.2889354354291983E-2</v>
      </c>
      <c r="Q38" s="329">
        <f t="shared" ref="Q38" si="19">((M38-G38)/G38)</f>
        <v>0</v>
      </c>
      <c r="R38" s="329">
        <f t="shared" ref="R38" si="20">N38-H38</f>
        <v>-6.999999999999923E-4</v>
      </c>
      <c r="S38" s="364">
        <f t="shared" ref="S38" si="21">O38-I38</f>
        <v>-6.999999999999923E-4</v>
      </c>
      <c r="T38" s="144"/>
      <c r="U38" s="122"/>
    </row>
    <row r="39" spans="1:23" s="112" customFormat="1" ht="12.95" customHeight="1">
      <c r="A39" s="402">
        <v>31</v>
      </c>
      <c r="B39" s="394" t="s">
        <v>261</v>
      </c>
      <c r="C39" s="395" t="s">
        <v>133</v>
      </c>
      <c r="D39" s="321">
        <v>268706599.25999999</v>
      </c>
      <c r="E39" s="333">
        <f>(D39/$J$54)</f>
        <v>3.1384367810216032E-4</v>
      </c>
      <c r="F39" s="310">
        <v>1</v>
      </c>
      <c r="G39" s="310">
        <v>1</v>
      </c>
      <c r="H39" s="320">
        <v>7.7200000000000005E-2</v>
      </c>
      <c r="I39" s="320">
        <v>7.7200000000000005E-2</v>
      </c>
      <c r="J39" s="321">
        <v>268855979.88</v>
      </c>
      <c r="K39" s="333">
        <f t="shared" si="13"/>
        <v>3.1401815153655712E-4</v>
      </c>
      <c r="L39" s="310">
        <v>1</v>
      </c>
      <c r="M39" s="310">
        <v>1</v>
      </c>
      <c r="N39" s="320">
        <v>5.2200000000000003E-2</v>
      </c>
      <c r="O39" s="320">
        <v>5.2200000000000003E-2</v>
      </c>
      <c r="P39" s="329">
        <f t="shared" si="14"/>
        <v>5.5592464201247385E-4</v>
      </c>
      <c r="Q39" s="329">
        <f t="shared" si="15"/>
        <v>0</v>
      </c>
      <c r="R39" s="329">
        <f t="shared" si="16"/>
        <v>-2.5000000000000001E-2</v>
      </c>
      <c r="S39" s="364">
        <f t="shared" si="17"/>
        <v>-2.5000000000000001E-2</v>
      </c>
      <c r="T39" s="144"/>
      <c r="U39" s="122"/>
      <c r="V39" s="124"/>
    </row>
    <row r="40" spans="1:23" s="112" customFormat="1" ht="12.95" customHeight="1">
      <c r="A40" s="397">
        <v>32</v>
      </c>
      <c r="B40" s="394" t="s">
        <v>122</v>
      </c>
      <c r="C40" s="395" t="s">
        <v>174</v>
      </c>
      <c r="D40" s="321">
        <v>618707415.85000002</v>
      </c>
      <c r="E40" s="193">
        <v>4.9799999999999997E-2</v>
      </c>
      <c r="F40" s="310">
        <v>10</v>
      </c>
      <c r="G40" s="310">
        <v>10</v>
      </c>
      <c r="H40" s="334">
        <v>7.1300000000000002E-2</v>
      </c>
      <c r="I40" s="334">
        <v>7.1300000000000002E-2</v>
      </c>
      <c r="J40" s="321">
        <v>627642877.64999998</v>
      </c>
      <c r="K40" s="333">
        <f t="shared" si="13"/>
        <v>7.330737309719029E-4</v>
      </c>
      <c r="L40" s="310">
        <v>10</v>
      </c>
      <c r="M40" s="310">
        <v>10</v>
      </c>
      <c r="N40" s="334">
        <v>7.6399999999999996E-2</v>
      </c>
      <c r="O40" s="334">
        <v>7.6399999999999996E-2</v>
      </c>
      <c r="P40" s="109">
        <f t="shared" si="14"/>
        <v>1.4442144333641337E-2</v>
      </c>
      <c r="Q40" s="329">
        <f t="shared" si="15"/>
        <v>0</v>
      </c>
      <c r="R40" s="329">
        <f t="shared" si="16"/>
        <v>5.0999999999999934E-3</v>
      </c>
      <c r="S40" s="364">
        <f t="shared" si="17"/>
        <v>5.0999999999999934E-3</v>
      </c>
      <c r="T40" s="155"/>
      <c r="U40" s="390"/>
      <c r="V40" s="186"/>
    </row>
    <row r="41" spans="1:23" s="112" customFormat="1" ht="12.95" customHeight="1">
      <c r="A41" s="402">
        <v>33</v>
      </c>
      <c r="B41" s="394" t="s">
        <v>86</v>
      </c>
      <c r="C41" s="395" t="s">
        <v>87</v>
      </c>
      <c r="D41" s="321">
        <v>3139377470.432292</v>
      </c>
      <c r="E41" s="193">
        <v>4.2599999999999999E-2</v>
      </c>
      <c r="F41" s="310">
        <v>100</v>
      </c>
      <c r="G41" s="310">
        <v>100</v>
      </c>
      <c r="H41" s="334">
        <v>0.08</v>
      </c>
      <c r="I41" s="334">
        <v>0.08</v>
      </c>
      <c r="J41" s="321">
        <v>3139377470.432292</v>
      </c>
      <c r="K41" s="333">
        <f t="shared" si="13"/>
        <v>3.6667271104799978E-3</v>
      </c>
      <c r="L41" s="310">
        <v>100</v>
      </c>
      <c r="M41" s="310">
        <v>100</v>
      </c>
      <c r="N41" s="334">
        <v>0.08</v>
      </c>
      <c r="O41" s="334">
        <v>0.08</v>
      </c>
      <c r="P41" s="329">
        <f t="shared" si="14"/>
        <v>0</v>
      </c>
      <c r="Q41" s="329">
        <f t="shared" si="15"/>
        <v>0</v>
      </c>
      <c r="R41" s="329">
        <f t="shared" si="16"/>
        <v>0</v>
      </c>
      <c r="S41" s="364">
        <f t="shared" si="17"/>
        <v>0</v>
      </c>
      <c r="T41" s="146"/>
      <c r="U41" s="122"/>
    </row>
    <row r="42" spans="1:23" s="330" customFormat="1" ht="12.95" customHeight="1">
      <c r="A42" s="399">
        <v>34</v>
      </c>
      <c r="B42" s="394" t="s">
        <v>269</v>
      </c>
      <c r="C42" s="395" t="s">
        <v>242</v>
      </c>
      <c r="D42" s="321">
        <v>20964679811.240002</v>
      </c>
      <c r="E42" s="193">
        <v>4.7199999999999999E-2</v>
      </c>
      <c r="F42" s="310">
        <v>100</v>
      </c>
      <c r="G42" s="310">
        <v>100</v>
      </c>
      <c r="H42" s="334">
        <v>7.0599999999999996E-2</v>
      </c>
      <c r="I42" s="334">
        <v>6.2100000000000002E-2</v>
      </c>
      <c r="J42" s="321">
        <v>21087722544.799999</v>
      </c>
      <c r="K42" s="333">
        <f t="shared" ref="K42" si="22">(J42/$J$54)</f>
        <v>2.4630018110772468E-2</v>
      </c>
      <c r="L42" s="310">
        <v>100</v>
      </c>
      <c r="M42" s="310">
        <v>100</v>
      </c>
      <c r="N42" s="334">
        <v>8.0199999999999994E-2</v>
      </c>
      <c r="O42" s="334">
        <v>8.09E-2</v>
      </c>
      <c r="P42" s="329">
        <f t="shared" ref="P42" si="23">((J42-D42)/D42)</f>
        <v>5.86904902282502E-3</v>
      </c>
      <c r="Q42" s="329">
        <f t="shared" ref="Q42" si="24">((M42-G42)/G42)</f>
        <v>0</v>
      </c>
      <c r="R42" s="329">
        <f t="shared" ref="R42" si="25">N42-H42</f>
        <v>9.5999999999999974E-3</v>
      </c>
      <c r="S42" s="364">
        <f t="shared" ref="S42" si="26">O42-I42</f>
        <v>1.8799999999999997E-2</v>
      </c>
      <c r="T42" s="146"/>
      <c r="U42" s="122"/>
    </row>
    <row r="43" spans="1:23" s="112" customFormat="1" ht="12.95" customHeight="1">
      <c r="A43" s="396">
        <v>35</v>
      </c>
      <c r="B43" s="394" t="s">
        <v>121</v>
      </c>
      <c r="C43" s="395" t="s">
        <v>132</v>
      </c>
      <c r="D43" s="321">
        <v>3317170674.1900001</v>
      </c>
      <c r="E43" s="193">
        <v>4.8399999999999999E-2</v>
      </c>
      <c r="F43" s="310">
        <v>1</v>
      </c>
      <c r="G43" s="310">
        <v>1</v>
      </c>
      <c r="H43" s="334">
        <v>7.3400000000000007E-2</v>
      </c>
      <c r="I43" s="334">
        <v>7.3400000000000007E-2</v>
      </c>
      <c r="J43" s="321">
        <v>3307850359.5</v>
      </c>
      <c r="K43" s="333">
        <f t="shared" ref="K43:K53" si="27">(J43/$J$54)</f>
        <v>3.8634999151342885E-3</v>
      </c>
      <c r="L43" s="310">
        <v>1</v>
      </c>
      <c r="M43" s="310">
        <v>1</v>
      </c>
      <c r="N43" s="334">
        <v>7.6300000000000007E-2</v>
      </c>
      <c r="O43" s="334">
        <v>7.6300000000000007E-2</v>
      </c>
      <c r="P43" s="109">
        <f t="shared" si="14"/>
        <v>-2.8097181620827904E-3</v>
      </c>
      <c r="Q43" s="109">
        <f t="shared" si="15"/>
        <v>0</v>
      </c>
      <c r="R43" s="329">
        <f t="shared" si="16"/>
        <v>2.8999999999999998E-3</v>
      </c>
      <c r="S43" s="364">
        <f t="shared" si="17"/>
        <v>2.8999999999999998E-3</v>
      </c>
      <c r="T43" s="144"/>
      <c r="U43" s="160"/>
      <c r="V43" s="186"/>
    </row>
    <row r="44" spans="1:23" s="112" customFormat="1" ht="12.95" customHeight="1">
      <c r="A44" s="393">
        <v>36</v>
      </c>
      <c r="B44" s="394" t="s">
        <v>55</v>
      </c>
      <c r="C44" s="395" t="s">
        <v>54</v>
      </c>
      <c r="D44" s="316">
        <v>3218146936.1100001</v>
      </c>
      <c r="E44" s="193">
        <v>6.4500000000000002E-2</v>
      </c>
      <c r="F44" s="310">
        <v>10</v>
      </c>
      <c r="G44" s="310">
        <v>10</v>
      </c>
      <c r="H44" s="334">
        <v>9.74E-2</v>
      </c>
      <c r="I44" s="334">
        <v>9.74E-2</v>
      </c>
      <c r="J44" s="316">
        <v>3291678950.0100002</v>
      </c>
      <c r="K44" s="333">
        <f t="shared" si="27"/>
        <v>3.844612047666892E-3</v>
      </c>
      <c r="L44" s="310">
        <v>10</v>
      </c>
      <c r="M44" s="310">
        <v>10</v>
      </c>
      <c r="N44" s="334">
        <v>9.1899999999999996E-2</v>
      </c>
      <c r="O44" s="334">
        <v>9.1899999999999996E-2</v>
      </c>
      <c r="P44" s="329">
        <f t="shared" si="14"/>
        <v>2.2849178536541094E-2</v>
      </c>
      <c r="Q44" s="329">
        <f t="shared" si="15"/>
        <v>0</v>
      </c>
      <c r="R44" s="329">
        <f t="shared" si="16"/>
        <v>-5.5000000000000049E-3</v>
      </c>
      <c r="S44" s="364">
        <f t="shared" si="17"/>
        <v>-5.5000000000000049E-3</v>
      </c>
      <c r="T44" s="144"/>
      <c r="U44" s="160"/>
      <c r="V44" s="186"/>
    </row>
    <row r="45" spans="1:23" s="112" customFormat="1" ht="12.95" customHeight="1">
      <c r="A45" s="393">
        <v>37</v>
      </c>
      <c r="B45" s="394" t="s">
        <v>187</v>
      </c>
      <c r="C45" s="395" t="s">
        <v>171</v>
      </c>
      <c r="D45" s="321">
        <v>4486353598.1300001</v>
      </c>
      <c r="E45" s="193">
        <v>7.8700000000000006E-2</v>
      </c>
      <c r="F45" s="310">
        <v>100</v>
      </c>
      <c r="G45" s="310">
        <v>100</v>
      </c>
      <c r="H45" s="334">
        <v>0.1071</v>
      </c>
      <c r="I45" s="334">
        <v>0.1071</v>
      </c>
      <c r="J45" s="321">
        <v>4547333981.5799999</v>
      </c>
      <c r="K45" s="333">
        <f t="shared" si="27"/>
        <v>5.3111908165571287E-3</v>
      </c>
      <c r="L45" s="310">
        <v>100</v>
      </c>
      <c r="M45" s="310">
        <v>100</v>
      </c>
      <c r="N45" s="334">
        <v>0.1057</v>
      </c>
      <c r="O45" s="334">
        <v>0.1057</v>
      </c>
      <c r="P45" s="329">
        <f t="shared" si="14"/>
        <v>1.3592415781809447E-2</v>
      </c>
      <c r="Q45" s="329">
        <f t="shared" si="15"/>
        <v>0</v>
      </c>
      <c r="R45" s="329">
        <f t="shared" si="16"/>
        <v>-1.3999999999999985E-3</v>
      </c>
      <c r="S45" s="364">
        <f t="shared" si="17"/>
        <v>-1.3999999999999985E-3</v>
      </c>
      <c r="T45" s="144"/>
      <c r="U45" s="122"/>
    </row>
    <row r="46" spans="1:23" s="112" customFormat="1" ht="12.95" customHeight="1">
      <c r="A46" s="402">
        <v>38</v>
      </c>
      <c r="B46" s="394" t="s">
        <v>161</v>
      </c>
      <c r="C46" s="395" t="s">
        <v>159</v>
      </c>
      <c r="D46" s="321">
        <v>143812692.97</v>
      </c>
      <c r="E46" s="193">
        <v>2.9985000000000001E-2</v>
      </c>
      <c r="F46" s="310">
        <v>1</v>
      </c>
      <c r="G46" s="310">
        <v>1</v>
      </c>
      <c r="H46" s="334">
        <v>8.0100000000000005E-2</v>
      </c>
      <c r="I46" s="334">
        <v>8.0100000000000005E-2</v>
      </c>
      <c r="J46" s="321">
        <v>143692693.72</v>
      </c>
      <c r="K46" s="333">
        <f t="shared" si="27"/>
        <v>1.6783005567293929E-4</v>
      </c>
      <c r="L46" s="310">
        <v>1</v>
      </c>
      <c r="M46" s="310">
        <v>1</v>
      </c>
      <c r="N46" s="334">
        <v>8.0100000000000005E-2</v>
      </c>
      <c r="O46" s="334">
        <v>8.0100000000000005E-2</v>
      </c>
      <c r="P46" s="329">
        <f t="shared" si="14"/>
        <v>-8.3441348271694215E-4</v>
      </c>
      <c r="Q46" s="329">
        <f t="shared" si="15"/>
        <v>0</v>
      </c>
      <c r="R46" s="329">
        <f t="shared" si="16"/>
        <v>0</v>
      </c>
      <c r="S46" s="364">
        <f t="shared" si="17"/>
        <v>0</v>
      </c>
      <c r="T46" s="144"/>
      <c r="U46" s="122"/>
    </row>
    <row r="47" spans="1:23" s="112" customFormat="1" ht="12.95" customHeight="1">
      <c r="A47" s="393">
        <v>39</v>
      </c>
      <c r="B47" s="394" t="s">
        <v>95</v>
      </c>
      <c r="C47" s="395" t="s">
        <v>90</v>
      </c>
      <c r="D47" s="316">
        <v>739073419.46000004</v>
      </c>
      <c r="E47" s="193">
        <v>6.6600000000000006E-2</v>
      </c>
      <c r="F47" s="310">
        <v>10</v>
      </c>
      <c r="G47" s="310">
        <v>10</v>
      </c>
      <c r="H47" s="334">
        <v>2.9999999999999997E-4</v>
      </c>
      <c r="I47" s="334">
        <v>0.10829999999999999</v>
      </c>
      <c r="J47" s="316">
        <v>729188172.07000005</v>
      </c>
      <c r="K47" s="333">
        <f t="shared" si="27"/>
        <v>8.51676507317946E-4</v>
      </c>
      <c r="L47" s="310">
        <v>10</v>
      </c>
      <c r="M47" s="310">
        <v>10</v>
      </c>
      <c r="N47" s="334">
        <v>0.1089</v>
      </c>
      <c r="O47" s="334">
        <v>0.1089</v>
      </c>
      <c r="P47" s="329">
        <f t="shared" si="14"/>
        <v>-1.3375189973984706E-2</v>
      </c>
      <c r="Q47" s="329">
        <f t="shared" si="15"/>
        <v>0</v>
      </c>
      <c r="R47" s="329">
        <f t="shared" si="16"/>
        <v>0.1086</v>
      </c>
      <c r="S47" s="364">
        <f t="shared" si="17"/>
        <v>6.0000000000000331E-4</v>
      </c>
      <c r="T47" s="153"/>
      <c r="U47" s="122"/>
    </row>
    <row r="48" spans="1:23" s="112" customFormat="1" ht="12.95" customHeight="1">
      <c r="A48" s="403">
        <v>40</v>
      </c>
      <c r="B48" s="394" t="s">
        <v>34</v>
      </c>
      <c r="C48" s="395" t="s">
        <v>5</v>
      </c>
      <c r="D48" s="321">
        <v>363736924253.53998</v>
      </c>
      <c r="E48" s="193">
        <v>3.6200000000000003E-2</v>
      </c>
      <c r="F48" s="310">
        <v>100</v>
      </c>
      <c r="G48" s="310">
        <v>100</v>
      </c>
      <c r="H48" s="334">
        <v>9.6000000000000002E-2</v>
      </c>
      <c r="I48" s="334">
        <v>9.6000000000000002E-2</v>
      </c>
      <c r="J48" s="321">
        <v>367815111680.13</v>
      </c>
      <c r="K48" s="333">
        <f t="shared" si="27"/>
        <v>0.42960034412683989</v>
      </c>
      <c r="L48" s="310">
        <v>100</v>
      </c>
      <c r="M48" s="310">
        <v>100</v>
      </c>
      <c r="N48" s="334">
        <v>8.9200000000000002E-2</v>
      </c>
      <c r="O48" s="334">
        <v>8.9200000000000002E-2</v>
      </c>
      <c r="P48" s="329">
        <f t="shared" si="14"/>
        <v>1.1211914861157616E-2</v>
      </c>
      <c r="Q48" s="329">
        <f t="shared" si="15"/>
        <v>0</v>
      </c>
      <c r="R48" s="329">
        <f t="shared" si="16"/>
        <v>-6.8000000000000005E-3</v>
      </c>
      <c r="S48" s="364">
        <f t="shared" si="17"/>
        <v>-6.8000000000000005E-3</v>
      </c>
      <c r="T48" s="153"/>
      <c r="U48" s="122"/>
    </row>
    <row r="49" spans="1:23" s="112" customFormat="1" ht="12.95" customHeight="1">
      <c r="A49" s="393">
        <v>41</v>
      </c>
      <c r="B49" s="394" t="s">
        <v>149</v>
      </c>
      <c r="C49" s="395" t="s">
        <v>148</v>
      </c>
      <c r="D49" s="321">
        <v>2066333206.0599999</v>
      </c>
      <c r="E49" s="193">
        <v>5.3145060299999998E-2</v>
      </c>
      <c r="F49" s="310">
        <v>1</v>
      </c>
      <c r="G49" s="310">
        <v>1</v>
      </c>
      <c r="H49" s="334">
        <v>0.12401864000754605</v>
      </c>
      <c r="I49" s="334">
        <v>0.12401864000754605</v>
      </c>
      <c r="J49" s="321">
        <v>2204045949.0900002</v>
      </c>
      <c r="K49" s="333">
        <f t="shared" si="27"/>
        <v>2.5742794902452685E-3</v>
      </c>
      <c r="L49" s="310">
        <v>1</v>
      </c>
      <c r="M49" s="310">
        <v>1</v>
      </c>
      <c r="N49" s="334">
        <v>0.12358068567427374</v>
      </c>
      <c r="O49" s="334">
        <v>0.12358068567427374</v>
      </c>
      <c r="P49" s="329">
        <f t="shared" si="14"/>
        <v>6.6645951691685426E-2</v>
      </c>
      <c r="Q49" s="329">
        <f t="shared" si="15"/>
        <v>0</v>
      </c>
      <c r="R49" s="329">
        <f t="shared" si="16"/>
        <v>-4.3795433327230293E-4</v>
      </c>
      <c r="S49" s="364">
        <f t="shared" si="17"/>
        <v>-4.3795433327230293E-4</v>
      </c>
      <c r="T49" s="144"/>
      <c r="U49" s="122"/>
    </row>
    <row r="50" spans="1:23" s="112" customFormat="1" ht="12.95" customHeight="1">
      <c r="A50" s="397">
        <v>42</v>
      </c>
      <c r="B50" s="394" t="s">
        <v>76</v>
      </c>
      <c r="C50" s="395" t="s">
        <v>41</v>
      </c>
      <c r="D50" s="321">
        <v>45367611149.040001</v>
      </c>
      <c r="E50" s="193">
        <v>5.2600000000000001E-2</v>
      </c>
      <c r="F50" s="310">
        <v>1</v>
      </c>
      <c r="G50" s="310">
        <v>1</v>
      </c>
      <c r="H50" s="334">
        <v>9.0200000000000002E-2</v>
      </c>
      <c r="I50" s="334">
        <v>9.0200000000000002E-2</v>
      </c>
      <c r="J50" s="321">
        <v>43700670576.059998</v>
      </c>
      <c r="K50" s="333">
        <f t="shared" si="27"/>
        <v>5.1041467633814015E-2</v>
      </c>
      <c r="L50" s="310">
        <v>1</v>
      </c>
      <c r="M50" s="310">
        <v>1</v>
      </c>
      <c r="N50" s="334">
        <v>8.9399999999999993E-2</v>
      </c>
      <c r="O50" s="334">
        <v>8.9399999999999993E-2</v>
      </c>
      <c r="P50" s="329">
        <f t="shared" si="14"/>
        <v>-3.6742965537767278E-2</v>
      </c>
      <c r="Q50" s="329">
        <f t="shared" si="15"/>
        <v>0</v>
      </c>
      <c r="R50" s="329">
        <f t="shared" si="16"/>
        <v>-8.0000000000000904E-4</v>
      </c>
      <c r="S50" s="364">
        <f t="shared" si="17"/>
        <v>-8.0000000000000904E-4</v>
      </c>
      <c r="T50" s="144"/>
      <c r="U50" s="122"/>
    </row>
    <row r="51" spans="1:23" s="112" customFormat="1" ht="12.95" customHeight="1">
      <c r="A51" s="396">
        <v>43</v>
      </c>
      <c r="B51" s="394" t="s">
        <v>158</v>
      </c>
      <c r="C51" s="395" t="s">
        <v>106</v>
      </c>
      <c r="D51" s="321">
        <v>1922732430.3199999</v>
      </c>
      <c r="E51" s="193">
        <v>6.4199999999999993E-2</v>
      </c>
      <c r="F51" s="310">
        <v>1</v>
      </c>
      <c r="G51" s="310">
        <v>1</v>
      </c>
      <c r="H51" s="334">
        <v>6.3200000000000006E-2</v>
      </c>
      <c r="I51" s="334">
        <v>6.3200000000000006E-2</v>
      </c>
      <c r="J51" s="321">
        <v>1812692246.1099999</v>
      </c>
      <c r="K51" s="333">
        <f t="shared" si="27"/>
        <v>2.1171865646513587E-3</v>
      </c>
      <c r="L51" s="310">
        <v>1</v>
      </c>
      <c r="M51" s="310">
        <v>1</v>
      </c>
      <c r="N51" s="334">
        <v>5.2699999999999997E-2</v>
      </c>
      <c r="O51" s="334">
        <v>5.2699999999999997E-2</v>
      </c>
      <c r="P51" s="329">
        <f t="shared" si="14"/>
        <v>-5.7231147961490446E-2</v>
      </c>
      <c r="Q51" s="329">
        <f t="shared" si="15"/>
        <v>0</v>
      </c>
      <c r="R51" s="329">
        <f t="shared" si="16"/>
        <v>-1.0500000000000009E-2</v>
      </c>
      <c r="S51" s="364">
        <f t="shared" si="17"/>
        <v>-1.0500000000000009E-2</v>
      </c>
      <c r="T51" s="88"/>
      <c r="U51" s="122"/>
    </row>
    <row r="52" spans="1:23" s="112" customFormat="1" ht="12.95" customHeight="1">
      <c r="A52" s="402">
        <v>44</v>
      </c>
      <c r="B52" s="394" t="s">
        <v>131</v>
      </c>
      <c r="C52" s="395" t="s">
        <v>38</v>
      </c>
      <c r="D52" s="321">
        <v>1468513939</v>
      </c>
      <c r="E52" s="193">
        <v>2.2200000000000001E-2</v>
      </c>
      <c r="F52" s="310">
        <v>1</v>
      </c>
      <c r="G52" s="310">
        <v>1</v>
      </c>
      <c r="H52" s="334">
        <v>0.10050000000000001</v>
      </c>
      <c r="I52" s="334">
        <v>0.10050000000000001</v>
      </c>
      <c r="J52" s="321">
        <v>1554579584.01</v>
      </c>
      <c r="K52" s="333">
        <f t="shared" si="27"/>
        <v>1.8157163831921317E-3</v>
      </c>
      <c r="L52" s="310">
        <v>1</v>
      </c>
      <c r="M52" s="310">
        <v>1</v>
      </c>
      <c r="N52" s="334">
        <v>9.3700000000000006E-2</v>
      </c>
      <c r="O52" s="334">
        <v>9.3700000000000006E-2</v>
      </c>
      <c r="P52" s="329">
        <f t="shared" si="14"/>
        <v>5.8607305470050421E-2</v>
      </c>
      <c r="Q52" s="329">
        <f t="shared" si="15"/>
        <v>0</v>
      </c>
      <c r="R52" s="329">
        <f t="shared" si="16"/>
        <v>-6.8000000000000005E-3</v>
      </c>
      <c r="S52" s="364">
        <f t="shared" si="17"/>
        <v>-6.8000000000000005E-3</v>
      </c>
      <c r="U52" s="122"/>
    </row>
    <row r="53" spans="1:23" s="112" customFormat="1" ht="12.95" customHeight="1">
      <c r="A53" s="397">
        <v>45</v>
      </c>
      <c r="B53" s="394" t="s">
        <v>112</v>
      </c>
      <c r="C53" s="395" t="s">
        <v>12</v>
      </c>
      <c r="D53" s="321">
        <v>25766031502.720001</v>
      </c>
      <c r="E53" s="193">
        <v>5.9200000000000003E-2</v>
      </c>
      <c r="F53" s="310">
        <v>1</v>
      </c>
      <c r="G53" s="310">
        <v>1</v>
      </c>
      <c r="H53" s="334">
        <v>9.3299999999999994E-2</v>
      </c>
      <c r="I53" s="334">
        <v>9.3299999999999994E-2</v>
      </c>
      <c r="J53" s="321">
        <v>25440235235.029999</v>
      </c>
      <c r="K53" s="333">
        <f t="shared" si="27"/>
        <v>2.9713661740850807E-2</v>
      </c>
      <c r="L53" s="310">
        <v>1</v>
      </c>
      <c r="M53" s="310">
        <v>1</v>
      </c>
      <c r="N53" s="334">
        <v>9.2899999999999996E-2</v>
      </c>
      <c r="O53" s="334">
        <v>9.2899999999999996E-2</v>
      </c>
      <c r="P53" s="329">
        <f t="shared" si="14"/>
        <v>-1.2644410050325742E-2</v>
      </c>
      <c r="Q53" s="329">
        <f t="shared" si="15"/>
        <v>0</v>
      </c>
      <c r="R53" s="329">
        <f t="shared" si="16"/>
        <v>-3.9999999999999758E-4</v>
      </c>
      <c r="S53" s="364">
        <f t="shared" si="17"/>
        <v>-3.9999999999999758E-4</v>
      </c>
      <c r="T53" s="161"/>
      <c r="U53" s="122"/>
    </row>
    <row r="54" spans="1:23" s="112" customFormat="1" ht="12.95" customHeight="1">
      <c r="A54" s="214"/>
      <c r="C54" s="244" t="s">
        <v>42</v>
      </c>
      <c r="D54" s="76">
        <f>SUM(D25:D53)</f>
        <v>849994179796.46228</v>
      </c>
      <c r="E54" s="262">
        <f>(D54/$D$168)</f>
        <v>0.44146560807209689</v>
      </c>
      <c r="F54" s="264"/>
      <c r="G54" s="73"/>
      <c r="H54" s="280"/>
      <c r="I54" s="280"/>
      <c r="J54" s="76">
        <f>SUM(J25:J53)</f>
        <v>856179741726.49231</v>
      </c>
      <c r="K54" s="262">
        <f>(J54/$J$168)</f>
        <v>0.44681320724953222</v>
      </c>
      <c r="L54" s="264"/>
      <c r="M54" s="73"/>
      <c r="N54" s="280"/>
      <c r="O54" s="280"/>
      <c r="P54" s="266">
        <f t="shared" ref="P54" si="28">((J54-D54)/D54)</f>
        <v>7.2771815114207137E-3</v>
      </c>
      <c r="Q54" s="266"/>
      <c r="R54" s="266">
        <f t="shared" ref="R54:S54" si="29">N54-H54</f>
        <v>0</v>
      </c>
      <c r="S54" s="364">
        <f t="shared" si="29"/>
        <v>0</v>
      </c>
    </row>
    <row r="55" spans="1:23" s="112" customFormat="1" ht="4.5" customHeight="1">
      <c r="A55" s="411">
        <v>1</v>
      </c>
      <c r="B55" s="412"/>
      <c r="C55" s="413"/>
      <c r="D55" s="413"/>
      <c r="E55" s="413"/>
      <c r="F55" s="413"/>
      <c r="G55" s="413"/>
      <c r="H55" s="413"/>
      <c r="I55" s="413"/>
      <c r="J55" s="413"/>
      <c r="K55" s="413"/>
      <c r="L55" s="413"/>
      <c r="M55" s="413"/>
      <c r="N55" s="413"/>
      <c r="O55" s="413"/>
      <c r="P55" s="413"/>
      <c r="Q55" s="413"/>
      <c r="R55" s="413"/>
      <c r="S55" s="426"/>
    </row>
    <row r="56" spans="1:23" s="112" customFormat="1" ht="12.95" customHeight="1">
      <c r="A56" s="418" t="s">
        <v>262</v>
      </c>
      <c r="B56" s="419"/>
      <c r="C56" s="420"/>
      <c r="D56" s="420"/>
      <c r="E56" s="420"/>
      <c r="F56" s="420"/>
      <c r="G56" s="420"/>
      <c r="H56" s="420"/>
      <c r="I56" s="420"/>
      <c r="J56" s="420"/>
      <c r="K56" s="420"/>
      <c r="L56" s="420"/>
      <c r="M56" s="420"/>
      <c r="N56" s="420"/>
      <c r="O56" s="420"/>
      <c r="P56" s="420"/>
      <c r="Q56" s="420"/>
      <c r="R56" s="420"/>
      <c r="S56" s="421"/>
      <c r="V56" s="124"/>
      <c r="W56" s="125"/>
    </row>
    <row r="57" spans="1:23" s="112" customFormat="1" ht="12.95" customHeight="1">
      <c r="A57" s="401">
        <v>46</v>
      </c>
      <c r="B57" s="394" t="s">
        <v>137</v>
      </c>
      <c r="C57" s="395" t="s">
        <v>134</v>
      </c>
      <c r="D57" s="326">
        <v>477880682.05000001</v>
      </c>
      <c r="E57" s="333">
        <f>(D57/$D$87)</f>
        <v>1.4915145440138166E-3</v>
      </c>
      <c r="F57" s="327">
        <v>1.3258000000000001</v>
      </c>
      <c r="G57" s="327">
        <v>1.3258000000000001</v>
      </c>
      <c r="H57" s="334">
        <v>-2.3775000000000001E-2</v>
      </c>
      <c r="I57" s="334">
        <v>7.6799999999999993E-2</v>
      </c>
      <c r="J57" s="326">
        <v>473172465.54000002</v>
      </c>
      <c r="K57" s="333">
        <f t="shared" ref="K57:K76" si="30">(J57/$J$87)</f>
        <v>1.4746440212325379E-3</v>
      </c>
      <c r="L57" s="327">
        <v>1.3137000000000001</v>
      </c>
      <c r="M57" s="327">
        <v>1.3137000000000001</v>
      </c>
      <c r="N57" s="334">
        <v>-7.4860000000000005E-3</v>
      </c>
      <c r="O57" s="334">
        <v>6.7000000000000004E-2</v>
      </c>
      <c r="P57" s="329">
        <v>-8.3999999999999995E-5</v>
      </c>
      <c r="Q57" s="329">
        <f t="shared" ref="Q57:Q67" si="31">((M57-G57)/G57)</f>
        <v>-9.1265650927741734E-3</v>
      </c>
      <c r="R57" s="329">
        <f t="shared" ref="R57:R86" si="32">N57-H57</f>
        <v>1.6289000000000001E-2</v>
      </c>
      <c r="S57" s="364">
        <f t="shared" ref="S57:S86" si="33">O57-I57</f>
        <v>-9.7999999999999893E-3</v>
      </c>
      <c r="T57" s="144"/>
    </row>
    <row r="58" spans="1:23" s="112" customFormat="1" ht="12.95" customHeight="1">
      <c r="A58" s="401">
        <v>47</v>
      </c>
      <c r="B58" s="394" t="s">
        <v>143</v>
      </c>
      <c r="C58" s="395" t="s">
        <v>6</v>
      </c>
      <c r="D58" s="326">
        <v>623338591.72000003</v>
      </c>
      <c r="E58" s="333">
        <f>(D58/$D$87)</f>
        <v>1.9455035750915648E-3</v>
      </c>
      <c r="F58" s="327">
        <v>1.1334</v>
      </c>
      <c r="G58" s="327">
        <v>1.1334</v>
      </c>
      <c r="H58" s="334">
        <v>-4.5999999999999999E-3</v>
      </c>
      <c r="I58" s="334">
        <v>4.07E-2</v>
      </c>
      <c r="J58" s="326">
        <v>661378218.15999997</v>
      </c>
      <c r="K58" s="333">
        <f t="shared" si="30"/>
        <v>2.0611880576568028E-3</v>
      </c>
      <c r="L58" s="327">
        <v>1.1339999999999999</v>
      </c>
      <c r="M58" s="327">
        <v>1.1339999999999999</v>
      </c>
      <c r="N58" s="334">
        <v>2.76E-2</v>
      </c>
      <c r="O58" s="334">
        <v>4.0300000000000002E-2</v>
      </c>
      <c r="P58" s="329">
        <f t="shared" ref="P58:P67" si="34">((J58-D58)/D58)</f>
        <v>6.1025623866855193E-2</v>
      </c>
      <c r="Q58" s="329">
        <f t="shared" si="31"/>
        <v>5.2938062466907881E-4</v>
      </c>
      <c r="R58" s="329">
        <f t="shared" si="32"/>
        <v>3.2199999999999999E-2</v>
      </c>
      <c r="S58" s="364">
        <f t="shared" si="33"/>
        <v>-3.9999999999999758E-4</v>
      </c>
      <c r="T58" s="144"/>
      <c r="U58" s="126"/>
    </row>
    <row r="59" spans="1:23" s="112" customFormat="1" ht="12.95" customHeight="1">
      <c r="A59" s="401">
        <v>48</v>
      </c>
      <c r="B59" s="394" t="s">
        <v>225</v>
      </c>
      <c r="C59" s="395" t="s">
        <v>6</v>
      </c>
      <c r="D59" s="326">
        <v>713060097.32000005</v>
      </c>
      <c r="E59" s="333">
        <f>(D59/$D$87)</f>
        <v>2.2255335816177874E-3</v>
      </c>
      <c r="F59" s="327">
        <v>1.0341</v>
      </c>
      <c r="G59" s="327">
        <v>1.0341</v>
      </c>
      <c r="H59" s="334">
        <v>7.0699999999999999E-2</v>
      </c>
      <c r="I59" s="334">
        <v>-2.2000000000000001E-3</v>
      </c>
      <c r="J59" s="326">
        <v>861113040.15999997</v>
      </c>
      <c r="K59" s="333">
        <f t="shared" si="30"/>
        <v>2.6836624883236613E-3</v>
      </c>
      <c r="L59" s="327">
        <v>1.0356000000000001</v>
      </c>
      <c r="M59" s="327">
        <v>1.0356000000000001</v>
      </c>
      <c r="N59" s="334">
        <v>7.5600000000000001E-2</v>
      </c>
      <c r="O59" s="334">
        <v>2.9999999999999997E-4</v>
      </c>
      <c r="P59" s="329">
        <f t="shared" si="34"/>
        <v>0.20763038542816986</v>
      </c>
      <c r="Q59" s="329">
        <f t="shared" si="31"/>
        <v>1.4505366985785289E-3</v>
      </c>
      <c r="R59" s="329">
        <f t="shared" si="32"/>
        <v>4.9000000000000016E-3</v>
      </c>
      <c r="S59" s="364">
        <f t="shared" si="33"/>
        <v>2.5000000000000001E-3</v>
      </c>
      <c r="T59" s="144"/>
      <c r="U59" s="127"/>
      <c r="V59" s="120"/>
    </row>
    <row r="60" spans="1:23" s="128" customFormat="1" ht="12.95" customHeight="1">
      <c r="A60" s="402">
        <v>49</v>
      </c>
      <c r="B60" s="394" t="s">
        <v>166</v>
      </c>
      <c r="C60" s="395" t="s">
        <v>146</v>
      </c>
      <c r="D60" s="326">
        <v>260835562.18000001</v>
      </c>
      <c r="E60" s="333">
        <f>(D60/$D$87)</f>
        <v>8.1409449931852545E-4</v>
      </c>
      <c r="F60" s="74">
        <v>1137.06</v>
      </c>
      <c r="G60" s="74">
        <v>1137.06</v>
      </c>
      <c r="H60" s="334">
        <v>1.6999999999999999E-3</v>
      </c>
      <c r="I60" s="334">
        <v>5.0999999999999997E-2</v>
      </c>
      <c r="J60" s="326">
        <v>268855979.88</v>
      </c>
      <c r="K60" s="333">
        <f t="shared" si="30"/>
        <v>8.3789081609006227E-4</v>
      </c>
      <c r="L60" s="74">
        <v>1137.8599999999999</v>
      </c>
      <c r="M60" s="74">
        <v>1137.8599999999999</v>
      </c>
      <c r="N60" s="334">
        <v>9.4000000000000004E-3</v>
      </c>
      <c r="O60" s="334">
        <v>5.0500000000000003E-2</v>
      </c>
      <c r="P60" s="329">
        <f t="shared" si="34"/>
        <v>3.0748942486857594E-2</v>
      </c>
      <c r="Q60" s="329">
        <f t="shared" si="31"/>
        <v>7.0356885300683738E-4</v>
      </c>
      <c r="R60" s="329">
        <f t="shared" si="32"/>
        <v>7.7000000000000002E-3</v>
      </c>
      <c r="S60" s="364">
        <f t="shared" si="33"/>
        <v>-4.9999999999999351E-4</v>
      </c>
      <c r="T60" s="153"/>
      <c r="U60" s="162"/>
    </row>
    <row r="61" spans="1:23" s="112" customFormat="1" ht="12.95" customHeight="1">
      <c r="A61" s="402">
        <v>50</v>
      </c>
      <c r="B61" s="394" t="s">
        <v>175</v>
      </c>
      <c r="C61" s="395" t="s">
        <v>176</v>
      </c>
      <c r="D61" s="326">
        <v>1396131107.73</v>
      </c>
      <c r="E61" s="333">
        <f>(D61/$J$87)</f>
        <v>4.3510485939228065E-3</v>
      </c>
      <c r="F61" s="74">
        <v>1.0163</v>
      </c>
      <c r="G61" s="74">
        <v>1.0163</v>
      </c>
      <c r="H61" s="334">
        <v>1.1999999999999999E-3</v>
      </c>
      <c r="I61" s="334">
        <v>4.8599999999999997E-2</v>
      </c>
      <c r="J61" s="326">
        <v>1410950897.8699999</v>
      </c>
      <c r="K61" s="333">
        <f t="shared" si="30"/>
        <v>4.3972345335482905E-3</v>
      </c>
      <c r="L61" s="74">
        <v>1.0163</v>
      </c>
      <c r="M61" s="74">
        <v>1.0163</v>
      </c>
      <c r="N61" s="334">
        <v>1.9E-3</v>
      </c>
      <c r="O61" s="334">
        <v>5.0500000000000003E-2</v>
      </c>
      <c r="P61" s="329">
        <f t="shared" si="34"/>
        <v>1.0614898599384184E-2</v>
      </c>
      <c r="Q61" s="329">
        <f t="shared" si="31"/>
        <v>0</v>
      </c>
      <c r="R61" s="329">
        <f t="shared" si="32"/>
        <v>7.000000000000001E-4</v>
      </c>
      <c r="S61" s="364">
        <f t="shared" si="33"/>
        <v>1.9000000000000059E-3</v>
      </c>
      <c r="T61" s="144"/>
      <c r="U61" s="131"/>
      <c r="V61" s="131"/>
    </row>
    <row r="62" spans="1:23" s="112" customFormat="1" ht="12.95" customHeight="1">
      <c r="A62" s="402">
        <v>51</v>
      </c>
      <c r="B62" s="394" t="s">
        <v>105</v>
      </c>
      <c r="C62" s="395" t="s">
        <v>102</v>
      </c>
      <c r="D62" s="326">
        <v>431078132.06999999</v>
      </c>
      <c r="E62" s="333">
        <f t="shared" ref="E62:E86" si="35">(D62/$D$87)</f>
        <v>1.3454389929104559E-3</v>
      </c>
      <c r="F62" s="74">
        <v>2.2252000000000001</v>
      </c>
      <c r="G62" s="74">
        <v>2.2252000000000001</v>
      </c>
      <c r="H62" s="334">
        <v>7.5093223608077242E-2</v>
      </c>
      <c r="I62" s="334">
        <v>0.15648368781032843</v>
      </c>
      <c r="J62" s="326">
        <v>431820071.91000003</v>
      </c>
      <c r="K62" s="333">
        <f t="shared" si="30"/>
        <v>1.3457691088672515E-3</v>
      </c>
      <c r="L62" s="74">
        <v>2.2288999999999999</v>
      </c>
      <c r="M62" s="74">
        <v>2.2288999999999999</v>
      </c>
      <c r="N62" s="334">
        <v>0</v>
      </c>
      <c r="O62" s="334">
        <v>0.15140000000000001</v>
      </c>
      <c r="P62" s="109">
        <f t="shared" si="34"/>
        <v>1.7211261365481527E-3</v>
      </c>
      <c r="Q62" s="109">
        <f t="shared" si="31"/>
        <v>1.6627718856731144E-3</v>
      </c>
      <c r="R62" s="329">
        <f t="shared" si="32"/>
        <v>-7.5093223608077242E-2</v>
      </c>
      <c r="S62" s="364">
        <f t="shared" si="33"/>
        <v>-5.0836878103284189E-3</v>
      </c>
      <c r="T62" s="144"/>
      <c r="U62" s="131"/>
      <c r="V62" s="131"/>
    </row>
    <row r="63" spans="1:23" s="112" customFormat="1" ht="12" customHeight="1">
      <c r="A63" s="402">
        <v>52</v>
      </c>
      <c r="B63" s="394" t="s">
        <v>18</v>
      </c>
      <c r="C63" s="395" t="s">
        <v>7</v>
      </c>
      <c r="D63" s="326">
        <v>3370302141.3460202</v>
      </c>
      <c r="E63" s="333">
        <f t="shared" si="35"/>
        <v>1.0519058104576292E-2</v>
      </c>
      <c r="F63" s="326">
        <v>3875.4492330304602</v>
      </c>
      <c r="G63" s="326">
        <v>3875.4492330304602</v>
      </c>
      <c r="H63" s="334">
        <v>7.4105661160263486E-2</v>
      </c>
      <c r="I63" s="334">
        <v>7.6846141246488003E-2</v>
      </c>
      <c r="J63" s="326">
        <v>3375017543.3560901</v>
      </c>
      <c r="K63" s="333">
        <f t="shared" si="30"/>
        <v>1.051825667029278E-2</v>
      </c>
      <c r="L63" s="326">
        <v>3880.9153313414599</v>
      </c>
      <c r="M63" s="326">
        <v>3880.9153313414599</v>
      </c>
      <c r="N63" s="334">
        <v>7.3544501868342105E-2</v>
      </c>
      <c r="O63" s="334">
        <v>7.6844018194013985E-2</v>
      </c>
      <c r="P63" s="329">
        <f t="shared" si="34"/>
        <v>1.3991036448104991E-3</v>
      </c>
      <c r="Q63" s="329">
        <f t="shared" si="31"/>
        <v>1.4104425015846432E-3</v>
      </c>
      <c r="R63" s="329">
        <f t="shared" si="32"/>
        <v>-5.6115929192138148E-4</v>
      </c>
      <c r="S63" s="364">
        <f t="shared" si="33"/>
        <v>-2.1230524740178947E-6</v>
      </c>
      <c r="T63" s="144"/>
      <c r="U63" s="164"/>
      <c r="V63" s="131"/>
    </row>
    <row r="64" spans="1:23" s="112" customFormat="1" ht="12.75" customHeight="1">
      <c r="A64" s="401">
        <v>53</v>
      </c>
      <c r="B64" s="394" t="s">
        <v>221</v>
      </c>
      <c r="C64" s="395" t="s">
        <v>88</v>
      </c>
      <c r="D64" s="326">
        <v>343654046.68000001</v>
      </c>
      <c r="E64" s="333">
        <f t="shared" si="35"/>
        <v>1.0725794701171747E-3</v>
      </c>
      <c r="F64" s="327">
        <v>104.34</v>
      </c>
      <c r="G64" s="327">
        <v>104.34</v>
      </c>
      <c r="H64" s="334">
        <v>1.2999999999999999E-3</v>
      </c>
      <c r="I64" s="334">
        <v>5.8000000000000003E-2</v>
      </c>
      <c r="J64" s="326">
        <v>344472162.74000001</v>
      </c>
      <c r="K64" s="333">
        <f t="shared" si="30"/>
        <v>1.0735489747609602E-3</v>
      </c>
      <c r="L64" s="327">
        <v>107.1</v>
      </c>
      <c r="M64" s="327">
        <v>107.1</v>
      </c>
      <c r="N64" s="334">
        <v>-1.1000000000000001E-3</v>
      </c>
      <c r="O64" s="334">
        <v>9.7799999999999998E-2</v>
      </c>
      <c r="P64" s="329">
        <f t="shared" si="34"/>
        <v>2.3806385168564791E-3</v>
      </c>
      <c r="Q64" s="329">
        <f t="shared" si="31"/>
        <v>2.645198389879232E-2</v>
      </c>
      <c r="R64" s="329">
        <f t="shared" si="32"/>
        <v>-2.4000000000000002E-3</v>
      </c>
      <c r="S64" s="364">
        <f t="shared" si="33"/>
        <v>3.9799999999999995E-2</v>
      </c>
      <c r="T64" s="146"/>
      <c r="U64" s="184"/>
      <c r="V64" s="165"/>
    </row>
    <row r="65" spans="1:23" s="112" customFormat="1" ht="12" customHeight="1">
      <c r="A65" s="402">
        <v>54</v>
      </c>
      <c r="B65" s="394" t="s">
        <v>110</v>
      </c>
      <c r="C65" s="395" t="s">
        <v>107</v>
      </c>
      <c r="D65" s="326">
        <v>353572578.68000001</v>
      </c>
      <c r="E65" s="333">
        <f t="shared" si="35"/>
        <v>1.1035362241541972E-3</v>
      </c>
      <c r="F65" s="327">
        <v>1.4056</v>
      </c>
      <c r="G65" s="327">
        <v>1.4056</v>
      </c>
      <c r="H65" s="334">
        <v>-9.1000000000000004E-3</v>
      </c>
      <c r="I65" s="334">
        <v>4.8599999999999997E-2</v>
      </c>
      <c r="J65" s="326">
        <v>352680830.77999997</v>
      </c>
      <c r="K65" s="333">
        <f t="shared" si="30"/>
        <v>1.0991313239656084E-3</v>
      </c>
      <c r="L65" s="327">
        <v>1.4020999999999999</v>
      </c>
      <c r="M65" s="327">
        <v>1.4020999999999999</v>
      </c>
      <c r="N65" s="334">
        <v>-2.5000000000000001E-3</v>
      </c>
      <c r="O65" s="334">
        <v>4.6100000000000002E-2</v>
      </c>
      <c r="P65" s="329">
        <f t="shared" si="34"/>
        <v>-2.5221070687359778E-3</v>
      </c>
      <c r="Q65" s="329">
        <f t="shared" si="31"/>
        <v>-2.4900398406374918E-3</v>
      </c>
      <c r="R65" s="329">
        <f t="shared" si="32"/>
        <v>6.6E-3</v>
      </c>
      <c r="S65" s="364">
        <f t="shared" si="33"/>
        <v>-2.4999999999999953E-3</v>
      </c>
      <c r="T65" s="153"/>
      <c r="U65" s="186"/>
      <c r="V65" s="166"/>
      <c r="W65" s="184"/>
    </row>
    <row r="66" spans="1:23" s="112" customFormat="1" ht="12.95" customHeight="1">
      <c r="A66" s="402">
        <v>55</v>
      </c>
      <c r="B66" s="394" t="s">
        <v>237</v>
      </c>
      <c r="C66" s="395" t="s">
        <v>236</v>
      </c>
      <c r="D66" s="326">
        <v>670873390.58000004</v>
      </c>
      <c r="E66" s="333">
        <f t="shared" si="35"/>
        <v>2.093864549932233E-3</v>
      </c>
      <c r="F66" s="74">
        <v>1000</v>
      </c>
      <c r="G66" s="74">
        <v>1000</v>
      </c>
      <c r="H66" s="334">
        <v>8.2970561694553107E-5</v>
      </c>
      <c r="I66" s="334">
        <v>0.15709999999999999</v>
      </c>
      <c r="J66" s="326">
        <v>680887582.63000011</v>
      </c>
      <c r="K66" s="333">
        <f t="shared" si="30"/>
        <v>2.121989075824459E-3</v>
      </c>
      <c r="L66" s="74">
        <v>1000</v>
      </c>
      <c r="M66" s="74">
        <v>1000</v>
      </c>
      <c r="N66" s="334">
        <v>1.4927096812324499E-4</v>
      </c>
      <c r="O66" s="334">
        <v>0.15409999999999999</v>
      </c>
      <c r="P66" s="329">
        <f t="shared" si="34"/>
        <v>1.4927096812324535E-2</v>
      </c>
      <c r="Q66" s="329">
        <f t="shared" si="31"/>
        <v>0</v>
      </c>
      <c r="R66" s="329">
        <f t="shared" si="32"/>
        <v>6.6300406428691888E-5</v>
      </c>
      <c r="S66" s="364">
        <f t="shared" si="33"/>
        <v>-3.0000000000000027E-3</v>
      </c>
      <c r="T66" s="144"/>
      <c r="U66" s="131"/>
      <c r="V66" s="166"/>
      <c r="W66" s="184"/>
    </row>
    <row r="67" spans="1:23" s="112" customFormat="1" ht="12.95" customHeight="1">
      <c r="A67" s="397">
        <v>56</v>
      </c>
      <c r="B67" s="394" t="s">
        <v>101</v>
      </c>
      <c r="C67" s="395" t="s">
        <v>98</v>
      </c>
      <c r="D67" s="326">
        <v>273870818.58999997</v>
      </c>
      <c r="E67" s="333">
        <f t="shared" si="35"/>
        <v>8.5477886939404574E-4</v>
      </c>
      <c r="F67" s="74">
        <v>1101.6600000000001</v>
      </c>
      <c r="G67" s="74">
        <v>1103.94</v>
      </c>
      <c r="H67" s="334">
        <v>2.0000000000000001E-4</v>
      </c>
      <c r="I67" s="334">
        <v>6.0699999999999997E-2</v>
      </c>
      <c r="J67" s="326">
        <v>269425882.17000002</v>
      </c>
      <c r="K67" s="333">
        <f t="shared" si="30"/>
        <v>8.3966691902469985E-4</v>
      </c>
      <c r="L67" s="74">
        <v>1099.99</v>
      </c>
      <c r="M67" s="74">
        <v>1102.8900000000001</v>
      </c>
      <c r="N67" s="334">
        <v>-1.1999999999999999E-3</v>
      </c>
      <c r="O67" s="334">
        <v>5.9499999999999997E-2</v>
      </c>
      <c r="P67" s="329">
        <f t="shared" si="34"/>
        <v>-1.623004759281885E-2</v>
      </c>
      <c r="Q67" s="329">
        <f t="shared" si="31"/>
        <v>-9.5113864883956956E-4</v>
      </c>
      <c r="R67" s="329">
        <f t="shared" si="32"/>
        <v>-1.4E-3</v>
      </c>
      <c r="S67" s="364">
        <f t="shared" si="33"/>
        <v>-1.1999999999999997E-3</v>
      </c>
      <c r="T67" s="144"/>
      <c r="U67" s="167"/>
      <c r="V67" s="163"/>
    </row>
    <row r="68" spans="1:23" s="112" customFormat="1" ht="12.95" customHeight="1">
      <c r="A68" s="396">
        <v>57</v>
      </c>
      <c r="B68" s="394" t="s">
        <v>169</v>
      </c>
      <c r="C68" s="395" t="s">
        <v>167</v>
      </c>
      <c r="D68" s="326">
        <v>726108153.88</v>
      </c>
      <c r="E68" s="333">
        <f t="shared" si="35"/>
        <v>2.2662579022722025E-3</v>
      </c>
      <c r="F68" s="311">
        <v>1.07</v>
      </c>
      <c r="G68" s="311">
        <v>1.0680000000000001</v>
      </c>
      <c r="H68" s="334">
        <v>0.11219042926359994</v>
      </c>
      <c r="I68" s="334">
        <v>0.10748406037448341</v>
      </c>
      <c r="J68" s="326">
        <v>728153784.57000005</v>
      </c>
      <c r="K68" s="333">
        <f t="shared" si="30"/>
        <v>2.2692943971889339E-3</v>
      </c>
      <c r="L68" s="311">
        <v>1.07</v>
      </c>
      <c r="M68" s="311">
        <v>1.0680000000000001</v>
      </c>
      <c r="N68" s="334">
        <v>0.11108422592162413</v>
      </c>
      <c r="O68" s="334">
        <v>0.10732500650533466</v>
      </c>
      <c r="P68" s="329">
        <v>0.10585480093676825</v>
      </c>
      <c r="Q68" s="329">
        <f>(M68-G68)/G68</f>
        <v>0</v>
      </c>
      <c r="R68" s="329">
        <f t="shared" si="32"/>
        <v>-1.1062033419758088E-3</v>
      </c>
      <c r="S68" s="364">
        <f t="shared" si="33"/>
        <v>-1.5905386914874531E-4</v>
      </c>
      <c r="T68" s="88"/>
      <c r="U68" s="166"/>
      <c r="V68" s="186"/>
    </row>
    <row r="69" spans="1:23" s="112" customFormat="1" ht="12" customHeight="1">
      <c r="A69" s="396">
        <v>58</v>
      </c>
      <c r="B69" s="394" t="s">
        <v>250</v>
      </c>
      <c r="C69" s="395" t="s">
        <v>184</v>
      </c>
      <c r="D69" s="326">
        <v>67540567273.980003</v>
      </c>
      <c r="E69" s="333">
        <f t="shared" si="35"/>
        <v>0.21080102666620185</v>
      </c>
      <c r="F69" s="311">
        <v>1570.83</v>
      </c>
      <c r="G69" s="326">
        <v>1570.83</v>
      </c>
      <c r="H69" s="334">
        <v>2.3999999999999998E-3</v>
      </c>
      <c r="I69" s="334">
        <v>0.1173</v>
      </c>
      <c r="J69" s="326">
        <v>68124092493</v>
      </c>
      <c r="K69" s="333">
        <f t="shared" si="30"/>
        <v>0.21230902686200895</v>
      </c>
      <c r="L69" s="311">
        <v>1574.21</v>
      </c>
      <c r="M69" s="326">
        <v>1574.21</v>
      </c>
      <c r="N69" s="334">
        <v>2.2000000000000001E-3</v>
      </c>
      <c r="O69" s="334">
        <v>0.1174</v>
      </c>
      <c r="P69" s="329">
        <f t="shared" ref="P69:P86" si="36">((J69-D69)/D69)</f>
        <v>8.6396256734550658E-3</v>
      </c>
      <c r="Q69" s="329">
        <f t="shared" ref="Q69:Q86" si="37">((M69-G69)/G69)</f>
        <v>2.1517287039336586E-3</v>
      </c>
      <c r="R69" s="329">
        <f t="shared" si="32"/>
        <v>-1.9999999999999966E-4</v>
      </c>
      <c r="S69" s="364">
        <f t="shared" si="33"/>
        <v>1.0000000000000286E-4</v>
      </c>
      <c r="U69" s="166"/>
      <c r="V69" s="186"/>
    </row>
    <row r="70" spans="1:23" s="112" customFormat="1" ht="12.95" customHeight="1">
      <c r="A70" s="397">
        <v>59</v>
      </c>
      <c r="B70" s="394" t="s">
        <v>173</v>
      </c>
      <c r="C70" s="395" t="s">
        <v>174</v>
      </c>
      <c r="D70" s="326">
        <v>22002935.899999999</v>
      </c>
      <c r="E70" s="333">
        <f t="shared" si="35"/>
        <v>6.8673416060831808E-5</v>
      </c>
      <c r="F70" s="326">
        <v>0.65539999999999998</v>
      </c>
      <c r="G70" s="326">
        <v>0.65500000000000003</v>
      </c>
      <c r="H70" s="334">
        <v>2.0999999999999999E-3</v>
      </c>
      <c r="I70" s="334">
        <v>-3.9399999999999998E-2</v>
      </c>
      <c r="J70" s="326">
        <v>22023612.440000001</v>
      </c>
      <c r="K70" s="333">
        <f t="shared" si="30"/>
        <v>6.8636682765394513E-5</v>
      </c>
      <c r="L70" s="326">
        <v>0.65700000000000003</v>
      </c>
      <c r="M70" s="326">
        <v>0.65700000000000003</v>
      </c>
      <c r="N70" s="334">
        <v>8.9999999999999998E-4</v>
      </c>
      <c r="O70" s="334">
        <v>-3.85E-2</v>
      </c>
      <c r="P70" s="109">
        <f t="shared" si="36"/>
        <v>9.3971732199623563E-4</v>
      </c>
      <c r="Q70" s="109">
        <f t="shared" si="37"/>
        <v>3.0534351145038194E-3</v>
      </c>
      <c r="R70" s="329">
        <f t="shared" si="32"/>
        <v>-1.1999999999999999E-3</v>
      </c>
      <c r="S70" s="364">
        <f t="shared" si="33"/>
        <v>8.9999999999999802E-4</v>
      </c>
      <c r="U70" s="428"/>
      <c r="V70" s="428"/>
    </row>
    <row r="71" spans="1:23" s="128" customFormat="1" ht="12.95" customHeight="1">
      <c r="A71" s="397">
        <v>60</v>
      </c>
      <c r="B71" s="394" t="s">
        <v>104</v>
      </c>
      <c r="C71" s="395" t="s">
        <v>103</v>
      </c>
      <c r="D71" s="326">
        <v>1086513646.5999999</v>
      </c>
      <c r="E71" s="333">
        <f t="shared" si="35"/>
        <v>3.3911203508406973E-3</v>
      </c>
      <c r="F71" s="326">
        <v>205.37276499999999</v>
      </c>
      <c r="G71" s="326">
        <v>206.556569</v>
      </c>
      <c r="H71" s="334">
        <v>-7.1999999999999998E-3</v>
      </c>
      <c r="I71" s="334">
        <v>3.56E-2</v>
      </c>
      <c r="J71" s="326">
        <v>1095965859.5899999</v>
      </c>
      <c r="K71" s="333">
        <f t="shared" si="30"/>
        <v>3.4155823088204383E-3</v>
      </c>
      <c r="L71" s="326">
        <v>206.131113</v>
      </c>
      <c r="M71" s="326">
        <v>207.33063000000001</v>
      </c>
      <c r="N71" s="334">
        <v>3.95E-2</v>
      </c>
      <c r="O71" s="334">
        <v>2.5999999999999999E-3</v>
      </c>
      <c r="P71" s="329">
        <f t="shared" si="36"/>
        <v>8.6995805525117743E-3</v>
      </c>
      <c r="Q71" s="329">
        <f t="shared" si="37"/>
        <v>3.7474528345792647E-3</v>
      </c>
      <c r="R71" s="329">
        <f t="shared" si="32"/>
        <v>4.6699999999999998E-2</v>
      </c>
      <c r="S71" s="364">
        <f t="shared" si="33"/>
        <v>-3.3000000000000002E-2</v>
      </c>
      <c r="T71" s="168"/>
      <c r="U71" s="169"/>
      <c r="V71" s="408"/>
      <c r="W71" s="129"/>
    </row>
    <row r="72" spans="1:23" s="112" customFormat="1" ht="12.95" customHeight="1">
      <c r="A72" s="396">
        <v>61</v>
      </c>
      <c r="B72" s="394" t="s">
        <v>111</v>
      </c>
      <c r="C72" s="395" t="s">
        <v>132</v>
      </c>
      <c r="D72" s="326">
        <v>1240272704.6199999</v>
      </c>
      <c r="E72" s="333">
        <f t="shared" si="35"/>
        <v>3.8710181159625347E-3</v>
      </c>
      <c r="F72" s="327">
        <v>3.52</v>
      </c>
      <c r="G72" s="327">
        <v>3.52</v>
      </c>
      <c r="H72" s="320">
        <v>-6.4000000000000003E-3</v>
      </c>
      <c r="I72" s="320">
        <v>-2.87E-2</v>
      </c>
      <c r="J72" s="326">
        <v>1238484713.2</v>
      </c>
      <c r="K72" s="333">
        <f t="shared" si="30"/>
        <v>3.859742928245018E-3</v>
      </c>
      <c r="L72" s="327">
        <v>3.52</v>
      </c>
      <c r="M72" s="327">
        <v>3.52</v>
      </c>
      <c r="N72" s="320">
        <v>-4.8999999999999998E-3</v>
      </c>
      <c r="O72" s="320">
        <v>-2.5399999999999999E-2</v>
      </c>
      <c r="P72" s="329">
        <f t="shared" si="36"/>
        <v>-1.4416115208692353E-3</v>
      </c>
      <c r="Q72" s="329">
        <f t="shared" si="37"/>
        <v>0</v>
      </c>
      <c r="R72" s="329">
        <f t="shared" si="32"/>
        <v>1.5000000000000005E-3</v>
      </c>
      <c r="S72" s="364">
        <f t="shared" si="33"/>
        <v>3.3000000000000008E-3</v>
      </c>
      <c r="U72" s="170"/>
      <c r="V72" s="408"/>
    </row>
    <row r="73" spans="1:23" s="112" customFormat="1" ht="12.95" customHeight="1">
      <c r="A73" s="397">
        <v>62</v>
      </c>
      <c r="B73" s="394" t="s">
        <v>85</v>
      </c>
      <c r="C73" s="395" t="s">
        <v>23</v>
      </c>
      <c r="D73" s="326">
        <v>16719439924.309999</v>
      </c>
      <c r="E73" s="333">
        <f t="shared" si="35"/>
        <v>5.2183084086802389E-2</v>
      </c>
      <c r="F73" s="326">
        <v>1183.1500000000001</v>
      </c>
      <c r="G73" s="326">
        <v>1183.1500000000001</v>
      </c>
      <c r="H73" s="334">
        <v>2.3999999999999998E-3</v>
      </c>
      <c r="I73" s="334">
        <v>5.8799999999999998E-2</v>
      </c>
      <c r="J73" s="326">
        <v>16745646723.209999</v>
      </c>
      <c r="K73" s="333">
        <f t="shared" si="30"/>
        <v>5.2187879939024788E-2</v>
      </c>
      <c r="L73" s="326">
        <v>1185.78</v>
      </c>
      <c r="M73" s="326">
        <v>1185.78</v>
      </c>
      <c r="N73" s="334">
        <v>2.2000000000000001E-3</v>
      </c>
      <c r="O73" s="334">
        <v>6.0999999999999999E-2</v>
      </c>
      <c r="P73" s="329">
        <f t="shared" si="36"/>
        <v>1.5674447839544574E-3</v>
      </c>
      <c r="Q73" s="329">
        <f t="shared" si="37"/>
        <v>2.2228796010648538E-3</v>
      </c>
      <c r="R73" s="329">
        <f t="shared" si="32"/>
        <v>-1.9999999999999966E-4</v>
      </c>
      <c r="S73" s="364">
        <f t="shared" si="33"/>
        <v>2.2000000000000006E-3</v>
      </c>
      <c r="T73" s="171"/>
      <c r="U73" s="130"/>
      <c r="V73" s="408"/>
    </row>
    <row r="74" spans="1:23" s="112" customFormat="1" ht="12.95" customHeight="1">
      <c r="A74" s="402">
        <v>63</v>
      </c>
      <c r="B74" s="395" t="s">
        <v>231</v>
      </c>
      <c r="C74" s="404" t="s">
        <v>9</v>
      </c>
      <c r="D74" s="326">
        <v>1438164301</v>
      </c>
      <c r="E74" s="333">
        <f t="shared" si="35"/>
        <v>4.4886580525105449E-3</v>
      </c>
      <c r="F74" s="327">
        <v>98.34</v>
      </c>
      <c r="G74" s="327">
        <v>98.34</v>
      </c>
      <c r="H74" s="334">
        <v>1.6999999999999999E-3</v>
      </c>
      <c r="I74" s="334">
        <v>0.1028</v>
      </c>
      <c r="J74" s="326">
        <v>1495093252</v>
      </c>
      <c r="K74" s="333">
        <f t="shared" si="30"/>
        <v>4.6594645416038766E-3</v>
      </c>
      <c r="L74" s="327">
        <v>98.54</v>
      </c>
      <c r="M74" s="327">
        <v>98.54</v>
      </c>
      <c r="N74" s="334">
        <v>1.8E-3</v>
      </c>
      <c r="O74" s="334">
        <v>9.9199999999999997E-2</v>
      </c>
      <c r="P74" s="329">
        <f t="shared" si="36"/>
        <v>3.9584455656711509E-2</v>
      </c>
      <c r="Q74" s="329">
        <f t="shared" si="37"/>
        <v>2.0337604230221966E-3</v>
      </c>
      <c r="R74" s="329">
        <f t="shared" si="32"/>
        <v>1.0000000000000005E-4</v>
      </c>
      <c r="S74" s="364">
        <f t="shared" si="33"/>
        <v>-3.600000000000006E-3</v>
      </c>
      <c r="T74" s="123"/>
      <c r="U74" s="130"/>
      <c r="V74" s="408"/>
    </row>
    <row r="75" spans="1:23" s="112" customFormat="1" ht="12.95" customHeight="1">
      <c r="A75" s="392">
        <v>64</v>
      </c>
      <c r="B75" s="394" t="s">
        <v>17</v>
      </c>
      <c r="C75" s="395" t="s">
        <v>57</v>
      </c>
      <c r="D75" s="326">
        <v>1590575958.4400001</v>
      </c>
      <c r="E75" s="333">
        <f t="shared" si="35"/>
        <v>4.9643504424473853E-3</v>
      </c>
      <c r="F75" s="327">
        <v>331.60899999999998</v>
      </c>
      <c r="G75" s="327">
        <v>331.60899999999998</v>
      </c>
      <c r="H75" s="334">
        <v>2E-3</v>
      </c>
      <c r="I75" s="334">
        <v>0.1075</v>
      </c>
      <c r="J75" s="326">
        <v>1593305292.3699999</v>
      </c>
      <c r="K75" s="333">
        <f t="shared" si="30"/>
        <v>4.965542787258739E-3</v>
      </c>
      <c r="L75" s="327">
        <v>332.15899999999999</v>
      </c>
      <c r="M75" s="327">
        <v>332.15899999999999</v>
      </c>
      <c r="N75" s="334">
        <v>1.6999999999999999E-3</v>
      </c>
      <c r="O75" s="334">
        <v>0.10920000000000001</v>
      </c>
      <c r="P75" s="109">
        <f t="shared" si="36"/>
        <v>1.7159406411981076E-3</v>
      </c>
      <c r="Q75" s="109">
        <f t="shared" si="37"/>
        <v>1.6585798334786191E-3</v>
      </c>
      <c r="R75" s="329">
        <f t="shared" si="32"/>
        <v>-3.0000000000000014E-4</v>
      </c>
      <c r="S75" s="364">
        <f t="shared" si="33"/>
        <v>1.7000000000000071E-3</v>
      </c>
      <c r="T75" s="144"/>
      <c r="U75" s="172"/>
      <c r="V75" s="408"/>
    </row>
    <row r="76" spans="1:23" s="112" customFormat="1" ht="12.95" customHeight="1">
      <c r="A76" s="393">
        <v>65</v>
      </c>
      <c r="B76" s="394" t="s">
        <v>91</v>
      </c>
      <c r="C76" s="395" t="s">
        <v>90</v>
      </c>
      <c r="D76" s="326">
        <v>54337092.950000003</v>
      </c>
      <c r="E76" s="333">
        <f t="shared" si="35"/>
        <v>1.6959163125551083E-4</v>
      </c>
      <c r="F76" s="327">
        <v>11.835122</v>
      </c>
      <c r="G76" s="326">
        <v>12.185290999999999</v>
      </c>
      <c r="H76" s="334">
        <v>2.0000000000000001E-4</v>
      </c>
      <c r="I76" s="334">
        <v>7.3300000000000004E-2</v>
      </c>
      <c r="J76" s="326">
        <v>54436842.740000002</v>
      </c>
      <c r="K76" s="333">
        <f t="shared" si="30"/>
        <v>1.6965265421711395E-4</v>
      </c>
      <c r="L76" s="327">
        <v>11.852617</v>
      </c>
      <c r="M76" s="326">
        <v>12.210243</v>
      </c>
      <c r="N76" s="334">
        <v>2.0000000000000001E-4</v>
      </c>
      <c r="O76" s="334">
        <v>7.5200000000000003E-2</v>
      </c>
      <c r="P76" s="329">
        <f t="shared" si="36"/>
        <v>1.835758679467579E-3</v>
      </c>
      <c r="Q76" s="329">
        <f t="shared" si="37"/>
        <v>2.0477147406656724E-3</v>
      </c>
      <c r="R76" s="329">
        <f t="shared" si="32"/>
        <v>0</v>
      </c>
      <c r="S76" s="364">
        <f t="shared" si="33"/>
        <v>1.8999999999999989E-3</v>
      </c>
      <c r="T76" s="153"/>
      <c r="U76" s="172"/>
      <c r="V76" s="408"/>
    </row>
    <row r="77" spans="1:23" s="112" customFormat="1" ht="12.95" customHeight="1">
      <c r="A77" s="402">
        <v>66</v>
      </c>
      <c r="B77" s="394" t="s">
        <v>35</v>
      </c>
      <c r="C77" s="395" t="s">
        <v>20</v>
      </c>
      <c r="D77" s="326">
        <v>6929466173.9799995</v>
      </c>
      <c r="E77" s="333">
        <f t="shared" si="35"/>
        <v>2.1627573511459847E-2</v>
      </c>
      <c r="F77" s="327">
        <v>1.06</v>
      </c>
      <c r="G77" s="327">
        <v>1.06</v>
      </c>
      <c r="H77" s="334">
        <v>0</v>
      </c>
      <c r="I77" s="334">
        <v>0.1027</v>
      </c>
      <c r="J77" s="326">
        <v>6801706994.4700003</v>
      </c>
      <c r="K77" s="333">
        <f>(J77/$J$119)</f>
        <v>7.2687378740315861E-2</v>
      </c>
      <c r="L77" s="327">
        <v>1.07</v>
      </c>
      <c r="M77" s="327">
        <v>1.07</v>
      </c>
      <c r="N77" s="334">
        <v>0</v>
      </c>
      <c r="O77" s="334">
        <v>0.1036</v>
      </c>
      <c r="P77" s="329">
        <f t="shared" si="36"/>
        <v>-1.8437088269473385E-2</v>
      </c>
      <c r="Q77" s="329">
        <f t="shared" si="37"/>
        <v>9.4339622641509517E-3</v>
      </c>
      <c r="R77" s="329">
        <f t="shared" si="32"/>
        <v>0</v>
      </c>
      <c r="S77" s="364">
        <f t="shared" si="33"/>
        <v>8.9999999999999802E-4</v>
      </c>
      <c r="T77" s="144"/>
      <c r="U77" s="172"/>
      <c r="V77" s="408"/>
    </row>
    <row r="78" spans="1:23" s="112" customFormat="1" ht="12.95" customHeight="1">
      <c r="A78" s="403">
        <v>67</v>
      </c>
      <c r="B78" s="394" t="s">
        <v>68</v>
      </c>
      <c r="C78" s="395" t="s">
        <v>5</v>
      </c>
      <c r="D78" s="326">
        <v>23516963909.889999</v>
      </c>
      <c r="E78" s="333">
        <f t="shared" si="35"/>
        <v>7.3398852517288032E-2</v>
      </c>
      <c r="F78" s="326">
        <v>4807.91</v>
      </c>
      <c r="G78" s="326">
        <v>4807.91</v>
      </c>
      <c r="H78" s="334">
        <v>2.7000000000000001E-3</v>
      </c>
      <c r="I78" s="334">
        <v>5.16E-2</v>
      </c>
      <c r="J78" s="326">
        <v>23516963909.889999</v>
      </c>
      <c r="K78" s="333">
        <f t="shared" ref="K78:K86" si="38">(J78/$J$87)</f>
        <v>7.3290719035571245E-2</v>
      </c>
      <c r="L78" s="326">
        <v>4816.7299999999996</v>
      </c>
      <c r="M78" s="326">
        <v>4816.7299999999996</v>
      </c>
      <c r="N78" s="334">
        <v>1.1000000000000001E-3</v>
      </c>
      <c r="O78" s="334">
        <v>5.3600000000000002E-2</v>
      </c>
      <c r="P78" s="329">
        <f t="shared" si="36"/>
        <v>0</v>
      </c>
      <c r="Q78" s="329">
        <f t="shared" si="37"/>
        <v>1.834476934884328E-3</v>
      </c>
      <c r="R78" s="329">
        <f t="shared" si="32"/>
        <v>-1.6000000000000001E-3</v>
      </c>
      <c r="S78" s="364">
        <f t="shared" si="33"/>
        <v>2.0000000000000018E-3</v>
      </c>
      <c r="T78" s="144"/>
      <c r="U78" s="172"/>
      <c r="V78" s="408"/>
    </row>
    <row r="79" spans="1:23" s="112" customFormat="1" ht="12.95" customHeight="1">
      <c r="A79" s="403">
        <v>68</v>
      </c>
      <c r="B79" s="394" t="s">
        <v>16</v>
      </c>
      <c r="C79" s="395" t="s">
        <v>5</v>
      </c>
      <c r="D79" s="326">
        <v>43147921227.25</v>
      </c>
      <c r="E79" s="333">
        <f t="shared" si="35"/>
        <v>0.13466908052933682</v>
      </c>
      <c r="F79" s="327">
        <v>252.1</v>
      </c>
      <c r="G79" s="327">
        <v>252.1</v>
      </c>
      <c r="H79" s="334">
        <v>1.1999999999999999E-3</v>
      </c>
      <c r="I79" s="334">
        <v>2.87E-2</v>
      </c>
      <c r="J79" s="326">
        <v>42925703021.760002</v>
      </c>
      <c r="K79" s="333">
        <f t="shared" si="38"/>
        <v>0.13377813784240736</v>
      </c>
      <c r="L79" s="327">
        <v>252.32</v>
      </c>
      <c r="M79" s="327">
        <v>252.32</v>
      </c>
      <c r="N79" s="334">
        <v>4.0000000000000002E-4</v>
      </c>
      <c r="O79" s="334">
        <v>2.9600000000000001E-2</v>
      </c>
      <c r="P79" s="329">
        <f t="shared" si="36"/>
        <v>-5.1501485858293523E-3</v>
      </c>
      <c r="Q79" s="329">
        <f t="shared" si="37"/>
        <v>8.7266957556524744E-4</v>
      </c>
      <c r="R79" s="329">
        <f t="shared" si="32"/>
        <v>-7.9999999999999993E-4</v>
      </c>
      <c r="S79" s="364">
        <f t="shared" si="33"/>
        <v>9.0000000000000149E-4</v>
      </c>
      <c r="T79" s="144"/>
      <c r="U79" s="172"/>
      <c r="V79" s="408"/>
    </row>
    <row r="80" spans="1:23" s="112" customFormat="1" ht="12.95" customHeight="1">
      <c r="A80" s="406">
        <v>69</v>
      </c>
      <c r="B80" s="394" t="s">
        <v>69</v>
      </c>
      <c r="C80" s="395" t="s">
        <v>5</v>
      </c>
      <c r="D80" s="326">
        <v>279807917.74000001</v>
      </c>
      <c r="E80" s="333">
        <f t="shared" si="35"/>
        <v>8.7330916380454595E-4</v>
      </c>
      <c r="F80" s="326">
        <v>4957.0600000000004</v>
      </c>
      <c r="G80" s="326">
        <v>4979.83</v>
      </c>
      <c r="H80" s="334">
        <v>2.8E-3</v>
      </c>
      <c r="I80" s="334">
        <v>0.24829999999999999</v>
      </c>
      <c r="J80" s="326">
        <v>262008535.52000001</v>
      </c>
      <c r="K80" s="333">
        <f t="shared" si="38"/>
        <v>8.165507263308816E-4</v>
      </c>
      <c r="L80" s="326">
        <v>4981.4399999999996</v>
      </c>
      <c r="M80" s="326">
        <v>5006.29</v>
      </c>
      <c r="N80" s="334">
        <v>8.0999999999999996E-3</v>
      </c>
      <c r="O80" s="334">
        <v>0.17549999999999999</v>
      </c>
      <c r="P80" s="329">
        <f t="shared" si="36"/>
        <v>-6.3612861150481606E-2</v>
      </c>
      <c r="Q80" s="329">
        <f t="shared" si="37"/>
        <v>5.3134343943468023E-3</v>
      </c>
      <c r="R80" s="329">
        <f t="shared" si="32"/>
        <v>5.2999999999999992E-3</v>
      </c>
      <c r="S80" s="364">
        <f t="shared" si="33"/>
        <v>-7.2800000000000004E-2</v>
      </c>
      <c r="T80" s="144"/>
      <c r="U80" s="172"/>
      <c r="V80" s="408"/>
    </row>
    <row r="81" spans="1:22" s="112" customFormat="1" ht="12.95" customHeight="1">
      <c r="A81" s="403">
        <v>70</v>
      </c>
      <c r="B81" s="394" t="s">
        <v>165</v>
      </c>
      <c r="C81" s="395" t="s">
        <v>5</v>
      </c>
      <c r="D81" s="326">
        <v>18867007707.619999</v>
      </c>
      <c r="E81" s="333">
        <f t="shared" si="35"/>
        <v>5.8885863051044422E-2</v>
      </c>
      <c r="F81" s="327">
        <v>121.01</v>
      </c>
      <c r="G81" s="327">
        <v>121.01</v>
      </c>
      <c r="H81" s="334">
        <v>1.8E-3</v>
      </c>
      <c r="I81" s="334">
        <v>5.2299999999999999E-2</v>
      </c>
      <c r="J81" s="326">
        <v>18958218951.91</v>
      </c>
      <c r="K81" s="333">
        <f t="shared" si="38"/>
        <v>5.9083370793240157E-2</v>
      </c>
      <c r="L81" s="327">
        <v>121.23</v>
      </c>
      <c r="M81" s="327">
        <v>121.23</v>
      </c>
      <c r="N81" s="334">
        <v>1.1000000000000001E-3</v>
      </c>
      <c r="O81" s="334">
        <v>5.4199999999999998E-2</v>
      </c>
      <c r="P81" s="329">
        <f t="shared" si="36"/>
        <v>4.8344308595985024E-3</v>
      </c>
      <c r="Q81" s="329">
        <f t="shared" si="37"/>
        <v>1.8180315676390286E-3</v>
      </c>
      <c r="R81" s="329">
        <f t="shared" si="32"/>
        <v>-6.9999999999999988E-4</v>
      </c>
      <c r="S81" s="364">
        <f t="shared" si="33"/>
        <v>1.8999999999999989E-3</v>
      </c>
      <c r="T81" s="144"/>
      <c r="U81" s="172"/>
      <c r="V81" s="408"/>
    </row>
    <row r="82" spans="1:22" s="112" customFormat="1" ht="12.95" customHeight="1">
      <c r="A82" s="403">
        <v>71</v>
      </c>
      <c r="B82" s="394" t="s">
        <v>63</v>
      </c>
      <c r="C82" s="395" t="s">
        <v>5</v>
      </c>
      <c r="D82" s="326">
        <v>14186504237.68</v>
      </c>
      <c r="E82" s="333">
        <f t="shared" si="35"/>
        <v>4.4277532434339927E-2</v>
      </c>
      <c r="F82" s="327">
        <v>343.42</v>
      </c>
      <c r="G82" s="327">
        <v>343.42</v>
      </c>
      <c r="H82" s="334">
        <v>1.1999999999999999E-3</v>
      </c>
      <c r="I82" s="334">
        <v>3.2800000000000003E-2</v>
      </c>
      <c r="J82" s="326">
        <v>14206345952.42</v>
      </c>
      <c r="K82" s="333">
        <f t="shared" si="38"/>
        <v>4.4274138180016839E-2</v>
      </c>
      <c r="L82" s="327">
        <v>343.42</v>
      </c>
      <c r="M82" s="327">
        <v>343.83</v>
      </c>
      <c r="N82" s="334">
        <v>6.9999999999999999E-4</v>
      </c>
      <c r="O82" s="334">
        <v>3.4000000000000002E-2</v>
      </c>
      <c r="P82" s="329">
        <f t="shared" si="36"/>
        <v>1.398633123958704E-3</v>
      </c>
      <c r="Q82" s="329">
        <f t="shared" si="37"/>
        <v>1.1938733911827154E-3</v>
      </c>
      <c r="R82" s="329">
        <f t="shared" si="32"/>
        <v>-4.999999999999999E-4</v>
      </c>
      <c r="S82" s="364">
        <f t="shared" si="33"/>
        <v>1.1999999999999997E-3</v>
      </c>
      <c r="T82" s="144"/>
      <c r="U82" s="172"/>
      <c r="V82" s="408"/>
    </row>
    <row r="83" spans="1:22" s="112" customFormat="1" ht="12.95" customHeight="1">
      <c r="A83" s="396">
        <v>72</v>
      </c>
      <c r="B83" s="394" t="s">
        <v>246</v>
      </c>
      <c r="C83" s="395" t="s">
        <v>245</v>
      </c>
      <c r="D83" s="326">
        <v>70376907.129999995</v>
      </c>
      <c r="E83" s="333">
        <f t="shared" si="35"/>
        <v>2.1965353380014213E-4</v>
      </c>
      <c r="F83" s="74">
        <v>106.9906</v>
      </c>
      <c r="G83" s="74">
        <v>106.9906</v>
      </c>
      <c r="H83" s="334">
        <v>3.3619000000000003E-2</v>
      </c>
      <c r="I83" s="334">
        <v>4.9599999999999998E-2</v>
      </c>
      <c r="J83" s="326">
        <v>70523055.129999995</v>
      </c>
      <c r="K83" s="333">
        <f t="shared" si="38"/>
        <v>2.19785404224278E-4</v>
      </c>
      <c r="L83" s="74">
        <v>107.23560000000001</v>
      </c>
      <c r="M83" s="74">
        <v>107.23560000000001</v>
      </c>
      <c r="N83" s="334">
        <v>3.8619000000000001E-2</v>
      </c>
      <c r="O83" s="334">
        <v>5.1999999999999998E-2</v>
      </c>
      <c r="P83" s="329">
        <f t="shared" si="36"/>
        <v>2.0766470986006234E-3</v>
      </c>
      <c r="Q83" s="329">
        <f t="shared" si="37"/>
        <v>2.2899207967803205E-3</v>
      </c>
      <c r="R83" s="329">
        <f t="shared" si="32"/>
        <v>4.9999999999999975E-3</v>
      </c>
      <c r="S83" s="364">
        <f t="shared" si="33"/>
        <v>2.3999999999999994E-3</v>
      </c>
      <c r="T83" s="144"/>
      <c r="U83" s="172"/>
      <c r="V83" s="408"/>
    </row>
    <row r="84" spans="1:22" s="330" customFormat="1" ht="12.95" customHeight="1">
      <c r="A84" s="397">
        <v>73</v>
      </c>
      <c r="B84" s="394" t="s">
        <v>156</v>
      </c>
      <c r="C84" s="395" t="s">
        <v>41</v>
      </c>
      <c r="D84" s="326">
        <v>101994658862.53999</v>
      </c>
      <c r="E84" s="333">
        <f t="shared" si="35"/>
        <v>0.31833577463859342</v>
      </c>
      <c r="F84" s="326">
        <v>1.8935</v>
      </c>
      <c r="G84" s="326">
        <v>1.8935</v>
      </c>
      <c r="H84" s="334">
        <v>5.96E-2</v>
      </c>
      <c r="I84" s="334">
        <v>7.0000000000000007E-2</v>
      </c>
      <c r="J84" s="326">
        <v>101813213395.22</v>
      </c>
      <c r="K84" s="333">
        <f t="shared" si="38"/>
        <v>0.31730131685577057</v>
      </c>
      <c r="L84" s="326">
        <v>1.8956</v>
      </c>
      <c r="M84" s="326">
        <v>1.8956</v>
      </c>
      <c r="N84" s="334">
        <v>5.9499999999999997E-2</v>
      </c>
      <c r="O84" s="334">
        <v>6.9599999999999995E-2</v>
      </c>
      <c r="P84" s="109">
        <f t="shared" si="36"/>
        <v>-1.7789702847531392E-3</v>
      </c>
      <c r="Q84" s="109">
        <f t="shared" si="37"/>
        <v>1.1090573012938953E-3</v>
      </c>
      <c r="R84" s="329">
        <f t="shared" si="32"/>
        <v>-1.0000000000000286E-4</v>
      </c>
      <c r="S84" s="364">
        <f t="shared" si="33"/>
        <v>-4.0000000000001146E-4</v>
      </c>
      <c r="T84" s="144"/>
      <c r="U84" s="172"/>
      <c r="V84" s="338"/>
    </row>
    <row r="85" spans="1:22" s="330" customFormat="1" ht="12.95" customHeight="1">
      <c r="A85" s="399">
        <v>74</v>
      </c>
      <c r="B85" s="394" t="s">
        <v>270</v>
      </c>
      <c r="C85" s="395" t="s">
        <v>242</v>
      </c>
      <c r="D85" s="326">
        <v>9511271456.8299999</v>
      </c>
      <c r="E85" s="333">
        <f t="shared" si="35"/>
        <v>2.9685652178007779E-2</v>
      </c>
      <c r="F85" s="327">
        <v>1</v>
      </c>
      <c r="G85" s="327">
        <v>1</v>
      </c>
      <c r="H85" s="334">
        <v>0.06</v>
      </c>
      <c r="I85" s="334">
        <v>0.06</v>
      </c>
      <c r="J85" s="326">
        <v>9527980012.4899998</v>
      </c>
      <c r="K85" s="333">
        <f t="shared" si="38"/>
        <v>2.9693990633640831E-2</v>
      </c>
      <c r="L85" s="327">
        <v>1</v>
      </c>
      <c r="M85" s="327">
        <v>1</v>
      </c>
      <c r="N85" s="334">
        <v>0.06</v>
      </c>
      <c r="O85" s="334">
        <v>0.06</v>
      </c>
      <c r="P85" s="329">
        <f t="shared" si="36"/>
        <v>1.7567110491838094E-3</v>
      </c>
      <c r="Q85" s="329">
        <f t="shared" si="37"/>
        <v>0</v>
      </c>
      <c r="R85" s="329">
        <f t="shared" si="32"/>
        <v>0</v>
      </c>
      <c r="S85" s="364">
        <f t="shared" si="33"/>
        <v>0</v>
      </c>
      <c r="T85" s="144"/>
      <c r="U85" s="172"/>
      <c r="V85" s="339"/>
    </row>
    <row r="86" spans="1:22" s="112" customFormat="1" ht="12.95" customHeight="1">
      <c r="A86" s="397">
        <v>75</v>
      </c>
      <c r="B86" s="394" t="s">
        <v>19</v>
      </c>
      <c r="C86" s="395" t="s">
        <v>12</v>
      </c>
      <c r="D86" s="326">
        <v>2563055032.3699999</v>
      </c>
      <c r="E86" s="333">
        <f t="shared" si="35"/>
        <v>7.9995572147603163E-3</v>
      </c>
      <c r="F86" s="327">
        <v>24.530999999999999</v>
      </c>
      <c r="G86" s="327">
        <v>24.530999999999999</v>
      </c>
      <c r="H86" s="334">
        <v>1.4E-3</v>
      </c>
      <c r="I86" s="334">
        <v>4.1300000000000003E-2</v>
      </c>
      <c r="J86" s="326">
        <v>2562690636.1999998</v>
      </c>
      <c r="K86" s="333">
        <f t="shared" si="38"/>
        <v>7.9866363750226987E-3</v>
      </c>
      <c r="L86" s="327">
        <v>24.567499999999999</v>
      </c>
      <c r="M86" s="327">
        <v>24.567499999999999</v>
      </c>
      <c r="N86" s="334">
        <v>1.1000000000000001E-3</v>
      </c>
      <c r="O86" s="334">
        <v>4.2900000000000001E-2</v>
      </c>
      <c r="P86" s="329">
        <f t="shared" si="36"/>
        <v>-1.4217258911648387E-4</v>
      </c>
      <c r="Q86" s="329">
        <f t="shared" si="37"/>
        <v>1.487913252619143E-3</v>
      </c>
      <c r="R86" s="329">
        <f t="shared" si="32"/>
        <v>-2.9999999999999992E-4</v>
      </c>
      <c r="S86" s="364">
        <f t="shared" si="33"/>
        <v>1.5999999999999973E-3</v>
      </c>
      <c r="T86" s="144"/>
      <c r="U86" s="172"/>
      <c r="V86" s="291"/>
    </row>
    <row r="87" spans="1:22" s="112" customFormat="1" ht="12.95" customHeight="1">
      <c r="A87" s="214"/>
      <c r="C87" s="244" t="s">
        <v>42</v>
      </c>
      <c r="D87" s="76">
        <f>SUM(D57:D86)</f>
        <v>320399612573.65601</v>
      </c>
      <c r="E87" s="262">
        <f>(D87/$D$168)</f>
        <v>0.16640750390168968</v>
      </c>
      <c r="F87" s="327"/>
      <c r="G87" s="327"/>
      <c r="H87" s="334"/>
      <c r="I87" s="334"/>
      <c r="J87" s="76">
        <f>SUM(J57:J86)</f>
        <v>320872331713.32611</v>
      </c>
      <c r="K87" s="262">
        <f>(J87/$J$168)</f>
        <v>0.16745315108876607</v>
      </c>
      <c r="L87" s="264"/>
      <c r="M87" s="73"/>
      <c r="N87" s="279"/>
      <c r="O87" s="279"/>
      <c r="P87" s="266">
        <f t="shared" ref="P87" si="39">((J87-D87)/D87)</f>
        <v>1.4754048417004017E-3</v>
      </c>
      <c r="Q87" s="266"/>
      <c r="R87" s="266">
        <f t="shared" ref="R87:S87" si="40">N87-H87</f>
        <v>0</v>
      </c>
      <c r="S87" s="364">
        <f t="shared" si="40"/>
        <v>0</v>
      </c>
      <c r="T87" s="88"/>
      <c r="U87" s="173"/>
      <c r="V87" s="185"/>
    </row>
    <row r="88" spans="1:22" s="112" customFormat="1" ht="5.25" customHeight="1">
      <c r="A88" s="411"/>
      <c r="B88" s="412"/>
      <c r="C88" s="413"/>
      <c r="D88" s="413"/>
      <c r="E88" s="413"/>
      <c r="F88" s="413"/>
      <c r="G88" s="413"/>
      <c r="H88" s="413"/>
      <c r="I88" s="413"/>
      <c r="J88" s="413"/>
      <c r="K88" s="413"/>
      <c r="L88" s="413"/>
      <c r="M88" s="413"/>
      <c r="N88" s="413"/>
      <c r="O88" s="413"/>
      <c r="P88" s="413"/>
      <c r="Q88" s="413"/>
      <c r="R88" s="413"/>
      <c r="S88" s="426"/>
      <c r="T88" s="88"/>
      <c r="U88" s="173"/>
      <c r="V88" s="185"/>
    </row>
    <row r="89" spans="1:22" s="112" customFormat="1" ht="12" customHeight="1">
      <c r="A89" s="418" t="s">
        <v>194</v>
      </c>
      <c r="B89" s="419"/>
      <c r="C89" s="420"/>
      <c r="D89" s="420"/>
      <c r="E89" s="420"/>
      <c r="F89" s="420"/>
      <c r="G89" s="420"/>
      <c r="H89" s="420"/>
      <c r="I89" s="420"/>
      <c r="J89" s="420"/>
      <c r="K89" s="420"/>
      <c r="L89" s="420"/>
      <c r="M89" s="420"/>
      <c r="N89" s="420"/>
      <c r="O89" s="420"/>
      <c r="P89" s="420"/>
      <c r="Q89" s="420"/>
      <c r="R89" s="420"/>
      <c r="S89" s="421"/>
      <c r="T89" s="88"/>
      <c r="U89" s="173"/>
      <c r="V89" s="185"/>
    </row>
    <row r="90" spans="1:22" s="112" customFormat="1" ht="12.95" customHeight="1">
      <c r="A90" s="422" t="s">
        <v>195</v>
      </c>
      <c r="B90" s="423"/>
      <c r="C90" s="424"/>
      <c r="D90" s="424"/>
      <c r="E90" s="424"/>
      <c r="F90" s="424"/>
      <c r="G90" s="424"/>
      <c r="H90" s="424"/>
      <c r="I90" s="424"/>
      <c r="J90" s="424"/>
      <c r="K90" s="424"/>
      <c r="L90" s="424"/>
      <c r="M90" s="424"/>
      <c r="N90" s="424"/>
      <c r="O90" s="424"/>
      <c r="P90" s="424"/>
      <c r="Q90" s="424"/>
      <c r="R90" s="424"/>
      <c r="S90" s="425"/>
      <c r="T90" s="88"/>
      <c r="U90" s="173"/>
      <c r="V90" s="185"/>
    </row>
    <row r="91" spans="1:22" s="112" customFormat="1" ht="12.95" customHeight="1">
      <c r="A91" s="392">
        <v>76</v>
      </c>
      <c r="B91" s="394" t="s">
        <v>144</v>
      </c>
      <c r="C91" s="395" t="s">
        <v>57</v>
      </c>
      <c r="D91" s="326">
        <v>1327789872.3599999</v>
      </c>
      <c r="E91" s="333">
        <f t="shared" ref="E91:E100" si="41">(D91/$D$112)</f>
        <v>2.3296326321301905E-3</v>
      </c>
      <c r="F91" s="326">
        <f>107.4889*759.9</f>
        <v>81680.815109999996</v>
      </c>
      <c r="G91" s="326">
        <f>107.4889*759.9</f>
        <v>81680.815109999996</v>
      </c>
      <c r="H91" s="334">
        <v>1.1000000000000001E-3</v>
      </c>
      <c r="I91" s="334">
        <v>8.48E-2</v>
      </c>
      <c r="J91" s="326">
        <v>1318076094.02</v>
      </c>
      <c r="K91" s="333">
        <f t="shared" ref="K91:K100" si="42">(J91/$J$112)</f>
        <v>2.3829704656025664E-3</v>
      </c>
      <c r="L91" s="326">
        <f>107.5861*750.115</f>
        <v>80701.947401500001</v>
      </c>
      <c r="M91" s="326">
        <f>107.5861*750.115</f>
        <v>80701.947401500001</v>
      </c>
      <c r="N91" s="334">
        <v>1.95E-2</v>
      </c>
      <c r="O91" s="334">
        <v>8.48E-2</v>
      </c>
      <c r="P91" s="329">
        <f t="shared" ref="P91:P100" si="43">((J91-D91)/D91)</f>
        <v>-7.3157496846505887E-3</v>
      </c>
      <c r="Q91" s="329">
        <f t="shared" ref="Q91:Q100" si="44">((M91-G91)/G91)</f>
        <v>-1.1984059012899761E-2</v>
      </c>
      <c r="R91" s="329">
        <f t="shared" ref="R91:R100" si="45">N91-H91</f>
        <v>1.84E-2</v>
      </c>
      <c r="S91" s="364">
        <f t="shared" ref="S91:S100" si="46">O91-I91</f>
        <v>0</v>
      </c>
      <c r="T91" s="88"/>
      <c r="U91" s="173"/>
      <c r="V91" s="185"/>
    </row>
    <row r="92" spans="1:22" s="112" customFormat="1" ht="12.95" customHeight="1">
      <c r="A92" s="401">
        <v>77</v>
      </c>
      <c r="B92" s="394" t="s">
        <v>145</v>
      </c>
      <c r="C92" s="395" t="s">
        <v>6</v>
      </c>
      <c r="D92" s="326">
        <f>10769596.39*759.39</f>
        <v>8178323802.6021004</v>
      </c>
      <c r="E92" s="333">
        <f t="shared" si="41"/>
        <v>1.4349024949862904E-2</v>
      </c>
      <c r="F92" s="326">
        <f>1.1458*759.39</f>
        <v>870.10906199999988</v>
      </c>
      <c r="G92" s="326">
        <f>1.1458*759.39</f>
        <v>870.10906199999988</v>
      </c>
      <c r="H92" s="334">
        <v>5.9200000000000003E-2</v>
      </c>
      <c r="I92" s="334">
        <v>3.1800000000000002E-2</v>
      </c>
      <c r="J92" s="326">
        <f>10940376.08*750.11</f>
        <v>8206485501.3688002</v>
      </c>
      <c r="K92" s="333">
        <f t="shared" si="42"/>
        <v>1.4836633988644959E-2</v>
      </c>
      <c r="L92" s="326">
        <f>1.147*750.11</f>
        <v>860.37617</v>
      </c>
      <c r="M92" s="326">
        <f>1.147*750.11</f>
        <v>860.37617</v>
      </c>
      <c r="N92" s="334">
        <v>5.4600000000000003E-2</v>
      </c>
      <c r="O92" s="334">
        <v>3.2599999999999997E-2</v>
      </c>
      <c r="P92" s="329">
        <f t="shared" si="43"/>
        <v>3.4434560732040926E-3</v>
      </c>
      <c r="Q92" s="329">
        <f t="shared" si="44"/>
        <v>-1.1185829943694898E-2</v>
      </c>
      <c r="R92" s="329">
        <f t="shared" si="45"/>
        <v>-4.5999999999999999E-3</v>
      </c>
      <c r="S92" s="364">
        <f t="shared" si="46"/>
        <v>7.9999999999999516E-4</v>
      </c>
      <c r="U92" s="164"/>
      <c r="V92" s="163"/>
    </row>
    <row r="93" spans="1:22" s="112" customFormat="1" ht="12.95" customHeight="1">
      <c r="A93" s="396">
        <v>78</v>
      </c>
      <c r="B93" s="394" t="s">
        <v>170</v>
      </c>
      <c r="C93" s="395" t="s">
        <v>167</v>
      </c>
      <c r="D93" s="326">
        <v>1912497976.0139999</v>
      </c>
      <c r="E93" s="333">
        <f t="shared" si="41"/>
        <v>3.3555141416210261E-3</v>
      </c>
      <c r="F93" s="326">
        <v>79551.043380000003</v>
      </c>
      <c r="G93" s="326">
        <v>79551.043380000003</v>
      </c>
      <c r="H93" s="334">
        <v>6.3360926477780063E-2</v>
      </c>
      <c r="I93" s="334">
        <v>5.482374672285327E-2</v>
      </c>
      <c r="J93" s="326">
        <v>1890950554.0209002</v>
      </c>
      <c r="K93" s="333">
        <f>(J93/$J$112)</f>
        <v>3.4186791965883589E-3</v>
      </c>
      <c r="L93" s="326">
        <v>78654.769066499997</v>
      </c>
      <c r="M93" s="326">
        <v>78654.769066499997</v>
      </c>
      <c r="N93" s="334">
        <v>6.2184166517813645E-2</v>
      </c>
      <c r="O93" s="334">
        <v>5.467117049799812E-2</v>
      </c>
      <c r="P93" s="329">
        <f>((J93-D93)/D93)</f>
        <v>-1.1266637802152611E-2</v>
      </c>
      <c r="Q93" s="329">
        <f t="shared" si="44"/>
        <v>-1.1266656921376579E-2</v>
      </c>
      <c r="R93" s="329">
        <f t="shared" si="45"/>
        <v>-1.1767599599664183E-3</v>
      </c>
      <c r="S93" s="364">
        <f t="shared" si="46"/>
        <v>-1.5257622485514988E-4</v>
      </c>
      <c r="T93" s="466">
        <v>750.61500000000001</v>
      </c>
      <c r="U93" s="174"/>
      <c r="V93" s="163"/>
    </row>
    <row r="94" spans="1:22" s="112" customFormat="1" ht="12.95" customHeight="1">
      <c r="A94" s="396">
        <v>79</v>
      </c>
      <c r="B94" s="394" t="s">
        <v>238</v>
      </c>
      <c r="C94" s="395" t="s">
        <v>184</v>
      </c>
      <c r="D94" s="326">
        <v>22127490835.77</v>
      </c>
      <c r="E94" s="333">
        <f t="shared" si="41"/>
        <v>3.882310431133882E-2</v>
      </c>
      <c r="F94" s="326">
        <v>96752.79</v>
      </c>
      <c r="G94" s="326">
        <v>96752.79</v>
      </c>
      <c r="H94" s="334">
        <v>1.4E-3</v>
      </c>
      <c r="I94" s="334">
        <v>7.1199999999999999E-2</v>
      </c>
      <c r="J94" s="326">
        <v>21195053386.790001</v>
      </c>
      <c r="K94" s="333">
        <f t="shared" si="42"/>
        <v>3.8318869803296685E-2</v>
      </c>
      <c r="L94" s="326">
        <v>92779.72</v>
      </c>
      <c r="M94" s="326">
        <v>92779.72</v>
      </c>
      <c r="N94" s="334">
        <v>1.1000000000000001E-3</v>
      </c>
      <c r="O94" s="334">
        <v>7.1900000000000006E-2</v>
      </c>
      <c r="P94" s="329">
        <f t="shared" si="43"/>
        <v>-4.2139321439585729E-2</v>
      </c>
      <c r="Q94" s="329">
        <f t="shared" si="44"/>
        <v>-4.1064138822249907E-2</v>
      </c>
      <c r="R94" s="329">
        <f t="shared" si="45"/>
        <v>-2.9999999999999992E-4</v>
      </c>
      <c r="S94" s="364">
        <f t="shared" si="46"/>
        <v>7.0000000000000617E-4</v>
      </c>
      <c r="U94" s="174"/>
      <c r="V94" s="163"/>
    </row>
    <row r="95" spans="1:22" s="330" customFormat="1" ht="12.95" customHeight="1">
      <c r="A95" s="396">
        <v>80</v>
      </c>
      <c r="B95" s="398" t="s">
        <v>266</v>
      </c>
      <c r="C95" s="398" t="s">
        <v>184</v>
      </c>
      <c r="D95" s="326">
        <v>16339871052.09</v>
      </c>
      <c r="E95" s="333">
        <f t="shared" si="41"/>
        <v>2.8668615117609236E-2</v>
      </c>
      <c r="F95" s="326">
        <v>85442.21</v>
      </c>
      <c r="G95" s="326">
        <v>85442.21</v>
      </c>
      <c r="H95" s="334">
        <v>1.9E-3</v>
      </c>
      <c r="I95" s="334">
        <v>9.3799999999999994E-2</v>
      </c>
      <c r="J95" s="326">
        <v>15790237851.65</v>
      </c>
      <c r="K95" s="333">
        <f t="shared" si="42"/>
        <v>2.854741893585297E-2</v>
      </c>
      <c r="L95" s="326">
        <v>81975.48</v>
      </c>
      <c r="M95" s="326">
        <v>81975.48</v>
      </c>
      <c r="N95" s="334">
        <v>1.6000000000000001E-3</v>
      </c>
      <c r="O95" s="334">
        <v>9.4100000000000003E-2</v>
      </c>
      <c r="P95" s="329">
        <f t="shared" si="43"/>
        <v>-3.3637548221024549E-2</v>
      </c>
      <c r="Q95" s="329">
        <f t="shared" si="44"/>
        <v>-4.0573973917575522E-2</v>
      </c>
      <c r="R95" s="329">
        <f t="shared" si="45"/>
        <v>-2.9999999999999992E-4</v>
      </c>
      <c r="S95" s="364">
        <f t="shared" si="46"/>
        <v>3.0000000000000859E-4</v>
      </c>
      <c r="U95" s="332"/>
      <c r="V95" s="163"/>
    </row>
    <row r="96" spans="1:22" s="112" customFormat="1" ht="12.95" customHeight="1">
      <c r="A96" s="402">
        <v>81</v>
      </c>
      <c r="B96" s="394" t="s">
        <v>235</v>
      </c>
      <c r="C96" s="395" t="s">
        <v>217</v>
      </c>
      <c r="D96" s="326">
        <f>80112.8*759.9</f>
        <v>60877716.719999999</v>
      </c>
      <c r="E96" s="333">
        <f t="shared" si="41"/>
        <v>1.0681111401189971E-4</v>
      </c>
      <c r="F96" s="326">
        <f>101.38*759.9</f>
        <v>77038.661999999997</v>
      </c>
      <c r="G96" s="326">
        <f>101.38*759.9</f>
        <v>77038.661999999997</v>
      </c>
      <c r="H96" s="334">
        <v>-2.1700000000000001E-2</v>
      </c>
      <c r="I96" s="334">
        <v>0.03</v>
      </c>
      <c r="J96" s="326">
        <f>80095.38*750.62</f>
        <v>60121194.135600001</v>
      </c>
      <c r="K96" s="333">
        <f t="shared" si="42"/>
        <v>1.0869405084568595E-4</v>
      </c>
      <c r="L96" s="326">
        <f>101.35*750.62</f>
        <v>76075.337</v>
      </c>
      <c r="M96" s="326">
        <f>101.35*750.62</f>
        <v>76075.337</v>
      </c>
      <c r="N96" s="334">
        <v>0</v>
      </c>
      <c r="O96" s="334">
        <v>3.3000000000000002E-2</v>
      </c>
      <c r="P96" s="329">
        <f t="shared" si="43"/>
        <v>-1.2426921132399496E-2</v>
      </c>
      <c r="Q96" s="329">
        <f t="shared" si="44"/>
        <v>-1.2504435759800672E-2</v>
      </c>
      <c r="R96" s="329">
        <f t="shared" si="45"/>
        <v>2.1700000000000001E-2</v>
      </c>
      <c r="S96" s="364">
        <f t="shared" si="46"/>
        <v>3.0000000000000027E-3</v>
      </c>
      <c r="T96" s="124"/>
      <c r="U96" s="174"/>
      <c r="V96" s="131"/>
    </row>
    <row r="97" spans="1:43" s="112" customFormat="1" ht="12.95" customHeight="1">
      <c r="A97" s="396">
        <v>82</v>
      </c>
      <c r="B97" s="394" t="s">
        <v>120</v>
      </c>
      <c r="C97" s="395" t="s">
        <v>132</v>
      </c>
      <c r="D97" s="326">
        <v>9648436719.7999992</v>
      </c>
      <c r="E97" s="333">
        <f t="shared" si="41"/>
        <v>1.6928366076130942E-2</v>
      </c>
      <c r="F97" s="326">
        <v>759.39599999999996</v>
      </c>
      <c r="G97" s="326">
        <v>759.39599999999996</v>
      </c>
      <c r="H97" s="320">
        <v>1.49E-2</v>
      </c>
      <c r="I97" s="320">
        <v>5.5300000000000002E-2</v>
      </c>
      <c r="J97" s="326">
        <v>9574438312.9699993</v>
      </c>
      <c r="K97" s="333">
        <f t="shared" si="42"/>
        <v>1.7309777355081119E-2</v>
      </c>
      <c r="L97" s="326">
        <v>750.11500000000001</v>
      </c>
      <c r="M97" s="326">
        <v>750.11500000000001</v>
      </c>
      <c r="N97" s="320">
        <v>1.5599999999999999E-2</v>
      </c>
      <c r="O97" s="320">
        <v>5.4600000000000003E-2</v>
      </c>
      <c r="P97" s="329">
        <f t="shared" si="43"/>
        <v>-7.6694711256326533E-3</v>
      </c>
      <c r="Q97" s="329">
        <f t="shared" si="44"/>
        <v>-1.2221555025309522E-2</v>
      </c>
      <c r="R97" s="329">
        <f t="shared" si="45"/>
        <v>6.9999999999999923E-4</v>
      </c>
      <c r="S97" s="364">
        <f t="shared" si="46"/>
        <v>-6.9999999999999923E-4</v>
      </c>
      <c r="U97" s="174"/>
      <c r="V97" s="131"/>
    </row>
    <row r="98" spans="1:43" s="330" customFormat="1" ht="12.95" customHeight="1">
      <c r="A98" s="393">
        <v>83</v>
      </c>
      <c r="B98" s="394" t="s">
        <v>249</v>
      </c>
      <c r="C98" s="395" t="s">
        <v>171</v>
      </c>
      <c r="D98" s="326">
        <f>2603833.82*759.9</f>
        <v>1978653319.8179998</v>
      </c>
      <c r="E98" s="333">
        <f t="shared" si="41"/>
        <v>3.4715849529171408E-3</v>
      </c>
      <c r="F98" s="326">
        <f>102.02*759.9</f>
        <v>77524.997999999992</v>
      </c>
      <c r="G98" s="326">
        <f>102.02*759.9</f>
        <v>77524.997999999992</v>
      </c>
      <c r="H98" s="334">
        <v>3.8999999999999998E-3</v>
      </c>
      <c r="I98" s="334">
        <v>5.9900000000000002E-2</v>
      </c>
      <c r="J98" s="326">
        <f>2689935.68*750.62</f>
        <v>2019119520.1216002</v>
      </c>
      <c r="K98" s="333">
        <f t="shared" si="42"/>
        <v>3.6503978827935497E-3</v>
      </c>
      <c r="L98" s="326">
        <f>102.18*750.62</f>
        <v>76698.351600000009</v>
      </c>
      <c r="M98" s="326">
        <f>102.18*750.62</f>
        <v>76698.351600000009</v>
      </c>
      <c r="N98" s="334">
        <v>1.6000000000000001E-3</v>
      </c>
      <c r="O98" s="334">
        <v>6.1499999999999999E-2</v>
      </c>
      <c r="P98" s="329">
        <f t="shared" si="43"/>
        <v>2.0451384736423897E-2</v>
      </c>
      <c r="Q98" s="329">
        <f t="shared" si="44"/>
        <v>-1.0662965770085971E-2</v>
      </c>
      <c r="R98" s="329">
        <f t="shared" si="45"/>
        <v>-2.3E-3</v>
      </c>
      <c r="S98" s="364">
        <f t="shared" si="46"/>
        <v>1.5999999999999973E-3</v>
      </c>
      <c r="U98" s="332"/>
      <c r="V98" s="331"/>
    </row>
    <row r="99" spans="1:43" s="330" customFormat="1" ht="12.95" customHeight="1">
      <c r="A99" s="393">
        <v>84</v>
      </c>
      <c r="B99" s="394" t="s">
        <v>127</v>
      </c>
      <c r="C99" s="395" t="s">
        <v>90</v>
      </c>
      <c r="D99" s="326">
        <f>1734223.34*759.9</f>
        <v>1317836316.066</v>
      </c>
      <c r="E99" s="333">
        <f t="shared" si="41"/>
        <v>2.3121689279470637E-3</v>
      </c>
      <c r="F99" s="326">
        <f>128.04*759.9</f>
        <v>97297.59599999999</v>
      </c>
      <c r="G99" s="326">
        <f>131.86*759.9</f>
        <v>100200.414</v>
      </c>
      <c r="H99" s="334">
        <v>4.0000000000000002E-4</v>
      </c>
      <c r="I99" s="334">
        <v>0.15279999999999999</v>
      </c>
      <c r="J99" s="326">
        <f>1731751.7*750.62</f>
        <v>1299887461.0539999</v>
      </c>
      <c r="K99" s="333">
        <f t="shared" si="42"/>
        <v>2.3500869504820762E-3</v>
      </c>
      <c r="L99" s="326">
        <f>127.86*750.62</f>
        <v>95974.273199999996</v>
      </c>
      <c r="M99" s="326">
        <f>131.72*750.62</f>
        <v>98871.666400000002</v>
      </c>
      <c r="N99" s="334">
        <v>4.0000000000000002E-4</v>
      </c>
      <c r="O99" s="334">
        <v>0.15129999999999999</v>
      </c>
      <c r="P99" s="329">
        <f t="shared" si="43"/>
        <v>-1.361994262351256E-2</v>
      </c>
      <c r="Q99" s="329">
        <f t="shared" si="44"/>
        <v>-1.3260899301274368E-2</v>
      </c>
      <c r="R99" s="329">
        <f t="shared" si="45"/>
        <v>0</v>
      </c>
      <c r="S99" s="364">
        <f t="shared" si="46"/>
        <v>-1.5000000000000013E-3</v>
      </c>
      <c r="U99" s="332"/>
      <c r="V99" s="331"/>
    </row>
    <row r="100" spans="1:43" s="330" customFormat="1" ht="12.95" customHeight="1">
      <c r="A100" s="402">
        <v>85</v>
      </c>
      <c r="B100" s="394" t="s">
        <v>251</v>
      </c>
      <c r="C100" s="395" t="s">
        <v>41</v>
      </c>
      <c r="D100" s="326">
        <v>116755317214.14</v>
      </c>
      <c r="E100" s="333">
        <f t="shared" si="41"/>
        <v>0.20484942882816817</v>
      </c>
      <c r="F100" s="326">
        <v>94269.04</v>
      </c>
      <c r="G100" s="326">
        <v>94269.04</v>
      </c>
      <c r="H100" s="334">
        <v>5.5599999999999997E-2</v>
      </c>
      <c r="I100" s="334">
        <v>5.7799999999999997E-2</v>
      </c>
      <c r="J100" s="326">
        <v>111790450090.59</v>
      </c>
      <c r="K100" s="333">
        <f t="shared" si="42"/>
        <v>0.20210770995005359</v>
      </c>
      <c r="L100" s="326">
        <v>90390.23</v>
      </c>
      <c r="M100" s="326">
        <v>90390.23</v>
      </c>
      <c r="N100" s="334">
        <v>5.5500000000000001E-2</v>
      </c>
      <c r="O100" s="334">
        <v>5.7599999999999998E-2</v>
      </c>
      <c r="P100" s="329">
        <f t="shared" si="43"/>
        <v>-4.2523691785651012E-2</v>
      </c>
      <c r="Q100" s="329">
        <f t="shared" si="44"/>
        <v>-4.1146170577317835E-2</v>
      </c>
      <c r="R100" s="329">
        <f t="shared" si="45"/>
        <v>-9.9999999999995925E-5</v>
      </c>
      <c r="S100" s="364">
        <f t="shared" si="46"/>
        <v>-1.9999999999999879E-4</v>
      </c>
      <c r="U100" s="332"/>
      <c r="V100" s="331"/>
    </row>
    <row r="101" spans="1:43" s="112" customFormat="1" ht="4.5" customHeight="1">
      <c r="A101" s="411"/>
      <c r="B101" s="412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  <c r="Q101" s="413"/>
      <c r="R101" s="413"/>
      <c r="S101" s="426"/>
      <c r="U101" s="175"/>
      <c r="V101" s="131"/>
    </row>
    <row r="102" spans="1:43" s="112" customFormat="1" ht="12.95" customHeight="1">
      <c r="A102" s="422" t="s">
        <v>196</v>
      </c>
      <c r="B102" s="423"/>
      <c r="C102" s="424"/>
      <c r="D102" s="424"/>
      <c r="E102" s="424"/>
      <c r="F102" s="424"/>
      <c r="G102" s="424"/>
      <c r="H102" s="424"/>
      <c r="I102" s="424"/>
      <c r="J102" s="424"/>
      <c r="K102" s="424"/>
      <c r="L102" s="424"/>
      <c r="M102" s="424"/>
      <c r="N102" s="424"/>
      <c r="O102" s="424"/>
      <c r="P102" s="424"/>
      <c r="Q102" s="424"/>
      <c r="R102" s="424"/>
      <c r="S102" s="425"/>
      <c r="T102" s="176"/>
      <c r="U102" s="175"/>
      <c r="V102" s="131"/>
      <c r="AQ102" s="121">
        <v>185280902</v>
      </c>
    </row>
    <row r="103" spans="1:43" s="112" customFormat="1" ht="12.95" customHeight="1">
      <c r="A103" s="402">
        <v>86</v>
      </c>
      <c r="B103" s="394" t="s">
        <v>147</v>
      </c>
      <c r="C103" s="395" t="s">
        <v>146</v>
      </c>
      <c r="D103" s="325">
        <v>688560395.04999995</v>
      </c>
      <c r="E103" s="333">
        <f>(D103/$D$112)</f>
        <v>1.2080923336535451E-3</v>
      </c>
      <c r="F103" s="326">
        <v>76580.98</v>
      </c>
      <c r="G103" s="326">
        <v>76580.98</v>
      </c>
      <c r="H103" s="334">
        <v>1.8499999999999999E-2</v>
      </c>
      <c r="I103" s="334">
        <v>4.6300000000000001E-2</v>
      </c>
      <c r="J103" s="325">
        <v>688495589.79999995</v>
      </c>
      <c r="K103" s="333">
        <f t="shared" ref="K103:K111" si="47">(J103/$J$112)</f>
        <v>1.2447419869266855E-3</v>
      </c>
      <c r="L103" s="326">
        <v>76576.89</v>
      </c>
      <c r="M103" s="326">
        <v>76576.89</v>
      </c>
      <c r="N103" s="334">
        <v>-3.8999999999999998E-3</v>
      </c>
      <c r="O103" s="334">
        <v>4.6600000000000003E-2</v>
      </c>
      <c r="P103" s="329">
        <f t="shared" ref="P103:P111" si="48">((J103-D103)/D103)</f>
        <v>-9.4117016409713995E-5</v>
      </c>
      <c r="Q103" s="329">
        <f t="shared" ref="Q103:Q111" si="49">((M103-G103)/G103)</f>
        <v>-5.3407517114517309E-5</v>
      </c>
      <c r="R103" s="329">
        <f t="shared" ref="R103:R111" si="50">N103-H103</f>
        <v>-2.24E-2</v>
      </c>
      <c r="S103" s="364">
        <f t="shared" ref="S103:S111" si="51">O103-I103</f>
        <v>3.0000000000000165E-4</v>
      </c>
      <c r="T103"/>
      <c r="U103" s="427"/>
      <c r="V103" s="131"/>
    </row>
    <row r="104" spans="1:43" s="112" customFormat="1" ht="12.95" customHeight="1">
      <c r="A104" s="397">
        <v>87</v>
      </c>
      <c r="B104" s="395" t="s">
        <v>226</v>
      </c>
      <c r="C104" s="395" t="s">
        <v>80</v>
      </c>
      <c r="D104" s="326">
        <f>6264714.35*759.9</f>
        <v>4760556434.5649996</v>
      </c>
      <c r="E104" s="333">
        <f>(D104/$J$112)</f>
        <v>8.6066847239477488E-3</v>
      </c>
      <c r="F104" s="325">
        <f>127.08*759.9</f>
        <v>96568.09199999999</v>
      </c>
      <c r="G104" s="325">
        <f>127.97*759.9</f>
        <v>97244.402999999991</v>
      </c>
      <c r="H104" s="334">
        <v>8.0000000000000004E-4</v>
      </c>
      <c r="I104" s="334">
        <v>2.5700000000000001E-2</v>
      </c>
      <c r="J104" s="326">
        <f>6089963.97*750.62</f>
        <v>4571248755.1613998</v>
      </c>
      <c r="K104" s="333">
        <f t="shared" si="47"/>
        <v>8.2644323980181553E-3</v>
      </c>
      <c r="L104" s="325">
        <f>127.17*750.62</f>
        <v>95456.345400000006</v>
      </c>
      <c r="M104" s="325">
        <f>128.06*750.62</f>
        <v>96124.397200000007</v>
      </c>
      <c r="N104" s="334">
        <v>5.9999999999999995E-4</v>
      </c>
      <c r="O104" s="334">
        <v>2.64E-2</v>
      </c>
      <c r="P104" s="329">
        <f t="shared" si="48"/>
        <v>-3.9765872331455288E-2</v>
      </c>
      <c r="Q104" s="329">
        <f t="shared" si="49"/>
        <v>-1.1517432010971208E-2</v>
      </c>
      <c r="R104" s="329">
        <f t="shared" si="50"/>
        <v>-2.0000000000000009E-4</v>
      </c>
      <c r="S104" s="364">
        <f t="shared" si="51"/>
        <v>6.9999999999999923E-4</v>
      </c>
      <c r="U104" s="427"/>
      <c r="V104" s="132"/>
    </row>
    <row r="105" spans="1:43" s="112" customFormat="1" ht="12.75" customHeight="1">
      <c r="A105" s="401">
        <v>88</v>
      </c>
      <c r="B105" s="394" t="s">
        <v>141</v>
      </c>
      <c r="C105" s="395" t="s">
        <v>88</v>
      </c>
      <c r="D105" s="325">
        <v>8002952093.6800003</v>
      </c>
      <c r="E105" s="333">
        <f t="shared" ref="E105:E111" si="52">(D105/$D$112)</f>
        <v>1.4041331944846074E-2</v>
      </c>
      <c r="F105" s="325">
        <v>86382.95</v>
      </c>
      <c r="G105" s="325">
        <v>86382.95</v>
      </c>
      <c r="H105" s="334">
        <v>1.1000000000000001E-3</v>
      </c>
      <c r="I105" s="334">
        <v>7.2700000000000001E-2</v>
      </c>
      <c r="J105" s="325">
        <v>8129253672.9700003</v>
      </c>
      <c r="K105" s="333">
        <f t="shared" si="47"/>
        <v>1.4697005353459323E-2</v>
      </c>
      <c r="L105" s="325">
        <v>87371.78</v>
      </c>
      <c r="M105" s="325">
        <v>87371.78</v>
      </c>
      <c r="N105" s="334">
        <v>1.1999999999999999E-3</v>
      </c>
      <c r="O105" s="334">
        <v>7.2499999999999995E-2</v>
      </c>
      <c r="P105" s="329">
        <f t="shared" si="48"/>
        <v>1.5781873715043401E-2</v>
      </c>
      <c r="Q105" s="329">
        <f t="shared" si="49"/>
        <v>1.1447050604314876E-2</v>
      </c>
      <c r="R105" s="329">
        <f t="shared" si="50"/>
        <v>9.9999999999999829E-5</v>
      </c>
      <c r="S105" s="364">
        <f t="shared" si="51"/>
        <v>-2.0000000000000573E-4</v>
      </c>
      <c r="T105" s="177"/>
      <c r="U105" s="178"/>
      <c r="V105" s="179"/>
      <c r="W105" s="186"/>
      <c r="X105" s="184"/>
      <c r="Y105" s="142"/>
    </row>
    <row r="106" spans="1:43" s="112" customFormat="1" ht="12.95" customHeight="1" thickBot="1">
      <c r="A106" s="402">
        <v>89</v>
      </c>
      <c r="B106" s="394" t="s">
        <v>152</v>
      </c>
      <c r="C106" s="395" t="s">
        <v>7</v>
      </c>
      <c r="D106" s="325">
        <v>2747907346.4821548</v>
      </c>
      <c r="E106" s="333">
        <f t="shared" si="52"/>
        <v>4.8212558008572147E-3</v>
      </c>
      <c r="F106" s="325">
        <v>871.58520673566431</v>
      </c>
      <c r="G106" s="325">
        <v>871.58520673566431</v>
      </c>
      <c r="H106" s="334">
        <v>5.6168992403315916E-2</v>
      </c>
      <c r="I106" s="334">
        <v>5.5716566737778084E-2</v>
      </c>
      <c r="J106" s="325">
        <v>2847060291.9544473</v>
      </c>
      <c r="K106" s="333">
        <f t="shared" si="47"/>
        <v>5.1472450037579722E-3</v>
      </c>
      <c r="L106" s="325">
        <v>906.73512641579941</v>
      </c>
      <c r="M106" s="325">
        <v>906.73512641579941</v>
      </c>
      <c r="N106" s="334">
        <v>4.7394201168858528E-2</v>
      </c>
      <c r="O106" s="334">
        <v>5.5495861708220171E-2</v>
      </c>
      <c r="P106" s="329">
        <f t="shared" si="48"/>
        <v>3.6083074489111536E-2</v>
      </c>
      <c r="Q106" s="329">
        <f t="shared" si="49"/>
        <v>4.0328724499331045E-2</v>
      </c>
      <c r="R106" s="329">
        <f t="shared" si="50"/>
        <v>-8.7747912344573881E-3</v>
      </c>
      <c r="S106" s="364">
        <f t="shared" si="51"/>
        <v>-2.2070502955791327E-4</v>
      </c>
      <c r="T106" s="166"/>
      <c r="U106" s="160"/>
      <c r="V106" s="179"/>
      <c r="W106" s="186"/>
      <c r="X106" s="184"/>
      <c r="Y106" s="143"/>
    </row>
    <row r="107" spans="1:43" s="112" customFormat="1" ht="12.75" customHeight="1">
      <c r="A107" s="402">
        <v>90</v>
      </c>
      <c r="B107" s="395" t="s">
        <v>191</v>
      </c>
      <c r="C107" s="404" t="s">
        <v>9</v>
      </c>
      <c r="D107" s="326">
        <v>7899646733.8199997</v>
      </c>
      <c r="E107" s="333">
        <f t="shared" si="52"/>
        <v>1.3860080722485072E-2</v>
      </c>
      <c r="F107" s="325">
        <f>0.9988*759.9</f>
        <v>758.98811999999998</v>
      </c>
      <c r="G107" s="325">
        <f>0.9988*759.9</f>
        <v>758.98811999999998</v>
      </c>
      <c r="H107" s="334">
        <v>1.6000000000000001E-3</v>
      </c>
      <c r="I107" s="334">
        <v>9.01E-2</v>
      </c>
      <c r="J107" s="326">
        <v>8087357844.3699999</v>
      </c>
      <c r="K107" s="333">
        <f t="shared" si="47"/>
        <v>1.4621261227123449E-2</v>
      </c>
      <c r="L107" s="325">
        <f>1.0005*750.62</f>
        <v>750.99531000000002</v>
      </c>
      <c r="M107" s="325">
        <f>1.0005*750.62</f>
        <v>750.99531000000002</v>
      </c>
      <c r="N107" s="334">
        <v>1.5E-3</v>
      </c>
      <c r="O107" s="334">
        <v>9.1899999999999996E-2</v>
      </c>
      <c r="P107" s="329">
        <f t="shared" si="48"/>
        <v>2.3761962638958349E-2</v>
      </c>
      <c r="Q107" s="329">
        <f t="shared" si="49"/>
        <v>-1.0530876293557747E-2</v>
      </c>
      <c r="R107" s="329">
        <f t="shared" si="50"/>
        <v>-1.0000000000000005E-4</v>
      </c>
      <c r="S107" s="364">
        <f t="shared" si="51"/>
        <v>1.799999999999996E-3</v>
      </c>
      <c r="U107" s="184"/>
      <c r="V107" s="184"/>
      <c r="W107" s="184"/>
      <c r="X107" s="186"/>
    </row>
    <row r="108" spans="1:43" s="112" customFormat="1" ht="12.75" customHeight="1">
      <c r="A108" s="402">
        <v>91</v>
      </c>
      <c r="B108" s="394" t="s">
        <v>160</v>
      </c>
      <c r="C108" s="395" t="s">
        <v>159</v>
      </c>
      <c r="D108" s="325">
        <v>194995623.19999999</v>
      </c>
      <c r="E108" s="333">
        <f t="shared" si="52"/>
        <v>3.4212353655166183E-4</v>
      </c>
      <c r="F108" s="325">
        <v>775.76</v>
      </c>
      <c r="G108" s="325">
        <v>775.76</v>
      </c>
      <c r="H108" s="334">
        <v>1.72E-2</v>
      </c>
      <c r="I108" s="334">
        <v>0.14172299999999999</v>
      </c>
      <c r="J108" s="325">
        <v>185549914.19999999</v>
      </c>
      <c r="K108" s="333">
        <f t="shared" si="47"/>
        <v>3.3545860321701661E-4</v>
      </c>
      <c r="L108" s="325">
        <v>743.07</v>
      </c>
      <c r="M108" s="325">
        <v>743.07</v>
      </c>
      <c r="N108" s="334">
        <v>-6.5789999999999998E-3</v>
      </c>
      <c r="O108" s="334">
        <v>0.134212</v>
      </c>
      <c r="P108" s="329">
        <f t="shared" si="48"/>
        <v>-4.8440620589272801E-2</v>
      </c>
      <c r="Q108" s="329">
        <f t="shared" si="49"/>
        <v>-4.2139321439620424E-2</v>
      </c>
      <c r="R108" s="329">
        <f t="shared" si="50"/>
        <v>-2.3779000000000002E-2</v>
      </c>
      <c r="S108" s="364">
        <f t="shared" si="51"/>
        <v>-7.5109999999999899E-3</v>
      </c>
      <c r="U108" s="184"/>
      <c r="V108" s="184"/>
      <c r="W108" s="184"/>
      <c r="X108" s="186"/>
    </row>
    <row r="109" spans="1:43" s="112" customFormat="1" ht="12.75" customHeight="1">
      <c r="A109" s="403">
        <v>92</v>
      </c>
      <c r="B109" s="394" t="s">
        <v>93</v>
      </c>
      <c r="C109" s="395" t="s">
        <v>5</v>
      </c>
      <c r="D109" s="326">
        <v>343173893112.28003</v>
      </c>
      <c r="E109" s="333">
        <f t="shared" si="52"/>
        <v>0.60210513465399274</v>
      </c>
      <c r="F109" s="325">
        <v>1101.58</v>
      </c>
      <c r="G109" s="325">
        <v>1101.58</v>
      </c>
      <c r="H109" s="334">
        <v>1.4E-3</v>
      </c>
      <c r="I109" s="334">
        <v>4.0399999999999998E-2</v>
      </c>
      <c r="J109" s="326">
        <v>332338411238.46997</v>
      </c>
      <c r="K109" s="333">
        <f t="shared" si="47"/>
        <v>0.6008398317514263</v>
      </c>
      <c r="L109" s="325">
        <v>1056.57</v>
      </c>
      <c r="M109" s="325">
        <v>1056.57</v>
      </c>
      <c r="N109" s="334">
        <v>8.0000000000000004E-4</v>
      </c>
      <c r="O109" s="334">
        <v>4.1799999999999997E-2</v>
      </c>
      <c r="P109" s="329">
        <f t="shared" si="48"/>
        <v>-3.1574318709217467E-2</v>
      </c>
      <c r="Q109" s="329">
        <f t="shared" si="49"/>
        <v>-4.085949272862615E-2</v>
      </c>
      <c r="R109" s="329">
        <f t="shared" si="50"/>
        <v>-5.9999999999999995E-4</v>
      </c>
      <c r="S109" s="364">
        <f t="shared" si="51"/>
        <v>1.3999999999999985E-3</v>
      </c>
      <c r="T109"/>
      <c r="U109" s="292"/>
      <c r="V109" s="292"/>
      <c r="W109" s="292"/>
      <c r="X109" s="293"/>
    </row>
    <row r="110" spans="1:43" s="330" customFormat="1" ht="12.75" customHeight="1">
      <c r="A110" s="397">
        <v>93</v>
      </c>
      <c r="B110" s="394" t="s">
        <v>252</v>
      </c>
      <c r="C110" s="395" t="s">
        <v>41</v>
      </c>
      <c r="D110" s="326">
        <v>9914664897.4099998</v>
      </c>
      <c r="E110" s="333">
        <f t="shared" si="52"/>
        <v>1.7395468486733342E-2</v>
      </c>
      <c r="F110" s="326">
        <v>813.23</v>
      </c>
      <c r="G110" s="326">
        <v>813.23</v>
      </c>
      <c r="H110" s="334">
        <v>8.2900000000000001E-2</v>
      </c>
      <c r="I110" s="334">
        <v>8.7599999999999997E-2</v>
      </c>
      <c r="J110" s="326">
        <v>9845121557.3199997</v>
      </c>
      <c r="K110" s="333">
        <f t="shared" si="47"/>
        <v>1.7799149842561913E-2</v>
      </c>
      <c r="L110" s="326">
        <v>780.07</v>
      </c>
      <c r="M110" s="326">
        <v>780.07</v>
      </c>
      <c r="N110" s="334">
        <v>7.7399999999999997E-2</v>
      </c>
      <c r="O110" s="334">
        <v>8.7300000000000003E-2</v>
      </c>
      <c r="P110" s="329">
        <f t="shared" si="48"/>
        <v>-7.0141896684946864E-3</v>
      </c>
      <c r="Q110" s="329">
        <f t="shared" si="49"/>
        <v>-4.0775672319024098E-2</v>
      </c>
      <c r="R110" s="329">
        <f t="shared" si="50"/>
        <v>-5.5000000000000049E-3</v>
      </c>
      <c r="S110" s="364">
        <f t="shared" si="51"/>
        <v>-2.9999999999999472E-4</v>
      </c>
      <c r="T110" s="356"/>
      <c r="U110" s="355"/>
      <c r="V110" s="355"/>
      <c r="W110" s="355"/>
      <c r="X110" s="354"/>
    </row>
    <row r="111" spans="1:43" s="112" customFormat="1" ht="12.95" customHeight="1">
      <c r="A111" s="399">
        <v>94</v>
      </c>
      <c r="B111" s="394" t="s">
        <v>271</v>
      </c>
      <c r="C111" s="395" t="s">
        <v>242</v>
      </c>
      <c r="D111" s="325">
        <v>12926490839.27</v>
      </c>
      <c r="E111" s="333">
        <f t="shared" si="52"/>
        <v>2.2679774492157485E-2</v>
      </c>
      <c r="F111" s="325">
        <v>776.9</v>
      </c>
      <c r="G111" s="325">
        <v>776.9</v>
      </c>
      <c r="H111" s="334">
        <v>1.1000000000000001E-3</v>
      </c>
      <c r="I111" s="334">
        <v>4.41E-2</v>
      </c>
      <c r="J111" s="325">
        <v>13285815948.09</v>
      </c>
      <c r="K111" s="333">
        <f t="shared" si="47"/>
        <v>2.4019635254267525E-2</v>
      </c>
      <c r="L111" s="325">
        <v>756.94</v>
      </c>
      <c r="M111" s="325">
        <v>756.94</v>
      </c>
      <c r="N111" s="334">
        <v>1.4E-3</v>
      </c>
      <c r="O111" s="334">
        <v>4.5499999999999999E-2</v>
      </c>
      <c r="P111" s="329">
        <f t="shared" si="48"/>
        <v>2.7797575791288141E-2</v>
      </c>
      <c r="Q111" s="329">
        <f t="shared" si="49"/>
        <v>-2.5691852233234551E-2</v>
      </c>
      <c r="R111" s="329">
        <f t="shared" si="50"/>
        <v>2.9999999999999992E-4</v>
      </c>
      <c r="S111" s="364">
        <f t="shared" si="51"/>
        <v>1.3999999999999985E-3</v>
      </c>
      <c r="U111" s="184"/>
      <c r="V111" s="184"/>
      <c r="W111" s="184"/>
      <c r="X111" s="186"/>
    </row>
    <row r="112" spans="1:43" s="112" customFormat="1" ht="13.5" customHeight="1">
      <c r="A112" s="214"/>
      <c r="C112" s="286" t="s">
        <v>42</v>
      </c>
      <c r="D112" s="76">
        <f>SUM(D91:D111)</f>
        <v>569956762301.13733</v>
      </c>
      <c r="E112" s="262">
        <f>(D112/$D$168)</f>
        <v>0.29602121358563499</v>
      </c>
      <c r="F112" s="264"/>
      <c r="G112" s="73"/>
      <c r="H112" s="276"/>
      <c r="I112" s="276"/>
      <c r="J112" s="76">
        <f>SUM(J91:J111)</f>
        <v>553123134779.05676</v>
      </c>
      <c r="K112" s="262">
        <f>(J112/$J$168)</f>
        <v>0.28865752109035031</v>
      </c>
      <c r="L112" s="264"/>
      <c r="M112" s="73"/>
      <c r="N112" s="278"/>
      <c r="O112" s="278"/>
      <c r="P112" s="266">
        <f t="shared" ref="P112" si="53">((J112-D112)/D112)</f>
        <v>-2.9534920252751558E-2</v>
      </c>
      <c r="Q112" s="266"/>
      <c r="R112" s="266">
        <f t="shared" ref="R112:S112" si="54">N112-H112</f>
        <v>0</v>
      </c>
      <c r="S112" s="364">
        <f t="shared" si="54"/>
        <v>0</v>
      </c>
      <c r="U112" s="184"/>
      <c r="V112" s="184"/>
      <c r="W112" s="184"/>
      <c r="X112" s="184"/>
    </row>
    <row r="113" spans="1:23" s="112" customFormat="1" ht="4.5" customHeight="1">
      <c r="A113" s="411"/>
      <c r="B113" s="412"/>
      <c r="C113" s="413"/>
      <c r="D113" s="413"/>
      <c r="E113" s="413"/>
      <c r="F113" s="413"/>
      <c r="G113" s="413"/>
      <c r="H113" s="413"/>
      <c r="I113" s="413"/>
      <c r="J113" s="413"/>
      <c r="K113" s="413"/>
      <c r="L113" s="413"/>
      <c r="M113" s="413"/>
      <c r="N113" s="413"/>
      <c r="O113" s="413"/>
      <c r="P113" s="413"/>
      <c r="Q113" s="413"/>
      <c r="R113" s="413"/>
      <c r="S113" s="426"/>
      <c r="T113" s="118"/>
      <c r="U113" s="133"/>
    </row>
    <row r="114" spans="1:23" s="112" customFormat="1" ht="12.95" customHeight="1">
      <c r="A114" s="414" t="s">
        <v>210</v>
      </c>
      <c r="B114" s="415"/>
      <c r="C114" s="416"/>
      <c r="D114" s="416"/>
      <c r="E114" s="416"/>
      <c r="F114" s="416"/>
      <c r="G114" s="416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7"/>
    </row>
    <row r="115" spans="1:23" s="112" customFormat="1" ht="12.95" customHeight="1">
      <c r="A115" s="402">
        <v>95</v>
      </c>
      <c r="B115" s="394" t="s">
        <v>223</v>
      </c>
      <c r="C115" s="395" t="s">
        <v>9</v>
      </c>
      <c r="D115" s="326">
        <v>54330953714</v>
      </c>
      <c r="E115" s="333">
        <f>(D115/$D$119)</f>
        <v>0.58071664468558459</v>
      </c>
      <c r="F115" s="327">
        <v>101.72</v>
      </c>
      <c r="G115" s="327">
        <v>101.72</v>
      </c>
      <c r="H115" s="334">
        <v>0</v>
      </c>
      <c r="I115" s="334">
        <v>7.6999999999999999E-2</v>
      </c>
      <c r="J115" s="326">
        <v>54330953714</v>
      </c>
      <c r="K115" s="333">
        <f>(J115/$J$119)</f>
        <v>0.58061522102361818</v>
      </c>
      <c r="L115" s="327">
        <v>101.29</v>
      </c>
      <c r="M115" s="327">
        <v>101.29</v>
      </c>
      <c r="N115" s="334">
        <v>0</v>
      </c>
      <c r="O115" s="334">
        <v>7.6999999999999999E-2</v>
      </c>
      <c r="P115" s="329">
        <f>((J115-D115)/D115)</f>
        <v>0</v>
      </c>
      <c r="Q115" s="329">
        <f>((M115-G115)/G115)</f>
        <v>-4.2272906016515201E-3</v>
      </c>
      <c r="R115" s="329">
        <f t="shared" ref="R115:S118" si="55">N115-H115</f>
        <v>0</v>
      </c>
      <c r="S115" s="364">
        <f t="shared" si="55"/>
        <v>0</v>
      </c>
    </row>
    <row r="116" spans="1:23" s="112" customFormat="1" ht="12.95" customHeight="1">
      <c r="A116" s="397">
        <v>96</v>
      </c>
      <c r="B116" s="394" t="s">
        <v>139</v>
      </c>
      <c r="C116" s="395" t="s">
        <v>20</v>
      </c>
      <c r="D116" s="326">
        <v>2420689064.9899998</v>
      </c>
      <c r="E116" s="333">
        <f>(D116/$D$119)</f>
        <v>2.5873546027701113E-2</v>
      </c>
      <c r="F116" s="327">
        <v>69.3</v>
      </c>
      <c r="G116" s="327">
        <v>69.3</v>
      </c>
      <c r="H116" s="334">
        <v>0.18590000000000001</v>
      </c>
      <c r="I116" s="334">
        <v>0.16009999999999999</v>
      </c>
      <c r="J116" s="326">
        <v>2426333291.4699998</v>
      </c>
      <c r="K116" s="333">
        <f>(J116/$J$119)</f>
        <v>2.592934494983485E-2</v>
      </c>
      <c r="L116" s="327">
        <v>69.3</v>
      </c>
      <c r="M116" s="327">
        <v>69.3</v>
      </c>
      <c r="N116" s="334">
        <v>0.1249</v>
      </c>
      <c r="O116" s="334">
        <v>0.16109999999999999</v>
      </c>
      <c r="P116" s="329">
        <f>((J116-D116)/D116)</f>
        <v>2.3316610801574949E-3</v>
      </c>
      <c r="Q116" s="329">
        <f>((M116-G116)/G116)</f>
        <v>0</v>
      </c>
      <c r="R116" s="329">
        <f t="shared" si="55"/>
        <v>-6.1000000000000013E-2</v>
      </c>
      <c r="S116" s="364">
        <f t="shared" si="55"/>
        <v>1.0000000000000009E-3</v>
      </c>
      <c r="T116" s="134"/>
      <c r="U116" s="165"/>
    </row>
    <row r="117" spans="1:23" s="112" customFormat="1" ht="12.95" customHeight="1">
      <c r="A117" s="397">
        <v>97</v>
      </c>
      <c r="B117" s="394" t="s">
        <v>21</v>
      </c>
      <c r="C117" s="395" t="s">
        <v>20</v>
      </c>
      <c r="D117" s="326">
        <v>9927214011.3899994</v>
      </c>
      <c r="E117" s="333">
        <f>(D117/$D$119)</f>
        <v>0.10610707189343198</v>
      </c>
      <c r="F117" s="327">
        <v>36.6</v>
      </c>
      <c r="G117" s="327">
        <v>36.6</v>
      </c>
      <c r="H117" s="334">
        <v>0.13339999999999999</v>
      </c>
      <c r="I117" s="334">
        <v>0.16650000000000001</v>
      </c>
      <c r="J117" s="326">
        <v>9933540017.9400005</v>
      </c>
      <c r="K117" s="333">
        <f>(J117/$J$119)</f>
        <v>0.10615614375966684</v>
      </c>
      <c r="L117" s="327">
        <v>36.6</v>
      </c>
      <c r="M117" s="327">
        <v>36.6</v>
      </c>
      <c r="N117" s="334">
        <v>8.5599999999999996E-2</v>
      </c>
      <c r="O117" s="334">
        <v>0.16370000000000001</v>
      </c>
      <c r="P117" s="329">
        <f>((J117-D117)/D117)</f>
        <v>6.3723886104832578E-4</v>
      </c>
      <c r="Q117" s="329">
        <f>((M117-G117)/G117)</f>
        <v>0</v>
      </c>
      <c r="R117" s="329">
        <f t="shared" si="55"/>
        <v>-4.7799999999999995E-2</v>
      </c>
      <c r="S117" s="364">
        <f t="shared" si="55"/>
        <v>-2.7999999999999969E-3</v>
      </c>
      <c r="T117" s="135"/>
      <c r="U117" s="113"/>
    </row>
    <row r="118" spans="1:23" s="136" customFormat="1" ht="12.95" customHeight="1">
      <c r="A118" s="406">
        <v>98</v>
      </c>
      <c r="B118" s="394" t="s">
        <v>181</v>
      </c>
      <c r="C118" s="395" t="s">
        <v>5</v>
      </c>
      <c r="D118" s="326">
        <v>26879601041.349998</v>
      </c>
      <c r="E118" s="333">
        <f>(D118/$D$119)</f>
        <v>0.28730273739328227</v>
      </c>
      <c r="F118" s="327">
        <v>10.07</v>
      </c>
      <c r="G118" s="327">
        <v>10.07</v>
      </c>
      <c r="H118" s="334">
        <v>0</v>
      </c>
      <c r="I118" s="334">
        <v>0.16669999999999999</v>
      </c>
      <c r="J118" s="326">
        <v>26883973889</v>
      </c>
      <c r="K118" s="333">
        <f>(J118/$J$119)</f>
        <v>0.28729929026688011</v>
      </c>
      <c r="L118" s="327">
        <v>3.65</v>
      </c>
      <c r="M118" s="327">
        <v>3.65</v>
      </c>
      <c r="N118" s="334">
        <v>1.3899999999999999E-2</v>
      </c>
      <c r="O118" s="334">
        <v>0.2167</v>
      </c>
      <c r="P118" s="329">
        <f>((J118-D118)/D118)</f>
        <v>1.6268275869402206E-4</v>
      </c>
      <c r="Q118" s="329">
        <f>((M118-G118)/G118)</f>
        <v>-0.63753723932472683</v>
      </c>
      <c r="R118" s="329">
        <f t="shared" si="55"/>
        <v>1.3899999999999999E-2</v>
      </c>
      <c r="S118" s="364">
        <f t="shared" si="55"/>
        <v>5.0000000000000017E-2</v>
      </c>
      <c r="T118" s="135"/>
      <c r="U118" s="160"/>
    </row>
    <row r="119" spans="1:23" s="112" customFormat="1" ht="12.75" customHeight="1">
      <c r="A119" s="214"/>
      <c r="C119" s="244" t="s">
        <v>42</v>
      </c>
      <c r="D119" s="70">
        <f>SUM(D115:D118)</f>
        <v>93558457831.729996</v>
      </c>
      <c r="E119" s="262">
        <f>(D119/$D$168)</f>
        <v>4.8591910931510857E-2</v>
      </c>
      <c r="F119" s="72"/>
      <c r="G119" s="72"/>
      <c r="H119" s="245"/>
      <c r="I119" s="245"/>
      <c r="J119" s="70">
        <f>SUM(J115:J118)</f>
        <v>93574800912.410004</v>
      </c>
      <c r="K119" s="262">
        <f>(J119/$J$168)</f>
        <v>4.8833737678842172E-2</v>
      </c>
      <c r="L119" s="264"/>
      <c r="M119" s="72"/>
      <c r="N119" s="265"/>
      <c r="O119" s="265"/>
      <c r="P119" s="266">
        <f>((J119-D119)/D119)</f>
        <v>1.7468309182053706E-4</v>
      </c>
      <c r="Q119" s="266"/>
      <c r="R119" s="266">
        <f>N119-H119</f>
        <v>0</v>
      </c>
      <c r="S119" s="364">
        <f t="shared" ref="S119" si="56">O119-I119</f>
        <v>0</v>
      </c>
      <c r="T119" s="160"/>
      <c r="U119" s="160"/>
      <c r="V119" s="180"/>
      <c r="W119" s="407"/>
    </row>
    <row r="120" spans="1:23" s="112" customFormat="1" ht="5.25" customHeight="1">
      <c r="A120" s="411"/>
      <c r="B120" s="412"/>
      <c r="C120" s="413"/>
      <c r="D120" s="413"/>
      <c r="E120" s="413"/>
      <c r="F120" s="413"/>
      <c r="G120" s="413"/>
      <c r="H120" s="413"/>
      <c r="I120" s="413"/>
      <c r="J120" s="413"/>
      <c r="K120" s="413"/>
      <c r="L120" s="413"/>
      <c r="M120" s="413"/>
      <c r="N120" s="413"/>
      <c r="O120" s="413"/>
      <c r="P120" s="413"/>
      <c r="Q120" s="413"/>
      <c r="R120" s="413"/>
      <c r="S120" s="426"/>
      <c r="T120" s="160"/>
      <c r="U120" s="160"/>
      <c r="V120" s="180"/>
      <c r="W120" s="407"/>
    </row>
    <row r="121" spans="1:23" s="112" customFormat="1" ht="12" customHeight="1">
      <c r="A121" s="418" t="s">
        <v>220</v>
      </c>
      <c r="B121" s="419"/>
      <c r="C121" s="420"/>
      <c r="D121" s="420"/>
      <c r="E121" s="420"/>
      <c r="F121" s="420"/>
      <c r="G121" s="420"/>
      <c r="H121" s="420"/>
      <c r="I121" s="420"/>
      <c r="J121" s="420"/>
      <c r="K121" s="420"/>
      <c r="L121" s="420"/>
      <c r="M121" s="420"/>
      <c r="N121" s="420"/>
      <c r="O121" s="420"/>
      <c r="P121" s="420"/>
      <c r="Q121" s="420"/>
      <c r="R121" s="420"/>
      <c r="S121" s="421"/>
      <c r="T121" s="184"/>
      <c r="U121" s="186"/>
      <c r="V121" s="180"/>
      <c r="W121" s="407"/>
    </row>
    <row r="122" spans="1:23" s="112" customFormat="1" ht="12" customHeight="1">
      <c r="A122" s="397">
        <v>99</v>
      </c>
      <c r="B122" s="394" t="s">
        <v>116</v>
      </c>
      <c r="C122" s="395" t="s">
        <v>36</v>
      </c>
      <c r="D122" s="325">
        <v>196441877.56999999</v>
      </c>
      <c r="E122" s="333">
        <f t="shared" ref="E122:E145" si="57">(D122/$D$146)</f>
        <v>5.0772680819417297E-3</v>
      </c>
      <c r="F122" s="325">
        <v>4.4000000000000004</v>
      </c>
      <c r="G122" s="325">
        <v>4.49</v>
      </c>
      <c r="H122" s="315">
        <v>-3.7300000000000001E-4</v>
      </c>
      <c r="I122" s="315">
        <v>0.17177300000000001</v>
      </c>
      <c r="J122" s="325">
        <v>197752973.91</v>
      </c>
      <c r="K122" s="314">
        <f t="shared" ref="K122:K135" si="58">(J122/$J$146)</f>
        <v>5.0857031995791922E-3</v>
      </c>
      <c r="L122" s="325">
        <v>4.43</v>
      </c>
      <c r="M122" s="325">
        <v>4.51</v>
      </c>
      <c r="N122" s="315">
        <v>7.1869999999999998E-3</v>
      </c>
      <c r="O122" s="315">
        <v>0.17896000000000001</v>
      </c>
      <c r="P122" s="329">
        <f t="shared" ref="P122:P145" si="59">((J122-D122)/D122)</f>
        <v>6.6742201623114106E-3</v>
      </c>
      <c r="Q122" s="329">
        <f t="shared" ref="Q122:Q145" si="60">((M122-G122)/G122)</f>
        <v>4.4543429844097048E-3</v>
      </c>
      <c r="R122" s="329">
        <f t="shared" ref="R122:R145" si="61">N122-H122</f>
        <v>7.5599999999999999E-3</v>
      </c>
      <c r="S122" s="364">
        <f t="shared" ref="S122:S145" si="62">O122-I122</f>
        <v>7.1869999999999989E-3</v>
      </c>
      <c r="T122" s="409"/>
      <c r="U122" s="166"/>
      <c r="V122" s="184"/>
    </row>
    <row r="123" spans="1:23" s="112" customFormat="1" ht="12" customHeight="1">
      <c r="A123" s="401">
        <v>100</v>
      </c>
      <c r="B123" s="394" t="s">
        <v>154</v>
      </c>
      <c r="C123" s="395" t="s">
        <v>6</v>
      </c>
      <c r="D123" s="325">
        <v>5929939862.1999998</v>
      </c>
      <c r="E123" s="333">
        <f t="shared" si="57"/>
        <v>0.15326617095406944</v>
      </c>
      <c r="F123" s="325">
        <v>631.19569999999999</v>
      </c>
      <c r="G123" s="325">
        <v>650.22670000000005</v>
      </c>
      <c r="H123" s="315">
        <v>-9.7000000000000003E-2</v>
      </c>
      <c r="I123" s="315">
        <v>0.34749999999999998</v>
      </c>
      <c r="J123" s="325">
        <v>5915840945.8199997</v>
      </c>
      <c r="K123" s="314">
        <f t="shared" si="58"/>
        <v>0.15214037306994432</v>
      </c>
      <c r="L123" s="325">
        <v>629.46259999999995</v>
      </c>
      <c r="M123" s="325">
        <v>648.44129999999996</v>
      </c>
      <c r="N123" s="315">
        <v>-0.14319999999999999</v>
      </c>
      <c r="O123" s="315">
        <v>0.33069999999999999</v>
      </c>
      <c r="P123" s="329">
        <f t="shared" si="59"/>
        <v>-2.3775816800222045E-3</v>
      </c>
      <c r="Q123" s="329">
        <f t="shared" si="60"/>
        <v>-2.745811576178116E-3</v>
      </c>
      <c r="R123" s="329">
        <f t="shared" si="61"/>
        <v>-4.6199999999999991E-2</v>
      </c>
      <c r="S123" s="364">
        <f t="shared" si="62"/>
        <v>-1.6799999999999982E-2</v>
      </c>
      <c r="T123" s="409"/>
      <c r="W123" s="187"/>
    </row>
    <row r="124" spans="1:23" s="112" customFormat="1" ht="12" customHeight="1">
      <c r="A124" s="397">
        <v>101</v>
      </c>
      <c r="B124" s="394" t="s">
        <v>240</v>
      </c>
      <c r="C124" s="395" t="s">
        <v>12</v>
      </c>
      <c r="D124" s="325">
        <v>3110666057.9299998</v>
      </c>
      <c r="E124" s="333">
        <f t="shared" si="57"/>
        <v>8.0398770796107757E-2</v>
      </c>
      <c r="F124" s="325">
        <v>16.7807</v>
      </c>
      <c r="G124" s="325">
        <v>16.975899999999999</v>
      </c>
      <c r="H124" s="334">
        <v>1.18E-2</v>
      </c>
      <c r="I124" s="334">
        <v>0.21129999999999999</v>
      </c>
      <c r="J124" s="325">
        <v>3161579693.9099998</v>
      </c>
      <c r="K124" s="314">
        <f t="shared" si="58"/>
        <v>8.1307783378066364E-2</v>
      </c>
      <c r="L124" s="325">
        <v>16.684000000000001</v>
      </c>
      <c r="M124" s="325">
        <v>16.876100000000001</v>
      </c>
      <c r="N124" s="334">
        <v>4.8999999999999998E-3</v>
      </c>
      <c r="O124" s="334">
        <v>0.20419999999999999</v>
      </c>
      <c r="P124" s="329">
        <f t="shared" si="59"/>
        <v>1.6367438687353221E-2</v>
      </c>
      <c r="Q124" s="329">
        <f t="shared" si="60"/>
        <v>-5.8789224724461351E-3</v>
      </c>
      <c r="R124" s="329">
        <f t="shared" si="61"/>
        <v>-6.8999999999999999E-3</v>
      </c>
      <c r="S124" s="364">
        <f t="shared" si="62"/>
        <v>-7.0999999999999952E-3</v>
      </c>
      <c r="T124" s="186"/>
      <c r="U124" s="113"/>
      <c r="W124" s="187"/>
    </row>
    <row r="125" spans="1:23" s="112" customFormat="1" ht="12" customHeight="1">
      <c r="A125" s="402">
        <v>102</v>
      </c>
      <c r="B125" s="394" t="s">
        <v>142</v>
      </c>
      <c r="C125" s="395" t="s">
        <v>102</v>
      </c>
      <c r="D125" s="326">
        <v>1172510831.96</v>
      </c>
      <c r="E125" s="333">
        <f t="shared" si="57"/>
        <v>3.0304901869613356E-2</v>
      </c>
      <c r="F125" s="325">
        <v>2.7351999999999999</v>
      </c>
      <c r="G125" s="325">
        <v>2.7671000000000001</v>
      </c>
      <c r="H125" s="334">
        <v>-1.3466290766071458</v>
      </c>
      <c r="I125" s="334">
        <v>0.36725166073772331</v>
      </c>
      <c r="J125" s="326">
        <v>1192191747.8199999</v>
      </c>
      <c r="K125" s="314">
        <f t="shared" si="58"/>
        <v>3.0660137577296288E-2</v>
      </c>
      <c r="L125" s="325">
        <v>2.7814000000000001</v>
      </c>
      <c r="M125" s="325">
        <v>2.8462999999999998</v>
      </c>
      <c r="N125" s="334">
        <v>0</v>
      </c>
      <c r="O125" s="334">
        <v>0.35534998654714894</v>
      </c>
      <c r="P125" s="329">
        <f t="shared" si="59"/>
        <v>1.6785274236742663E-2</v>
      </c>
      <c r="Q125" s="329">
        <f t="shared" si="60"/>
        <v>2.8622023056629579E-2</v>
      </c>
      <c r="R125" s="329">
        <f t="shared" si="61"/>
        <v>1.3466290766071458</v>
      </c>
      <c r="S125" s="364">
        <f t="shared" si="62"/>
        <v>-1.1901674190574363E-2</v>
      </c>
      <c r="T125" s="186"/>
      <c r="U125" s="113"/>
      <c r="W125" s="187"/>
    </row>
    <row r="126" spans="1:23" s="112" customFormat="1" ht="12" customHeight="1">
      <c r="A126" s="402">
        <v>103</v>
      </c>
      <c r="B126" s="394" t="s">
        <v>265</v>
      </c>
      <c r="C126" s="395" t="s">
        <v>7</v>
      </c>
      <c r="D126" s="326">
        <v>2765772017.4156599</v>
      </c>
      <c r="E126" s="333">
        <f t="shared" si="57"/>
        <v>7.1484584446349503E-2</v>
      </c>
      <c r="F126" s="325">
        <v>5126.9235580959203</v>
      </c>
      <c r="G126" s="325">
        <v>5161.76841462434</v>
      </c>
      <c r="H126" s="334">
        <v>-0.5083039006943596</v>
      </c>
      <c r="I126" s="334">
        <v>0.38140473515646844</v>
      </c>
      <c r="J126" s="326">
        <v>2780286642.5514998</v>
      </c>
      <c r="K126" s="314">
        <f t="shared" si="58"/>
        <v>7.1501896503496448E-2</v>
      </c>
      <c r="L126" s="325">
        <v>5145.37432678409</v>
      </c>
      <c r="M126" s="325">
        <v>5180.0532889984097</v>
      </c>
      <c r="N126" s="334">
        <v>0.18765167550897557</v>
      </c>
      <c r="O126" s="334">
        <v>0.37645381751578144</v>
      </c>
      <c r="P126" s="329">
        <f t="shared" si="59"/>
        <v>5.2479470630418844E-3</v>
      </c>
      <c r="Q126" s="329">
        <f t="shared" si="60"/>
        <v>3.5423662794062767E-3</v>
      </c>
      <c r="R126" s="329">
        <f t="shared" si="61"/>
        <v>0.69595557620333515</v>
      </c>
      <c r="S126" s="364">
        <f t="shared" si="62"/>
        <v>-4.9509176406870026E-3</v>
      </c>
      <c r="T126" s="186"/>
      <c r="U126" s="113"/>
      <c r="W126" s="187"/>
    </row>
    <row r="127" spans="1:23" s="112" customFormat="1" ht="12" customHeight="1">
      <c r="A127" s="401">
        <v>104</v>
      </c>
      <c r="B127" s="394" t="s">
        <v>155</v>
      </c>
      <c r="C127" s="395" t="s">
        <v>88</v>
      </c>
      <c r="D127" s="325">
        <v>429083634.07999998</v>
      </c>
      <c r="E127" s="333">
        <f t="shared" si="57"/>
        <v>1.1090164005491329E-2</v>
      </c>
      <c r="F127" s="325">
        <v>155.91999999999999</v>
      </c>
      <c r="G127" s="325">
        <v>156.9</v>
      </c>
      <c r="H127" s="334">
        <v>-4.0000000000000001E-3</v>
      </c>
      <c r="I127" s="334">
        <v>0.2165</v>
      </c>
      <c r="J127" s="325">
        <v>425887457.70999998</v>
      </c>
      <c r="K127" s="314">
        <f t="shared" si="58"/>
        <v>1.0952741511347088E-2</v>
      </c>
      <c r="L127" s="325">
        <v>153.77000000000001</v>
      </c>
      <c r="M127" s="325">
        <v>154.74</v>
      </c>
      <c r="N127" s="334">
        <v>-1.38E-2</v>
      </c>
      <c r="O127" s="334">
        <v>0.2009</v>
      </c>
      <c r="P127" s="329">
        <f t="shared" si="59"/>
        <v>-7.4488424077346601E-3</v>
      </c>
      <c r="Q127" s="329">
        <f t="shared" si="60"/>
        <v>-1.3766730401529615E-2</v>
      </c>
      <c r="R127" s="329">
        <f t="shared" si="61"/>
        <v>-9.7999999999999997E-3</v>
      </c>
      <c r="S127" s="364">
        <f t="shared" si="62"/>
        <v>-1.5600000000000003E-2</v>
      </c>
      <c r="U127" s="113"/>
      <c r="W127" s="187"/>
    </row>
    <row r="128" spans="1:23" s="112" customFormat="1" ht="12" customHeight="1">
      <c r="A128" s="402">
        <v>105</v>
      </c>
      <c r="B128" s="394" t="s">
        <v>179</v>
      </c>
      <c r="C128" s="395" t="s">
        <v>177</v>
      </c>
      <c r="D128" s="325">
        <v>3734808.11</v>
      </c>
      <c r="E128" s="333">
        <f t="shared" si="57"/>
        <v>9.6530445766702589E-5</v>
      </c>
      <c r="F128" s="325">
        <v>102.747</v>
      </c>
      <c r="G128" s="325">
        <v>102.99</v>
      </c>
      <c r="H128" s="334">
        <v>0</v>
      </c>
      <c r="I128" s="334">
        <v>0</v>
      </c>
      <c r="J128" s="325">
        <v>3734808.11</v>
      </c>
      <c r="K128" s="314">
        <f t="shared" si="58"/>
        <v>9.6049759350197143E-5</v>
      </c>
      <c r="L128" s="325">
        <v>102.747</v>
      </c>
      <c r="M128" s="325">
        <v>102.99</v>
      </c>
      <c r="N128" s="334">
        <v>0</v>
      </c>
      <c r="O128" s="334">
        <v>0</v>
      </c>
      <c r="P128" s="329">
        <f t="shared" si="59"/>
        <v>0</v>
      </c>
      <c r="Q128" s="329">
        <f t="shared" si="60"/>
        <v>0</v>
      </c>
      <c r="R128" s="329">
        <f t="shared" si="61"/>
        <v>0</v>
      </c>
      <c r="S128" s="364">
        <f t="shared" si="62"/>
        <v>0</v>
      </c>
      <c r="U128" s="113"/>
    </row>
    <row r="129" spans="1:22" s="112" customFormat="1" ht="12" customHeight="1">
      <c r="A129" s="402">
        <v>106</v>
      </c>
      <c r="B129" s="394" t="s">
        <v>109</v>
      </c>
      <c r="C129" s="395" t="s">
        <v>107</v>
      </c>
      <c r="D129" s="325">
        <v>162810556.72999999</v>
      </c>
      <c r="E129" s="333">
        <f t="shared" si="57"/>
        <v>4.2080276024333467E-3</v>
      </c>
      <c r="F129" s="325">
        <v>1.4225000000000001</v>
      </c>
      <c r="G129" s="325">
        <v>1.4359999999999999</v>
      </c>
      <c r="H129" s="334">
        <v>-5.4000000000000003E-3</v>
      </c>
      <c r="I129" s="334">
        <v>0.1842</v>
      </c>
      <c r="J129" s="325">
        <v>164146634.36000001</v>
      </c>
      <c r="K129" s="314">
        <f t="shared" si="58"/>
        <v>4.2214336758583304E-3</v>
      </c>
      <c r="L129" s="325">
        <v>1.4330000000000001</v>
      </c>
      <c r="M129" s="325">
        <v>1.4474</v>
      </c>
      <c r="N129" s="334">
        <v>7.4000000000000003E-3</v>
      </c>
      <c r="O129" s="334">
        <v>0.193</v>
      </c>
      <c r="P129" s="329">
        <f t="shared" si="59"/>
        <v>8.2063329112972393E-3</v>
      </c>
      <c r="Q129" s="329">
        <f t="shared" si="60"/>
        <v>7.9387186629527005E-3</v>
      </c>
      <c r="R129" s="329">
        <f t="shared" si="61"/>
        <v>1.2800000000000001E-2</v>
      </c>
      <c r="S129" s="364">
        <f t="shared" si="62"/>
        <v>8.8000000000000023E-3</v>
      </c>
      <c r="U129" s="111"/>
    </row>
    <row r="130" spans="1:22" s="112" customFormat="1" ht="11.25" customHeight="1">
      <c r="A130" s="397">
        <v>107</v>
      </c>
      <c r="B130" s="394" t="s">
        <v>233</v>
      </c>
      <c r="C130" s="395" t="s">
        <v>98</v>
      </c>
      <c r="D130" s="321">
        <v>177609366.86000001</v>
      </c>
      <c r="E130" s="333">
        <f t="shared" si="57"/>
        <v>4.5905200080915585E-3</v>
      </c>
      <c r="F130" s="325">
        <v>111.88</v>
      </c>
      <c r="G130" s="325">
        <v>113.66</v>
      </c>
      <c r="H130" s="334">
        <v>4.1999999999999997E-3</v>
      </c>
      <c r="I130" s="334">
        <v>8.4599999999999995E-2</v>
      </c>
      <c r="J130" s="321">
        <v>177835881.47</v>
      </c>
      <c r="K130" s="314">
        <f t="shared" si="58"/>
        <v>4.5734862718351775E-3</v>
      </c>
      <c r="L130" s="325">
        <v>111.99</v>
      </c>
      <c r="M130" s="325">
        <v>113.85</v>
      </c>
      <c r="N130" s="334">
        <v>1.4E-3</v>
      </c>
      <c r="O130" s="334">
        <v>8.5999999999999993E-2</v>
      </c>
      <c r="P130" s="329">
        <f t="shared" si="59"/>
        <v>1.2753528375478861E-3</v>
      </c>
      <c r="Q130" s="329">
        <f t="shared" si="60"/>
        <v>1.671652296322345E-3</v>
      </c>
      <c r="R130" s="329">
        <f t="shared" si="61"/>
        <v>-2.7999999999999995E-3</v>
      </c>
      <c r="S130" s="364">
        <f t="shared" si="62"/>
        <v>1.3999999999999985E-3</v>
      </c>
    </row>
    <row r="131" spans="1:22" s="112" customFormat="1" ht="12" customHeight="1">
      <c r="A131" s="396">
        <v>108</v>
      </c>
      <c r="B131" s="394" t="s">
        <v>263</v>
      </c>
      <c r="C131" s="395" t="s">
        <v>167</v>
      </c>
      <c r="D131" s="326">
        <v>378863904.12</v>
      </c>
      <c r="E131" s="333">
        <f t="shared" si="57"/>
        <v>9.7921768595540699E-3</v>
      </c>
      <c r="F131" s="325">
        <v>1.25</v>
      </c>
      <c r="G131" s="325">
        <v>1.2543</v>
      </c>
      <c r="H131" s="334">
        <v>0.77698931407843264</v>
      </c>
      <c r="I131" s="334">
        <v>0.40081043418465084</v>
      </c>
      <c r="J131" s="326">
        <v>443648904.97000003</v>
      </c>
      <c r="K131" s="314">
        <f t="shared" si="58"/>
        <v>1.1409520731266429E-2</v>
      </c>
      <c r="L131" s="325">
        <v>1.2548999999999999</v>
      </c>
      <c r="M131" s="325">
        <v>1.2548999999999999</v>
      </c>
      <c r="N131" s="334">
        <v>0.71453159396998267</v>
      </c>
      <c r="O131" s="334">
        <v>0.38876252076047829</v>
      </c>
      <c r="P131" s="329">
        <f t="shared" si="59"/>
        <v>0.1709980817530726</v>
      </c>
      <c r="Q131" s="329">
        <f t="shared" si="60"/>
        <v>4.7835446065529294E-4</v>
      </c>
      <c r="R131" s="329">
        <f t="shared" si="61"/>
        <v>-6.2457720108449966E-2</v>
      </c>
      <c r="S131" s="364">
        <f t="shared" si="62"/>
        <v>-1.2047913424172552E-2</v>
      </c>
    </row>
    <row r="132" spans="1:22" s="112" customFormat="1" ht="12" customHeight="1">
      <c r="A132" s="396">
        <v>109</v>
      </c>
      <c r="B132" s="394" t="s">
        <v>190</v>
      </c>
      <c r="C132" s="395" t="s">
        <v>184</v>
      </c>
      <c r="D132" s="325">
        <v>6074144231.3900003</v>
      </c>
      <c r="E132" s="333">
        <f t="shared" si="57"/>
        <v>0.15699330006738202</v>
      </c>
      <c r="F132" s="325">
        <v>248.83</v>
      </c>
      <c r="G132" s="325">
        <v>251.18</v>
      </c>
      <c r="H132" s="334">
        <v>8.9999999999999993E-3</v>
      </c>
      <c r="I132" s="334">
        <v>0.24610000000000001</v>
      </c>
      <c r="J132" s="325">
        <v>6245064348.7700005</v>
      </c>
      <c r="K132" s="314">
        <f t="shared" si="58"/>
        <v>0.16060716110682705</v>
      </c>
      <c r="L132" s="325">
        <v>255.82</v>
      </c>
      <c r="M132" s="325">
        <v>258.22000000000003</v>
      </c>
      <c r="N132" s="334">
        <v>2.81E-2</v>
      </c>
      <c r="O132" s="334">
        <v>0.28110000000000002</v>
      </c>
      <c r="P132" s="329">
        <f t="shared" si="59"/>
        <v>2.8138962604265811E-2</v>
      </c>
      <c r="Q132" s="329">
        <f t="shared" si="60"/>
        <v>2.8027709212517002E-2</v>
      </c>
      <c r="R132" s="329">
        <f t="shared" si="61"/>
        <v>1.9099999999999999E-2</v>
      </c>
      <c r="S132" s="364">
        <f t="shared" si="62"/>
        <v>3.5000000000000003E-2</v>
      </c>
    </row>
    <row r="133" spans="1:22" s="112" customFormat="1" ht="12" customHeight="1">
      <c r="A133" s="397">
        <v>110</v>
      </c>
      <c r="B133" s="394" t="s">
        <v>180</v>
      </c>
      <c r="C133" s="395" t="s">
        <v>174</v>
      </c>
      <c r="D133" s="325">
        <v>2291800485.3400002</v>
      </c>
      <c r="E133" s="333">
        <f t="shared" si="57"/>
        <v>5.9234240673804145E-2</v>
      </c>
      <c r="F133" s="325">
        <v>1.5920000000000001</v>
      </c>
      <c r="G133" s="325">
        <v>1.6227</v>
      </c>
      <c r="H133" s="334">
        <v>-7.3000000000000001E-3</v>
      </c>
      <c r="I133" s="334">
        <v>0.23860000000000001</v>
      </c>
      <c r="J133" s="325">
        <v>2269683639.9899998</v>
      </c>
      <c r="K133" s="314">
        <f t="shared" si="58"/>
        <v>5.8370486783086421E-2</v>
      </c>
      <c r="L133" s="325">
        <v>1.5768</v>
      </c>
      <c r="M133" s="325">
        <v>1.6069</v>
      </c>
      <c r="N133" s="334">
        <v>-9.7000000000000003E-3</v>
      </c>
      <c r="O133" s="334">
        <v>0.2266</v>
      </c>
      <c r="P133" s="329">
        <f t="shared" si="59"/>
        <v>-9.6504235388183181E-3</v>
      </c>
      <c r="Q133" s="329">
        <f t="shared" si="60"/>
        <v>-9.7368583225488602E-3</v>
      </c>
      <c r="R133" s="329">
        <f t="shared" si="61"/>
        <v>-2.4000000000000002E-3</v>
      </c>
      <c r="S133" s="364">
        <f t="shared" si="62"/>
        <v>-1.2000000000000011E-2</v>
      </c>
    </row>
    <row r="134" spans="1:22" s="112" customFormat="1" ht="12" customHeight="1">
      <c r="A134" s="402">
        <v>111</v>
      </c>
      <c r="B134" s="394" t="s">
        <v>255</v>
      </c>
      <c r="C134" s="395" t="s">
        <v>87</v>
      </c>
      <c r="D134" s="325">
        <v>155303384.59191602</v>
      </c>
      <c r="E134" s="333">
        <f t="shared" si="57"/>
        <v>4.013996034654457E-3</v>
      </c>
      <c r="F134" s="325">
        <v>101.45</v>
      </c>
      <c r="G134" s="325">
        <v>106.14</v>
      </c>
      <c r="H134" s="334">
        <v>4.8000000000000001E-2</v>
      </c>
      <c r="I134" s="334">
        <v>4.7E-2</v>
      </c>
      <c r="J134" s="325">
        <v>153558114.06464234</v>
      </c>
      <c r="K134" s="314">
        <f t="shared" si="58"/>
        <v>3.9491238820778454E-3</v>
      </c>
      <c r="L134" s="325">
        <v>100.31</v>
      </c>
      <c r="M134" s="325">
        <v>105.05</v>
      </c>
      <c r="N134" s="334">
        <v>4.8000000000000001E-2</v>
      </c>
      <c r="O134" s="334">
        <v>4.2000000000000003E-2</v>
      </c>
      <c r="P134" s="329">
        <f t="shared" si="59"/>
        <v>-1.1237813856147801E-2</v>
      </c>
      <c r="Q134" s="329">
        <f t="shared" si="60"/>
        <v>-1.026945543621635E-2</v>
      </c>
      <c r="R134" s="329">
        <f t="shared" si="61"/>
        <v>0</v>
      </c>
      <c r="S134" s="364">
        <f t="shared" si="62"/>
        <v>-4.9999999999999975E-3</v>
      </c>
    </row>
    <row r="135" spans="1:22" s="330" customFormat="1" ht="12" customHeight="1">
      <c r="A135" s="401">
        <v>112</v>
      </c>
      <c r="B135" s="394" t="s">
        <v>272</v>
      </c>
      <c r="C135" s="395" t="s">
        <v>242</v>
      </c>
      <c r="D135" s="326">
        <v>2601994669.3099999</v>
      </c>
      <c r="E135" s="333">
        <f t="shared" si="57"/>
        <v>6.7251568999907252E-2</v>
      </c>
      <c r="F135" s="325">
        <v>3.66</v>
      </c>
      <c r="G135" s="325">
        <v>3.73</v>
      </c>
      <c r="H135" s="334">
        <v>2.7E-2</v>
      </c>
      <c r="I135" s="334">
        <v>0.1852</v>
      </c>
      <c r="J135" s="326">
        <v>2573022303.79</v>
      </c>
      <c r="K135" s="314">
        <f t="shared" si="58"/>
        <v>6.6171585206748249E-2</v>
      </c>
      <c r="L135" s="325">
        <v>3.61</v>
      </c>
      <c r="M135" s="325">
        <v>3.68</v>
      </c>
      <c r="N135" s="334">
        <v>-1.23E-2</v>
      </c>
      <c r="O135" s="334">
        <v>0.17069999999999999</v>
      </c>
      <c r="P135" s="329">
        <f t="shared" ref="P135" si="63">((J135-D135)/D135)</f>
        <v>-1.1134675201960697E-2</v>
      </c>
      <c r="Q135" s="329">
        <f t="shared" ref="Q135" si="64">((M135-G135)/G135)</f>
        <v>-1.3404825737265367E-2</v>
      </c>
      <c r="R135" s="329">
        <f t="shared" ref="R135" si="65">N135-H135</f>
        <v>-3.9300000000000002E-2</v>
      </c>
      <c r="S135" s="364">
        <f t="shared" ref="S135" si="66">O135-I135</f>
        <v>-1.4500000000000013E-2</v>
      </c>
    </row>
    <row r="136" spans="1:22" s="112" customFormat="1" ht="12" customHeight="1">
      <c r="A136" s="397">
        <v>113</v>
      </c>
      <c r="B136" s="394" t="s">
        <v>129</v>
      </c>
      <c r="C136" s="395" t="s">
        <v>103</v>
      </c>
      <c r="D136" s="326">
        <v>179109011.09999999</v>
      </c>
      <c r="E136" s="333">
        <f t="shared" si="57"/>
        <v>4.6292800521728229E-3</v>
      </c>
      <c r="F136" s="325">
        <v>161.128625</v>
      </c>
      <c r="G136" s="325">
        <v>165.58421300000001</v>
      </c>
      <c r="H136" s="334">
        <v>1.5E-3</v>
      </c>
      <c r="I136" s="334">
        <v>0.1012</v>
      </c>
      <c r="J136" s="326">
        <v>182939141.30000001</v>
      </c>
      <c r="K136" s="314">
        <v>1.4052378000000001</v>
      </c>
      <c r="L136" s="325">
        <v>164.76212899999999</v>
      </c>
      <c r="M136" s="325">
        <v>169.067768</v>
      </c>
      <c r="N136" s="334">
        <v>0.12280000000000001</v>
      </c>
      <c r="O136" s="334">
        <v>2.6599999999999999E-2</v>
      </c>
      <c r="P136" s="329">
        <f t="shared" si="59"/>
        <v>2.1384352336475034E-2</v>
      </c>
      <c r="Q136" s="329">
        <f t="shared" si="60"/>
        <v>2.1037965738919782E-2</v>
      </c>
      <c r="R136" s="329">
        <f t="shared" si="61"/>
        <v>0.12130000000000001</v>
      </c>
      <c r="S136" s="364">
        <f t="shared" si="62"/>
        <v>-7.46E-2</v>
      </c>
    </row>
    <row r="137" spans="1:22" s="112" customFormat="1" ht="12" customHeight="1">
      <c r="A137" s="402">
        <v>114</v>
      </c>
      <c r="B137" s="394" t="s">
        <v>27</v>
      </c>
      <c r="C137" s="395" t="s">
        <v>56</v>
      </c>
      <c r="D137" s="326">
        <v>1487452911</v>
      </c>
      <c r="E137" s="333">
        <f t="shared" si="57"/>
        <v>3.8444945048544787E-2</v>
      </c>
      <c r="F137" s="325">
        <v>552.20000000000005</v>
      </c>
      <c r="G137" s="325">
        <v>552.20000000000005</v>
      </c>
      <c r="H137" s="334">
        <v>3.8999999999999998E-3</v>
      </c>
      <c r="I137" s="334">
        <v>0.29239999999999999</v>
      </c>
      <c r="J137" s="326">
        <v>1484875628</v>
      </c>
      <c r="K137" s="314">
        <f t="shared" ref="K137:K145" si="67">(J137/$J$146)</f>
        <v>3.8187222083110685E-2</v>
      </c>
      <c r="L137" s="325">
        <v>552.20000000000005</v>
      </c>
      <c r="M137" s="325">
        <v>552.20000000000005</v>
      </c>
      <c r="N137" s="334">
        <v>-1.6999999999999999E-3</v>
      </c>
      <c r="O137" s="334">
        <v>0.29015999999999997</v>
      </c>
      <c r="P137" s="329">
        <f t="shared" si="59"/>
        <v>-1.7326820774899812E-3</v>
      </c>
      <c r="Q137" s="329">
        <f t="shared" si="60"/>
        <v>0</v>
      </c>
      <c r="R137" s="329">
        <f t="shared" si="61"/>
        <v>-5.5999999999999999E-3</v>
      </c>
      <c r="S137" s="364">
        <f t="shared" si="62"/>
        <v>-2.2400000000000198E-3</v>
      </c>
      <c r="T137" s="224"/>
      <c r="U137" s="224"/>
      <c r="V137" s="111"/>
    </row>
    <row r="138" spans="1:22" s="112" customFormat="1" ht="12" customHeight="1">
      <c r="A138" s="402">
        <v>115</v>
      </c>
      <c r="B138" s="394" t="s">
        <v>186</v>
      </c>
      <c r="C138" s="395" t="s">
        <v>159</v>
      </c>
      <c r="D138" s="326">
        <v>23867902.100000001</v>
      </c>
      <c r="E138" s="333">
        <f t="shared" si="57"/>
        <v>6.1689360239421164E-4</v>
      </c>
      <c r="F138" s="325">
        <v>1.48</v>
      </c>
      <c r="G138" s="325">
        <v>1.48</v>
      </c>
      <c r="H138" s="334">
        <v>-7.7120000000000001E-3</v>
      </c>
      <c r="I138" s="334">
        <v>0.22282099999999999</v>
      </c>
      <c r="J138" s="326">
        <v>24351294.280000001</v>
      </c>
      <c r="K138" s="314">
        <f t="shared" si="67"/>
        <v>6.2625331384423728E-4</v>
      </c>
      <c r="L138" s="325">
        <v>1.5</v>
      </c>
      <c r="M138" s="325">
        <v>1.5</v>
      </c>
      <c r="N138" s="334">
        <v>1.4278000000000001E-2</v>
      </c>
      <c r="O138" s="334">
        <v>0.24027999999999999</v>
      </c>
      <c r="P138" s="329">
        <f t="shared" si="59"/>
        <v>2.0252813924521655E-2</v>
      </c>
      <c r="Q138" s="329">
        <f t="shared" si="60"/>
        <v>1.3513513513513526E-2</v>
      </c>
      <c r="R138" s="329">
        <f t="shared" si="61"/>
        <v>2.1990000000000003E-2</v>
      </c>
      <c r="S138" s="364">
        <f t="shared" si="62"/>
        <v>1.7459000000000002E-2</v>
      </c>
      <c r="U138" s="219"/>
      <c r="V138" s="111"/>
    </row>
    <row r="139" spans="1:22" s="112" customFormat="1" ht="12" customHeight="1">
      <c r="A139" s="393">
        <v>116</v>
      </c>
      <c r="B139" s="394" t="s">
        <v>48</v>
      </c>
      <c r="C139" s="395" t="s">
        <v>90</v>
      </c>
      <c r="D139" s="325">
        <v>195540854.25999999</v>
      </c>
      <c r="E139" s="333">
        <f t="shared" si="57"/>
        <v>5.0539800898417846E-3</v>
      </c>
      <c r="F139" s="325">
        <v>1.9813620000000001</v>
      </c>
      <c r="G139" s="325">
        <v>2.0378099999999999</v>
      </c>
      <c r="H139" s="334">
        <v>6.9999999999999999E-4</v>
      </c>
      <c r="I139" s="334">
        <v>0.26390000000000002</v>
      </c>
      <c r="J139" s="325">
        <v>196215865.47999999</v>
      </c>
      <c r="K139" s="314">
        <f t="shared" si="67"/>
        <v>5.0461726827632529E-3</v>
      </c>
      <c r="L139" s="325">
        <v>1.9881120000000001</v>
      </c>
      <c r="M139" s="325">
        <v>2.0453060000000001</v>
      </c>
      <c r="N139" s="334">
        <v>6.9999999999999999E-4</v>
      </c>
      <c r="O139" s="334">
        <v>0.26840000000000003</v>
      </c>
      <c r="P139" s="329">
        <f t="shared" si="59"/>
        <v>3.4520214333444267E-3</v>
      </c>
      <c r="Q139" s="329">
        <f t="shared" si="60"/>
        <v>3.678458737566392E-3</v>
      </c>
      <c r="R139" s="329">
        <f t="shared" si="61"/>
        <v>0</v>
      </c>
      <c r="S139" s="364">
        <f t="shared" si="62"/>
        <v>4.500000000000004E-3</v>
      </c>
    </row>
    <row r="140" spans="1:22" s="112" customFormat="1" ht="12" customHeight="1">
      <c r="A140" s="403">
        <v>117</v>
      </c>
      <c r="B140" s="394" t="s">
        <v>22</v>
      </c>
      <c r="C140" s="395" t="s">
        <v>5</v>
      </c>
      <c r="D140" s="326">
        <v>1944767529.4000001</v>
      </c>
      <c r="E140" s="333">
        <f t="shared" si="57"/>
        <v>5.0264771574995565E-2</v>
      </c>
      <c r="F140" s="325">
        <v>4552.75</v>
      </c>
      <c r="G140" s="325">
        <v>4590.0600000000004</v>
      </c>
      <c r="H140" s="334">
        <v>2.8E-3</v>
      </c>
      <c r="I140" s="334">
        <v>0.24829999999999999</v>
      </c>
      <c r="J140" s="326">
        <v>1978354598.22</v>
      </c>
      <c r="K140" s="333">
        <f t="shared" si="67"/>
        <v>5.087824527305821E-2</v>
      </c>
      <c r="L140" s="325">
        <v>4595.34</v>
      </c>
      <c r="M140" s="325">
        <v>4633.0600000000004</v>
      </c>
      <c r="N140" s="334">
        <v>1.5599999999999999E-2</v>
      </c>
      <c r="O140" s="334">
        <v>0.26</v>
      </c>
      <c r="P140" s="329">
        <f t="shared" si="59"/>
        <v>1.7270480050827576E-2</v>
      </c>
      <c r="Q140" s="329">
        <f t="shared" si="60"/>
        <v>9.3680692627111616E-3</v>
      </c>
      <c r="R140" s="329">
        <f t="shared" si="61"/>
        <v>1.2799999999999999E-2</v>
      </c>
      <c r="S140" s="364">
        <f t="shared" si="62"/>
        <v>1.1700000000000016E-2</v>
      </c>
      <c r="T140" s="111"/>
      <c r="V140" s="139"/>
    </row>
    <row r="141" spans="1:22" s="112" customFormat="1" ht="12" customHeight="1">
      <c r="A141" s="396">
        <v>118</v>
      </c>
      <c r="B141" s="394" t="s">
        <v>247</v>
      </c>
      <c r="C141" s="395" t="s">
        <v>245</v>
      </c>
      <c r="D141" s="321">
        <v>84697979.370000005</v>
      </c>
      <c r="E141" s="333">
        <f t="shared" si="57"/>
        <v>2.1891174762724507E-3</v>
      </c>
      <c r="F141" s="325">
        <v>121.2428</v>
      </c>
      <c r="G141" s="325">
        <v>121.6553</v>
      </c>
      <c r="H141" s="334">
        <v>0.12714500000000001</v>
      </c>
      <c r="I141" s="334">
        <v>0.17050000000000001</v>
      </c>
      <c r="J141" s="321">
        <v>84110906.269999996</v>
      </c>
      <c r="K141" s="314">
        <f t="shared" si="67"/>
        <v>2.1631184435766068E-3</v>
      </c>
      <c r="L141" s="325">
        <v>120.4325</v>
      </c>
      <c r="M141" s="325">
        <v>120.76900000000001</v>
      </c>
      <c r="N141" s="334">
        <v>0.11014500000000001</v>
      </c>
      <c r="O141" s="334">
        <v>0.16270000000000001</v>
      </c>
      <c r="P141" s="329">
        <f t="shared" si="59"/>
        <v>-6.9313707879074858E-3</v>
      </c>
      <c r="Q141" s="329">
        <f t="shared" si="60"/>
        <v>-7.2853381644695419E-3</v>
      </c>
      <c r="R141" s="329">
        <f t="shared" si="61"/>
        <v>-1.7000000000000001E-2</v>
      </c>
      <c r="S141" s="364">
        <f t="shared" si="62"/>
        <v>-7.8000000000000014E-3</v>
      </c>
      <c r="T141" s="118"/>
      <c r="V141" s="139"/>
    </row>
    <row r="142" spans="1:22" s="112" customFormat="1" ht="12" customHeight="1">
      <c r="A142" s="397">
        <v>119</v>
      </c>
      <c r="B142" s="394" t="s">
        <v>74</v>
      </c>
      <c r="C142" s="395" t="s">
        <v>41</v>
      </c>
      <c r="D142" s="325">
        <v>1549045713.01</v>
      </c>
      <c r="E142" s="333">
        <f t="shared" si="57"/>
        <v>4.0036882427636949E-2</v>
      </c>
      <c r="F142" s="325">
        <v>1.7455000000000001</v>
      </c>
      <c r="G142" s="325">
        <v>1.7585</v>
      </c>
      <c r="H142" s="334">
        <v>2.8000000000000001E-2</v>
      </c>
      <c r="I142" s="334">
        <v>0.34620000000000001</v>
      </c>
      <c r="J142" s="325">
        <v>1565409293.96</v>
      </c>
      <c r="K142" s="314">
        <f t="shared" si="67"/>
        <v>4.0258343010136616E-2</v>
      </c>
      <c r="L142" s="325">
        <v>1.7323999999999999</v>
      </c>
      <c r="M142" s="325">
        <v>1.7450000000000001</v>
      </c>
      <c r="N142" s="334">
        <v>-7.4999999999999997E-3</v>
      </c>
      <c r="O142" s="334">
        <v>0.3367</v>
      </c>
      <c r="P142" s="329">
        <f t="shared" si="59"/>
        <v>1.0563652713775278E-2</v>
      </c>
      <c r="Q142" s="329">
        <f t="shared" si="60"/>
        <v>-7.6769974410007651E-3</v>
      </c>
      <c r="R142" s="329">
        <f t="shared" si="61"/>
        <v>-3.5500000000000004E-2</v>
      </c>
      <c r="S142" s="364">
        <f t="shared" si="62"/>
        <v>-9.5000000000000084E-3</v>
      </c>
      <c r="T142" s="111"/>
      <c r="V142" s="139"/>
    </row>
    <row r="143" spans="1:22" s="112" customFormat="1" ht="12" customHeight="1">
      <c r="A143" s="397">
        <v>120</v>
      </c>
      <c r="B143" s="394" t="s">
        <v>239</v>
      </c>
      <c r="C143" s="395" t="s">
        <v>41</v>
      </c>
      <c r="D143" s="325">
        <v>819811818.97000003</v>
      </c>
      <c r="E143" s="333">
        <f t="shared" si="57"/>
        <v>2.1188986957079676E-2</v>
      </c>
      <c r="F143" s="325">
        <v>1.3526</v>
      </c>
      <c r="G143" s="325">
        <v>1.3646</v>
      </c>
      <c r="H143" s="334">
        <v>2.2700000000000001E-2</v>
      </c>
      <c r="I143" s="334">
        <v>0.25869999999999999</v>
      </c>
      <c r="J143" s="325">
        <v>818123226</v>
      </c>
      <c r="K143" s="314">
        <f t="shared" si="67"/>
        <v>2.1040047215734187E-2</v>
      </c>
      <c r="L143" s="325">
        <v>1.3479000000000001</v>
      </c>
      <c r="M143" s="325">
        <v>1.3597999999999999</v>
      </c>
      <c r="N143" s="334">
        <v>-3.5000000000000001E-3</v>
      </c>
      <c r="O143" s="334">
        <v>0.25459999999999999</v>
      </c>
      <c r="P143" s="329">
        <f t="shared" si="59"/>
        <v>-2.0597324055678448E-3</v>
      </c>
      <c r="Q143" s="329">
        <f t="shared" si="60"/>
        <v>-3.5175142899019035E-3</v>
      </c>
      <c r="R143" s="329">
        <f t="shared" si="61"/>
        <v>-2.6200000000000001E-2</v>
      </c>
      <c r="S143" s="364">
        <f t="shared" si="62"/>
        <v>-4.0999999999999925E-3</v>
      </c>
      <c r="T143" s="111"/>
      <c r="U143" s="140"/>
      <c r="V143" s="139"/>
    </row>
    <row r="144" spans="1:22" s="312" customFormat="1" ht="12" customHeight="1">
      <c r="A144" s="396">
        <v>121</v>
      </c>
      <c r="B144" s="394" t="s">
        <v>157</v>
      </c>
      <c r="C144" s="395" t="s">
        <v>106</v>
      </c>
      <c r="D144" s="325">
        <v>6703756757.4399996</v>
      </c>
      <c r="E144" s="333">
        <f t="shared" si="57"/>
        <v>0.17326636578049734</v>
      </c>
      <c r="F144" s="325">
        <v>295.42</v>
      </c>
      <c r="G144" s="325">
        <v>302.22000000000003</v>
      </c>
      <c r="H144" s="334">
        <v>1.4200000000000001E-2</v>
      </c>
      <c r="I144" s="334">
        <v>0.5766</v>
      </c>
      <c r="J144" s="325">
        <v>6597233010.3999996</v>
      </c>
      <c r="K144" s="314">
        <f t="shared" si="67"/>
        <v>0.16966404280033992</v>
      </c>
      <c r="L144" s="325">
        <v>290.69</v>
      </c>
      <c r="M144" s="325">
        <v>297.44</v>
      </c>
      <c r="N144" s="334">
        <v>-1.5900000000000001E-2</v>
      </c>
      <c r="O144" s="334">
        <v>0.55269999999999997</v>
      </c>
      <c r="P144" s="329">
        <f t="shared" si="59"/>
        <v>-1.589015695144028E-2</v>
      </c>
      <c r="Q144" s="329">
        <f t="shared" si="60"/>
        <v>-1.5816292766858676E-2</v>
      </c>
      <c r="R144" s="329">
        <f t="shared" si="61"/>
        <v>-3.0100000000000002E-2</v>
      </c>
      <c r="S144" s="364">
        <f t="shared" si="62"/>
        <v>-2.3900000000000032E-2</v>
      </c>
      <c r="T144" s="111"/>
      <c r="U144" s="313"/>
      <c r="V144" s="139"/>
    </row>
    <row r="145" spans="1:25" s="112" customFormat="1" ht="12" customHeight="1">
      <c r="A145" s="402">
        <v>122</v>
      </c>
      <c r="B145" s="394" t="s">
        <v>232</v>
      </c>
      <c r="C145" s="395" t="s">
        <v>9</v>
      </c>
      <c r="D145" s="326">
        <v>251741701.46000001</v>
      </c>
      <c r="E145" s="333">
        <f t="shared" si="57"/>
        <v>6.5065561453977799E-3</v>
      </c>
      <c r="F145" s="325">
        <v>192.45</v>
      </c>
      <c r="G145" s="325">
        <v>195.86</v>
      </c>
      <c r="H145" s="334">
        <v>2.0999999999999999E-3</v>
      </c>
      <c r="I145" s="334">
        <v>0.27979999999999999</v>
      </c>
      <c r="J145" s="326">
        <v>248249424.53</v>
      </c>
      <c r="K145" s="314">
        <f t="shared" si="67"/>
        <v>6.3843433939987431E-3</v>
      </c>
      <c r="L145" s="325">
        <v>192.45</v>
      </c>
      <c r="M145" s="325">
        <v>195.86</v>
      </c>
      <c r="N145" s="334">
        <v>-5.1999999999999998E-3</v>
      </c>
      <c r="O145" s="334">
        <v>0.27310000000000001</v>
      </c>
      <c r="P145" s="329">
        <f t="shared" si="59"/>
        <v>-1.3872460977844409E-2</v>
      </c>
      <c r="Q145" s="329">
        <f t="shared" si="60"/>
        <v>0</v>
      </c>
      <c r="R145" s="329">
        <f t="shared" si="61"/>
        <v>-7.2999999999999992E-3</v>
      </c>
      <c r="S145" s="364">
        <f t="shared" si="62"/>
        <v>-6.6999999999999837E-3</v>
      </c>
      <c r="T145" s="111"/>
      <c r="U145" s="140"/>
      <c r="V145" s="139"/>
    </row>
    <row r="146" spans="1:25" s="112" customFormat="1" ht="12" customHeight="1">
      <c r="A146" s="290"/>
      <c r="C146" s="244" t="s">
        <v>42</v>
      </c>
      <c r="D146" s="216">
        <f>SUM(D122:D145)</f>
        <v>38690467865.717575</v>
      </c>
      <c r="E146" s="262">
        <f>(D146/$D$168)</f>
        <v>2.0094856328337442E-2</v>
      </c>
      <c r="F146" s="264"/>
      <c r="G146" s="183"/>
      <c r="H146" s="277"/>
      <c r="I146" s="277"/>
      <c r="J146" s="216">
        <f>SUM(J122:J145)</f>
        <v>38884096485.686134</v>
      </c>
      <c r="K146" s="262">
        <f>(J146/$J$168)</f>
        <v>2.0292383730938366E-2</v>
      </c>
      <c r="L146" s="264"/>
      <c r="M146" s="183"/>
      <c r="N146" s="277"/>
      <c r="O146" s="277"/>
      <c r="P146" s="266">
        <f t="shared" ref="P146" si="68">((J146-D146)/D146)</f>
        <v>5.0045561775211196E-3</v>
      </c>
      <c r="Q146" s="266"/>
      <c r="R146" s="266">
        <f t="shared" ref="R146:S146" si="69">N146-H146</f>
        <v>0</v>
      </c>
      <c r="S146" s="364">
        <f t="shared" si="69"/>
        <v>0</v>
      </c>
      <c r="T146" s="111"/>
      <c r="U146" s="140"/>
      <c r="V146" s="139"/>
    </row>
    <row r="147" spans="1:25" s="112" customFormat="1" ht="5.25" customHeight="1">
      <c r="A147" s="411"/>
      <c r="B147" s="412"/>
      <c r="C147" s="413"/>
      <c r="D147" s="413"/>
      <c r="E147" s="413"/>
      <c r="F147" s="413"/>
      <c r="G147" s="413"/>
      <c r="H147" s="413"/>
      <c r="I147" s="413"/>
      <c r="J147" s="413"/>
      <c r="K147" s="413"/>
      <c r="L147" s="413"/>
      <c r="M147" s="413"/>
      <c r="N147" s="413"/>
      <c r="O147" s="413"/>
      <c r="P147" s="413"/>
      <c r="Q147" s="413"/>
      <c r="R147" s="413"/>
      <c r="S147" s="426"/>
      <c r="T147" s="111"/>
      <c r="U147" s="140"/>
      <c r="V147" s="139"/>
    </row>
    <row r="148" spans="1:25" s="112" customFormat="1" ht="12" customHeight="1">
      <c r="A148" s="418" t="s">
        <v>66</v>
      </c>
      <c r="B148" s="419"/>
      <c r="C148" s="420"/>
      <c r="D148" s="420"/>
      <c r="E148" s="420"/>
      <c r="F148" s="420"/>
      <c r="G148" s="420"/>
      <c r="H148" s="420"/>
      <c r="I148" s="420"/>
      <c r="J148" s="420"/>
      <c r="K148" s="420"/>
      <c r="L148" s="420"/>
      <c r="M148" s="420"/>
      <c r="N148" s="420"/>
      <c r="O148" s="420"/>
      <c r="P148" s="420"/>
      <c r="Q148" s="420"/>
      <c r="R148" s="420"/>
      <c r="S148" s="421"/>
      <c r="U148" s="141"/>
      <c r="V148" s="139"/>
    </row>
    <row r="149" spans="1:25" s="112" customFormat="1" ht="12" customHeight="1">
      <c r="A149" s="401">
        <v>123</v>
      </c>
      <c r="B149" s="394" t="s">
        <v>26</v>
      </c>
      <c r="C149" s="395" t="s">
        <v>6</v>
      </c>
      <c r="D149" s="322">
        <v>650621759.97000003</v>
      </c>
      <c r="E149" s="333">
        <f>(D149/$D$152)</f>
        <v>0.17276736791327985</v>
      </c>
      <c r="F149" s="322">
        <v>49.085000000000001</v>
      </c>
      <c r="G149" s="322">
        <v>50.564999999999998</v>
      </c>
      <c r="H149" s="315">
        <v>7.9500000000000001E-2</v>
      </c>
      <c r="I149" s="315">
        <v>0.13489999999999999</v>
      </c>
      <c r="J149" s="322">
        <v>651519337.62</v>
      </c>
      <c r="K149" s="314">
        <f>(J149/$J$152)</f>
        <v>0.17159304094386577</v>
      </c>
      <c r="L149" s="322">
        <v>49.122</v>
      </c>
      <c r="M149" s="322">
        <v>50.603000000000002</v>
      </c>
      <c r="N149" s="315">
        <v>3.9199999999999999E-2</v>
      </c>
      <c r="O149" s="315">
        <v>0.13189999999999999</v>
      </c>
      <c r="P149" s="329">
        <f>((J149-D149)/D149)</f>
        <v>1.3795690602806817E-3</v>
      </c>
      <c r="Q149" s="329">
        <f>((M149-G149)/G149)</f>
        <v>7.5150796005149436E-4</v>
      </c>
      <c r="R149" s="329">
        <f t="shared" ref="R149:S151" si="70">N149-H149</f>
        <v>-4.0300000000000002E-2</v>
      </c>
      <c r="S149" s="364">
        <f t="shared" si="70"/>
        <v>-3.0000000000000027E-3</v>
      </c>
      <c r="U149" s="113"/>
      <c r="V149" s="139"/>
    </row>
    <row r="150" spans="1:25" s="112" customFormat="1" ht="11.25" customHeight="1">
      <c r="A150" s="397">
        <v>124</v>
      </c>
      <c r="B150" s="394" t="s">
        <v>241</v>
      </c>
      <c r="C150" s="395" t="s">
        <v>189</v>
      </c>
      <c r="D150" s="321">
        <v>745488424.90999997</v>
      </c>
      <c r="E150" s="333">
        <f>(D150/$D$152)</f>
        <v>0.19795844668253365</v>
      </c>
      <c r="F150" s="322">
        <v>19.513500000000001</v>
      </c>
      <c r="G150" s="322">
        <v>19.7241</v>
      </c>
      <c r="H150" s="334">
        <v>7.3000000000000001E-3</v>
      </c>
      <c r="I150" s="334">
        <v>0.23499999999999999</v>
      </c>
      <c r="J150" s="321">
        <v>758135505.74000001</v>
      </c>
      <c r="K150" s="314">
        <f t="shared" ref="K150:K151" si="71">(J150/$J$152)</f>
        <v>0.19967293273698333</v>
      </c>
      <c r="L150" s="322">
        <v>19.499700000000001</v>
      </c>
      <c r="M150" s="322">
        <v>19.709900000000001</v>
      </c>
      <c r="N150" s="334">
        <v>7.7000000000000002E-3</v>
      </c>
      <c r="O150" s="334">
        <v>0.2341</v>
      </c>
      <c r="P150" s="329">
        <f>((J150-D150)/D150)</f>
        <v>1.6964825217141204E-2</v>
      </c>
      <c r="Q150" s="109">
        <f>((M150-G150)/G150)</f>
        <v>-7.1993145441357929E-4</v>
      </c>
      <c r="R150" s="329">
        <f t="shared" si="70"/>
        <v>4.0000000000000018E-4</v>
      </c>
      <c r="S150" s="364">
        <f t="shared" si="70"/>
        <v>-8.9999999999998415E-4</v>
      </c>
    </row>
    <row r="151" spans="1:25" s="112" customFormat="1" ht="12" customHeight="1">
      <c r="A151" s="403">
        <v>125</v>
      </c>
      <c r="B151" s="394" t="s">
        <v>25</v>
      </c>
      <c r="C151" s="395" t="s">
        <v>5</v>
      </c>
      <c r="D151" s="321">
        <v>2369773198.2399998</v>
      </c>
      <c r="E151" s="333">
        <f>(D151/$D$152)</f>
        <v>0.62927418540418645</v>
      </c>
      <c r="F151" s="322">
        <v>1.91</v>
      </c>
      <c r="G151" s="322">
        <v>1.93</v>
      </c>
      <c r="H151" s="334">
        <v>0</v>
      </c>
      <c r="I151" s="334">
        <v>0.34029999999999999</v>
      </c>
      <c r="J151" s="321">
        <v>2387231872.0700002</v>
      </c>
      <c r="K151" s="314">
        <f t="shared" si="71"/>
        <v>0.62873402631915087</v>
      </c>
      <c r="L151" s="322">
        <v>1.92</v>
      </c>
      <c r="M151" s="322">
        <v>1.95</v>
      </c>
      <c r="N151" s="334">
        <v>1.5599999999999999E-2</v>
      </c>
      <c r="O151" s="334">
        <v>0.35420000000000001</v>
      </c>
      <c r="P151" s="329">
        <f>((J151-D151)/D151)</f>
        <v>7.3672340639883739E-3</v>
      </c>
      <c r="Q151" s="329">
        <f>((M151-G151)/G151)</f>
        <v>1.0362694300518144E-2</v>
      </c>
      <c r="R151" s="329">
        <f t="shared" si="70"/>
        <v>1.5599999999999999E-2</v>
      </c>
      <c r="S151" s="364">
        <f t="shared" si="70"/>
        <v>1.3900000000000023E-2</v>
      </c>
      <c r="W151" s="181"/>
      <c r="X151" s="182"/>
      <c r="Y151" s="110"/>
    </row>
    <row r="152" spans="1:25" s="112" customFormat="1" ht="12.75" customHeight="1">
      <c r="A152" s="214"/>
      <c r="C152" s="286" t="s">
        <v>42</v>
      </c>
      <c r="D152" s="216">
        <f>SUM(D149:D151)</f>
        <v>3765883383.1199999</v>
      </c>
      <c r="E152" s="262">
        <f>(D152/$D$168)</f>
        <v>1.9559051546162078E-3</v>
      </c>
      <c r="F152" s="11"/>
      <c r="G152" s="11"/>
      <c r="H152" s="276"/>
      <c r="I152" s="276"/>
      <c r="J152" s="216">
        <f>SUM(J149:J151)</f>
        <v>3796886715.4300003</v>
      </c>
      <c r="K152" s="262">
        <f>(J152/$J$168)</f>
        <v>1.9814754404996996E-3</v>
      </c>
      <c r="L152" s="264"/>
      <c r="M152" s="183"/>
      <c r="N152" s="277"/>
      <c r="O152" s="277"/>
      <c r="P152" s="266">
        <f>((J152-D152)/D152)</f>
        <v>8.2326851779234971E-3</v>
      </c>
      <c r="Q152" s="266"/>
      <c r="R152" s="266">
        <f>N152-H152</f>
        <v>0</v>
      </c>
      <c r="S152" s="364">
        <f t="shared" ref="S152" si="72">O152-I152</f>
        <v>0</v>
      </c>
      <c r="V152" s="111"/>
    </row>
    <row r="153" spans="1:25" s="112" customFormat="1" ht="4.5" customHeight="1">
      <c r="A153" s="411"/>
      <c r="B153" s="412"/>
      <c r="C153" s="413"/>
      <c r="D153" s="413"/>
      <c r="E153" s="413"/>
      <c r="F153" s="413"/>
      <c r="G153" s="413"/>
      <c r="H153" s="413"/>
      <c r="I153" s="413"/>
      <c r="J153" s="413"/>
      <c r="K153" s="413"/>
      <c r="L153" s="413"/>
      <c r="M153" s="413"/>
      <c r="N153" s="413"/>
      <c r="O153" s="413"/>
      <c r="P153" s="413"/>
      <c r="Q153" s="413"/>
      <c r="R153" s="413"/>
      <c r="S153" s="426"/>
      <c r="V153" s="111"/>
    </row>
    <row r="154" spans="1:25" s="112" customFormat="1" ht="12.75" customHeight="1">
      <c r="A154" s="418" t="s">
        <v>197</v>
      </c>
      <c r="B154" s="419"/>
      <c r="C154" s="420"/>
      <c r="D154" s="420"/>
      <c r="E154" s="420"/>
      <c r="F154" s="420"/>
      <c r="G154" s="420"/>
      <c r="H154" s="420"/>
      <c r="I154" s="420"/>
      <c r="J154" s="420"/>
      <c r="K154" s="420"/>
      <c r="L154" s="420"/>
      <c r="M154" s="420"/>
      <c r="N154" s="420"/>
      <c r="O154" s="420"/>
      <c r="P154" s="420"/>
      <c r="Q154" s="420"/>
      <c r="R154" s="420"/>
      <c r="S154" s="421"/>
      <c r="V154" s="111"/>
    </row>
    <row r="155" spans="1:25" s="112" customFormat="1" ht="12.75" customHeight="1">
      <c r="A155" s="422" t="s">
        <v>198</v>
      </c>
      <c r="B155" s="423"/>
      <c r="C155" s="424"/>
      <c r="D155" s="424"/>
      <c r="E155" s="424"/>
      <c r="F155" s="424"/>
      <c r="G155" s="424"/>
      <c r="H155" s="424"/>
      <c r="I155" s="424"/>
      <c r="J155" s="424"/>
      <c r="K155" s="424"/>
      <c r="L155" s="424"/>
      <c r="M155" s="424"/>
      <c r="N155" s="424"/>
      <c r="O155" s="424"/>
      <c r="P155" s="424"/>
      <c r="Q155" s="424"/>
      <c r="R155" s="424"/>
      <c r="S155" s="425"/>
      <c r="V155" s="111"/>
    </row>
    <row r="156" spans="1:25" s="112" customFormat="1" ht="12" customHeight="1">
      <c r="A156" s="397">
        <v>126</v>
      </c>
      <c r="B156" s="394" t="s">
        <v>128</v>
      </c>
      <c r="C156" s="395" t="s">
        <v>23</v>
      </c>
      <c r="D156" s="316">
        <v>3619190135.3400002</v>
      </c>
      <c r="E156" s="333">
        <f>(D156/$D$167)</f>
        <v>0.13249481019092502</v>
      </c>
      <c r="F156" s="317">
        <v>1.78</v>
      </c>
      <c r="G156" s="317">
        <v>1.8</v>
      </c>
      <c r="H156" s="320">
        <v>3.0000000000000001E-3</v>
      </c>
      <c r="I156" s="320">
        <v>0.1105</v>
      </c>
      <c r="J156" s="316">
        <v>3620233880.8099999</v>
      </c>
      <c r="K156" s="333">
        <f>(J156/$J$167)</f>
        <v>0.12946722863725549</v>
      </c>
      <c r="L156" s="317">
        <v>1.77</v>
      </c>
      <c r="M156" s="317">
        <v>1.77</v>
      </c>
      <c r="N156" s="320">
        <v>0</v>
      </c>
      <c r="O156" s="320">
        <v>0.1105</v>
      </c>
      <c r="P156" s="109">
        <f>((J156-D156)/D156)</f>
        <v>2.8839199681940359E-4</v>
      </c>
      <c r="Q156" s="109">
        <f>((M156-G156)/G156)</f>
        <v>-1.666666666666668E-2</v>
      </c>
      <c r="R156" s="329">
        <f>N156-H156</f>
        <v>-3.0000000000000001E-3</v>
      </c>
      <c r="S156" s="364">
        <f t="shared" ref="S156:S157" si="73">O156-I156</f>
        <v>0</v>
      </c>
      <c r="V156" s="111"/>
    </row>
    <row r="157" spans="1:25" s="112" customFormat="1" ht="12.75" customHeight="1">
      <c r="A157" s="403">
        <v>127</v>
      </c>
      <c r="B157" s="394" t="s">
        <v>65</v>
      </c>
      <c r="C157" s="395" t="s">
        <v>5</v>
      </c>
      <c r="D157" s="316">
        <v>418488752.76999998</v>
      </c>
      <c r="E157" s="333">
        <f>(D157/$D$167)</f>
        <v>1.5320440704088388E-2</v>
      </c>
      <c r="F157" s="317">
        <v>336.44</v>
      </c>
      <c r="G157" s="317">
        <v>338.82</v>
      </c>
      <c r="H157" s="320">
        <v>4.1000000000000003E-3</v>
      </c>
      <c r="I157" s="320">
        <v>0.28149999999999997</v>
      </c>
      <c r="J157" s="316">
        <v>450866416.00999999</v>
      </c>
      <c r="K157" s="333">
        <f>(J157/$J$167)</f>
        <v>1.6123937648295315E-2</v>
      </c>
      <c r="L157" s="317">
        <v>349.32</v>
      </c>
      <c r="M157" s="317">
        <v>353.18</v>
      </c>
      <c r="N157" s="320">
        <v>5.7500000000000002E-2</v>
      </c>
      <c r="O157" s="320">
        <v>0.33029999999999998</v>
      </c>
      <c r="P157" s="329">
        <f>((J157-D157)/D157)</f>
        <v>7.7368060732075791E-2</v>
      </c>
      <c r="Q157" s="329">
        <f>((M157-G157)/G157)</f>
        <v>4.238238592763123E-2</v>
      </c>
      <c r="R157" s="329">
        <f>N157-H157</f>
        <v>5.3400000000000003E-2</v>
      </c>
      <c r="S157" s="364">
        <f t="shared" si="73"/>
        <v>4.880000000000001E-2</v>
      </c>
      <c r="T157" s="188"/>
    </row>
    <row r="158" spans="1:25" s="112" customFormat="1" ht="6" customHeight="1">
      <c r="A158" s="411"/>
      <c r="B158" s="412"/>
      <c r="C158" s="413"/>
      <c r="D158" s="413"/>
      <c r="E158" s="413"/>
      <c r="F158" s="413"/>
      <c r="G158" s="413"/>
      <c r="H158" s="413"/>
      <c r="I158" s="413"/>
      <c r="J158" s="413"/>
      <c r="K158" s="413"/>
      <c r="L158" s="413"/>
      <c r="M158" s="413"/>
      <c r="N158" s="413"/>
      <c r="O158" s="413"/>
      <c r="P158" s="413"/>
      <c r="Q158" s="413"/>
      <c r="R158" s="413"/>
      <c r="S158" s="426"/>
      <c r="T158" s="188"/>
    </row>
    <row r="159" spans="1:25" s="112" customFormat="1" ht="12" customHeight="1">
      <c r="A159" s="422" t="s">
        <v>199</v>
      </c>
      <c r="B159" s="423"/>
      <c r="C159" s="424"/>
      <c r="D159" s="424"/>
      <c r="E159" s="424"/>
      <c r="F159" s="424"/>
      <c r="G159" s="424"/>
      <c r="H159" s="424"/>
      <c r="I159" s="424"/>
      <c r="J159" s="424"/>
      <c r="K159" s="424"/>
      <c r="L159" s="424"/>
      <c r="M159" s="424"/>
      <c r="N159" s="424"/>
      <c r="O159" s="424"/>
      <c r="P159" s="424"/>
      <c r="Q159" s="424"/>
      <c r="R159" s="424"/>
      <c r="S159" s="425"/>
      <c r="T159" s="188"/>
    </row>
    <row r="160" spans="1:25" s="112" customFormat="1" ht="12" customHeight="1">
      <c r="A160" s="402">
        <v>128</v>
      </c>
      <c r="B160" s="394" t="s">
        <v>227</v>
      </c>
      <c r="C160" s="395" t="s">
        <v>228</v>
      </c>
      <c r="D160" s="326">
        <v>470757767.75</v>
      </c>
      <c r="E160" s="333">
        <f t="shared" ref="E160:E166" si="74">(D160/$D$167)</f>
        <v>1.7233955319144977E-2</v>
      </c>
      <c r="F160" s="326">
        <v>1025.0999999999999</v>
      </c>
      <c r="G160" s="326">
        <v>1025.0999999999999</v>
      </c>
      <c r="H160" s="334">
        <v>2.5100000000000001E-2</v>
      </c>
      <c r="I160" s="334">
        <v>-1.9099999999999999E-2</v>
      </c>
      <c r="J160" s="326">
        <v>471694103.19</v>
      </c>
      <c r="K160" s="333">
        <f t="shared" ref="K160:K166" si="75">(J160/$J$167)</f>
        <v>1.6868779839959179E-2</v>
      </c>
      <c r="L160" s="326">
        <v>1027.1400000000001</v>
      </c>
      <c r="M160" s="326">
        <v>1027.1400000000001</v>
      </c>
      <c r="N160" s="334">
        <v>2.7099999999999999E-2</v>
      </c>
      <c r="O160" s="334">
        <v>2E-3</v>
      </c>
      <c r="P160" s="329">
        <f t="shared" ref="P160:P166" si="76">((J160-D160)/D160)</f>
        <v>1.9889962612305669E-3</v>
      </c>
      <c r="Q160" s="329">
        <f t="shared" ref="Q160:Q166" si="77">((M160-G160)/G160)</f>
        <v>1.9900497512439675E-3</v>
      </c>
      <c r="R160" s="329">
        <f t="shared" ref="R160:S166" si="78">N160-H160</f>
        <v>1.9999999999999983E-3</v>
      </c>
      <c r="S160" s="364">
        <f t="shared" si="78"/>
        <v>2.1100000000000001E-2</v>
      </c>
      <c r="T160" s="188"/>
    </row>
    <row r="161" spans="1:20" s="112" customFormat="1" ht="12" customHeight="1">
      <c r="A161" s="401">
        <v>129</v>
      </c>
      <c r="B161" s="394" t="s">
        <v>230</v>
      </c>
      <c r="C161" s="395" t="s">
        <v>88</v>
      </c>
      <c r="D161" s="326">
        <v>48815841.909999996</v>
      </c>
      <c r="E161" s="333">
        <f t="shared" si="74"/>
        <v>1.7870975180385319E-3</v>
      </c>
      <c r="F161" s="326">
        <v>104.34</v>
      </c>
      <c r="G161" s="326">
        <v>104.34</v>
      </c>
      <c r="H161" s="334">
        <v>1.2999999999999999E-3</v>
      </c>
      <c r="I161" s="334">
        <v>5.8000000000000003E-2</v>
      </c>
      <c r="J161" s="326">
        <v>48776640.25</v>
      </c>
      <c r="K161" s="333">
        <f t="shared" si="75"/>
        <v>1.7443559292890159E-3</v>
      </c>
      <c r="L161" s="322">
        <v>104.48</v>
      </c>
      <c r="M161" s="322">
        <v>104.48</v>
      </c>
      <c r="N161" s="334">
        <v>1.2999999999999999E-3</v>
      </c>
      <c r="O161" s="334">
        <v>5.8400000000000001E-2</v>
      </c>
      <c r="P161" s="329">
        <f t="shared" si="76"/>
        <v>-8.0305201070322841E-4</v>
      </c>
      <c r="Q161" s="329">
        <f t="shared" si="77"/>
        <v>1.3417672992141131E-3</v>
      </c>
      <c r="R161" s="329">
        <f t="shared" si="78"/>
        <v>0</v>
      </c>
      <c r="S161" s="364">
        <f t="shared" si="78"/>
        <v>3.9999999999999758E-4</v>
      </c>
      <c r="T161" s="188"/>
    </row>
    <row r="162" spans="1:20" s="112" customFormat="1" ht="12" customHeight="1">
      <c r="A162" s="397">
        <v>130</v>
      </c>
      <c r="B162" s="400" t="s">
        <v>234</v>
      </c>
      <c r="C162" s="395" t="s">
        <v>98</v>
      </c>
      <c r="D162" s="321">
        <v>52891054.869999997</v>
      </c>
      <c r="E162" s="333">
        <f t="shared" si="74"/>
        <v>1.9362868525115806E-3</v>
      </c>
      <c r="F162" s="322">
        <v>101.59</v>
      </c>
      <c r="G162" s="322">
        <v>106.81</v>
      </c>
      <c r="H162" s="334">
        <v>1.9E-3</v>
      </c>
      <c r="I162" s="334">
        <v>5.11E-2</v>
      </c>
      <c r="J162" s="321">
        <v>52952923.119999997</v>
      </c>
      <c r="K162" s="333">
        <f t="shared" si="75"/>
        <v>1.8937086470927529E-3</v>
      </c>
      <c r="L162" s="322">
        <v>101.71</v>
      </c>
      <c r="M162" s="322">
        <v>107.06</v>
      </c>
      <c r="N162" s="334">
        <v>1.9E-3</v>
      </c>
      <c r="O162" s="334">
        <v>5.2999999999999999E-2</v>
      </c>
      <c r="P162" s="329">
        <f t="shared" si="76"/>
        <v>1.1697299316881635E-3</v>
      </c>
      <c r="Q162" s="329">
        <f t="shared" si="77"/>
        <v>2.340604812283494E-3</v>
      </c>
      <c r="R162" s="329">
        <f t="shared" si="78"/>
        <v>0</v>
      </c>
      <c r="S162" s="364">
        <f t="shared" si="78"/>
        <v>1.8999999999999989E-3</v>
      </c>
      <c r="T162" s="188"/>
    </row>
    <row r="163" spans="1:20" s="112" customFormat="1" ht="12" customHeight="1">
      <c r="A163" s="396">
        <v>131</v>
      </c>
      <c r="B163" s="394" t="s">
        <v>185</v>
      </c>
      <c r="C163" s="395" t="s">
        <v>184</v>
      </c>
      <c r="D163" s="326">
        <v>9961497947.2000008</v>
      </c>
      <c r="E163" s="333">
        <f t="shared" si="74"/>
        <v>0.36468014400342141</v>
      </c>
      <c r="F163" s="322">
        <v>131.54</v>
      </c>
      <c r="G163" s="322">
        <v>131.54</v>
      </c>
      <c r="H163" s="334">
        <v>2.3999999999999998E-3</v>
      </c>
      <c r="I163" s="334">
        <v>0.1333</v>
      </c>
      <c r="J163" s="326">
        <v>10434192000.98</v>
      </c>
      <c r="K163" s="333">
        <f t="shared" si="75"/>
        <v>0.37314879809192031</v>
      </c>
      <c r="L163" s="322">
        <v>131.85</v>
      </c>
      <c r="M163" s="322">
        <v>131.85</v>
      </c>
      <c r="N163" s="334">
        <v>2.3999999999999998E-3</v>
      </c>
      <c r="O163" s="334">
        <v>0.1333</v>
      </c>
      <c r="P163" s="329">
        <f t="shared" si="76"/>
        <v>4.7452105726013286E-2</v>
      </c>
      <c r="Q163" s="329">
        <f t="shared" si="77"/>
        <v>2.3566975824844327E-3</v>
      </c>
      <c r="R163" s="329">
        <f t="shared" si="78"/>
        <v>0</v>
      </c>
      <c r="S163" s="364">
        <f t="shared" si="78"/>
        <v>0</v>
      </c>
      <c r="T163" s="188"/>
    </row>
    <row r="164" spans="1:20" s="112" customFormat="1" ht="12" customHeight="1">
      <c r="A164" s="393">
        <v>132</v>
      </c>
      <c r="B164" s="394" t="s">
        <v>172</v>
      </c>
      <c r="C164" s="395" t="s">
        <v>171</v>
      </c>
      <c r="D164" s="326">
        <v>669676938.19000006</v>
      </c>
      <c r="E164" s="333">
        <f t="shared" si="74"/>
        <v>2.4516180553301709E-2</v>
      </c>
      <c r="F164" s="327">
        <v>102.35</v>
      </c>
      <c r="G164" s="327">
        <v>102.35</v>
      </c>
      <c r="H164" s="334">
        <v>1.9E-3</v>
      </c>
      <c r="I164" s="334">
        <v>5.7700000000000001E-2</v>
      </c>
      <c r="J164" s="326">
        <v>660121858.90999997</v>
      </c>
      <c r="K164" s="333">
        <f t="shared" si="75"/>
        <v>2.3607355339381859E-2</v>
      </c>
      <c r="L164" s="327">
        <v>102.55</v>
      </c>
      <c r="M164" s="327">
        <v>102.55</v>
      </c>
      <c r="N164" s="334">
        <v>2E-3</v>
      </c>
      <c r="O164" s="334">
        <v>5.96E-2</v>
      </c>
      <c r="P164" s="329">
        <f t="shared" si="76"/>
        <v>-1.4268192220902092E-2</v>
      </c>
      <c r="Q164" s="329">
        <f t="shared" si="77"/>
        <v>1.954079140205206E-3</v>
      </c>
      <c r="R164" s="329">
        <f t="shared" si="78"/>
        <v>1.0000000000000005E-4</v>
      </c>
      <c r="S164" s="364">
        <f t="shared" si="78"/>
        <v>1.8999999999999989E-3</v>
      </c>
      <c r="T164" s="188"/>
    </row>
    <row r="165" spans="1:20" s="318" customFormat="1" ht="12" customHeight="1">
      <c r="A165" s="403">
        <v>133</v>
      </c>
      <c r="B165" s="394" t="s">
        <v>130</v>
      </c>
      <c r="C165" s="395" t="s">
        <v>5</v>
      </c>
      <c r="D165" s="326">
        <v>8326870609.3299999</v>
      </c>
      <c r="E165" s="333">
        <f t="shared" si="74"/>
        <v>0.30483812665562693</v>
      </c>
      <c r="F165" s="327">
        <v>125.05</v>
      </c>
      <c r="G165" s="327">
        <v>125.05</v>
      </c>
      <c r="H165" s="334">
        <v>1.2999999999999999E-3</v>
      </c>
      <c r="I165" s="334">
        <v>3.3300000000000003E-2</v>
      </c>
      <c r="J165" s="326">
        <v>8495673660.0200005</v>
      </c>
      <c r="K165" s="333">
        <f t="shared" si="75"/>
        <v>0.30382327782734897</v>
      </c>
      <c r="L165" s="327">
        <v>125.15</v>
      </c>
      <c r="M165" s="327">
        <v>125.15</v>
      </c>
      <c r="N165" s="334">
        <v>2.0000000000000001E-4</v>
      </c>
      <c r="O165" s="334">
        <v>3.4099999999999998E-2</v>
      </c>
      <c r="P165" s="329">
        <f t="shared" si="76"/>
        <v>2.0272087631680258E-2</v>
      </c>
      <c r="Q165" s="329">
        <f t="shared" si="77"/>
        <v>7.9968012794888867E-4</v>
      </c>
      <c r="R165" s="329">
        <f t="shared" si="78"/>
        <v>-1.0999999999999998E-3</v>
      </c>
      <c r="S165" s="364">
        <f t="shared" si="78"/>
        <v>7.9999999999999516E-4</v>
      </c>
      <c r="T165" s="319"/>
    </row>
    <row r="166" spans="1:20" s="112" customFormat="1" ht="12" customHeight="1">
      <c r="A166" s="397">
        <v>134</v>
      </c>
      <c r="B166" s="394" t="s">
        <v>163</v>
      </c>
      <c r="C166" s="395" t="s">
        <v>41</v>
      </c>
      <c r="D166" s="326">
        <v>3747523395.4499998</v>
      </c>
      <c r="E166" s="333">
        <f t="shared" si="74"/>
        <v>0.13719295820294145</v>
      </c>
      <c r="F166" s="327">
        <v>1.1295999999999999</v>
      </c>
      <c r="G166" s="327">
        <v>1.1295999999999999</v>
      </c>
      <c r="H166" s="334">
        <v>6.6799999999999998E-2</v>
      </c>
      <c r="I166" s="334">
        <v>0.12189999999999999</v>
      </c>
      <c r="J166" s="326">
        <v>3728038722.7800002</v>
      </c>
      <c r="K166" s="333">
        <f t="shared" si="75"/>
        <v>0.13332255803945708</v>
      </c>
      <c r="L166" s="327">
        <v>1.131</v>
      </c>
      <c r="M166" s="327">
        <v>1.131</v>
      </c>
      <c r="N166" s="334">
        <v>6.6699999999999995E-2</v>
      </c>
      <c r="O166" s="334">
        <v>0.12</v>
      </c>
      <c r="P166" s="329">
        <f t="shared" si="76"/>
        <v>-5.1993465053898338E-3</v>
      </c>
      <c r="Q166" s="329">
        <f t="shared" si="77"/>
        <v>1.2393767705383037E-3</v>
      </c>
      <c r="R166" s="329">
        <f t="shared" si="78"/>
        <v>-1.0000000000000286E-4</v>
      </c>
      <c r="S166" s="364">
        <f t="shared" si="78"/>
        <v>-1.8999999999999989E-3</v>
      </c>
      <c r="T166" s="188"/>
    </row>
    <row r="167" spans="1:20" s="112" customFormat="1" ht="12" customHeight="1">
      <c r="A167" s="261"/>
      <c r="C167" s="286" t="s">
        <v>42</v>
      </c>
      <c r="D167" s="76">
        <f>SUM(D156:D166)</f>
        <v>27315712442.810001</v>
      </c>
      <c r="E167" s="262">
        <f>(D167/$D$168)</f>
        <v>1.4187094323840275E-2</v>
      </c>
      <c r="F167" s="263"/>
      <c r="G167" s="72"/>
      <c r="H167" s="245"/>
      <c r="I167" s="245"/>
      <c r="J167" s="76">
        <f>SUM(J156:J166)</f>
        <v>27962550206.07</v>
      </c>
      <c r="K167" s="262">
        <f>(J167/$J$168)</f>
        <v>1.4592773142770108E-2</v>
      </c>
      <c r="L167" s="264"/>
      <c r="M167" s="72"/>
      <c r="N167" s="265"/>
      <c r="O167" s="265"/>
      <c r="P167" s="266">
        <f t="shared" ref="P167:P168" si="79">((J167-D167)/D167)</f>
        <v>2.3680061964858543E-2</v>
      </c>
      <c r="Q167" s="266"/>
      <c r="R167" s="266">
        <f t="shared" ref="R167:S167" si="80">N167-H167</f>
        <v>0</v>
      </c>
      <c r="S167" s="364">
        <f t="shared" si="80"/>
        <v>0</v>
      </c>
      <c r="T167" s="137" t="s">
        <v>260</v>
      </c>
    </row>
    <row r="168" spans="1:20" s="112" customFormat="1" ht="12" customHeight="1">
      <c r="A168" s="267"/>
      <c r="B168" s="268"/>
      <c r="C168" s="268" t="s">
        <v>28</v>
      </c>
      <c r="D168" s="269">
        <f>SUM(D22,D54,D87,D112,D119,D146,D152,D167)</f>
        <v>1925391614328.5334</v>
      </c>
      <c r="E168" s="270"/>
      <c r="F168" s="270"/>
      <c r="G168" s="271"/>
      <c r="H168" s="272"/>
      <c r="I168" s="272"/>
      <c r="J168" s="269">
        <f>SUM(J22,J54,J87,J112,J119,J146,J152,J167)</f>
        <v>1916191660933.4709</v>
      </c>
      <c r="K168" s="270"/>
      <c r="L168" s="270"/>
      <c r="M168" s="271"/>
      <c r="N168" s="273"/>
      <c r="O168" s="273"/>
      <c r="P168" s="274">
        <f t="shared" si="79"/>
        <v>-4.7782245059122264E-3</v>
      </c>
      <c r="Q168" s="274"/>
      <c r="R168" s="274"/>
      <c r="S168" s="275"/>
      <c r="T168" s="138">
        <f>((J168-D168)/D168)</f>
        <v>-4.7782245059122264E-3</v>
      </c>
    </row>
    <row r="169" spans="1:20" s="112" customFormat="1" ht="6.75" customHeight="1">
      <c r="A169" s="411"/>
      <c r="B169" s="412"/>
      <c r="C169" s="413"/>
      <c r="D169" s="413"/>
      <c r="E169" s="413"/>
      <c r="F169" s="413"/>
      <c r="G169" s="413"/>
      <c r="H169" s="413"/>
      <c r="I169" s="413"/>
      <c r="J169" s="413"/>
      <c r="K169" s="413"/>
      <c r="L169" s="413"/>
      <c r="M169" s="413"/>
      <c r="N169" s="413"/>
      <c r="O169" s="413"/>
      <c r="P169" s="413"/>
      <c r="Q169" s="413"/>
      <c r="R169" s="413"/>
      <c r="S169" s="365"/>
      <c r="T169" s="188"/>
    </row>
    <row r="170" spans="1:20" s="112" customFormat="1" ht="12" customHeight="1">
      <c r="A170" s="448" t="s">
        <v>200</v>
      </c>
      <c r="B170" s="449"/>
      <c r="C170" s="450"/>
      <c r="D170" s="450"/>
      <c r="E170" s="450"/>
      <c r="F170" s="450"/>
      <c r="G170" s="450"/>
      <c r="H170" s="450"/>
      <c r="I170" s="450"/>
      <c r="J170" s="450"/>
      <c r="K170" s="450"/>
      <c r="L170" s="450"/>
      <c r="M170" s="450"/>
      <c r="N170" s="450"/>
      <c r="O170" s="450"/>
      <c r="P170" s="450"/>
      <c r="Q170" s="450"/>
      <c r="R170" s="450"/>
      <c r="S170" s="451"/>
      <c r="T170" s="188"/>
    </row>
    <row r="171" spans="1:20" s="112" customFormat="1" ht="25.5" customHeight="1">
      <c r="A171" s="242"/>
      <c r="B171" s="243"/>
      <c r="C171" s="243"/>
      <c r="D171" s="257" t="s">
        <v>204</v>
      </c>
      <c r="E171" s="258"/>
      <c r="F171" s="258"/>
      <c r="G171" s="362" t="s">
        <v>205</v>
      </c>
      <c r="H171" s="259"/>
      <c r="I171" s="259"/>
      <c r="J171" s="260" t="s">
        <v>204</v>
      </c>
      <c r="K171" s="258"/>
      <c r="L171" s="256" t="s">
        <v>212</v>
      </c>
      <c r="M171" s="256" t="s">
        <v>213</v>
      </c>
      <c r="N171" s="362"/>
      <c r="O171" s="362"/>
      <c r="P171" s="410" t="s">
        <v>62</v>
      </c>
      <c r="Q171" s="410"/>
      <c r="R171" s="410"/>
      <c r="S171" s="363"/>
      <c r="T171" s="188"/>
    </row>
    <row r="172" spans="1:20" s="112" customFormat="1" ht="12" customHeight="1">
      <c r="A172" s="282" t="s">
        <v>1</v>
      </c>
      <c r="B172" s="284" t="s">
        <v>2</v>
      </c>
      <c r="C172" s="283" t="s">
        <v>193</v>
      </c>
      <c r="D172" s="198"/>
      <c r="E172" s="198"/>
      <c r="F172" s="198"/>
      <c r="G172" s="198"/>
      <c r="H172" s="198"/>
      <c r="I172" s="198"/>
      <c r="J172" s="225"/>
      <c r="K172" s="226"/>
      <c r="L172" s="226"/>
      <c r="M172" s="227"/>
      <c r="N172" s="227"/>
      <c r="O172" s="227"/>
      <c r="P172" s="299" t="s">
        <v>203</v>
      </c>
      <c r="Q172" s="297" t="s">
        <v>206</v>
      </c>
      <c r="R172" s="297" t="s">
        <v>214</v>
      </c>
      <c r="S172" s="366"/>
      <c r="T172" s="188"/>
    </row>
    <row r="173" spans="1:20" s="112" customFormat="1" ht="12" customHeight="1">
      <c r="A173" s="402">
        <v>1</v>
      </c>
      <c r="B173" s="394" t="s">
        <v>218</v>
      </c>
      <c r="C173" s="395" t="s">
        <v>117</v>
      </c>
      <c r="D173" s="326">
        <v>92548651821</v>
      </c>
      <c r="E173" s="333">
        <f>(D173/$D$175)</f>
        <v>0.97950368877197691</v>
      </c>
      <c r="F173" s="327">
        <v>108.39</v>
      </c>
      <c r="G173" s="327">
        <v>108.39</v>
      </c>
      <c r="H173" s="323">
        <v>0</v>
      </c>
      <c r="I173" s="323">
        <v>0.13800000000000001</v>
      </c>
      <c r="J173" s="326">
        <v>92548651821</v>
      </c>
      <c r="K173" s="333">
        <f>(J173/$J$175)</f>
        <v>0.97942227957985817</v>
      </c>
      <c r="L173" s="327">
        <v>108.39</v>
      </c>
      <c r="M173" s="327">
        <v>108.39</v>
      </c>
      <c r="N173" s="323">
        <v>0</v>
      </c>
      <c r="O173" s="323">
        <v>0.13800000000000001</v>
      </c>
      <c r="P173" s="329">
        <f>((J173-D173)/D173)</f>
        <v>0</v>
      </c>
      <c r="Q173" s="329">
        <f>((M173-G173)/G173)</f>
        <v>0</v>
      </c>
      <c r="R173" s="329">
        <f>N173-H173</f>
        <v>0</v>
      </c>
      <c r="S173" s="364">
        <f t="shared" ref="S173:S175" si="81">O173-I173</f>
        <v>0</v>
      </c>
      <c r="T173" s="188"/>
    </row>
    <row r="174" spans="1:20" s="112" customFormat="1" ht="12" customHeight="1">
      <c r="A174" s="397">
        <v>2</v>
      </c>
      <c r="B174" s="394" t="s">
        <v>243</v>
      </c>
      <c r="C174" s="395" t="s">
        <v>41</v>
      </c>
      <c r="D174" s="326">
        <v>1936599109.53</v>
      </c>
      <c r="E174" s="333">
        <f>(D174/$D$175)</f>
        <v>2.0496311228023079E-2</v>
      </c>
      <c r="F174" s="328">
        <v>1000000</v>
      </c>
      <c r="G174" s="328">
        <v>1000000</v>
      </c>
      <c r="H174" s="323">
        <v>0.16589999999999999</v>
      </c>
      <c r="I174" s="323">
        <v>0.16589999999999999</v>
      </c>
      <c r="J174" s="326">
        <v>1944452686.1800001</v>
      </c>
      <c r="K174" s="333">
        <f>(J174/$J$175)</f>
        <v>2.0577720420141898E-2</v>
      </c>
      <c r="L174" s="328">
        <v>1000000</v>
      </c>
      <c r="M174" s="328">
        <v>1000000</v>
      </c>
      <c r="N174" s="323">
        <v>7.7399999999999997E-2</v>
      </c>
      <c r="O174" s="323">
        <v>8.7300000000000003E-2</v>
      </c>
      <c r="P174" s="329">
        <f>((J174-D174)/D174)</f>
        <v>4.0553445529085816E-3</v>
      </c>
      <c r="Q174" s="329">
        <f>((M174-G174)/G174)</f>
        <v>0</v>
      </c>
      <c r="R174" s="329">
        <f>N174-H174</f>
        <v>-8.8499999999999995E-2</v>
      </c>
      <c r="S174" s="364">
        <f t="shared" si="81"/>
        <v>-7.8599999999999989E-2</v>
      </c>
      <c r="T174" s="137" t="s">
        <v>208</v>
      </c>
    </row>
    <row r="175" spans="1:20" s="112" customFormat="1" ht="12" customHeight="1">
      <c r="A175" s="268"/>
      <c r="B175" s="268"/>
      <c r="C175" s="268" t="s">
        <v>201</v>
      </c>
      <c r="D175" s="369">
        <f>SUM(D173:D174)</f>
        <v>94485250930.529999</v>
      </c>
      <c r="E175" s="369"/>
      <c r="F175" s="370"/>
      <c r="G175" s="370"/>
      <c r="H175" s="371"/>
      <c r="I175" s="371"/>
      <c r="J175" s="369">
        <f>SUM(J173:J174)</f>
        <v>94493104507.179993</v>
      </c>
      <c r="K175" s="372"/>
      <c r="L175" s="370"/>
      <c r="M175" s="370"/>
      <c r="N175" s="371"/>
      <c r="O175" s="371"/>
      <c r="P175" s="373">
        <f>((J175-D175)/D175)</f>
        <v>8.3119604093216789E-5</v>
      </c>
      <c r="Q175" s="374"/>
      <c r="R175" s="373">
        <f>N175-H175</f>
        <v>0</v>
      </c>
      <c r="S175" s="375">
        <f t="shared" si="81"/>
        <v>0</v>
      </c>
      <c r="T175" s="138">
        <f>((J175-D175)/D175)</f>
        <v>8.3119604093216789E-5</v>
      </c>
    </row>
    <row r="176" spans="1:20" s="112" customFormat="1" ht="7.5" customHeight="1">
      <c r="A176" s="452"/>
      <c r="B176" s="453"/>
      <c r="C176" s="454"/>
      <c r="D176" s="454"/>
      <c r="E176" s="454"/>
      <c r="F176" s="454"/>
      <c r="G176" s="454"/>
      <c r="H176" s="454"/>
      <c r="I176" s="454"/>
      <c r="J176" s="454"/>
      <c r="K176" s="454"/>
      <c r="L176" s="454"/>
      <c r="M176" s="454"/>
      <c r="N176" s="454"/>
      <c r="O176" s="454"/>
      <c r="P176" s="454"/>
      <c r="Q176" s="454"/>
      <c r="R176" s="454"/>
      <c r="S176" s="455"/>
      <c r="T176" s="188"/>
    </row>
    <row r="177" spans="1:20" s="112" customFormat="1" ht="12" customHeight="1">
      <c r="A177" s="448" t="s">
        <v>46</v>
      </c>
      <c r="B177" s="449"/>
      <c r="C177" s="450"/>
      <c r="D177" s="450"/>
      <c r="E177" s="450"/>
      <c r="F177" s="450"/>
      <c r="G177" s="450"/>
      <c r="H177" s="450"/>
      <c r="I177" s="450"/>
      <c r="J177" s="450"/>
      <c r="K177" s="450"/>
      <c r="L177" s="450"/>
      <c r="M177" s="450"/>
      <c r="N177" s="450"/>
      <c r="O177" s="450"/>
      <c r="P177" s="450"/>
      <c r="Q177" s="450"/>
      <c r="R177" s="450"/>
      <c r="S177" s="451"/>
      <c r="T177" s="188"/>
    </row>
    <row r="178" spans="1:20" s="112" customFormat="1" ht="25.5" customHeight="1">
      <c r="A178" s="251"/>
      <c r="B178" s="253" t="s">
        <v>46</v>
      </c>
      <c r="C178" s="252" t="s">
        <v>193</v>
      </c>
      <c r="D178" s="253" t="s">
        <v>72</v>
      </c>
      <c r="E178" s="254" t="s">
        <v>61</v>
      </c>
      <c r="F178" s="254"/>
      <c r="G178" s="254" t="s">
        <v>73</v>
      </c>
      <c r="H178" s="255"/>
      <c r="I178" s="255"/>
      <c r="J178" s="256" t="s">
        <v>72</v>
      </c>
      <c r="K178" s="254" t="s">
        <v>61</v>
      </c>
      <c r="L178" s="256" t="s">
        <v>212</v>
      </c>
      <c r="M178" s="256" t="s">
        <v>213</v>
      </c>
      <c r="N178" s="254"/>
      <c r="O178" s="254"/>
      <c r="P178" s="410" t="s">
        <v>62</v>
      </c>
      <c r="Q178" s="410"/>
      <c r="R178" s="410"/>
      <c r="S178" s="367"/>
      <c r="T178" s="188"/>
    </row>
    <row r="179" spans="1:20" s="112" customFormat="1" ht="12" customHeight="1">
      <c r="A179" s="189"/>
      <c r="B179" s="68"/>
      <c r="C179" s="68"/>
      <c r="D179" s="198"/>
      <c r="E179" s="198"/>
      <c r="F179" s="198"/>
      <c r="G179" s="198"/>
      <c r="H179" s="221"/>
      <c r="I179" s="221"/>
      <c r="J179" s="217"/>
      <c r="K179" s="198"/>
      <c r="L179" s="198"/>
      <c r="M179" s="198"/>
      <c r="N179" s="220"/>
      <c r="O179" s="220"/>
      <c r="P179" s="297" t="s">
        <v>203</v>
      </c>
      <c r="Q179" s="300" t="s">
        <v>119</v>
      </c>
      <c r="R179" s="297" t="s">
        <v>214</v>
      </c>
      <c r="S179" s="364">
        <f t="shared" ref="S179:S192" si="82">O179-I179</f>
        <v>0</v>
      </c>
      <c r="T179" s="188"/>
    </row>
    <row r="180" spans="1:20" s="112" customFormat="1" ht="12" customHeight="1">
      <c r="A180" s="402">
        <v>1</v>
      </c>
      <c r="B180" s="394" t="s">
        <v>222</v>
      </c>
      <c r="C180" s="395" t="s">
        <v>87</v>
      </c>
      <c r="D180" s="324">
        <v>650895364.13663208</v>
      </c>
      <c r="E180" s="193">
        <f t="shared" ref="E180:E191" si="83">(D180/$D$192)</f>
        <v>7.0584214854682456E-2</v>
      </c>
      <c r="F180" s="328">
        <v>149.86000000000001</v>
      </c>
      <c r="G180" s="328">
        <v>152.83000000000001</v>
      </c>
      <c r="H180" s="335">
        <v>3.2000000000000001E-2</v>
      </c>
      <c r="I180" s="335">
        <v>1.2500000000000001E-2</v>
      </c>
      <c r="J180" s="324">
        <v>652364003.98888946</v>
      </c>
      <c r="K180" s="193">
        <f t="shared" ref="K180:K190" si="84">(J180/$J$192)</f>
        <v>7.1080728417765596E-2</v>
      </c>
      <c r="L180" s="328">
        <v>149.86000000000001</v>
      </c>
      <c r="M180" s="328">
        <v>152.83000000000001</v>
      </c>
      <c r="N180" s="335">
        <v>3.4500000000000003E-2</v>
      </c>
      <c r="O180" s="335">
        <v>2.12E-2</v>
      </c>
      <c r="P180" s="329">
        <f t="shared" ref="P180:P191" si="85">((J180-D180)/D180)</f>
        <v>2.2563378588591129E-3</v>
      </c>
      <c r="Q180" s="329">
        <f t="shared" ref="Q180:Q191" si="86">((M180-G180)/G180)</f>
        <v>0</v>
      </c>
      <c r="R180" s="329">
        <f t="shared" ref="R180:R191" si="87">N180-H180</f>
        <v>2.5000000000000022E-3</v>
      </c>
      <c r="S180" s="364">
        <f t="shared" si="82"/>
        <v>8.6999999999999994E-3</v>
      </c>
      <c r="T180" s="188"/>
    </row>
    <row r="181" spans="1:20" s="112" customFormat="1" ht="12" customHeight="1">
      <c r="A181" s="397">
        <v>2</v>
      </c>
      <c r="B181" s="394" t="s">
        <v>96</v>
      </c>
      <c r="C181" s="395" t="s">
        <v>23</v>
      </c>
      <c r="D181" s="324">
        <v>701848406</v>
      </c>
      <c r="E181" s="193">
        <f t="shared" si="83"/>
        <v>7.6109650512307822E-2</v>
      </c>
      <c r="F181" s="328">
        <v>21.01</v>
      </c>
      <c r="G181" s="328">
        <v>21.01</v>
      </c>
      <c r="H181" s="335">
        <v>1.17E-2</v>
      </c>
      <c r="I181" s="335">
        <v>0.35360000000000003</v>
      </c>
      <c r="J181" s="324">
        <v>692410486.17999995</v>
      </c>
      <c r="K181" s="193">
        <f t="shared" si="84"/>
        <v>7.5444140726397033E-2</v>
      </c>
      <c r="L181" s="328">
        <v>21.01</v>
      </c>
      <c r="M181" s="328">
        <v>21.01</v>
      </c>
      <c r="N181" s="335">
        <v>-1.34E-2</v>
      </c>
      <c r="O181" s="335">
        <v>0.33539999999999998</v>
      </c>
      <c r="P181" s="329">
        <f t="shared" si="85"/>
        <v>-1.3447234102573501E-2</v>
      </c>
      <c r="Q181" s="329">
        <f t="shared" si="86"/>
        <v>0</v>
      </c>
      <c r="R181" s="329">
        <f t="shared" si="87"/>
        <v>-2.5100000000000001E-2</v>
      </c>
      <c r="S181" s="364">
        <f t="shared" si="82"/>
        <v>-1.8200000000000049E-2</v>
      </c>
      <c r="T181" s="188"/>
    </row>
    <row r="182" spans="1:20" s="112" customFormat="1" ht="12" customHeight="1">
      <c r="A182" s="393">
        <v>3</v>
      </c>
      <c r="B182" s="394" t="s">
        <v>183</v>
      </c>
      <c r="C182" s="395" t="s">
        <v>54</v>
      </c>
      <c r="D182" s="324">
        <v>268120408.99000001</v>
      </c>
      <c r="E182" s="193">
        <f t="shared" si="83"/>
        <v>2.9075439153232095E-2</v>
      </c>
      <c r="F182" s="328">
        <v>19.149999999999999</v>
      </c>
      <c r="G182" s="328">
        <v>19.25</v>
      </c>
      <c r="H182" s="335">
        <v>1.78E-2</v>
      </c>
      <c r="I182" s="335">
        <v>0.41299999999999998</v>
      </c>
      <c r="J182" s="324">
        <v>261176003.83000001</v>
      </c>
      <c r="K182" s="193">
        <f t="shared" si="84"/>
        <v>2.8457395693146974E-2</v>
      </c>
      <c r="L182" s="328">
        <v>19.149999999999999</v>
      </c>
      <c r="M182" s="328">
        <v>19.25</v>
      </c>
      <c r="N182" s="335">
        <v>-2.5899999999999999E-2</v>
      </c>
      <c r="O182" s="335">
        <v>0.37640000000000001</v>
      </c>
      <c r="P182" s="329">
        <f t="shared" si="85"/>
        <v>-2.5900322866727388E-2</v>
      </c>
      <c r="Q182" s="329">
        <f t="shared" si="86"/>
        <v>0</v>
      </c>
      <c r="R182" s="329">
        <f t="shared" si="87"/>
        <v>-4.3700000000000003E-2</v>
      </c>
      <c r="S182" s="364">
        <f t="shared" si="82"/>
        <v>-3.6599999999999966E-2</v>
      </c>
      <c r="T182" s="188"/>
    </row>
    <row r="183" spans="1:20" s="112" customFormat="1" ht="12" customHeight="1">
      <c r="A183" s="393">
        <v>4</v>
      </c>
      <c r="B183" s="394" t="s">
        <v>182</v>
      </c>
      <c r="C183" s="395" t="s">
        <v>54</v>
      </c>
      <c r="D183" s="324">
        <v>373153756.23000002</v>
      </c>
      <c r="E183" s="193">
        <f t="shared" si="83"/>
        <v>4.0465436312496529E-2</v>
      </c>
      <c r="F183" s="328">
        <v>27.67</v>
      </c>
      <c r="G183" s="328">
        <v>27.77</v>
      </c>
      <c r="H183" s="335">
        <v>-6.3E-3</v>
      </c>
      <c r="I183" s="335">
        <v>0.60570000000000002</v>
      </c>
      <c r="J183" s="324">
        <v>370231469.66000003</v>
      </c>
      <c r="K183" s="193">
        <f t="shared" si="84"/>
        <v>4.0339936577893837E-2</v>
      </c>
      <c r="L183" s="328">
        <v>27.7</v>
      </c>
      <c r="M183" s="328">
        <v>27.8</v>
      </c>
      <c r="N183" s="335">
        <v>-7.7999999999999996E-3</v>
      </c>
      <c r="O183" s="335">
        <v>0.59319999999999995</v>
      </c>
      <c r="P183" s="329">
        <f t="shared" si="85"/>
        <v>-7.8313202566257668E-3</v>
      </c>
      <c r="Q183" s="329">
        <f t="shared" si="86"/>
        <v>1.0803024846957558E-3</v>
      </c>
      <c r="R183" s="329">
        <f t="shared" si="87"/>
        <v>-1.4999999999999996E-3</v>
      </c>
      <c r="S183" s="364">
        <f t="shared" si="82"/>
        <v>-1.2500000000000067E-2</v>
      </c>
      <c r="T183" s="188"/>
    </row>
    <row r="184" spans="1:20" s="112" customFormat="1" ht="12" customHeight="1">
      <c r="A184" s="402">
        <v>5</v>
      </c>
      <c r="B184" s="394" t="s">
        <v>32</v>
      </c>
      <c r="C184" s="395" t="s">
        <v>31</v>
      </c>
      <c r="D184" s="324">
        <v>701395164.20000005</v>
      </c>
      <c r="E184" s="193">
        <f t="shared" si="83"/>
        <v>7.6060500190527985E-2</v>
      </c>
      <c r="F184" s="328">
        <v>15797.9</v>
      </c>
      <c r="G184" s="328">
        <v>15797.9</v>
      </c>
      <c r="H184" s="335">
        <v>0</v>
      </c>
      <c r="I184" s="335">
        <v>0</v>
      </c>
      <c r="J184" s="324">
        <v>696249436</v>
      </c>
      <c r="K184" s="193">
        <f t="shared" si="84"/>
        <v>7.5862427676468391E-2</v>
      </c>
      <c r="L184" s="328">
        <v>15682</v>
      </c>
      <c r="M184" s="328">
        <v>15682</v>
      </c>
      <c r="N184" s="335">
        <v>0</v>
      </c>
      <c r="O184" s="335">
        <v>0</v>
      </c>
      <c r="P184" s="329">
        <f t="shared" si="85"/>
        <v>-7.3364181315238777E-3</v>
      </c>
      <c r="Q184" s="329">
        <f t="shared" si="86"/>
        <v>-7.3364181315237875E-3</v>
      </c>
      <c r="R184" s="329">
        <f t="shared" si="87"/>
        <v>0</v>
      </c>
      <c r="S184" s="364">
        <f t="shared" si="82"/>
        <v>0</v>
      </c>
      <c r="T184" s="188"/>
    </row>
    <row r="185" spans="1:20" s="112" customFormat="1" ht="12" customHeight="1">
      <c r="A185" s="403">
        <v>6</v>
      </c>
      <c r="B185" s="394" t="s">
        <v>94</v>
      </c>
      <c r="C185" s="395" t="s">
        <v>39</v>
      </c>
      <c r="D185" s="324">
        <v>913584473.54999995</v>
      </c>
      <c r="E185" s="193">
        <f t="shared" si="83"/>
        <v>9.9070674523069613E-2</v>
      </c>
      <c r="F185" s="328">
        <v>85</v>
      </c>
      <c r="G185" s="328">
        <v>85</v>
      </c>
      <c r="H185" s="335">
        <v>1E-4</v>
      </c>
      <c r="I185" s="335">
        <v>0.48909999999999998</v>
      </c>
      <c r="J185" s="324">
        <v>904419756.62</v>
      </c>
      <c r="K185" s="193">
        <f t="shared" si="84"/>
        <v>9.854439347187334E-2</v>
      </c>
      <c r="L185" s="328">
        <v>93.5</v>
      </c>
      <c r="M185" s="328">
        <v>93.5</v>
      </c>
      <c r="N185" s="335">
        <v>9.5999999999999992E-3</v>
      </c>
      <c r="O185" s="335">
        <v>0.48880000000000001</v>
      </c>
      <c r="P185" s="329">
        <f t="shared" si="85"/>
        <v>-1.0031603201822987E-2</v>
      </c>
      <c r="Q185" s="329">
        <f t="shared" si="86"/>
        <v>0.1</v>
      </c>
      <c r="R185" s="329">
        <f t="shared" si="87"/>
        <v>9.4999999999999998E-3</v>
      </c>
      <c r="S185" s="364">
        <f t="shared" si="82"/>
        <v>-2.9999999999996696E-4</v>
      </c>
      <c r="T185" s="188"/>
    </row>
    <row r="186" spans="1:20" s="112" customFormat="1" ht="12" customHeight="1">
      <c r="A186" s="403">
        <v>7</v>
      </c>
      <c r="B186" s="394" t="s">
        <v>40</v>
      </c>
      <c r="C186" s="395" t="s">
        <v>39</v>
      </c>
      <c r="D186" s="324">
        <v>585327326.66999996</v>
      </c>
      <c r="E186" s="193">
        <f t="shared" si="83"/>
        <v>6.347390389051781E-2</v>
      </c>
      <c r="F186" s="328">
        <v>220.5</v>
      </c>
      <c r="G186" s="328">
        <v>220.5</v>
      </c>
      <c r="H186" s="335">
        <v>1E-3</v>
      </c>
      <c r="I186" s="335">
        <v>0.2863</v>
      </c>
      <c r="J186" s="324">
        <v>577083235.82000005</v>
      </c>
      <c r="K186" s="193">
        <f t="shared" si="84"/>
        <v>6.2878234404339414E-2</v>
      </c>
      <c r="L186" s="328">
        <v>237.6</v>
      </c>
      <c r="M186" s="328">
        <v>237.6</v>
      </c>
      <c r="N186" s="335">
        <v>1.26E-2</v>
      </c>
      <c r="O186" s="335">
        <v>0.28820000000000001</v>
      </c>
      <c r="P186" s="329">
        <f t="shared" si="85"/>
        <v>-1.4084582206167554E-2</v>
      </c>
      <c r="Q186" s="329">
        <f t="shared" si="86"/>
        <v>7.7551020408163238E-2</v>
      </c>
      <c r="R186" s="329">
        <f t="shared" si="87"/>
        <v>1.1599999999999999E-2</v>
      </c>
      <c r="S186" s="364">
        <f t="shared" si="82"/>
        <v>1.9000000000000128E-3</v>
      </c>
      <c r="T186" s="188"/>
    </row>
    <row r="187" spans="1:20" s="112" customFormat="1" ht="12" customHeight="1">
      <c r="A187" s="402">
        <v>8</v>
      </c>
      <c r="B187" s="394" t="s">
        <v>50</v>
      </c>
      <c r="C187" s="395" t="s">
        <v>29</v>
      </c>
      <c r="D187" s="324">
        <v>192688040.13999999</v>
      </c>
      <c r="E187" s="193">
        <f t="shared" si="83"/>
        <v>2.0895423096475536E-2</v>
      </c>
      <c r="F187" s="328">
        <v>8.61</v>
      </c>
      <c r="G187" s="328">
        <v>8.7100000000000009</v>
      </c>
      <c r="H187" s="335">
        <v>-2.3699999999999999E-2</v>
      </c>
      <c r="I187" s="335">
        <v>0.4728</v>
      </c>
      <c r="J187" s="324">
        <v>197155230.56</v>
      </c>
      <c r="K187" s="193">
        <f t="shared" si="84"/>
        <v>2.1481775992986875E-2</v>
      </c>
      <c r="L187" s="328">
        <v>8.81</v>
      </c>
      <c r="M187" s="328">
        <v>8.91</v>
      </c>
      <c r="N187" s="335">
        <v>2.3099999999999999E-2</v>
      </c>
      <c r="O187" s="335">
        <v>0.50680000000000003</v>
      </c>
      <c r="P187" s="329">
        <f t="shared" si="85"/>
        <v>2.3183537581026419E-2</v>
      </c>
      <c r="Q187" s="329">
        <f t="shared" si="86"/>
        <v>2.2962112514351235E-2</v>
      </c>
      <c r="R187" s="329">
        <f t="shared" si="87"/>
        <v>4.6799999999999994E-2</v>
      </c>
      <c r="S187" s="364">
        <f t="shared" si="82"/>
        <v>3.400000000000003E-2</v>
      </c>
      <c r="T187" s="188"/>
    </row>
    <row r="188" spans="1:20" s="112" customFormat="1" ht="12" customHeight="1">
      <c r="A188" s="402">
        <v>9</v>
      </c>
      <c r="B188" s="394" t="s">
        <v>59</v>
      </c>
      <c r="C188" s="395" t="s">
        <v>29</v>
      </c>
      <c r="D188" s="75">
        <v>576424197.48000002</v>
      </c>
      <c r="E188" s="193">
        <f t="shared" si="83"/>
        <v>6.2508433220036838E-2</v>
      </c>
      <c r="F188" s="328">
        <v>6.83</v>
      </c>
      <c r="G188" s="328">
        <v>6.93</v>
      </c>
      <c r="H188" s="335">
        <v>-3.2899999999999999E-2</v>
      </c>
      <c r="I188" s="335">
        <v>0.60050000000000003</v>
      </c>
      <c r="J188" s="75">
        <v>564654288.44000006</v>
      </c>
      <c r="K188" s="193">
        <f t="shared" si="84"/>
        <v>6.1523992558016563E-2</v>
      </c>
      <c r="L188" s="328">
        <v>6.68</v>
      </c>
      <c r="M188" s="328">
        <v>6.78</v>
      </c>
      <c r="N188" s="335">
        <v>-1.03E-2</v>
      </c>
      <c r="O188" s="335">
        <v>0.58389999999999997</v>
      </c>
      <c r="P188" s="329">
        <f t="shared" si="85"/>
        <v>-2.0418832331216174E-2</v>
      </c>
      <c r="Q188" s="329">
        <f t="shared" si="86"/>
        <v>-2.1645021645021568E-2</v>
      </c>
      <c r="R188" s="329">
        <f t="shared" si="87"/>
        <v>2.2599999999999999E-2</v>
      </c>
      <c r="S188" s="364">
        <f t="shared" si="82"/>
        <v>-1.6600000000000059E-2</v>
      </c>
      <c r="T188" s="188"/>
    </row>
    <row r="189" spans="1:20" s="112" customFormat="1" ht="12" customHeight="1">
      <c r="A189" s="402">
        <v>10</v>
      </c>
      <c r="B189" s="394" t="s">
        <v>92</v>
      </c>
      <c r="C189" s="395" t="s">
        <v>29</v>
      </c>
      <c r="D189" s="324">
        <v>507339964.98000002</v>
      </c>
      <c r="E189" s="193">
        <f t="shared" si="83"/>
        <v>5.5016820007644622E-2</v>
      </c>
      <c r="F189" s="328">
        <v>143.12</v>
      </c>
      <c r="G189" s="328">
        <v>145.12</v>
      </c>
      <c r="H189" s="335">
        <v>0</v>
      </c>
      <c r="I189" s="335">
        <v>-0.1031</v>
      </c>
      <c r="J189" s="324">
        <v>506037376.98000002</v>
      </c>
      <c r="K189" s="193">
        <f t="shared" si="84"/>
        <v>5.5137170571058138E-2</v>
      </c>
      <c r="L189" s="328">
        <v>142.75</v>
      </c>
      <c r="M189" s="328">
        <v>144.75</v>
      </c>
      <c r="N189" s="335">
        <v>0</v>
      </c>
      <c r="O189" s="335">
        <v>-0.1031</v>
      </c>
      <c r="P189" s="329">
        <f t="shared" si="85"/>
        <v>-2.56748549279249E-3</v>
      </c>
      <c r="Q189" s="329">
        <f t="shared" si="86"/>
        <v>-2.549614112458686E-3</v>
      </c>
      <c r="R189" s="329">
        <f t="shared" si="87"/>
        <v>0</v>
      </c>
      <c r="S189" s="364">
        <f t="shared" si="82"/>
        <v>0</v>
      </c>
      <c r="T189" s="188"/>
    </row>
    <row r="190" spans="1:20" s="112" customFormat="1" ht="12" customHeight="1">
      <c r="A190" s="402">
        <v>11</v>
      </c>
      <c r="B190" s="394" t="s">
        <v>30</v>
      </c>
      <c r="C190" s="395" t="s">
        <v>29</v>
      </c>
      <c r="D190" s="324">
        <v>3453776496.79</v>
      </c>
      <c r="E190" s="193">
        <f t="shared" si="83"/>
        <v>0.37453347456674241</v>
      </c>
      <c r="F190" s="328">
        <v>23.94</v>
      </c>
      <c r="G190" s="328">
        <v>24.14</v>
      </c>
      <c r="H190" s="335">
        <v>6.4999999999999997E-3</v>
      </c>
      <c r="I190" s="335">
        <v>0.26740000000000003</v>
      </c>
      <c r="J190" s="324">
        <v>3458506493.6799998</v>
      </c>
      <c r="K190" s="193">
        <f t="shared" si="84"/>
        <v>0.37683434295147533</v>
      </c>
      <c r="L190" s="328">
        <v>23.98</v>
      </c>
      <c r="M190" s="328">
        <v>24.18</v>
      </c>
      <c r="N190" s="335">
        <v>-2.5999999999999999E-3</v>
      </c>
      <c r="O190" s="335">
        <v>0.2641</v>
      </c>
      <c r="P190" s="329">
        <f t="shared" si="85"/>
        <v>1.3695144704343226E-3</v>
      </c>
      <c r="Q190" s="329">
        <f t="shared" si="86"/>
        <v>1.6570008285003788E-3</v>
      </c>
      <c r="R190" s="329">
        <f t="shared" si="87"/>
        <v>-9.1000000000000004E-3</v>
      </c>
      <c r="S190" s="364">
        <f t="shared" si="82"/>
        <v>-3.3000000000000251E-3</v>
      </c>
      <c r="T190" s="188"/>
    </row>
    <row r="191" spans="1:20" s="112" customFormat="1" ht="12" customHeight="1">
      <c r="A191" s="402">
        <v>12</v>
      </c>
      <c r="B191" s="394" t="s">
        <v>51</v>
      </c>
      <c r="C191" s="395" t="s">
        <v>29</v>
      </c>
      <c r="D191" s="75">
        <v>296989283.70999998</v>
      </c>
      <c r="E191" s="193">
        <f t="shared" si="83"/>
        <v>3.2206029672266191E-2</v>
      </c>
      <c r="F191" s="328">
        <v>28.35</v>
      </c>
      <c r="G191" s="328">
        <v>28.55</v>
      </c>
      <c r="H191" s="335">
        <v>0</v>
      </c>
      <c r="I191" s="335">
        <v>0.19009999999999999</v>
      </c>
      <c r="J191" s="75">
        <v>297502295.94999999</v>
      </c>
      <c r="K191" s="193">
        <v>0.24610000000000001</v>
      </c>
      <c r="L191" s="328">
        <v>28.35</v>
      </c>
      <c r="M191" s="328">
        <v>28.55</v>
      </c>
      <c r="N191" s="335">
        <v>0</v>
      </c>
      <c r="O191" s="335">
        <v>0.19009999999999999</v>
      </c>
      <c r="P191" s="329">
        <f t="shared" si="85"/>
        <v>1.7273762662121798E-3</v>
      </c>
      <c r="Q191" s="329">
        <f t="shared" si="86"/>
        <v>0</v>
      </c>
      <c r="R191" s="329">
        <f t="shared" si="87"/>
        <v>0</v>
      </c>
      <c r="S191" s="364">
        <f t="shared" si="82"/>
        <v>0</v>
      </c>
      <c r="T191" s="190"/>
    </row>
    <row r="192" spans="1:20" s="112" customFormat="1" ht="12" customHeight="1">
      <c r="A192" s="376"/>
      <c r="B192" s="377"/>
      <c r="C192" s="377" t="s">
        <v>33</v>
      </c>
      <c r="D192" s="369">
        <f>SUM(D180:D191)</f>
        <v>9221542882.8766327</v>
      </c>
      <c r="E192" s="369"/>
      <c r="F192" s="372"/>
      <c r="G192" s="370"/>
      <c r="H192" s="371"/>
      <c r="I192" s="371"/>
      <c r="J192" s="369">
        <f>SUM(J180:J191)</f>
        <v>9177790077.7088909</v>
      </c>
      <c r="K192" s="372"/>
      <c r="L192" s="372"/>
      <c r="M192" s="370"/>
      <c r="N192" s="371"/>
      <c r="O192" s="371"/>
      <c r="P192" s="373">
        <f t="shared" ref="P192" si="88">((J192-D192)/D192)</f>
        <v>-4.7446295835142527E-3</v>
      </c>
      <c r="Q192" s="374"/>
      <c r="R192" s="373">
        <f t="shared" ref="R192" si="89">N192-H192</f>
        <v>0</v>
      </c>
      <c r="S192" s="375">
        <f t="shared" si="82"/>
        <v>0</v>
      </c>
      <c r="T192" s="137" t="s">
        <v>259</v>
      </c>
    </row>
    <row r="193" spans="1:20" s="112" customFormat="1" ht="12" customHeight="1" thickBot="1">
      <c r="A193" s="246"/>
      <c r="B193" s="247"/>
      <c r="C193" s="247" t="s">
        <v>43</v>
      </c>
      <c r="D193" s="248">
        <f>SUM(D168,D175,D192)</f>
        <v>2029098408141.9402</v>
      </c>
      <c r="E193" s="248"/>
      <c r="F193" s="248"/>
      <c r="G193" s="249"/>
      <c r="H193" s="250"/>
      <c r="I193" s="250"/>
      <c r="J193" s="248">
        <f>SUM(J168,J175,J192)</f>
        <v>2019862555518.3599</v>
      </c>
      <c r="K193" s="228"/>
      <c r="L193" s="228"/>
      <c r="M193" s="229"/>
      <c r="N193" s="230"/>
      <c r="O193" s="230"/>
      <c r="P193" s="211"/>
      <c r="Q193" s="215"/>
      <c r="R193" s="215"/>
      <c r="S193" s="212"/>
      <c r="T193" s="138">
        <f>((J192-D192)/D192)</f>
        <v>-4.7446295835142527E-3</v>
      </c>
    </row>
    <row r="194" spans="1:20" ht="12" customHeight="1">
      <c r="A194" s="231"/>
      <c r="B194" s="92"/>
      <c r="C194" s="232"/>
      <c r="D194" s="66"/>
      <c r="E194" s="66"/>
      <c r="F194" s="66"/>
      <c r="G194" s="233"/>
      <c r="H194" s="234"/>
      <c r="I194" s="234"/>
      <c r="J194" s="7"/>
      <c r="K194" s="66"/>
      <c r="L194" s="66"/>
      <c r="M194" s="235"/>
      <c r="N194" s="236"/>
      <c r="O194" s="236"/>
    </row>
    <row r="195" spans="1:20" ht="12" customHeight="1">
      <c r="A195" s="236"/>
      <c r="B195" s="235"/>
      <c r="C195" s="238"/>
      <c r="D195" s="235"/>
      <c r="E195" s="235"/>
      <c r="F195" s="235"/>
      <c r="G195" s="235"/>
      <c r="H195" s="237"/>
      <c r="I195" s="237"/>
      <c r="J195" s="239"/>
      <c r="K195" s="235"/>
      <c r="L195" s="235"/>
      <c r="M195" s="235"/>
      <c r="N195" s="236"/>
      <c r="O195" s="236"/>
    </row>
    <row r="196" spans="1:20" ht="12" customHeight="1">
      <c r="A196" s="236"/>
      <c r="B196" s="238"/>
      <c r="C196" s="235"/>
      <c r="D196" s="235"/>
      <c r="E196" s="235"/>
      <c r="F196" s="235"/>
      <c r="G196" s="235"/>
      <c r="H196" s="237"/>
      <c r="I196" s="237"/>
      <c r="J196" s="239"/>
      <c r="K196" s="235"/>
      <c r="L196" s="235"/>
      <c r="M196" s="235"/>
      <c r="N196" s="236"/>
      <c r="O196" s="236"/>
    </row>
    <row r="197" spans="1:20" ht="12" customHeight="1">
      <c r="A197" s="236"/>
      <c r="B197" s="241"/>
      <c r="C197" s="240"/>
      <c r="D197" s="235"/>
      <c r="E197" s="235"/>
      <c r="F197" s="235"/>
      <c r="G197" s="235"/>
      <c r="H197" s="237"/>
      <c r="I197" s="237"/>
      <c r="J197" s="239"/>
      <c r="K197" s="235"/>
      <c r="L197" s="235"/>
      <c r="M197" s="235"/>
      <c r="N197" s="236"/>
      <c r="O197" s="236"/>
    </row>
    <row r="198" spans="1:20" ht="12" customHeight="1">
      <c r="A198" s="236"/>
      <c r="B198" s="240"/>
      <c r="C198" s="240"/>
      <c r="D198" s="235"/>
      <c r="E198" s="235"/>
      <c r="F198" s="235"/>
      <c r="G198" s="235"/>
      <c r="H198" s="237"/>
      <c r="I198" s="237"/>
      <c r="J198" s="239"/>
      <c r="K198" s="235"/>
      <c r="L198" s="235"/>
      <c r="M198" s="235"/>
      <c r="N198" s="236"/>
      <c r="O198" s="236"/>
    </row>
    <row r="199" spans="1:20" ht="12" customHeight="1">
      <c r="A199" s="236"/>
      <c r="B199" s="240"/>
      <c r="C199" s="240"/>
      <c r="D199" s="235"/>
      <c r="E199" s="235"/>
      <c r="F199" s="235"/>
      <c r="G199" s="235"/>
      <c r="H199" s="237"/>
      <c r="I199" s="237"/>
      <c r="J199" s="239"/>
      <c r="K199" s="235"/>
      <c r="L199" s="235"/>
      <c r="M199" s="235"/>
      <c r="N199" s="236"/>
      <c r="O199" s="236"/>
    </row>
    <row r="200" spans="1:20" ht="12" customHeight="1">
      <c r="A200" s="236"/>
      <c r="B200" s="240"/>
      <c r="C200" s="240"/>
      <c r="D200" s="235"/>
      <c r="E200" s="235"/>
      <c r="F200" s="235"/>
      <c r="G200" s="235"/>
      <c r="H200" s="237"/>
      <c r="I200" s="237"/>
      <c r="J200" s="239"/>
      <c r="K200" s="235"/>
      <c r="L200" s="235"/>
      <c r="M200" s="235"/>
      <c r="N200" s="236"/>
      <c r="O200" s="236"/>
    </row>
    <row r="201" spans="1:20" ht="12" customHeight="1">
      <c r="A201" s="236"/>
      <c r="B201" s="241"/>
      <c r="C201" s="240"/>
      <c r="D201" s="235"/>
      <c r="E201" s="235"/>
      <c r="F201" s="235"/>
      <c r="G201" s="235"/>
      <c r="H201" s="237"/>
      <c r="I201" s="237"/>
      <c r="J201" s="239"/>
      <c r="K201" s="235"/>
      <c r="L201" s="235"/>
      <c r="M201" s="235"/>
      <c r="N201" s="236"/>
      <c r="O201" s="236"/>
    </row>
    <row r="202" spans="1:20" ht="12" customHeight="1">
      <c r="B202" s="240"/>
      <c r="C202" s="240"/>
      <c r="D202" s="235"/>
      <c r="E202" s="235"/>
      <c r="F202" s="235"/>
      <c r="G202" s="235"/>
      <c r="H202" s="237"/>
      <c r="I202" s="237"/>
      <c r="J202" s="239"/>
      <c r="K202" s="235"/>
      <c r="L202" s="235"/>
      <c r="M202" s="235"/>
      <c r="N202" s="236"/>
      <c r="O202" s="236"/>
    </row>
    <row r="203" spans="1:20" ht="12" customHeight="1">
      <c r="B203" s="4"/>
      <c r="C203" s="4"/>
    </row>
    <row r="204" spans="1:20" ht="12" customHeight="1">
      <c r="B204" s="4"/>
      <c r="C204" s="4"/>
    </row>
    <row r="205" spans="1:20" ht="12" customHeight="1">
      <c r="B205" s="6"/>
      <c r="C205" s="4"/>
    </row>
    <row r="206" spans="1:20" ht="12" customHeight="1">
      <c r="B206" s="4"/>
      <c r="C206" s="4"/>
    </row>
    <row r="207" spans="1:20" ht="12" customHeight="1">
      <c r="B207" s="4"/>
      <c r="C207" s="4"/>
    </row>
    <row r="208" spans="1:20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4"/>
      <c r="C237" s="4"/>
    </row>
    <row r="238" spans="2:3" ht="12" customHeight="1">
      <c r="B238" s="5"/>
      <c r="C238" s="5"/>
    </row>
    <row r="239" spans="2:3" ht="12" customHeight="1">
      <c r="B239" s="5"/>
      <c r="C239" s="5"/>
    </row>
    <row r="240" spans="2:3" ht="12" customHeight="1">
      <c r="B240" s="5"/>
      <c r="C240" s="5"/>
    </row>
  </sheetData>
  <protectedRanges>
    <protectedRange password="CADF" sqref="E47" name="Yield_1_1_2_1_1_1"/>
    <protectedRange password="CADF" sqref="E52" name="Yield_1_1_1_1"/>
    <protectedRange password="CADF" sqref="J20 D20" name="Fund Name_1_1_1_3_1_1"/>
    <protectedRange password="CADF" sqref="N20:O20 H20:I20" name="Yield_1_1_2_1_3"/>
    <protectedRange password="CADF" sqref="L20:M20 F20:G20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M76 G76" name="BidOffer Prices_2_1_1_1_1_1_1_1_1_1"/>
    <protectedRange password="CADF" sqref="J135 J144:J145 D135 D144:D145" name="Fund Name_1_1_1_2"/>
    <protectedRange password="CADF" sqref="N135:O135 N144:O145 H135:I135 H144:I145" name="Yield_1_1_2_2"/>
    <protectedRange password="CADF" sqref="L135:M135 L144:M145 F135:G135 F144:G145" name="Fund Name_1_1_1_1_2"/>
    <protectedRange password="CADF" sqref="N47:O47 H47:I47" name="Yield_1_1_2_1_1_1_1_1"/>
    <protectedRange password="CADF" sqref="J94:J95 D94:D95" name="Yield_2_1_2_6_3"/>
    <protectedRange password="CADF" sqref="J16 D16" name="Yield_2_1_2_5"/>
  </protectedRanges>
  <mergeCells count="42">
    <mergeCell ref="A148:S148"/>
    <mergeCell ref="A147:S147"/>
    <mergeCell ref="A177:S177"/>
    <mergeCell ref="A159:S159"/>
    <mergeCell ref="A158:S158"/>
    <mergeCell ref="A170:S170"/>
    <mergeCell ref="A176:S176"/>
    <mergeCell ref="A1:S1"/>
    <mergeCell ref="A56:S56"/>
    <mergeCell ref="A55:S55"/>
    <mergeCell ref="A89:S89"/>
    <mergeCell ref="A90:S90"/>
    <mergeCell ref="A88:S88"/>
    <mergeCell ref="D2:I2"/>
    <mergeCell ref="J2:O2"/>
    <mergeCell ref="U70:V70"/>
    <mergeCell ref="V29:W29"/>
    <mergeCell ref="P2:Q2"/>
    <mergeCell ref="R2:S2"/>
    <mergeCell ref="V30:W30"/>
    <mergeCell ref="V31:W31"/>
    <mergeCell ref="V34:W34"/>
    <mergeCell ref="A4:S4"/>
    <mergeCell ref="A5:S5"/>
    <mergeCell ref="A24:S24"/>
    <mergeCell ref="A23:S23"/>
    <mergeCell ref="W119:W121"/>
    <mergeCell ref="V71:V83"/>
    <mergeCell ref="T122:T123"/>
    <mergeCell ref="P178:R178"/>
    <mergeCell ref="P171:R171"/>
    <mergeCell ref="A169:R169"/>
    <mergeCell ref="A114:S114"/>
    <mergeCell ref="A154:S154"/>
    <mergeCell ref="A155:S155"/>
    <mergeCell ref="A153:S153"/>
    <mergeCell ref="U103:U104"/>
    <mergeCell ref="A102:S102"/>
    <mergeCell ref="A101:S101"/>
    <mergeCell ref="A113:S113"/>
    <mergeCell ref="A121:S121"/>
    <mergeCell ref="A120:S120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100" max="16383" man="1"/>
    <brk id="140" max="16383" man="1"/>
  </rowBreaks>
  <colBreaks count="1" manualBreakCount="1">
    <brk id="10" max="19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Normal="10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2"/>
      <c r="F3" s="102"/>
      <c r="G3" s="102"/>
    </row>
    <row r="4" spans="1:7">
      <c r="E4" s="102"/>
      <c r="F4" s="102"/>
      <c r="G4" s="102"/>
    </row>
    <row r="5" spans="1:7">
      <c r="E5" s="102"/>
      <c r="F5" s="102"/>
      <c r="G5" s="102"/>
    </row>
    <row r="6" spans="1:7">
      <c r="E6" s="99" t="s">
        <v>64</v>
      </c>
      <c r="F6" s="100" t="s">
        <v>151</v>
      </c>
      <c r="G6" s="102"/>
    </row>
    <row r="7" spans="1:7">
      <c r="E7" s="194" t="s">
        <v>0</v>
      </c>
      <c r="F7" s="101">
        <f>'NAV Trend'!J2</f>
        <v>21710538133.900002</v>
      </c>
      <c r="G7" s="102"/>
    </row>
    <row r="8" spans="1:7">
      <c r="E8" s="194" t="s">
        <v>44</v>
      </c>
      <c r="F8" s="101">
        <f>'NAV Trend'!J3</f>
        <v>849994179796.46228</v>
      </c>
      <c r="G8" s="102"/>
    </row>
    <row r="9" spans="1:7">
      <c r="A9" s="102"/>
      <c r="B9" s="102"/>
      <c r="E9" s="194" t="s">
        <v>192</v>
      </c>
      <c r="F9" s="101">
        <f>'NAV Trend'!J4</f>
        <v>320399612573.65601</v>
      </c>
      <c r="G9" s="102"/>
    </row>
    <row r="10" spans="1:7">
      <c r="A10" s="456"/>
      <c r="B10" s="456"/>
      <c r="E10" s="194" t="s">
        <v>194</v>
      </c>
      <c r="F10" s="101">
        <f>'NAV Trend'!J5</f>
        <v>569956762301.13733</v>
      </c>
      <c r="G10" s="102"/>
    </row>
    <row r="11" spans="1:7">
      <c r="A11" s="95"/>
      <c r="B11" s="95"/>
      <c r="E11" s="194" t="s">
        <v>210</v>
      </c>
      <c r="F11" s="101">
        <f>'NAV Trend'!J6</f>
        <v>93558457831.729996</v>
      </c>
      <c r="G11" s="102"/>
    </row>
    <row r="12" spans="1:7">
      <c r="A12" s="96"/>
      <c r="B12" s="97"/>
      <c r="E12" s="194" t="s">
        <v>60</v>
      </c>
      <c r="F12" s="101">
        <f>'NAV Trend'!J7</f>
        <v>38690467865.717575</v>
      </c>
      <c r="G12" s="102"/>
    </row>
    <row r="13" spans="1:7">
      <c r="A13" s="96"/>
      <c r="B13" s="97"/>
      <c r="E13" s="194" t="s">
        <v>66</v>
      </c>
      <c r="F13" s="101">
        <f>'NAV Trend'!J8</f>
        <v>3765883383.1199999</v>
      </c>
      <c r="G13" s="102"/>
    </row>
    <row r="14" spans="1:7">
      <c r="A14" s="96"/>
      <c r="B14" s="97"/>
      <c r="E14" s="194" t="s">
        <v>207</v>
      </c>
      <c r="F14" s="195">
        <f>'NAV Trend'!J9</f>
        <v>27315712442.810001</v>
      </c>
      <c r="G14" s="102"/>
    </row>
    <row r="15" spans="1:7">
      <c r="A15" s="96"/>
      <c r="B15" s="97"/>
      <c r="E15" s="102"/>
      <c r="F15" s="102"/>
      <c r="G15" s="102"/>
    </row>
    <row r="16" spans="1:7">
      <c r="A16" s="96"/>
      <c r="B16" s="97"/>
      <c r="E16" s="102"/>
      <c r="F16" s="102"/>
      <c r="G16" s="102"/>
    </row>
    <row r="17" spans="1:13">
      <c r="A17" s="96"/>
      <c r="B17" s="97"/>
      <c r="E17" s="102"/>
      <c r="F17" s="102"/>
      <c r="G17" s="102"/>
    </row>
    <row r="18" spans="1:13">
      <c r="A18" s="96"/>
      <c r="B18" s="97"/>
      <c r="E18" s="102"/>
      <c r="F18" s="102"/>
      <c r="G18" s="102"/>
    </row>
    <row r="19" spans="1:13">
      <c r="A19" s="96"/>
      <c r="B19" s="97"/>
      <c r="E19" s="102"/>
      <c r="F19" s="102"/>
      <c r="G19" s="102"/>
    </row>
    <row r="24" spans="1:13" s="93" customFormat="1" ht="21.75" customHeight="1"/>
    <row r="25" spans="1:13" ht="30.75" customHeight="1">
      <c r="B25" s="378" t="s">
        <v>153</v>
      </c>
      <c r="M25" s="94"/>
    </row>
    <row r="26" spans="1:13" ht="43.5" customHeight="1">
      <c r="B26" s="457" t="s">
        <v>284</v>
      </c>
      <c r="C26" s="457"/>
      <c r="D26" s="457"/>
      <c r="E26" s="457"/>
      <c r="F26" s="457"/>
      <c r="G26" s="457"/>
      <c r="H26" s="457"/>
      <c r="I26" s="457"/>
      <c r="J26" s="457"/>
      <c r="K26" s="457"/>
      <c r="L26" s="457"/>
      <c r="M26" s="98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H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46" t="s">
        <v>64</v>
      </c>
      <c r="C1" s="340">
        <v>45086</v>
      </c>
      <c r="D1" s="340">
        <v>45093</v>
      </c>
      <c r="E1" s="340">
        <v>45100</v>
      </c>
      <c r="F1" s="340">
        <v>45107</v>
      </c>
      <c r="G1" s="340">
        <v>45114</v>
      </c>
      <c r="H1" s="340">
        <v>45121</v>
      </c>
      <c r="I1" s="340">
        <v>45128</v>
      </c>
      <c r="J1" s="340">
        <v>45135</v>
      </c>
      <c r="K1" s="340">
        <v>45142</v>
      </c>
      <c r="L1" s="304"/>
    </row>
    <row r="2" spans="2:24" s="108" customFormat="1" ht="16.5">
      <c r="B2" s="347" t="s">
        <v>0</v>
      </c>
      <c r="C2" s="341">
        <v>18707350348.629997</v>
      </c>
      <c r="D2" s="341">
        <v>20030863173.209999</v>
      </c>
      <c r="E2" s="341">
        <v>20288689104.509998</v>
      </c>
      <c r="F2" s="341">
        <v>20576058059.739998</v>
      </c>
      <c r="G2" s="341">
        <v>21710685651.219997</v>
      </c>
      <c r="H2" s="341">
        <v>20938164830.360001</v>
      </c>
      <c r="I2" s="341">
        <v>21667567762.559998</v>
      </c>
      <c r="J2" s="341">
        <v>21710538133.900002</v>
      </c>
      <c r="K2" s="341">
        <v>21798118395</v>
      </c>
    </row>
    <row r="3" spans="2:24" s="108" customFormat="1" ht="16.5">
      <c r="B3" s="347" t="s">
        <v>44</v>
      </c>
      <c r="C3" s="342">
        <v>810860786783.24963</v>
      </c>
      <c r="D3" s="342">
        <v>816758455712.61926</v>
      </c>
      <c r="E3" s="342">
        <v>817523630430.57593</v>
      </c>
      <c r="F3" s="342">
        <v>822530716125.65808</v>
      </c>
      <c r="G3" s="342">
        <v>835884528785.64209</v>
      </c>
      <c r="H3" s="342">
        <v>846543599278.24768</v>
      </c>
      <c r="I3" s="342">
        <v>847949243662.16028</v>
      </c>
      <c r="J3" s="342">
        <v>849994179796.46228</v>
      </c>
      <c r="K3" s="342">
        <v>856179741726.49231</v>
      </c>
    </row>
    <row r="4" spans="2:24" s="108" customFormat="1" ht="16.5">
      <c r="B4" s="347" t="s">
        <v>192</v>
      </c>
      <c r="C4" s="341">
        <v>319908980259.00153</v>
      </c>
      <c r="D4" s="341">
        <v>317665884188.13855</v>
      </c>
      <c r="E4" s="341">
        <v>327549421729.35663</v>
      </c>
      <c r="F4" s="341">
        <v>321409973646.99713</v>
      </c>
      <c r="G4" s="341">
        <v>320721885218.37311</v>
      </c>
      <c r="H4" s="341">
        <v>309847018533.15375</v>
      </c>
      <c r="I4" s="341">
        <v>319728597414.12091</v>
      </c>
      <c r="J4" s="341">
        <v>320399612573.65601</v>
      </c>
      <c r="K4" s="341">
        <v>320872331713.32611</v>
      </c>
    </row>
    <row r="5" spans="2:24" s="108" customFormat="1" ht="16.5">
      <c r="B5" s="347" t="s">
        <v>194</v>
      </c>
      <c r="C5" s="342">
        <v>338597314330.35101</v>
      </c>
      <c r="D5" s="342">
        <v>470498434802.98218</v>
      </c>
      <c r="E5" s="342">
        <v>550519578291.03943</v>
      </c>
      <c r="F5" s="342">
        <v>553623134341.57056</v>
      </c>
      <c r="G5" s="342">
        <v>561593301377.72437</v>
      </c>
      <c r="H5" s="342">
        <v>583012756562.62463</v>
      </c>
      <c r="I5" s="342">
        <v>568541591372.9552</v>
      </c>
      <c r="J5" s="342">
        <v>569956762301.13733</v>
      </c>
      <c r="K5" s="342">
        <v>553123134779.05676</v>
      </c>
    </row>
    <row r="6" spans="2:24" s="108" customFormat="1" ht="16.5">
      <c r="B6" s="347" t="s">
        <v>211</v>
      </c>
      <c r="C6" s="341">
        <v>93428704507.080002</v>
      </c>
      <c r="D6" s="341">
        <v>93449896565.160004</v>
      </c>
      <c r="E6" s="341">
        <v>93463222418.470001</v>
      </c>
      <c r="F6" s="341">
        <v>93491559414.529999</v>
      </c>
      <c r="G6" s="341">
        <v>93531954973.449997</v>
      </c>
      <c r="H6" s="341">
        <v>93572406322.790009</v>
      </c>
      <c r="I6" s="341">
        <v>93543514118.800003</v>
      </c>
      <c r="J6" s="341">
        <v>93558457831.729996</v>
      </c>
      <c r="K6" s="341">
        <v>93574800912.410004</v>
      </c>
    </row>
    <row r="7" spans="2:24" s="108" customFormat="1" ht="16.5">
      <c r="B7" s="347" t="s">
        <v>220</v>
      </c>
      <c r="C7" s="343">
        <v>33719080186.031113</v>
      </c>
      <c r="D7" s="343">
        <v>35744115521.98378</v>
      </c>
      <c r="E7" s="343">
        <v>36228102075.464104</v>
      </c>
      <c r="F7" s="343">
        <v>36851874319.96862</v>
      </c>
      <c r="G7" s="343">
        <v>38388002959.524063</v>
      </c>
      <c r="H7" s="343">
        <v>37664855902.908386</v>
      </c>
      <c r="I7" s="343">
        <v>38533905044.200745</v>
      </c>
      <c r="J7" s="343">
        <v>38690467865.717575</v>
      </c>
      <c r="K7" s="343">
        <v>38884096485.686134</v>
      </c>
    </row>
    <row r="8" spans="2:24" s="285" customFormat="1" ht="16.5">
      <c r="B8" s="347" t="s">
        <v>66</v>
      </c>
      <c r="C8" s="341">
        <v>3226244064.04</v>
      </c>
      <c r="D8" s="341">
        <v>3394394975.1899996</v>
      </c>
      <c r="E8" s="341">
        <v>3378418489.8299999</v>
      </c>
      <c r="F8" s="341">
        <v>3481681169.4399996</v>
      </c>
      <c r="G8" s="341">
        <v>3684466270.75</v>
      </c>
      <c r="H8" s="341">
        <v>3699554011.3700004</v>
      </c>
      <c r="I8" s="341">
        <v>3844664135.71</v>
      </c>
      <c r="J8" s="341">
        <v>3765883383.1199999</v>
      </c>
      <c r="K8" s="341">
        <v>3796886715.4300003</v>
      </c>
    </row>
    <row r="9" spans="2:24" ht="16.5">
      <c r="B9" s="347" t="s">
        <v>207</v>
      </c>
      <c r="C9" s="341">
        <v>25776389309.68</v>
      </c>
      <c r="D9" s="341">
        <v>25810810447.57</v>
      </c>
      <c r="E9" s="341">
        <v>26082310834.120003</v>
      </c>
      <c r="F9" s="341">
        <v>26010301617.079998</v>
      </c>
      <c r="G9" s="341">
        <v>26335558994.479996</v>
      </c>
      <c r="H9" s="341">
        <v>27169515243.780003</v>
      </c>
      <c r="I9" s="341">
        <v>27114196022.169998</v>
      </c>
      <c r="J9" s="341">
        <v>27315712442.810001</v>
      </c>
      <c r="K9" s="341">
        <v>27962550206.07</v>
      </c>
    </row>
    <row r="10" spans="2:24" s="1" customFormat="1" ht="15.75">
      <c r="B10" s="348" t="s">
        <v>248</v>
      </c>
      <c r="C10" s="349">
        <f t="shared" ref="C10:J10" si="0">SUM(C2:C9)</f>
        <v>1644224849788.0632</v>
      </c>
      <c r="D10" s="349">
        <f t="shared" si="0"/>
        <v>1783352855386.8538</v>
      </c>
      <c r="E10" s="349">
        <f t="shared" si="0"/>
        <v>1875033373373.3662</v>
      </c>
      <c r="F10" s="349">
        <f t="shared" si="0"/>
        <v>1877975298694.9844</v>
      </c>
      <c r="G10" s="349">
        <f t="shared" si="0"/>
        <v>1901850384231.1636</v>
      </c>
      <c r="H10" s="349">
        <f t="shared" si="0"/>
        <v>1922447870685.2349</v>
      </c>
      <c r="I10" s="349">
        <f t="shared" si="0"/>
        <v>1920923279532.677</v>
      </c>
      <c r="J10" s="349">
        <f t="shared" si="0"/>
        <v>1925391614328.5334</v>
      </c>
      <c r="K10" s="349">
        <f t="shared" ref="K10" si="1">SUM(K2:K9)</f>
        <v>1916191660933.4709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2:24" ht="6.75" customHeight="1">
      <c r="B11" s="344"/>
      <c r="C11" s="345"/>
      <c r="D11" s="345"/>
      <c r="E11" s="345"/>
      <c r="F11" s="345"/>
      <c r="G11" s="345"/>
      <c r="H11" s="345"/>
      <c r="I11" s="345"/>
      <c r="J11" s="344"/>
      <c r="K11" s="344"/>
    </row>
    <row r="12" spans="2:24" ht="15.75">
      <c r="B12" s="350" t="s">
        <v>114</v>
      </c>
      <c r="C12" s="351" t="s">
        <v>113</v>
      </c>
      <c r="D12" s="352">
        <f>(C10+D10)/2</f>
        <v>1713788852587.4585</v>
      </c>
      <c r="E12" s="353">
        <f t="shared" ref="E12:K12" si="2">(D10+E10)/2</f>
        <v>1829193114380.1099</v>
      </c>
      <c r="F12" s="353">
        <f t="shared" si="2"/>
        <v>1876504336034.1753</v>
      </c>
      <c r="G12" s="353">
        <f t="shared" si="2"/>
        <v>1889912841463.074</v>
      </c>
      <c r="H12" s="353">
        <f>(G10+H10)/2</f>
        <v>1912149127458.1992</v>
      </c>
      <c r="I12" s="353">
        <f t="shared" si="2"/>
        <v>1921685575108.9561</v>
      </c>
      <c r="J12" s="353">
        <f t="shared" si="2"/>
        <v>1923157446930.6052</v>
      </c>
      <c r="K12" s="353">
        <f t="shared" si="2"/>
        <v>1920791637631.0022</v>
      </c>
    </row>
    <row r="13" spans="2:24">
      <c r="B13" s="8"/>
      <c r="C13" s="10"/>
      <c r="D13" s="10"/>
      <c r="E13" s="10"/>
      <c r="F13" s="10"/>
      <c r="G13" s="10"/>
      <c r="H13" s="10"/>
      <c r="I13" s="10"/>
    </row>
    <row r="14" spans="2:24">
      <c r="B14" s="8"/>
      <c r="C14" s="10"/>
      <c r="D14" s="10"/>
      <c r="E14" s="10"/>
      <c r="F14" s="10"/>
      <c r="G14" s="10"/>
      <c r="H14" s="287"/>
      <c r="I14" s="90"/>
      <c r="J14" s="89"/>
      <c r="L14" s="381"/>
    </row>
    <row r="15" spans="2:24" ht="16.5">
      <c r="B15" s="346" t="s">
        <v>64</v>
      </c>
      <c r="C15" s="340">
        <v>45135</v>
      </c>
      <c r="D15" s="340">
        <v>45142</v>
      </c>
      <c r="E15" s="10"/>
      <c r="F15" s="10"/>
      <c r="G15" s="10"/>
      <c r="H15" s="357"/>
      <c r="I15" s="357"/>
    </row>
    <row r="16" spans="2:24" ht="16.5">
      <c r="B16" s="347" t="s">
        <v>0</v>
      </c>
      <c r="C16" s="341">
        <v>21710538133.900002</v>
      </c>
      <c r="D16" s="341">
        <v>21798118395</v>
      </c>
      <c r="E16" s="10"/>
      <c r="F16" s="10"/>
      <c r="G16" s="10"/>
      <c r="H16" s="359"/>
      <c r="I16" s="359"/>
      <c r="J16" s="90"/>
    </row>
    <row r="17" spans="2:10" ht="16.5">
      <c r="B17" s="347" t="s">
        <v>44</v>
      </c>
      <c r="C17" s="342">
        <v>849994179796.46228</v>
      </c>
      <c r="D17" s="342">
        <v>856179741726.49231</v>
      </c>
      <c r="E17" s="10"/>
      <c r="F17" s="10"/>
      <c r="G17" s="10"/>
      <c r="H17" s="360"/>
      <c r="I17" s="360"/>
    </row>
    <row r="18" spans="2:10" ht="16.5">
      <c r="B18" s="347" t="s">
        <v>192</v>
      </c>
      <c r="C18" s="341">
        <v>320399612573.65601</v>
      </c>
      <c r="D18" s="341">
        <v>320872331713.32611</v>
      </c>
      <c r="E18" s="9"/>
      <c r="F18" s="9"/>
      <c r="G18" s="9"/>
      <c r="H18" s="359"/>
      <c r="I18" s="359"/>
    </row>
    <row r="19" spans="2:10" ht="16.5">
      <c r="B19" s="347" t="s">
        <v>194</v>
      </c>
      <c r="C19" s="342">
        <v>569956762301.13733</v>
      </c>
      <c r="D19" s="342">
        <v>553123134779.05676</v>
      </c>
      <c r="E19" s="8"/>
      <c r="F19" s="8"/>
      <c r="G19" s="8"/>
      <c r="H19" s="360"/>
      <c r="I19" s="360"/>
    </row>
    <row r="20" spans="2:10" ht="16.5">
      <c r="B20" s="347" t="s">
        <v>211</v>
      </c>
      <c r="C20" s="341">
        <v>93558457831.729996</v>
      </c>
      <c r="D20" s="341">
        <v>93574800912.410004</v>
      </c>
      <c r="E20" s="8"/>
      <c r="F20" s="8"/>
      <c r="G20" s="8"/>
      <c r="H20" s="359"/>
      <c r="I20" s="359"/>
      <c r="J20" s="91"/>
    </row>
    <row r="21" spans="2:10" ht="16.5">
      <c r="B21" s="347" t="s">
        <v>220</v>
      </c>
      <c r="C21" s="343">
        <v>38690467865.717575</v>
      </c>
      <c r="D21" s="343">
        <v>38884096485.686134</v>
      </c>
      <c r="E21" s="8"/>
      <c r="F21" s="8"/>
      <c r="G21" s="8"/>
      <c r="H21" s="361"/>
      <c r="I21" s="361"/>
    </row>
    <row r="22" spans="2:10" ht="16.5">
      <c r="B22" s="347" t="s">
        <v>66</v>
      </c>
      <c r="C22" s="341">
        <v>3765883383.1199999</v>
      </c>
      <c r="D22" s="341">
        <v>3796886715.4300003</v>
      </c>
      <c r="E22" s="8"/>
      <c r="F22" s="8"/>
      <c r="G22" s="8"/>
      <c r="H22" s="359"/>
      <c r="I22" s="359"/>
    </row>
    <row r="23" spans="2:10" ht="16.5">
      <c r="B23" s="347" t="s">
        <v>207</v>
      </c>
      <c r="C23" s="341">
        <v>27315712442.810001</v>
      </c>
      <c r="D23" s="341">
        <v>27962550206.07</v>
      </c>
      <c r="E23" s="8"/>
      <c r="F23" s="8"/>
      <c r="G23" s="8"/>
      <c r="H23" s="359"/>
      <c r="I23" s="359"/>
    </row>
    <row r="24" spans="2:10" ht="16.5">
      <c r="B24" s="358"/>
      <c r="C24" s="359"/>
      <c r="D24" s="8"/>
      <c r="E24" s="8"/>
      <c r="F24" s="8"/>
      <c r="G24" s="8"/>
      <c r="H24" s="359"/>
    </row>
    <row r="25" spans="2:10" ht="16.5">
      <c r="B25" s="358"/>
      <c r="C25" s="359"/>
      <c r="D25" s="8"/>
      <c r="E25" s="8"/>
      <c r="F25" s="8"/>
      <c r="G25" s="8"/>
      <c r="H25" s="359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8"/>
  <sheetViews>
    <sheetView zoomScale="120" zoomScaleNormal="120" workbookViewId="0">
      <pane xSplit="1" ySplit="8" topLeftCell="AF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44" customWidth="1"/>
    <col min="2" max="2" width="20.7109375" style="368" customWidth="1"/>
    <col min="3" max="3" width="9.28515625" style="368" customWidth="1"/>
    <col min="4" max="4" width="21.28515625" style="368" customWidth="1"/>
    <col min="5" max="7" width="9.28515625" style="368" customWidth="1"/>
    <col min="8" max="8" width="19.28515625" style="368" customWidth="1"/>
    <col min="9" max="11" width="9.28515625" style="368" customWidth="1"/>
    <col min="12" max="12" width="17.85546875" style="368" customWidth="1"/>
    <col min="13" max="15" width="9.28515625" style="368" customWidth="1"/>
    <col min="16" max="16" width="20.5703125" style="368" customWidth="1"/>
    <col min="17" max="19" width="9.28515625" style="368" customWidth="1"/>
    <col min="20" max="20" width="19.7109375" style="368" customWidth="1"/>
    <col min="21" max="23" width="9.28515625" style="368" customWidth="1"/>
    <col min="24" max="24" width="20.42578125" style="368" customWidth="1"/>
    <col min="25" max="27" width="9.28515625" style="368" customWidth="1"/>
    <col min="28" max="28" width="20.140625" style="368" customWidth="1"/>
    <col min="29" max="31" width="9.28515625" style="368" customWidth="1"/>
    <col min="32" max="32" width="20.42578125" style="368" customWidth="1"/>
    <col min="33" max="33" width="10" style="368" customWidth="1"/>
    <col min="34" max="35" width="9.28515625" style="368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8.7109375" customWidth="1"/>
    <col min="41" max="41" width="8.140625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  <col min="48" max="48" width="15.7109375" bestFit="1" customWidth="1"/>
  </cols>
  <sheetData>
    <row r="1" spans="1:49" s="108" customFormat="1" ht="37.5" customHeight="1" thickBot="1">
      <c r="A1" s="462" t="s">
        <v>71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63"/>
      <c r="AE1" s="463"/>
      <c r="AF1" s="463"/>
      <c r="AG1" s="463"/>
      <c r="AH1" s="463"/>
      <c r="AI1" s="463"/>
      <c r="AJ1" s="463"/>
      <c r="AK1" s="463"/>
      <c r="AL1" s="463"/>
      <c r="AM1" s="463"/>
      <c r="AN1" s="463"/>
      <c r="AO1" s="464"/>
    </row>
    <row r="2" spans="1:49" ht="30.75" customHeight="1">
      <c r="A2" s="199"/>
      <c r="B2" s="458" t="s">
        <v>267</v>
      </c>
      <c r="C2" s="458"/>
      <c r="D2" s="458" t="s">
        <v>273</v>
      </c>
      <c r="E2" s="458"/>
      <c r="F2" s="458" t="s">
        <v>62</v>
      </c>
      <c r="G2" s="458"/>
      <c r="H2" s="458" t="s">
        <v>274</v>
      </c>
      <c r="I2" s="458"/>
      <c r="J2" s="458" t="s">
        <v>62</v>
      </c>
      <c r="K2" s="458"/>
      <c r="L2" s="458" t="s">
        <v>275</v>
      </c>
      <c r="M2" s="458"/>
      <c r="N2" s="458" t="s">
        <v>62</v>
      </c>
      <c r="O2" s="458"/>
      <c r="P2" s="458" t="s">
        <v>276</v>
      </c>
      <c r="Q2" s="458"/>
      <c r="R2" s="458" t="s">
        <v>62</v>
      </c>
      <c r="S2" s="458"/>
      <c r="T2" s="458" t="s">
        <v>277</v>
      </c>
      <c r="U2" s="458"/>
      <c r="V2" s="458" t="s">
        <v>62</v>
      </c>
      <c r="W2" s="458"/>
      <c r="X2" s="458" t="s">
        <v>278</v>
      </c>
      <c r="Y2" s="458"/>
      <c r="Z2" s="458" t="s">
        <v>62</v>
      </c>
      <c r="AA2" s="458"/>
      <c r="AB2" s="458" t="s">
        <v>280</v>
      </c>
      <c r="AC2" s="458"/>
      <c r="AD2" s="458" t="s">
        <v>62</v>
      </c>
      <c r="AE2" s="458"/>
      <c r="AF2" s="458" t="s">
        <v>283</v>
      </c>
      <c r="AG2" s="458"/>
      <c r="AH2" s="458" t="s">
        <v>62</v>
      </c>
      <c r="AI2" s="458"/>
      <c r="AJ2" s="458" t="s">
        <v>78</v>
      </c>
      <c r="AK2" s="458"/>
      <c r="AL2" s="458" t="s">
        <v>79</v>
      </c>
      <c r="AM2" s="458"/>
      <c r="AN2" s="458" t="s">
        <v>70</v>
      </c>
      <c r="AO2" s="465"/>
      <c r="AP2" s="14"/>
      <c r="AQ2" s="459" t="s">
        <v>83</v>
      </c>
      <c r="AR2" s="460"/>
      <c r="AS2" s="14"/>
      <c r="AT2" s="14"/>
    </row>
    <row r="3" spans="1:49" ht="27.75" customHeight="1">
      <c r="A3" s="200" t="s">
        <v>2</v>
      </c>
      <c r="B3" s="191" t="s">
        <v>58</v>
      </c>
      <c r="C3" s="192" t="s">
        <v>3</v>
      </c>
      <c r="D3" s="191" t="s">
        <v>58</v>
      </c>
      <c r="E3" s="192" t="s">
        <v>3</v>
      </c>
      <c r="F3" s="196" t="s">
        <v>58</v>
      </c>
      <c r="G3" s="197" t="s">
        <v>3</v>
      </c>
      <c r="H3" s="191" t="s">
        <v>58</v>
      </c>
      <c r="I3" s="192" t="s">
        <v>3</v>
      </c>
      <c r="J3" s="196" t="s">
        <v>58</v>
      </c>
      <c r="K3" s="197" t="s">
        <v>3</v>
      </c>
      <c r="L3" s="191" t="s">
        <v>58</v>
      </c>
      <c r="M3" s="192" t="s">
        <v>3</v>
      </c>
      <c r="N3" s="196" t="s">
        <v>58</v>
      </c>
      <c r="O3" s="197" t="s">
        <v>3</v>
      </c>
      <c r="P3" s="191" t="s">
        <v>58</v>
      </c>
      <c r="Q3" s="192" t="s">
        <v>3</v>
      </c>
      <c r="R3" s="196" t="s">
        <v>58</v>
      </c>
      <c r="S3" s="197" t="s">
        <v>3</v>
      </c>
      <c r="T3" s="191" t="s">
        <v>58</v>
      </c>
      <c r="U3" s="192" t="s">
        <v>3</v>
      </c>
      <c r="V3" s="196" t="s">
        <v>58</v>
      </c>
      <c r="W3" s="197" t="s">
        <v>3</v>
      </c>
      <c r="X3" s="191" t="s">
        <v>58</v>
      </c>
      <c r="Y3" s="192" t="s">
        <v>3</v>
      </c>
      <c r="Z3" s="196" t="s">
        <v>58</v>
      </c>
      <c r="AA3" s="197" t="s">
        <v>3</v>
      </c>
      <c r="AB3" s="191" t="s">
        <v>58</v>
      </c>
      <c r="AC3" s="192" t="s">
        <v>3</v>
      </c>
      <c r="AD3" s="196" t="s">
        <v>58</v>
      </c>
      <c r="AE3" s="197" t="s">
        <v>3</v>
      </c>
      <c r="AF3" s="191" t="s">
        <v>58</v>
      </c>
      <c r="AG3" s="192" t="s">
        <v>3</v>
      </c>
      <c r="AH3" s="196" t="s">
        <v>58</v>
      </c>
      <c r="AI3" s="197" t="s">
        <v>3</v>
      </c>
      <c r="AJ3" s="196" t="s">
        <v>58</v>
      </c>
      <c r="AK3" s="197" t="s">
        <v>3</v>
      </c>
      <c r="AL3" s="196" t="s">
        <v>58</v>
      </c>
      <c r="AM3" s="197" t="s">
        <v>3</v>
      </c>
      <c r="AN3" s="196" t="s">
        <v>58</v>
      </c>
      <c r="AO3" s="382" t="s">
        <v>3</v>
      </c>
      <c r="AP3" s="14"/>
      <c r="AQ3" s="17" t="s">
        <v>58</v>
      </c>
      <c r="AR3" s="18" t="s">
        <v>3</v>
      </c>
      <c r="AS3" s="14"/>
      <c r="AT3" s="14"/>
    </row>
    <row r="4" spans="1:49">
      <c r="A4" s="201" t="s">
        <v>0</v>
      </c>
      <c r="B4" s="67" t="s">
        <v>4</v>
      </c>
      <c r="C4" s="67" t="s">
        <v>4</v>
      </c>
      <c r="D4" s="67" t="s">
        <v>4</v>
      </c>
      <c r="E4" s="67" t="s">
        <v>4</v>
      </c>
      <c r="F4" s="19" t="s">
        <v>77</v>
      </c>
      <c r="G4" s="19" t="s">
        <v>77</v>
      </c>
      <c r="H4" s="67" t="s">
        <v>4</v>
      </c>
      <c r="I4" s="67" t="s">
        <v>4</v>
      </c>
      <c r="J4" s="19" t="s">
        <v>77</v>
      </c>
      <c r="K4" s="19" t="s">
        <v>77</v>
      </c>
      <c r="L4" s="67" t="s">
        <v>4</v>
      </c>
      <c r="M4" s="67" t="s">
        <v>4</v>
      </c>
      <c r="N4" s="19" t="s">
        <v>77</v>
      </c>
      <c r="O4" s="19" t="s">
        <v>77</v>
      </c>
      <c r="P4" s="67" t="s">
        <v>4</v>
      </c>
      <c r="Q4" s="67" t="s">
        <v>4</v>
      </c>
      <c r="R4" s="19" t="s">
        <v>77</v>
      </c>
      <c r="S4" s="19" t="s">
        <v>77</v>
      </c>
      <c r="T4" s="67" t="s">
        <v>4</v>
      </c>
      <c r="U4" s="67" t="s">
        <v>4</v>
      </c>
      <c r="V4" s="19" t="s">
        <v>77</v>
      </c>
      <c r="W4" s="19" t="s">
        <v>77</v>
      </c>
      <c r="X4" s="67" t="s">
        <v>4</v>
      </c>
      <c r="Y4" s="67" t="s">
        <v>4</v>
      </c>
      <c r="Z4" s="19" t="s">
        <v>77</v>
      </c>
      <c r="AA4" s="19" t="s">
        <v>77</v>
      </c>
      <c r="AB4" s="67" t="s">
        <v>4</v>
      </c>
      <c r="AC4" s="67" t="s">
        <v>4</v>
      </c>
      <c r="AD4" s="19" t="s">
        <v>77</v>
      </c>
      <c r="AE4" s="19" t="s">
        <v>77</v>
      </c>
      <c r="AF4" s="67" t="s">
        <v>4</v>
      </c>
      <c r="AG4" s="67" t="s">
        <v>4</v>
      </c>
      <c r="AH4" s="19" t="s">
        <v>77</v>
      </c>
      <c r="AI4" s="19" t="s">
        <v>77</v>
      </c>
      <c r="AJ4" s="20" t="s">
        <v>77</v>
      </c>
      <c r="AK4" s="20" t="s">
        <v>77</v>
      </c>
      <c r="AL4" s="21" t="s">
        <v>77</v>
      </c>
      <c r="AM4" s="21" t="s">
        <v>77</v>
      </c>
      <c r="AN4" s="15" t="s">
        <v>77</v>
      </c>
      <c r="AO4" s="16" t="s">
        <v>77</v>
      </c>
      <c r="AP4" s="14"/>
      <c r="AQ4" s="22" t="s">
        <v>4</v>
      </c>
      <c r="AR4" s="22" t="s">
        <v>4</v>
      </c>
      <c r="AS4" s="14"/>
      <c r="AT4" s="14"/>
    </row>
    <row r="5" spans="1:49">
      <c r="A5" s="202" t="s">
        <v>13</v>
      </c>
      <c r="B5" s="326">
        <v>473833554.04000002</v>
      </c>
      <c r="C5" s="325">
        <v>224.7843</v>
      </c>
      <c r="D5" s="326">
        <v>515658316.36000001</v>
      </c>
      <c r="E5" s="325">
        <v>240.32689999999999</v>
      </c>
      <c r="F5" s="23">
        <f t="shared" ref="F5:F20" si="0">((D5-B5)/B5)</f>
        <v>8.8268890971088199E-2</v>
      </c>
      <c r="G5" s="23">
        <f t="shared" ref="G5:G20" si="1">((E5-C5)/C5)</f>
        <v>6.9144508757951487E-2</v>
      </c>
      <c r="H5" s="326">
        <v>525729217.97000003</v>
      </c>
      <c r="I5" s="325">
        <v>244.16630000000001</v>
      </c>
      <c r="J5" s="23">
        <f t="shared" ref="J5:J20" si="2">((H5-D5)/D5)</f>
        <v>1.9530183632235163E-2</v>
      </c>
      <c r="K5" s="23">
        <f t="shared" ref="K5:K20" si="3">((I5-E5)/E5)</f>
        <v>1.5975739711201749E-2</v>
      </c>
      <c r="L5" s="326">
        <v>548213517.25</v>
      </c>
      <c r="M5" s="325">
        <v>250.09899999999999</v>
      </c>
      <c r="N5" s="23">
        <f t="shared" ref="N5:N20" si="4">((L5-H5)/H5)</f>
        <v>4.2767832776764186E-2</v>
      </c>
      <c r="O5" s="23">
        <f t="shared" ref="O5:O20" si="5">((M5-I5)/I5)</f>
        <v>2.4297783928412656E-2</v>
      </c>
      <c r="P5" s="326">
        <v>584695405.27999997</v>
      </c>
      <c r="Q5" s="325">
        <v>262.25749999999999</v>
      </c>
      <c r="R5" s="23">
        <f t="shared" ref="R5:R20" si="6">((P5-L5)/L5)</f>
        <v>6.6546859721744608E-2</v>
      </c>
      <c r="S5" s="23">
        <f t="shared" ref="S5:S20" si="7">((Q5-M5)/M5)</f>
        <v>4.8614748559570424E-2</v>
      </c>
      <c r="T5" s="326">
        <v>584335122.71000004</v>
      </c>
      <c r="U5" s="325">
        <v>250.36150000000001</v>
      </c>
      <c r="V5" s="23">
        <f t="shared" ref="V5:V20" si="8">((T5-P5)/P5)</f>
        <v>-6.1618847479637793E-4</v>
      </c>
      <c r="W5" s="23">
        <f t="shared" ref="W5:W20" si="9">((U5-Q5)/Q5)</f>
        <v>-4.5359999237390682E-2</v>
      </c>
      <c r="X5" s="326">
        <v>613895855.03999996</v>
      </c>
      <c r="Y5" s="325">
        <v>262.24189999999999</v>
      </c>
      <c r="Z5" s="23">
        <f t="shared" ref="Z5:Z20" si="10">((X5-T5)/T5)</f>
        <v>5.0588662534787651E-2</v>
      </c>
      <c r="AA5" s="23">
        <f t="shared" ref="AA5:AA20" si="11">((Y5-U5)/U5)</f>
        <v>4.7452982986601291E-2</v>
      </c>
      <c r="AB5" s="326">
        <v>612427190.11000001</v>
      </c>
      <c r="AC5" s="325">
        <v>260.09980000000002</v>
      </c>
      <c r="AD5" s="23">
        <f t="shared" ref="AD5:AD20" si="12">((AB5-X5)/X5)</f>
        <v>-2.3923682135046391E-3</v>
      </c>
      <c r="AE5" s="23">
        <f t="shared" ref="AE5:AE20" si="13">((AC5-Y5)/Y5)</f>
        <v>-8.1684124466760311E-3</v>
      </c>
      <c r="AF5" s="326">
        <v>621969400.20000005</v>
      </c>
      <c r="AG5" s="325">
        <v>259.68880000000001</v>
      </c>
      <c r="AH5" s="23">
        <f t="shared" ref="AH5:AH20" si="14">((AF5-AB5)/AB5)</f>
        <v>1.5580970675528182E-2</v>
      </c>
      <c r="AI5" s="23">
        <f t="shared" ref="AI5:AI20" si="15">((AG5-AC5)/AC5)</f>
        <v>-1.5801626913976917E-3</v>
      </c>
      <c r="AJ5" s="24">
        <f>AVERAGE(F5,J5,N5,R5,V5,Z5,AD5,AH5)</f>
        <v>3.5034355452980871E-2</v>
      </c>
      <c r="AK5" s="24">
        <f>AVERAGE(G5,K5,O5,S5,W5,AA5,AE5,AI5)</f>
        <v>1.879714869603415E-2</v>
      </c>
      <c r="AL5" s="25">
        <f>((AF5-D5)/D5)</f>
        <v>0.20616575058935024</v>
      </c>
      <c r="AM5" s="25">
        <f>((AG5-E5)/E5)</f>
        <v>8.0564847297576847E-2</v>
      </c>
      <c r="AN5" s="384">
        <f>STDEV(F5,J5,N5,R5,V5,Z5,AD5,AH5)</f>
        <v>3.2555954661235113E-2</v>
      </c>
      <c r="AO5" s="385">
        <f>STDEV(G5,K5,O5,S5,W5,AA5,AE5,AI5)</f>
        <v>3.6920447374644172E-2</v>
      </c>
      <c r="AP5" s="27"/>
      <c r="AQ5" s="28">
        <v>7877662528.1199999</v>
      </c>
      <c r="AR5" s="28">
        <v>7704.04</v>
      </c>
      <c r="AS5" s="29" t="e">
        <f>(#REF!/AQ5)-1</f>
        <v>#REF!</v>
      </c>
      <c r="AT5" s="29" t="e">
        <f>(#REF!/AR5)-1</f>
        <v>#REF!</v>
      </c>
    </row>
    <row r="6" spans="1:49">
      <c r="A6" s="202" t="s">
        <v>135</v>
      </c>
      <c r="B6" s="325">
        <v>509891503.94</v>
      </c>
      <c r="C6" s="325">
        <v>172.1558</v>
      </c>
      <c r="D6" s="325">
        <v>536194121.19</v>
      </c>
      <c r="E6" s="325">
        <v>181.00040000000001</v>
      </c>
      <c r="F6" s="23">
        <f t="shared" si="0"/>
        <v>5.1584733314354425E-2</v>
      </c>
      <c r="G6" s="23">
        <f t="shared" si="1"/>
        <v>5.1375556327466251E-2</v>
      </c>
      <c r="H6" s="325">
        <v>540228725.09000003</v>
      </c>
      <c r="I6" s="325">
        <v>181.00040000000001</v>
      </c>
      <c r="J6" s="23">
        <f t="shared" si="2"/>
        <v>7.5245209534298063E-3</v>
      </c>
      <c r="K6" s="23">
        <f t="shared" si="3"/>
        <v>0</v>
      </c>
      <c r="L6" s="325">
        <v>551040186.23000002</v>
      </c>
      <c r="M6" s="325">
        <v>185.6294</v>
      </c>
      <c r="N6" s="23">
        <f t="shared" si="4"/>
        <v>2.0012747634252211E-2</v>
      </c>
      <c r="O6" s="23">
        <f t="shared" si="5"/>
        <v>2.5574529117062671E-2</v>
      </c>
      <c r="P6" s="325">
        <v>572405410.49000001</v>
      </c>
      <c r="Q6" s="325">
        <v>190.9725</v>
      </c>
      <c r="R6" s="23">
        <f t="shared" si="6"/>
        <v>3.8772533825840255E-2</v>
      </c>
      <c r="S6" s="23">
        <f t="shared" si="7"/>
        <v>2.8783694824203454E-2</v>
      </c>
      <c r="T6" s="325">
        <v>552624626.29999995</v>
      </c>
      <c r="U6" s="325">
        <v>182.36279999999999</v>
      </c>
      <c r="V6" s="23">
        <f t="shared" si="8"/>
        <v>-3.4557297725517619E-2</v>
      </c>
      <c r="W6" s="23">
        <f t="shared" si="9"/>
        <v>-4.5083454424066312E-2</v>
      </c>
      <c r="X6" s="325">
        <v>524343598.63</v>
      </c>
      <c r="Y6" s="325">
        <v>182.36279999999999</v>
      </c>
      <c r="Z6" s="23">
        <f t="shared" si="10"/>
        <v>-5.1175836768894208E-2</v>
      </c>
      <c r="AA6" s="23">
        <f t="shared" si="11"/>
        <v>0</v>
      </c>
      <c r="AB6" s="325">
        <v>518294394.38999999</v>
      </c>
      <c r="AC6" s="325">
        <v>188.03749999999999</v>
      </c>
      <c r="AD6" s="23">
        <f t="shared" si="12"/>
        <v>-1.1536718014304576E-2</v>
      </c>
      <c r="AE6" s="23">
        <f t="shared" si="13"/>
        <v>3.1117640220483571E-2</v>
      </c>
      <c r="AF6" s="325">
        <v>510579594.36000001</v>
      </c>
      <c r="AG6" s="325">
        <v>188.75640000000001</v>
      </c>
      <c r="AH6" s="23">
        <f t="shared" si="14"/>
        <v>-1.4884976788297715E-2</v>
      </c>
      <c r="AI6" s="23">
        <f t="shared" si="15"/>
        <v>3.8231735691020099E-3</v>
      </c>
      <c r="AJ6" s="24">
        <f t="shared" ref="AJ6:AJ69" si="16">AVERAGE(F6,J6,N6,R6,V6,Z6,AD6,AH6)</f>
        <v>7.1746330385782258E-4</v>
      </c>
      <c r="AK6" s="24">
        <f t="shared" ref="AK6:AK69" si="17">AVERAGE(G6,K6,O6,S6,W6,AA6,AE6,AI6)</f>
        <v>1.1948892454281455E-2</v>
      </c>
      <c r="AL6" s="25">
        <f t="shared" ref="AL6:AL69" si="18">((AF6-D6)/D6)</f>
        <v>-4.777099527527922E-2</v>
      </c>
      <c r="AM6" s="25">
        <f t="shared" ref="AM6:AM69" si="19">((AG6-E6)/E6)</f>
        <v>4.2850734031526998E-2</v>
      </c>
      <c r="AN6" s="384">
        <f t="shared" ref="AN6:AN69" si="20">STDEV(F6,J6,N6,R6,V6,Z6,AD6,AH6)</f>
        <v>3.5426253454418952E-2</v>
      </c>
      <c r="AO6" s="385">
        <f t="shared" ref="AO6:AO69" si="21">STDEV(G6,K6,O6,S6,W6,AA6,AE6,AI6)</f>
        <v>2.9265384769662964E-2</v>
      </c>
      <c r="AP6" s="30"/>
      <c r="AQ6" s="31">
        <v>486981928.81999999</v>
      </c>
      <c r="AR6" s="32">
        <v>0.95</v>
      </c>
      <c r="AS6" s="29" t="e">
        <f>(#REF!/AQ6)-1</f>
        <v>#REF!</v>
      </c>
      <c r="AT6" s="29" t="e">
        <f>(#REF!/AR6)-1</f>
        <v>#REF!</v>
      </c>
    </row>
    <row r="7" spans="1:49">
      <c r="A7" s="202" t="s">
        <v>11</v>
      </c>
      <c r="B7" s="325">
        <v>2583689981.1999998</v>
      </c>
      <c r="C7" s="325">
        <v>25.4315</v>
      </c>
      <c r="D7" s="325">
        <v>2813464823.6100001</v>
      </c>
      <c r="E7" s="325">
        <v>26.514299999999999</v>
      </c>
      <c r="F7" s="23">
        <f t="shared" si="0"/>
        <v>8.8932822467841496E-2</v>
      </c>
      <c r="G7" s="23">
        <f t="shared" si="1"/>
        <v>4.2577118927314507E-2</v>
      </c>
      <c r="H7" s="325">
        <v>2863971512.0100002</v>
      </c>
      <c r="I7" s="325">
        <v>26.982399999999998</v>
      </c>
      <c r="J7" s="23">
        <f t="shared" si="2"/>
        <v>1.7951775325626494E-2</v>
      </c>
      <c r="K7" s="23">
        <f t="shared" si="3"/>
        <v>1.7654624108499932E-2</v>
      </c>
      <c r="L7" s="325">
        <v>2941170298.29</v>
      </c>
      <c r="M7" s="325">
        <v>27.72</v>
      </c>
      <c r="N7" s="23">
        <f t="shared" si="4"/>
        <v>2.6955151598494733E-2</v>
      </c>
      <c r="O7" s="23">
        <f t="shared" si="5"/>
        <v>2.7336337760910837E-2</v>
      </c>
      <c r="P7" s="325">
        <v>3126219815.3699999</v>
      </c>
      <c r="Q7" s="325">
        <v>28.969200000000001</v>
      </c>
      <c r="R7" s="23">
        <f t="shared" si="6"/>
        <v>6.2916967843578434E-2</v>
      </c>
      <c r="S7" s="23">
        <f t="shared" si="7"/>
        <v>4.5064935064935134E-2</v>
      </c>
      <c r="T7" s="325">
        <v>3038532776.5599999</v>
      </c>
      <c r="U7" s="325">
        <v>28.136900000000001</v>
      </c>
      <c r="V7" s="23">
        <f t="shared" si="8"/>
        <v>-2.8048903784336693E-2</v>
      </c>
      <c r="W7" s="23">
        <f t="shared" si="9"/>
        <v>-2.87305137870566E-2</v>
      </c>
      <c r="X7" s="325">
        <v>3225385897.1399999</v>
      </c>
      <c r="Y7" s="325">
        <v>29.868099999999998</v>
      </c>
      <c r="Z7" s="23">
        <f t="shared" si="10"/>
        <v>6.1494521968441983E-2</v>
      </c>
      <c r="AA7" s="23">
        <f t="shared" si="11"/>
        <v>6.1527744705351252E-2</v>
      </c>
      <c r="AB7" s="325">
        <v>3218728320.0500002</v>
      </c>
      <c r="AC7" s="325">
        <v>29.732199999999999</v>
      </c>
      <c r="AD7" s="23">
        <f t="shared" si="12"/>
        <v>-2.0641180008578366E-3</v>
      </c>
      <c r="AE7" s="23">
        <f t="shared" si="13"/>
        <v>-4.5500048546777156E-3</v>
      </c>
      <c r="AF7" s="325">
        <v>3206531932.8299999</v>
      </c>
      <c r="AG7" s="325">
        <v>29.638500000000001</v>
      </c>
      <c r="AH7" s="23">
        <f t="shared" si="14"/>
        <v>-3.7891943672371847E-3</v>
      </c>
      <c r="AI7" s="23">
        <f t="shared" si="15"/>
        <v>-3.1514654146009491E-3</v>
      </c>
      <c r="AJ7" s="24">
        <f t="shared" si="16"/>
        <v>2.804362788144393E-2</v>
      </c>
      <c r="AK7" s="24">
        <f t="shared" si="17"/>
        <v>1.9716097063834547E-2</v>
      </c>
      <c r="AL7" s="25">
        <f t="shared" si="18"/>
        <v>0.13970926734944897</v>
      </c>
      <c r="AM7" s="25">
        <f t="shared" si="19"/>
        <v>0.11783075547911889</v>
      </c>
      <c r="AN7" s="384">
        <f t="shared" si="20"/>
        <v>4.0021089948117608E-2</v>
      </c>
      <c r="AO7" s="385">
        <f t="shared" si="21"/>
        <v>3.0318699428231965E-2</v>
      </c>
      <c r="AP7" s="30"/>
      <c r="AQ7" s="28">
        <v>204065067.03999999</v>
      </c>
      <c r="AR7" s="32">
        <v>105.02</v>
      </c>
      <c r="AS7" s="29" t="e">
        <f>(#REF!/AQ7)-1</f>
        <v>#REF!</v>
      </c>
      <c r="AT7" s="29" t="e">
        <f>(#REF!/AR7)-1</f>
        <v>#REF!</v>
      </c>
    </row>
    <row r="8" spans="1:49">
      <c r="A8" s="202" t="s">
        <v>81</v>
      </c>
      <c r="B8" s="325">
        <v>287896938.24000001</v>
      </c>
      <c r="C8" s="325">
        <v>149.41999999999999</v>
      </c>
      <c r="D8" s="325">
        <v>301856283.92000002</v>
      </c>
      <c r="E8" s="325">
        <v>156.96</v>
      </c>
      <c r="F8" s="23">
        <f t="shared" si="0"/>
        <v>4.8487301620286957E-2</v>
      </c>
      <c r="G8" s="23">
        <f t="shared" si="1"/>
        <v>5.046178557087419E-2</v>
      </c>
      <c r="H8" s="325">
        <v>309472758.36000001</v>
      </c>
      <c r="I8" s="325">
        <v>157.72999999999999</v>
      </c>
      <c r="J8" s="23">
        <f t="shared" si="2"/>
        <v>2.5232121528464078E-2</v>
      </c>
      <c r="K8" s="23">
        <f t="shared" si="3"/>
        <v>4.905708460754216E-3</v>
      </c>
      <c r="L8" s="325">
        <v>325028342.43000001</v>
      </c>
      <c r="M8" s="325">
        <v>161.84</v>
      </c>
      <c r="N8" s="23">
        <f t="shared" si="4"/>
        <v>5.0264792779934016E-2</v>
      </c>
      <c r="O8" s="23">
        <f t="shared" si="5"/>
        <v>2.6057186331072173E-2</v>
      </c>
      <c r="P8" s="325">
        <v>344255155.56</v>
      </c>
      <c r="Q8" s="325">
        <v>168.35</v>
      </c>
      <c r="R8" s="23">
        <f t="shared" si="6"/>
        <v>5.9154266321069501E-2</v>
      </c>
      <c r="S8" s="23">
        <f t="shared" si="7"/>
        <v>4.0224913494809632E-2</v>
      </c>
      <c r="T8" s="325">
        <v>346331395.12</v>
      </c>
      <c r="U8" s="325">
        <v>164.13</v>
      </c>
      <c r="V8" s="23">
        <f t="shared" si="8"/>
        <v>6.0311066558250449E-3</v>
      </c>
      <c r="W8" s="23">
        <f t="shared" si="9"/>
        <v>-2.506682506682506E-2</v>
      </c>
      <c r="X8" s="325">
        <v>346572210.31999999</v>
      </c>
      <c r="Y8" s="325">
        <v>170.92</v>
      </c>
      <c r="Z8" s="23">
        <f t="shared" si="10"/>
        <v>6.9533170654814094E-4</v>
      </c>
      <c r="AA8" s="23">
        <f t="shared" si="11"/>
        <v>4.1369646012307269E-2</v>
      </c>
      <c r="AB8" s="325">
        <v>352680850.66000003</v>
      </c>
      <c r="AC8" s="325">
        <v>173.42</v>
      </c>
      <c r="AD8" s="23">
        <f t="shared" si="12"/>
        <v>1.7625880431554948E-2</v>
      </c>
      <c r="AE8" s="23">
        <f t="shared" si="13"/>
        <v>1.4626725953662533E-2</v>
      </c>
      <c r="AF8" s="325">
        <v>360548914.51999998</v>
      </c>
      <c r="AG8" s="325">
        <v>174.23</v>
      </c>
      <c r="AH8" s="23">
        <f t="shared" si="14"/>
        <v>2.2309302717388298E-2</v>
      </c>
      <c r="AI8" s="23">
        <f t="shared" si="15"/>
        <v>4.6707415523007858E-3</v>
      </c>
      <c r="AJ8" s="24">
        <f t="shared" si="16"/>
        <v>2.872501297013387E-2</v>
      </c>
      <c r="AK8" s="24">
        <f t="shared" si="17"/>
        <v>1.965623528861947E-2</v>
      </c>
      <c r="AL8" s="25">
        <f t="shared" si="18"/>
        <v>0.19443898877240229</v>
      </c>
      <c r="AM8" s="25">
        <f t="shared" si="19"/>
        <v>0.11002803261977562</v>
      </c>
      <c r="AN8" s="384">
        <f t="shared" si="20"/>
        <v>2.1572728861631644E-2</v>
      </c>
      <c r="AO8" s="385">
        <f t="shared" si="21"/>
        <v>2.4934451172091004E-2</v>
      </c>
      <c r="AP8" s="30"/>
      <c r="AQ8" s="33">
        <v>166618649</v>
      </c>
      <c r="AR8" s="34">
        <v>9.4</v>
      </c>
      <c r="AS8" s="29" t="e">
        <f>(#REF!/AQ8)-1</f>
        <v>#REF!</v>
      </c>
      <c r="AT8" s="29" t="e">
        <f>(#REF!/AR8)-1</f>
        <v>#REF!</v>
      </c>
      <c r="AU8" s="91"/>
    </row>
    <row r="9" spans="1:49" s="86" customFormat="1">
      <c r="A9" s="202" t="s">
        <v>52</v>
      </c>
      <c r="B9" s="325">
        <v>457605222.00999999</v>
      </c>
      <c r="C9" s="325">
        <v>207.36</v>
      </c>
      <c r="D9" s="325">
        <v>492758236.86000001</v>
      </c>
      <c r="E9" s="325">
        <v>220.97</v>
      </c>
      <c r="F9" s="23">
        <f t="shared" si="0"/>
        <v>7.6819522940740889E-2</v>
      </c>
      <c r="G9" s="23">
        <f t="shared" si="1"/>
        <v>6.5634645061728322E-2</v>
      </c>
      <c r="H9" s="325">
        <v>507848497.44</v>
      </c>
      <c r="I9" s="325">
        <v>223.62</v>
      </c>
      <c r="J9" s="23">
        <f t="shared" si="2"/>
        <v>3.0624065619196037E-2</v>
      </c>
      <c r="K9" s="23">
        <f t="shared" si="3"/>
        <v>1.1992578178033243E-2</v>
      </c>
      <c r="L9" s="325">
        <v>527436775.54000002</v>
      </c>
      <c r="M9" s="325">
        <v>232.29</v>
      </c>
      <c r="N9" s="23">
        <f t="shared" si="4"/>
        <v>3.8571105750518225E-2</v>
      </c>
      <c r="O9" s="23">
        <f t="shared" si="5"/>
        <v>3.8771129594848346E-2</v>
      </c>
      <c r="P9" s="325">
        <v>573935538.22000003</v>
      </c>
      <c r="Q9" s="325">
        <v>244.42</v>
      </c>
      <c r="R9" s="23">
        <f t="shared" si="6"/>
        <v>8.8159879698175528E-2</v>
      </c>
      <c r="S9" s="23">
        <f t="shared" si="7"/>
        <v>5.2219208747686062E-2</v>
      </c>
      <c r="T9" s="325">
        <v>530909123.12</v>
      </c>
      <c r="U9" s="325">
        <v>230.66</v>
      </c>
      <c r="V9" s="23">
        <f t="shared" si="8"/>
        <v>-7.4967330361597528E-2</v>
      </c>
      <c r="W9" s="23">
        <f t="shared" si="9"/>
        <v>-5.6296538744783534E-2</v>
      </c>
      <c r="X9" s="325">
        <v>578928099.95000005</v>
      </c>
      <c r="Y9" s="325">
        <v>251.2</v>
      </c>
      <c r="Z9" s="23">
        <f t="shared" si="10"/>
        <v>9.0446697445706617E-2</v>
      </c>
      <c r="AA9" s="23">
        <f t="shared" si="11"/>
        <v>8.9048816439781464E-2</v>
      </c>
      <c r="AB9" s="325">
        <v>572941963.38999999</v>
      </c>
      <c r="AC9" s="325">
        <v>239.8</v>
      </c>
      <c r="AD9" s="23">
        <f t="shared" si="12"/>
        <v>-1.0340034557861439E-2</v>
      </c>
      <c r="AE9" s="23">
        <f t="shared" si="13"/>
        <v>-4.5382165605095455E-2</v>
      </c>
      <c r="AF9" s="325">
        <v>565564799.84000003</v>
      </c>
      <c r="AG9" s="325">
        <v>237.83</v>
      </c>
      <c r="AH9" s="23">
        <f t="shared" si="14"/>
        <v>-1.2875935123254949E-2</v>
      </c>
      <c r="AI9" s="23">
        <f t="shared" si="15"/>
        <v>-8.2151793160967421E-3</v>
      </c>
      <c r="AJ9" s="24">
        <f t="shared" si="16"/>
        <v>2.830474642645292E-2</v>
      </c>
      <c r="AK9" s="24">
        <f t="shared" si="17"/>
        <v>1.8471561794512713E-2</v>
      </c>
      <c r="AL9" s="25">
        <f t="shared" si="18"/>
        <v>0.14775311204120053</v>
      </c>
      <c r="AM9" s="25">
        <f t="shared" si="19"/>
        <v>7.6299950219486865E-2</v>
      </c>
      <c r="AN9" s="384">
        <f t="shared" si="20"/>
        <v>5.8264310866596808E-2</v>
      </c>
      <c r="AO9" s="385">
        <f t="shared" si="21"/>
        <v>5.2342564167190193E-2</v>
      </c>
      <c r="AP9" s="30"/>
      <c r="AQ9" s="33"/>
      <c r="AR9" s="34"/>
      <c r="AS9" s="29"/>
      <c r="AT9" s="29"/>
    </row>
    <row r="10" spans="1:49">
      <c r="A10" s="202" t="s">
        <v>8</v>
      </c>
      <c r="B10" s="326">
        <v>289501955.77999997</v>
      </c>
      <c r="C10" s="325">
        <v>148.08000000000001</v>
      </c>
      <c r="D10" s="326">
        <v>304110707.12</v>
      </c>
      <c r="E10" s="325">
        <v>155.47</v>
      </c>
      <c r="F10" s="23">
        <f t="shared" si="0"/>
        <v>5.0461667178171334E-2</v>
      </c>
      <c r="G10" s="23">
        <f t="shared" si="1"/>
        <v>4.9905456509994499E-2</v>
      </c>
      <c r="H10" s="326">
        <v>304110707.12</v>
      </c>
      <c r="I10" s="325">
        <v>155.47</v>
      </c>
      <c r="J10" s="23">
        <f t="shared" si="2"/>
        <v>0</v>
      </c>
      <c r="K10" s="23">
        <f t="shared" si="3"/>
        <v>0</v>
      </c>
      <c r="L10" s="326">
        <v>313648029.38</v>
      </c>
      <c r="M10" s="325">
        <v>160.72999999999999</v>
      </c>
      <c r="N10" s="23">
        <f t="shared" si="4"/>
        <v>3.1361349787124161E-2</v>
      </c>
      <c r="O10" s="23">
        <f t="shared" si="5"/>
        <v>3.3832893805878887E-2</v>
      </c>
      <c r="P10" s="326">
        <v>325483870.17000002</v>
      </c>
      <c r="Q10" s="325">
        <v>168.23</v>
      </c>
      <c r="R10" s="23">
        <f t="shared" si="6"/>
        <v>3.7736059790958607E-2</v>
      </c>
      <c r="S10" s="23">
        <f t="shared" si="7"/>
        <v>4.6662104149816468E-2</v>
      </c>
      <c r="T10" s="326">
        <v>297737609.66000003</v>
      </c>
      <c r="U10" s="325">
        <v>153.83000000000001</v>
      </c>
      <c r="V10" s="23">
        <f t="shared" si="8"/>
        <v>-8.5246192063244602E-2</v>
      </c>
      <c r="W10" s="23">
        <f t="shared" si="9"/>
        <v>-8.559709920941555E-2</v>
      </c>
      <c r="X10" s="326">
        <v>315305307.26999998</v>
      </c>
      <c r="Y10" s="325">
        <v>166.99</v>
      </c>
      <c r="Z10" s="23">
        <f t="shared" si="10"/>
        <v>5.9003958653598712E-2</v>
      </c>
      <c r="AA10" s="23">
        <f t="shared" si="11"/>
        <v>8.5548982643177507E-2</v>
      </c>
      <c r="AB10" s="326">
        <v>309368782.70999998</v>
      </c>
      <c r="AC10" s="325">
        <v>163.79</v>
      </c>
      <c r="AD10" s="23">
        <f t="shared" si="12"/>
        <v>-1.8827861197136399E-2</v>
      </c>
      <c r="AE10" s="23">
        <f t="shared" si="13"/>
        <v>-1.9162824121204965E-2</v>
      </c>
      <c r="AF10" s="326">
        <v>319107515.81</v>
      </c>
      <c r="AG10" s="325">
        <v>165.09</v>
      </c>
      <c r="AH10" s="23">
        <f t="shared" si="14"/>
        <v>3.1479365871019509E-2</v>
      </c>
      <c r="AI10" s="23">
        <f t="shared" si="15"/>
        <v>7.9369924903840983E-3</v>
      </c>
      <c r="AJ10" s="24">
        <f t="shared" si="16"/>
        <v>1.3246043502561415E-2</v>
      </c>
      <c r="AK10" s="24">
        <f t="shared" si="17"/>
        <v>1.4890813283578868E-2</v>
      </c>
      <c r="AL10" s="25">
        <f t="shared" si="18"/>
        <v>4.9313649072153055E-2</v>
      </c>
      <c r="AM10" s="25">
        <f t="shared" si="19"/>
        <v>6.18768894320448E-2</v>
      </c>
      <c r="AN10" s="384">
        <f t="shared" si="20"/>
        <v>4.7274399907988568E-2</v>
      </c>
      <c r="AO10" s="385">
        <f t="shared" si="21"/>
        <v>5.225539233543236E-2</v>
      </c>
      <c r="AP10" s="30"/>
      <c r="AQ10" s="28">
        <v>1147996444.8800001</v>
      </c>
      <c r="AR10" s="32">
        <v>0.69840000000000002</v>
      </c>
      <c r="AS10" s="29" t="e">
        <f>(#REF!/AQ10)-1</f>
        <v>#REF!</v>
      </c>
      <c r="AT10" s="29" t="e">
        <f>(#REF!/AR10)-1</f>
        <v>#REF!</v>
      </c>
    </row>
    <row r="11" spans="1:49">
      <c r="A11" s="202" t="s">
        <v>216</v>
      </c>
      <c r="B11" s="74">
        <v>32179037.640000001</v>
      </c>
      <c r="C11" s="325">
        <v>129.44999999999999</v>
      </c>
      <c r="D11" s="74">
        <v>35556033.340000004</v>
      </c>
      <c r="E11" s="325">
        <v>139.05000000000001</v>
      </c>
      <c r="F11" s="23">
        <f t="shared" si="0"/>
        <v>0.1049439618977991</v>
      </c>
      <c r="G11" s="23">
        <f t="shared" si="1"/>
        <v>7.4159907300116054E-2</v>
      </c>
      <c r="H11" s="74">
        <v>26309579.190000001</v>
      </c>
      <c r="I11" s="325">
        <v>105.43</v>
      </c>
      <c r="J11" s="23">
        <f t="shared" si="2"/>
        <v>-0.26005302845742018</v>
      </c>
      <c r="K11" s="23">
        <f t="shared" si="3"/>
        <v>-0.24178353110391948</v>
      </c>
      <c r="L11" s="74">
        <v>26318802.829999998</v>
      </c>
      <c r="M11" s="325">
        <v>105.46</v>
      </c>
      <c r="N11" s="23">
        <f t="shared" si="4"/>
        <v>3.5058105389624325E-4</v>
      </c>
      <c r="O11" s="23">
        <f t="shared" si="5"/>
        <v>2.8454898985096202E-4</v>
      </c>
      <c r="P11" s="74">
        <v>26231006.219999999</v>
      </c>
      <c r="Q11" s="325">
        <v>105.11</v>
      </c>
      <c r="R11" s="23">
        <f t="shared" si="6"/>
        <v>-3.3358891955344843E-3</v>
      </c>
      <c r="S11" s="23">
        <f t="shared" si="7"/>
        <v>-3.3187938554901796E-3</v>
      </c>
      <c r="T11" s="74">
        <v>26231006.219999999</v>
      </c>
      <c r="U11" s="325">
        <v>105.11</v>
      </c>
      <c r="V11" s="23">
        <f t="shared" si="8"/>
        <v>0</v>
      </c>
      <c r="W11" s="23">
        <f t="shared" si="9"/>
        <v>0</v>
      </c>
      <c r="X11" s="74">
        <v>38643496.630000003</v>
      </c>
      <c r="Y11" s="325">
        <v>155.08000000000001</v>
      </c>
      <c r="Z11" s="23">
        <f t="shared" si="10"/>
        <v>0.4731991714651046</v>
      </c>
      <c r="AA11" s="23">
        <f t="shared" si="11"/>
        <v>0.47540671677290469</v>
      </c>
      <c r="AB11" s="74">
        <v>37600681.560000002</v>
      </c>
      <c r="AC11" s="325">
        <v>150.88</v>
      </c>
      <c r="AD11" s="23">
        <f t="shared" si="12"/>
        <v>-2.6985525662562182E-2</v>
      </c>
      <c r="AE11" s="23">
        <f t="shared" si="13"/>
        <v>-2.7082795976270418E-2</v>
      </c>
      <c r="AF11" s="74">
        <v>37284486.909999996</v>
      </c>
      <c r="AG11" s="325">
        <v>149.61000000000001</v>
      </c>
      <c r="AH11" s="23">
        <f t="shared" si="14"/>
        <v>-8.4092797492367043E-3</v>
      </c>
      <c r="AI11" s="23">
        <f t="shared" si="15"/>
        <v>-8.417285259808999E-3</v>
      </c>
      <c r="AJ11" s="24">
        <f t="shared" si="16"/>
        <v>3.4963748919005798E-2</v>
      </c>
      <c r="AK11" s="24">
        <f t="shared" si="17"/>
        <v>3.365609585842283E-2</v>
      </c>
      <c r="AL11" s="25">
        <f t="shared" si="18"/>
        <v>4.861210342199529E-2</v>
      </c>
      <c r="AM11" s="25">
        <f t="shared" si="19"/>
        <v>7.5943905070118667E-2</v>
      </c>
      <c r="AN11" s="384">
        <f t="shared" si="20"/>
        <v>0.20479562786947234</v>
      </c>
      <c r="AO11" s="385">
        <f t="shared" si="21"/>
        <v>0.2006147963845866</v>
      </c>
      <c r="AP11" s="30"/>
      <c r="AQ11" s="28">
        <v>2845469436.1399999</v>
      </c>
      <c r="AR11" s="32">
        <v>13.0688</v>
      </c>
      <c r="AS11" s="29" t="e">
        <f>(#REF!/AQ11)-1</f>
        <v>#REF!</v>
      </c>
      <c r="AT11" s="29" t="e">
        <f>(#REF!/AR11)-1</f>
        <v>#REF!</v>
      </c>
    </row>
    <row r="12" spans="1:49" s="368" customFormat="1">
      <c r="A12" s="202" t="s">
        <v>268</v>
      </c>
      <c r="B12" s="326">
        <v>401755619.42000002</v>
      </c>
      <c r="C12" s="325">
        <v>1.51</v>
      </c>
      <c r="D12" s="326">
        <v>431856945.29000002</v>
      </c>
      <c r="E12" s="325">
        <v>1.62</v>
      </c>
      <c r="F12" s="23">
        <f t="shared" si="0"/>
        <v>7.4924467549343038E-2</v>
      </c>
      <c r="G12" s="23">
        <f t="shared" si="1"/>
        <v>7.2847682119205365E-2</v>
      </c>
      <c r="H12" s="326">
        <v>431814652.81999999</v>
      </c>
      <c r="I12" s="325">
        <v>1.62</v>
      </c>
      <c r="J12" s="23">
        <f t="shared" si="2"/>
        <v>-9.7931665708486933E-5</v>
      </c>
      <c r="K12" s="23">
        <f t="shared" si="3"/>
        <v>0</v>
      </c>
      <c r="L12" s="326">
        <v>440087889.58999997</v>
      </c>
      <c r="M12" s="325">
        <v>1.64</v>
      </c>
      <c r="N12" s="23">
        <f t="shared" si="4"/>
        <v>1.9159231202486877E-2</v>
      </c>
      <c r="O12" s="23">
        <f t="shared" si="5"/>
        <v>1.2345679012345552E-2</v>
      </c>
      <c r="P12" s="326">
        <v>449725218.62</v>
      </c>
      <c r="Q12" s="325">
        <v>1.67</v>
      </c>
      <c r="R12" s="23">
        <f t="shared" si="6"/>
        <v>2.1898646288536765E-2</v>
      </c>
      <c r="S12" s="23">
        <f t="shared" si="7"/>
        <v>1.8292682926829285E-2</v>
      </c>
      <c r="T12" s="326">
        <v>449725218.62</v>
      </c>
      <c r="U12" s="325">
        <v>1.67</v>
      </c>
      <c r="V12" s="23">
        <f t="shared" si="8"/>
        <v>0</v>
      </c>
      <c r="W12" s="23">
        <f t="shared" si="9"/>
        <v>0</v>
      </c>
      <c r="X12" s="326">
        <v>443207692.70999998</v>
      </c>
      <c r="Y12" s="325">
        <v>1.63</v>
      </c>
      <c r="Z12" s="23">
        <f t="shared" si="10"/>
        <v>-1.4492240239494058E-2</v>
      </c>
      <c r="AA12" s="23">
        <f t="shared" si="11"/>
        <v>-2.3952095808383256E-2</v>
      </c>
      <c r="AB12" s="326">
        <v>464858734.13</v>
      </c>
      <c r="AC12" s="325">
        <v>1.7</v>
      </c>
      <c r="AD12" s="23">
        <f t="shared" si="12"/>
        <v>4.8850779840066416E-2</v>
      </c>
      <c r="AE12" s="23">
        <f t="shared" si="13"/>
        <v>4.2944785276073663E-2</v>
      </c>
      <c r="AF12" s="326">
        <v>465808101.41000003</v>
      </c>
      <c r="AG12" s="325">
        <v>1.66</v>
      </c>
      <c r="AH12" s="23">
        <f t="shared" si="14"/>
        <v>2.0422705013315632E-3</v>
      </c>
      <c r="AI12" s="23">
        <f t="shared" si="15"/>
        <v>-2.3529411764705903E-2</v>
      </c>
      <c r="AJ12" s="24">
        <f t="shared" si="16"/>
        <v>1.9035652934570265E-2</v>
      </c>
      <c r="AK12" s="24">
        <f t="shared" si="17"/>
        <v>1.2368665220170588E-2</v>
      </c>
      <c r="AL12" s="25">
        <f t="shared" si="18"/>
        <v>7.8616672697485901E-2</v>
      </c>
      <c r="AM12" s="25">
        <f t="shared" si="19"/>
        <v>2.4691358024691242E-2</v>
      </c>
      <c r="AN12" s="384">
        <f t="shared" si="20"/>
        <v>2.9669749393432573E-2</v>
      </c>
      <c r="AO12" s="385">
        <f t="shared" si="21"/>
        <v>3.2823211491834856E-2</v>
      </c>
      <c r="AP12" s="30"/>
      <c r="AQ12" s="28"/>
      <c r="AR12" s="32"/>
      <c r="AS12" s="29"/>
      <c r="AT12" s="29"/>
    </row>
    <row r="13" spans="1:49" ht="12.75" customHeight="1">
      <c r="A13" s="202" t="s">
        <v>45</v>
      </c>
      <c r="B13" s="326">
        <v>1144652863.8199999</v>
      </c>
      <c r="C13" s="325">
        <v>2.33</v>
      </c>
      <c r="D13" s="326">
        <v>1192552480.03</v>
      </c>
      <c r="E13" s="325">
        <v>2.4300000000000002</v>
      </c>
      <c r="F13" s="23">
        <f t="shared" si="0"/>
        <v>4.1846412763208177E-2</v>
      </c>
      <c r="G13" s="23">
        <f t="shared" si="1"/>
        <v>4.2918454935622352E-2</v>
      </c>
      <c r="H13" s="326">
        <v>1203292684.5</v>
      </c>
      <c r="I13" s="325">
        <v>2.4500000000000002</v>
      </c>
      <c r="J13" s="23">
        <f t="shared" si="2"/>
        <v>9.0060644289045016E-3</v>
      </c>
      <c r="K13" s="23">
        <f t="shared" si="3"/>
        <v>8.2304526748971252E-3</v>
      </c>
      <c r="L13" s="326">
        <v>1241961282.48</v>
      </c>
      <c r="M13" s="325">
        <v>2.5299999999999998</v>
      </c>
      <c r="N13" s="23">
        <f t="shared" si="4"/>
        <v>3.2135654507089308E-2</v>
      </c>
      <c r="O13" s="23">
        <f t="shared" si="5"/>
        <v>3.2653061224489639E-2</v>
      </c>
      <c r="P13" s="326">
        <v>1281210573.99</v>
      </c>
      <c r="Q13" s="325">
        <v>2.61</v>
      </c>
      <c r="R13" s="23">
        <f t="shared" si="6"/>
        <v>3.1602669152153734E-2</v>
      </c>
      <c r="S13" s="23">
        <f t="shared" si="7"/>
        <v>3.1620553359683827E-2</v>
      </c>
      <c r="T13" s="326">
        <v>1261550143.4100001</v>
      </c>
      <c r="U13" s="325">
        <v>2.57</v>
      </c>
      <c r="V13" s="23">
        <f t="shared" si="8"/>
        <v>-1.5345198501423993E-2</v>
      </c>
      <c r="W13" s="23">
        <f t="shared" si="9"/>
        <v>-1.5325670498084306E-2</v>
      </c>
      <c r="X13" s="326">
        <v>1329197960.7</v>
      </c>
      <c r="Y13" s="325">
        <v>2.71</v>
      </c>
      <c r="Z13" s="23">
        <f t="shared" si="10"/>
        <v>5.3622773255089407E-2</v>
      </c>
      <c r="AA13" s="23">
        <f t="shared" si="11"/>
        <v>5.4474708171206275E-2</v>
      </c>
      <c r="AB13" s="326">
        <v>1312949517.6400001</v>
      </c>
      <c r="AC13" s="325">
        <v>2.68</v>
      </c>
      <c r="AD13" s="23">
        <f t="shared" si="12"/>
        <v>-1.2224246154758596E-2</v>
      </c>
      <c r="AE13" s="23">
        <f t="shared" si="13"/>
        <v>-1.1070110701106939E-2</v>
      </c>
      <c r="AF13" s="326">
        <v>1312949517.6400001</v>
      </c>
      <c r="AG13" s="325">
        <v>2.67</v>
      </c>
      <c r="AH13" s="23">
        <f t="shared" si="14"/>
        <v>0</v>
      </c>
      <c r="AI13" s="23">
        <f t="shared" si="15"/>
        <v>-3.7313432835821753E-3</v>
      </c>
      <c r="AJ13" s="24">
        <f t="shared" si="16"/>
        <v>1.758051618128282E-2</v>
      </c>
      <c r="AK13" s="24">
        <f t="shared" si="17"/>
        <v>1.7471263235390725E-2</v>
      </c>
      <c r="AL13" s="25">
        <f t="shared" si="18"/>
        <v>0.10095743342630206</v>
      </c>
      <c r="AM13" s="25">
        <f t="shared" si="19"/>
        <v>9.8765432098765329E-2</v>
      </c>
      <c r="AN13" s="384">
        <f t="shared" si="20"/>
        <v>2.5777546084168625E-2</v>
      </c>
      <c r="AO13" s="385">
        <f t="shared" si="21"/>
        <v>2.6383695980834614E-2</v>
      </c>
      <c r="AP13" s="30"/>
      <c r="AQ13" s="33">
        <v>155057555.75</v>
      </c>
      <c r="AR13" s="33">
        <v>111.51</v>
      </c>
      <c r="AS13" s="29" t="e">
        <f>(#REF!/AQ13)-1</f>
        <v>#REF!</v>
      </c>
      <c r="AT13" s="29" t="e">
        <f>(#REF!/AR13)-1</f>
        <v>#REF!</v>
      </c>
      <c r="AU13" s="81"/>
      <c r="AV13" s="82"/>
      <c r="AW13" s="87"/>
    </row>
    <row r="14" spans="1:49" ht="12.75" customHeight="1">
      <c r="A14" s="202" t="s">
        <v>53</v>
      </c>
      <c r="B14" s="325">
        <v>334193909.07999998</v>
      </c>
      <c r="C14" s="325">
        <v>13.783480000000001</v>
      </c>
      <c r="D14" s="325">
        <v>355880190.25999999</v>
      </c>
      <c r="E14" s="325">
        <v>14.683999999999999</v>
      </c>
      <c r="F14" s="23">
        <f t="shared" si="0"/>
        <v>6.4891311872499455E-2</v>
      </c>
      <c r="G14" s="23">
        <f t="shared" si="1"/>
        <v>6.5333283031571016E-2</v>
      </c>
      <c r="H14" s="325">
        <v>373574712.43000001</v>
      </c>
      <c r="I14" s="325">
        <v>14.849634999999999</v>
      </c>
      <c r="J14" s="23">
        <f t="shared" si="2"/>
        <v>4.9720447089433947E-2</v>
      </c>
      <c r="K14" s="23">
        <f t="shared" si="3"/>
        <v>1.127996458730591E-2</v>
      </c>
      <c r="L14" s="325">
        <v>387991959.64999998</v>
      </c>
      <c r="M14" s="325">
        <v>15.382543</v>
      </c>
      <c r="N14" s="23">
        <f t="shared" si="4"/>
        <v>3.8592674344095107E-2</v>
      </c>
      <c r="O14" s="23">
        <f t="shared" si="5"/>
        <v>3.5886942675695456E-2</v>
      </c>
      <c r="P14" s="325">
        <v>407607051.43000001</v>
      </c>
      <c r="Q14" s="325">
        <v>16.057099999999998</v>
      </c>
      <c r="R14" s="23">
        <f t="shared" si="6"/>
        <v>5.0555407894778089E-2</v>
      </c>
      <c r="S14" s="23">
        <f t="shared" si="7"/>
        <v>4.3852112098760151E-2</v>
      </c>
      <c r="T14" s="325">
        <v>390784417.70999998</v>
      </c>
      <c r="U14" s="325">
        <v>15.404522999999999</v>
      </c>
      <c r="V14" s="23">
        <f t="shared" si="8"/>
        <v>-4.1271694542529394E-2</v>
      </c>
      <c r="W14" s="23">
        <f t="shared" si="9"/>
        <v>-4.0641024842592945E-2</v>
      </c>
      <c r="X14" s="325">
        <v>410470714.75</v>
      </c>
      <c r="Y14" s="325">
        <v>16.178854000000001</v>
      </c>
      <c r="Z14" s="23">
        <f t="shared" si="10"/>
        <v>5.0376361358935168E-2</v>
      </c>
      <c r="AA14" s="23">
        <f t="shared" si="11"/>
        <v>5.0266470438584947E-2</v>
      </c>
      <c r="AB14" s="325">
        <v>408928035.31999999</v>
      </c>
      <c r="AC14" s="325">
        <v>16.093239000000001</v>
      </c>
      <c r="AD14" s="23">
        <f t="shared" si="12"/>
        <v>-3.7583178886210836E-3</v>
      </c>
      <c r="AE14" s="23">
        <f t="shared" si="13"/>
        <v>-5.2917839545372405E-3</v>
      </c>
      <c r="AF14" s="325">
        <v>408936246.33999997</v>
      </c>
      <c r="AG14" s="325">
        <v>16.071612999999999</v>
      </c>
      <c r="AH14" s="23">
        <f t="shared" si="14"/>
        <v>2.0079376542514446E-5</v>
      </c>
      <c r="AI14" s="23">
        <f t="shared" si="15"/>
        <v>-1.3437941237311678E-3</v>
      </c>
      <c r="AJ14" s="24">
        <f t="shared" si="16"/>
        <v>2.6140783688141728E-2</v>
      </c>
      <c r="AK14" s="24">
        <f t="shared" si="17"/>
        <v>1.9917771238882016E-2</v>
      </c>
      <c r="AL14" s="25">
        <f t="shared" si="18"/>
        <v>0.14908403876382706</v>
      </c>
      <c r="AM14" s="25">
        <f t="shared" si="19"/>
        <v>9.4498297466630354E-2</v>
      </c>
      <c r="AN14" s="384">
        <f t="shared" si="20"/>
        <v>3.6871941193838867E-2</v>
      </c>
      <c r="AO14" s="385">
        <f t="shared" si="21"/>
        <v>3.5134506206429633E-2</v>
      </c>
      <c r="AP14" s="30"/>
      <c r="AQ14" s="38">
        <v>212579164.06</v>
      </c>
      <c r="AR14" s="38">
        <v>9.9</v>
      </c>
      <c r="AS14" s="29" t="e">
        <f>(#REF!/AQ14)-1</f>
        <v>#REF!</v>
      </c>
      <c r="AT14" s="29" t="e">
        <f>(#REF!/AR14)-1</f>
        <v>#REF!</v>
      </c>
    </row>
    <row r="15" spans="1:49" ht="12.75" customHeight="1">
      <c r="A15" s="202" t="s">
        <v>125</v>
      </c>
      <c r="B15" s="325">
        <v>334078728.27999997</v>
      </c>
      <c r="C15" s="325">
        <v>1.729228</v>
      </c>
      <c r="D15" s="325">
        <v>353832052.04000002</v>
      </c>
      <c r="E15" s="325">
        <v>1.830408</v>
      </c>
      <c r="F15" s="23">
        <f t="shared" si="0"/>
        <v>5.9127750700260932E-2</v>
      </c>
      <c r="G15" s="23">
        <f t="shared" si="1"/>
        <v>5.8511659538244838E-2</v>
      </c>
      <c r="H15" s="325">
        <v>358347283.30000001</v>
      </c>
      <c r="I15" s="325">
        <v>1.853299</v>
      </c>
      <c r="J15" s="23">
        <f t="shared" si="2"/>
        <v>1.2760944730607821E-2</v>
      </c>
      <c r="K15" s="23">
        <f t="shared" si="3"/>
        <v>1.2505954956490572E-2</v>
      </c>
      <c r="L15" s="325">
        <v>371958076.94999999</v>
      </c>
      <c r="M15" s="325">
        <v>1.923176</v>
      </c>
      <c r="N15" s="23">
        <f t="shared" si="4"/>
        <v>3.7982131536365898E-2</v>
      </c>
      <c r="O15" s="23">
        <f t="shared" si="5"/>
        <v>3.7704115741712466E-2</v>
      </c>
      <c r="P15" s="325">
        <v>383283301.33999997</v>
      </c>
      <c r="Q15" s="325">
        <v>1.981441</v>
      </c>
      <c r="R15" s="23">
        <f t="shared" si="6"/>
        <v>3.044758291812108E-2</v>
      </c>
      <c r="S15" s="23">
        <f t="shared" si="7"/>
        <v>3.0296239137759629E-2</v>
      </c>
      <c r="T15" s="325">
        <v>367084140.81</v>
      </c>
      <c r="U15" s="325">
        <v>1.8988970000000001</v>
      </c>
      <c r="V15" s="23">
        <f t="shared" si="8"/>
        <v>-4.2264195892088047E-2</v>
      </c>
      <c r="W15" s="23">
        <f t="shared" si="9"/>
        <v>-4.1658570706874419E-2</v>
      </c>
      <c r="X15" s="325">
        <v>389845702.42000002</v>
      </c>
      <c r="Y15" s="325">
        <v>2.015333</v>
      </c>
      <c r="Z15" s="23">
        <f t="shared" si="10"/>
        <v>6.200638785368074E-2</v>
      </c>
      <c r="AA15" s="23">
        <f t="shared" si="11"/>
        <v>6.1317701802678072E-2</v>
      </c>
      <c r="AB15" s="325">
        <v>379252284.41000003</v>
      </c>
      <c r="AC15" s="325">
        <v>2.1379790000000001</v>
      </c>
      <c r="AD15" s="23">
        <f t="shared" si="12"/>
        <v>-2.7173361009857122E-2</v>
      </c>
      <c r="AE15" s="23">
        <f t="shared" si="13"/>
        <v>6.0856444071525663E-2</v>
      </c>
      <c r="AF15" s="325">
        <v>379915413.87</v>
      </c>
      <c r="AG15" s="325">
        <v>2.1423709999999998</v>
      </c>
      <c r="AH15" s="23">
        <f t="shared" si="14"/>
        <v>1.7485180373576501E-3</v>
      </c>
      <c r="AI15" s="23">
        <f t="shared" si="15"/>
        <v>2.054276491957933E-3</v>
      </c>
      <c r="AJ15" s="24">
        <f t="shared" si="16"/>
        <v>1.6829469859306119E-2</v>
      </c>
      <c r="AK15" s="24">
        <f t="shared" si="17"/>
        <v>2.7698477629186844E-2</v>
      </c>
      <c r="AL15" s="25">
        <f t="shared" si="18"/>
        <v>7.3716786479963409E-2</v>
      </c>
      <c r="AM15" s="25">
        <f t="shared" si="19"/>
        <v>0.17043358639166775</v>
      </c>
      <c r="AN15" s="384">
        <f t="shared" si="20"/>
        <v>3.8051253108507689E-2</v>
      </c>
      <c r="AO15" s="385">
        <f t="shared" si="21"/>
        <v>3.5826674543440899E-2</v>
      </c>
      <c r="AP15" s="30"/>
      <c r="AQ15" s="28">
        <v>305162610.31</v>
      </c>
      <c r="AR15" s="28">
        <v>1481.86</v>
      </c>
      <c r="AS15" s="29" t="e">
        <f>(#REF!/AQ15)-1</f>
        <v>#REF!</v>
      </c>
      <c r="AT15" s="29" t="e">
        <f>(#REF!/AR15)-1</f>
        <v>#REF!</v>
      </c>
    </row>
    <row r="16" spans="1:49" s="86" customFormat="1" ht="12.75" customHeight="1">
      <c r="A16" s="202" t="s">
        <v>10</v>
      </c>
      <c r="B16" s="326">
        <v>848881786.79999995</v>
      </c>
      <c r="C16" s="325">
        <v>21.75</v>
      </c>
      <c r="D16" s="326">
        <v>939005677.60000002</v>
      </c>
      <c r="E16" s="325">
        <v>24.13</v>
      </c>
      <c r="F16" s="23">
        <f t="shared" si="0"/>
        <v>0.10616777530324564</v>
      </c>
      <c r="G16" s="23">
        <f t="shared" si="1"/>
        <v>0.10942528735632179</v>
      </c>
      <c r="H16" s="326">
        <v>931787865.08000004</v>
      </c>
      <c r="I16" s="325">
        <v>23.89</v>
      </c>
      <c r="J16" s="23">
        <f t="shared" si="2"/>
        <v>-7.6866548224159333E-3</v>
      </c>
      <c r="K16" s="23">
        <f t="shared" si="3"/>
        <v>-9.9461251554081413E-3</v>
      </c>
      <c r="L16" s="326">
        <v>953773940.5</v>
      </c>
      <c r="M16" s="325">
        <v>24.46</v>
      </c>
      <c r="N16" s="23">
        <f t="shared" si="4"/>
        <v>2.3595580328911354E-2</v>
      </c>
      <c r="O16" s="23">
        <f t="shared" si="5"/>
        <v>2.3859355378819599E-2</v>
      </c>
      <c r="P16" s="326">
        <v>982455759.59000003</v>
      </c>
      <c r="Q16" s="325">
        <v>24.29</v>
      </c>
      <c r="R16" s="23">
        <f t="shared" si="6"/>
        <v>3.0071925717496614E-2</v>
      </c>
      <c r="S16" s="23">
        <f t="shared" si="7"/>
        <v>-6.950122649223291E-3</v>
      </c>
      <c r="T16" s="326">
        <v>1001215094.3200001</v>
      </c>
      <c r="U16" s="325">
        <v>25.71</v>
      </c>
      <c r="V16" s="23">
        <f t="shared" si="8"/>
        <v>1.9094330250380633E-2</v>
      </c>
      <c r="W16" s="23">
        <f t="shared" si="9"/>
        <v>5.846027171675594E-2</v>
      </c>
      <c r="X16" s="326">
        <v>965271704.38999999</v>
      </c>
      <c r="Y16" s="325">
        <v>23.88</v>
      </c>
      <c r="Z16" s="23">
        <f t="shared" si="10"/>
        <v>-3.5899768325418531E-2</v>
      </c>
      <c r="AA16" s="23">
        <f t="shared" si="11"/>
        <v>-7.1178529754959224E-2</v>
      </c>
      <c r="AB16" s="326">
        <v>997332344.42999995</v>
      </c>
      <c r="AC16" s="325">
        <v>23.88</v>
      </c>
      <c r="AD16" s="23">
        <f t="shared" si="12"/>
        <v>3.3214109451452915E-2</v>
      </c>
      <c r="AE16" s="23">
        <f t="shared" si="13"/>
        <v>0</v>
      </c>
      <c r="AF16" s="326">
        <v>1005680298.39</v>
      </c>
      <c r="AG16" s="325">
        <v>24.67</v>
      </c>
      <c r="AH16" s="23">
        <f t="shared" si="14"/>
        <v>8.370282992046247E-3</v>
      </c>
      <c r="AI16" s="23">
        <f t="shared" si="15"/>
        <v>3.3082077051926416E-2</v>
      </c>
      <c r="AJ16" s="24">
        <f t="shared" si="16"/>
        <v>2.211594761196237E-2</v>
      </c>
      <c r="AK16" s="24">
        <f t="shared" si="17"/>
        <v>1.7094026743029136E-2</v>
      </c>
      <c r="AL16" s="25">
        <f t="shared" si="18"/>
        <v>7.1005556601546116E-2</v>
      </c>
      <c r="AM16" s="25">
        <f t="shared" si="19"/>
        <v>2.2378781599668576E-2</v>
      </c>
      <c r="AN16" s="384">
        <f t="shared" si="20"/>
        <v>4.089264291141765E-2</v>
      </c>
      <c r="AO16" s="385">
        <f t="shared" si="21"/>
        <v>5.3360172747586192E-2</v>
      </c>
      <c r="AP16" s="30"/>
      <c r="AQ16" s="28"/>
      <c r="AR16" s="28"/>
      <c r="AS16" s="29"/>
      <c r="AT16" s="29"/>
    </row>
    <row r="17" spans="1:46" s="368" customFormat="1" ht="12.75" customHeight="1">
      <c r="A17" s="203" t="s">
        <v>67</v>
      </c>
      <c r="B17" s="326">
        <v>377264083.42000002</v>
      </c>
      <c r="C17" s="325">
        <v>3976.39</v>
      </c>
      <c r="D17" s="326">
        <v>411312309.70999998</v>
      </c>
      <c r="E17" s="325">
        <v>4335.5600000000004</v>
      </c>
      <c r="F17" s="23">
        <f t="shared" si="0"/>
        <v>9.0250378412234919E-2</v>
      </c>
      <c r="G17" s="23">
        <f t="shared" si="1"/>
        <v>9.0325647132197928E-2</v>
      </c>
      <c r="H17" s="326">
        <v>426515600.54000002</v>
      </c>
      <c r="I17" s="325">
        <v>4316.53</v>
      </c>
      <c r="J17" s="23">
        <f t="shared" si="2"/>
        <v>3.6962887983389751E-2</v>
      </c>
      <c r="K17" s="23">
        <f t="shared" si="3"/>
        <v>-4.3892830453276287E-3</v>
      </c>
      <c r="L17" s="326">
        <v>446232271.13</v>
      </c>
      <c r="M17" s="325">
        <v>4520.41</v>
      </c>
      <c r="N17" s="23">
        <f t="shared" si="4"/>
        <v>4.6227313995167406E-2</v>
      </c>
      <c r="O17" s="23">
        <f t="shared" si="5"/>
        <v>4.7232383419088975E-2</v>
      </c>
      <c r="P17" s="326">
        <v>482936836.13</v>
      </c>
      <c r="Q17" s="325">
        <v>4855.25</v>
      </c>
      <c r="R17" s="23">
        <f t="shared" si="6"/>
        <v>8.2254393899061889E-2</v>
      </c>
      <c r="S17" s="23">
        <f t="shared" si="7"/>
        <v>7.4072927013257683E-2</v>
      </c>
      <c r="T17" s="326">
        <v>445404162.54000002</v>
      </c>
      <c r="U17" s="325">
        <v>4855.25</v>
      </c>
      <c r="V17" s="23">
        <f t="shared" si="8"/>
        <v>-7.7717562178041627E-2</v>
      </c>
      <c r="W17" s="23">
        <f t="shared" si="9"/>
        <v>0</v>
      </c>
      <c r="X17" s="326">
        <v>462568951.51999998</v>
      </c>
      <c r="Y17" s="325">
        <v>4802.83</v>
      </c>
      <c r="Z17" s="23">
        <f t="shared" si="10"/>
        <v>3.8537558522386856E-2</v>
      </c>
      <c r="AA17" s="23">
        <f t="shared" si="11"/>
        <v>-1.0796560424283008E-2</v>
      </c>
      <c r="AB17" s="326">
        <v>454152055.87</v>
      </c>
      <c r="AC17" s="325">
        <v>4714.97</v>
      </c>
      <c r="AD17" s="23">
        <f t="shared" si="12"/>
        <v>-1.8195980561043032E-2</v>
      </c>
      <c r="AE17" s="23">
        <f t="shared" si="13"/>
        <v>-1.82933811940043E-2</v>
      </c>
      <c r="AF17" s="326">
        <v>455991554.86000001</v>
      </c>
      <c r="AG17" s="325">
        <v>4734.1099999999997</v>
      </c>
      <c r="AH17" s="23">
        <f t="shared" si="14"/>
        <v>4.0504033092532378E-3</v>
      </c>
      <c r="AI17" s="23">
        <f t="shared" si="15"/>
        <v>4.0594107703759335E-3</v>
      </c>
      <c r="AJ17" s="24">
        <f t="shared" si="16"/>
        <v>2.5296174172801177E-2</v>
      </c>
      <c r="AK17" s="24">
        <f t="shared" si="17"/>
        <v>2.2776392958913198E-2</v>
      </c>
      <c r="AL17" s="25">
        <f t="shared" si="18"/>
        <v>0.10862608313741352</v>
      </c>
      <c r="AM17" s="25">
        <f t="shared" si="19"/>
        <v>9.1925841183145715E-2</v>
      </c>
      <c r="AN17" s="384">
        <f t="shared" si="20"/>
        <v>5.4990423461853954E-2</v>
      </c>
      <c r="AO17" s="385">
        <f t="shared" si="21"/>
        <v>4.1770229682014826E-2</v>
      </c>
      <c r="AP17" s="30"/>
      <c r="AQ17" s="28"/>
      <c r="AR17" s="28"/>
      <c r="AS17" s="29"/>
      <c r="AT17" s="29"/>
    </row>
    <row r="18" spans="1:46" s="86" customFormat="1" ht="12.75" customHeight="1">
      <c r="A18" s="202" t="s">
        <v>224</v>
      </c>
      <c r="B18" s="326">
        <v>8210277172.0100002</v>
      </c>
      <c r="C18" s="325">
        <v>14347.53</v>
      </c>
      <c r="D18" s="326">
        <v>8793551066.7700005</v>
      </c>
      <c r="E18" s="325">
        <v>15348.97</v>
      </c>
      <c r="F18" s="23">
        <f t="shared" si="0"/>
        <v>7.104192496064124E-2</v>
      </c>
      <c r="G18" s="23">
        <f t="shared" si="1"/>
        <v>6.9798773726209226E-2</v>
      </c>
      <c r="H18" s="326">
        <v>8729913197.9699993</v>
      </c>
      <c r="I18" s="325">
        <v>15317</v>
      </c>
      <c r="J18" s="23">
        <f t="shared" si="2"/>
        <v>-7.2368794263881226E-3</v>
      </c>
      <c r="K18" s="23">
        <f t="shared" si="3"/>
        <v>-2.0828759193613215E-3</v>
      </c>
      <c r="L18" s="326">
        <v>8991633705.0799999</v>
      </c>
      <c r="M18" s="325">
        <v>15774.7</v>
      </c>
      <c r="N18" s="23">
        <f t="shared" si="4"/>
        <v>2.9979737618795511E-2</v>
      </c>
      <c r="O18" s="23">
        <f t="shared" si="5"/>
        <v>2.9881830645687845E-2</v>
      </c>
      <c r="P18" s="326">
        <v>9588665625.8999996</v>
      </c>
      <c r="Q18" s="325">
        <v>16686.63</v>
      </c>
      <c r="R18" s="23">
        <f t="shared" si="6"/>
        <v>6.6398603457644714E-2</v>
      </c>
      <c r="S18" s="23">
        <f t="shared" si="7"/>
        <v>5.7809657235953792E-2</v>
      </c>
      <c r="T18" s="326">
        <v>9084109500.1000004</v>
      </c>
      <c r="U18" s="325">
        <v>15912.75</v>
      </c>
      <c r="V18" s="23">
        <f t="shared" si="8"/>
        <v>-5.2620056375429318E-2</v>
      </c>
      <c r="W18" s="23">
        <f t="shared" si="9"/>
        <v>-4.6377249330751685E-2</v>
      </c>
      <c r="X18" s="326">
        <v>9500114364.0699997</v>
      </c>
      <c r="Y18" s="325">
        <v>16627.22</v>
      </c>
      <c r="Z18" s="23">
        <f t="shared" si="10"/>
        <v>4.5794787476463136E-2</v>
      </c>
      <c r="AA18" s="23">
        <f t="shared" si="11"/>
        <v>4.4899216037454316E-2</v>
      </c>
      <c r="AB18" s="326">
        <v>9455283943.4599991</v>
      </c>
      <c r="AC18" s="325">
        <v>16409.68</v>
      </c>
      <c r="AD18" s="23">
        <f t="shared" si="12"/>
        <v>-4.718934835095453E-3</v>
      </c>
      <c r="AE18" s="23">
        <f t="shared" si="13"/>
        <v>-1.3083365709962391E-2</v>
      </c>
      <c r="AF18" s="326">
        <v>9558347137.9400005</v>
      </c>
      <c r="AG18" s="325">
        <v>16516.150000000001</v>
      </c>
      <c r="AH18" s="23">
        <f t="shared" si="14"/>
        <v>1.0900063403308779E-2</v>
      </c>
      <c r="AI18" s="23">
        <f t="shared" si="15"/>
        <v>6.4882435245538711E-3</v>
      </c>
      <c r="AJ18" s="24">
        <f t="shared" si="16"/>
        <v>1.994240578499256E-2</v>
      </c>
      <c r="AK18" s="24">
        <f t="shared" si="17"/>
        <v>1.8416778776222959E-2</v>
      </c>
      <c r="AL18" s="25">
        <f t="shared" si="18"/>
        <v>8.6972380709778585E-2</v>
      </c>
      <c r="AM18" s="25">
        <f t="shared" si="19"/>
        <v>7.6042887568351633E-2</v>
      </c>
      <c r="AN18" s="384">
        <f t="shared" si="20"/>
        <v>4.1802944134112653E-2</v>
      </c>
      <c r="AO18" s="385">
        <f t="shared" si="21"/>
        <v>3.9238694737492023E-2</v>
      </c>
      <c r="AP18" s="30"/>
      <c r="AQ18" s="28"/>
      <c r="AR18" s="28"/>
      <c r="AS18" s="29"/>
      <c r="AT18" s="29"/>
    </row>
    <row r="19" spans="1:46" s="108" customFormat="1" ht="12.75" customHeight="1">
      <c r="A19" s="202" t="s">
        <v>244</v>
      </c>
      <c r="B19" s="74">
        <v>63016916.469999999</v>
      </c>
      <c r="C19" s="325">
        <v>118.2435</v>
      </c>
      <c r="D19" s="74">
        <v>66210201.329999998</v>
      </c>
      <c r="E19" s="325">
        <v>124.14879999999999</v>
      </c>
      <c r="F19" s="23">
        <f t="shared" si="0"/>
        <v>5.0673454667052822E-2</v>
      </c>
      <c r="G19" s="23">
        <f t="shared" si="1"/>
        <v>4.9941857269109907E-2</v>
      </c>
      <c r="H19" s="74">
        <v>66054241.280000001</v>
      </c>
      <c r="I19" s="325">
        <v>123.6105</v>
      </c>
      <c r="J19" s="23">
        <f t="shared" si="2"/>
        <v>-2.3555290101395774E-3</v>
      </c>
      <c r="K19" s="23">
        <f t="shared" si="3"/>
        <v>-4.3359259211526203E-3</v>
      </c>
      <c r="L19" s="74">
        <v>67439714.620000005</v>
      </c>
      <c r="M19" s="325">
        <v>126.20059999999999</v>
      </c>
      <c r="N19" s="23">
        <f t="shared" si="4"/>
        <v>2.097478243867891E-2</v>
      </c>
      <c r="O19" s="23">
        <f t="shared" si="5"/>
        <v>2.0953721568960505E-2</v>
      </c>
      <c r="P19" s="74">
        <v>68560685.060000002</v>
      </c>
      <c r="Q19" s="325">
        <v>128.28479999999999</v>
      </c>
      <c r="R19" s="23">
        <f t="shared" si="6"/>
        <v>1.6621814702453698E-2</v>
      </c>
      <c r="S19" s="23">
        <f t="shared" si="7"/>
        <v>1.6514976949396402E-2</v>
      </c>
      <c r="T19" s="74">
        <v>67241616.489999995</v>
      </c>
      <c r="U19" s="325">
        <v>125.80929999999999</v>
      </c>
      <c r="V19" s="23">
        <f t="shared" si="8"/>
        <v>-1.9239431006934104E-2</v>
      </c>
      <c r="W19" s="23">
        <f t="shared" si="9"/>
        <v>-1.9296908129412035E-2</v>
      </c>
      <c r="X19" s="74">
        <v>69843586.170000002</v>
      </c>
      <c r="Y19" s="325">
        <v>130.66200000000001</v>
      </c>
      <c r="Z19" s="23">
        <f t="shared" si="10"/>
        <v>3.8695822852310005E-2</v>
      </c>
      <c r="AA19" s="23">
        <f t="shared" si="11"/>
        <v>3.8571870283039593E-2</v>
      </c>
      <c r="AB19" s="74">
        <v>69684504.700000003</v>
      </c>
      <c r="AC19" s="325">
        <v>130.1129</v>
      </c>
      <c r="AD19" s="23">
        <f t="shared" si="12"/>
        <v>-2.2776818706415343E-3</v>
      </c>
      <c r="AE19" s="23">
        <f t="shared" si="13"/>
        <v>-4.2024460057247699E-3</v>
      </c>
      <c r="AF19" s="74">
        <v>71901495.480000004</v>
      </c>
      <c r="AG19" s="325">
        <v>128.4442</v>
      </c>
      <c r="AH19" s="23">
        <f t="shared" si="14"/>
        <v>3.1814688065078561E-2</v>
      </c>
      <c r="AI19" s="23">
        <f t="shared" si="15"/>
        <v>-1.2825015813189939E-2</v>
      </c>
      <c r="AJ19" s="24">
        <f t="shared" si="16"/>
        <v>1.6863490104732346E-2</v>
      </c>
      <c r="AK19" s="24">
        <f t="shared" si="17"/>
        <v>1.0665266275128382E-2</v>
      </c>
      <c r="AL19" s="25">
        <f t="shared" si="18"/>
        <v>8.5957964719573621E-2</v>
      </c>
      <c r="AM19" s="25">
        <f t="shared" si="19"/>
        <v>3.4598804015826178E-2</v>
      </c>
      <c r="AN19" s="384">
        <f t="shared" si="20"/>
        <v>2.3602179022088117E-2</v>
      </c>
      <c r="AO19" s="385">
        <f t="shared" si="21"/>
        <v>2.49488346652606E-2</v>
      </c>
      <c r="AP19" s="30"/>
      <c r="AQ19" s="28"/>
      <c r="AR19" s="28"/>
      <c r="AS19" s="29"/>
      <c r="AT19" s="29"/>
    </row>
    <row r="20" spans="1:46" s="302" customFormat="1" ht="12.75" customHeight="1">
      <c r="A20" s="202" t="s">
        <v>75</v>
      </c>
      <c r="B20" s="325">
        <v>2358631076.48</v>
      </c>
      <c r="C20" s="310">
        <v>1.1733</v>
      </c>
      <c r="D20" s="325">
        <v>2487063727.7800002</v>
      </c>
      <c r="E20" s="310">
        <v>1.2363999999999999</v>
      </c>
      <c r="F20" s="23">
        <f t="shared" si="0"/>
        <v>5.445220008364849E-2</v>
      </c>
      <c r="G20" s="23">
        <f t="shared" si="1"/>
        <v>5.3779936930026362E-2</v>
      </c>
      <c r="H20" s="325">
        <v>2689717869.4099998</v>
      </c>
      <c r="I20" s="310">
        <v>1.1746000000000001</v>
      </c>
      <c r="J20" s="23">
        <f t="shared" si="2"/>
        <v>8.1483292674165819E-2</v>
      </c>
      <c r="K20" s="23">
        <f t="shared" si="3"/>
        <v>-4.9983824005176203E-2</v>
      </c>
      <c r="L20" s="325">
        <v>2442123267.79</v>
      </c>
      <c r="M20" s="310">
        <v>1.1916</v>
      </c>
      <c r="N20" s="23">
        <f t="shared" si="4"/>
        <v>-9.2052257389475103E-2</v>
      </c>
      <c r="O20" s="23">
        <f t="shared" si="5"/>
        <v>1.447301208922178E-2</v>
      </c>
      <c r="P20" s="325">
        <v>2513014397.8499999</v>
      </c>
      <c r="Q20" s="310">
        <v>1.2171000000000001</v>
      </c>
      <c r="R20" s="23">
        <f t="shared" si="6"/>
        <v>2.9028481483718425E-2</v>
      </c>
      <c r="S20" s="23">
        <f t="shared" si="7"/>
        <v>2.1399798590130983E-2</v>
      </c>
      <c r="T20" s="325">
        <v>2494348876.6700001</v>
      </c>
      <c r="U20" s="310">
        <v>1.2063999999999999</v>
      </c>
      <c r="V20" s="23">
        <f t="shared" si="8"/>
        <v>-7.4275424748736201E-3</v>
      </c>
      <c r="W20" s="23">
        <f t="shared" si="9"/>
        <v>-8.7913893681703659E-3</v>
      </c>
      <c r="X20" s="325">
        <v>2453972620.8499999</v>
      </c>
      <c r="Y20" s="310">
        <v>1.2358</v>
      </c>
      <c r="Z20" s="23">
        <f t="shared" si="10"/>
        <v>-1.6187092430271097E-2</v>
      </c>
      <c r="AA20" s="23">
        <f t="shared" si="11"/>
        <v>2.4370026525199019E-2</v>
      </c>
      <c r="AB20" s="325">
        <v>2546054531.0700002</v>
      </c>
      <c r="AC20" s="310">
        <v>1.252</v>
      </c>
      <c r="AD20" s="23">
        <f t="shared" si="12"/>
        <v>3.75236094476495E-2</v>
      </c>
      <c r="AE20" s="23">
        <f t="shared" si="13"/>
        <v>1.3108917300534061E-2</v>
      </c>
      <c r="AF20" s="325">
        <v>2517001984.5999999</v>
      </c>
      <c r="AG20" s="310">
        <v>1.2625</v>
      </c>
      <c r="AH20" s="23">
        <f t="shared" si="14"/>
        <v>-1.1410810772301369E-2</v>
      </c>
      <c r="AI20" s="23">
        <f t="shared" si="15"/>
        <v>8.3865814696485255E-3</v>
      </c>
      <c r="AJ20" s="24">
        <f t="shared" si="16"/>
        <v>9.4262350777826291E-3</v>
      </c>
      <c r="AK20" s="24">
        <f t="shared" si="17"/>
        <v>9.5928824414267706E-3</v>
      </c>
      <c r="AL20" s="25">
        <f t="shared" si="18"/>
        <v>1.2037591351438004E-2</v>
      </c>
      <c r="AM20" s="25">
        <f t="shared" si="19"/>
        <v>2.1109673244904571E-2</v>
      </c>
      <c r="AN20" s="384">
        <f t="shared" si="20"/>
        <v>5.3539607317270192E-2</v>
      </c>
      <c r="AO20" s="385">
        <f t="shared" si="21"/>
        <v>2.9845463331089075E-2</v>
      </c>
      <c r="AP20" s="30"/>
      <c r="AQ20" s="28"/>
      <c r="AR20" s="28"/>
      <c r="AS20" s="29"/>
      <c r="AT20" s="29"/>
    </row>
    <row r="21" spans="1:46">
      <c r="A21" s="204" t="s">
        <v>42</v>
      </c>
      <c r="B21" s="70">
        <f>SUM(B5:B20)</f>
        <v>18707350348.630001</v>
      </c>
      <c r="C21" s="85"/>
      <c r="D21" s="70">
        <f>SUM(D5:D20)</f>
        <v>20030863173.209999</v>
      </c>
      <c r="E21" s="85"/>
      <c r="F21" s="23">
        <f>((D21-B21)/B21)</f>
        <v>7.0748278078670984E-2</v>
      </c>
      <c r="G21" s="23"/>
      <c r="H21" s="70">
        <f>SUM(H5:H20)</f>
        <v>20288689104.509998</v>
      </c>
      <c r="I21" s="85"/>
      <c r="J21" s="23">
        <f>((H21-D21)/D21)</f>
        <v>1.2871433900303656E-2</v>
      </c>
      <c r="K21" s="23"/>
      <c r="L21" s="70">
        <f>SUM(L5:L20)</f>
        <v>20576058059.739998</v>
      </c>
      <c r="M21" s="85"/>
      <c r="N21" s="23">
        <f>((L21-H21)/H21)</f>
        <v>1.4163998164184986E-2</v>
      </c>
      <c r="O21" s="23"/>
      <c r="P21" s="70">
        <f>SUM(P5:P20)</f>
        <v>21710685651.219997</v>
      </c>
      <c r="Q21" s="85"/>
      <c r="R21" s="23">
        <f>((P21-L21)/L21)</f>
        <v>5.5143098264291E-2</v>
      </c>
      <c r="S21" s="23"/>
      <c r="T21" s="70">
        <f>SUM(T5:T20)</f>
        <v>20938164830.360001</v>
      </c>
      <c r="U21" s="85"/>
      <c r="V21" s="23">
        <f>((T21-P21)/P21)</f>
        <v>-3.5582516060085195E-2</v>
      </c>
      <c r="W21" s="23"/>
      <c r="X21" s="70">
        <f>SUM(X5:X20)</f>
        <v>21667567762.559998</v>
      </c>
      <c r="Y21" s="85"/>
      <c r="Z21" s="23">
        <f>((X21-T21)/T21)</f>
        <v>3.4836048818489312E-2</v>
      </c>
      <c r="AA21" s="23"/>
      <c r="AB21" s="70">
        <f>SUM(AB5:AB20)</f>
        <v>21710538133.900002</v>
      </c>
      <c r="AC21" s="85"/>
      <c r="AD21" s="23">
        <f>((AB21-X21)/X21)</f>
        <v>1.9831654300513455E-3</v>
      </c>
      <c r="AE21" s="23"/>
      <c r="AF21" s="70">
        <f>SUM(AF5:AF20)</f>
        <v>21798118395</v>
      </c>
      <c r="AG21" s="85"/>
      <c r="AH21" s="23">
        <f>((AF21-AB21)/AB21)</f>
        <v>4.0339977093080872E-3</v>
      </c>
      <c r="AI21" s="23"/>
      <c r="AJ21" s="24">
        <f t="shared" si="16"/>
        <v>1.9774688038151772E-2</v>
      </c>
      <c r="AK21" s="24"/>
      <c r="AL21" s="25">
        <f t="shared" si="18"/>
        <v>8.8226613426903744E-2</v>
      </c>
      <c r="AM21" s="25"/>
      <c r="AN21" s="384">
        <f t="shared" si="20"/>
        <v>3.3346531892857197E-2</v>
      </c>
      <c r="AO21" s="385"/>
      <c r="AP21" s="30"/>
      <c r="AQ21" s="40">
        <f>SUM(AQ5:AQ20)</f>
        <v>13401593384.119999</v>
      </c>
      <c r="AR21" s="41"/>
      <c r="AS21" s="29" t="e">
        <f>(#REF!/AQ21)-1</f>
        <v>#REF!</v>
      </c>
      <c r="AT21" s="29" t="e">
        <f>(#REF!/AR21)-1</f>
        <v>#REF!</v>
      </c>
    </row>
    <row r="22" spans="1:46" s="108" customFormat="1" ht="6" customHeight="1">
      <c r="A22" s="204"/>
      <c r="B22" s="85"/>
      <c r="C22" s="85"/>
      <c r="D22" s="85"/>
      <c r="E22" s="85"/>
      <c r="F22" s="23"/>
      <c r="G22" s="23"/>
      <c r="H22" s="85"/>
      <c r="I22" s="85"/>
      <c r="J22" s="23"/>
      <c r="K22" s="23"/>
      <c r="L22" s="85"/>
      <c r="M22" s="85"/>
      <c r="N22" s="23"/>
      <c r="O22" s="23"/>
      <c r="P22" s="85"/>
      <c r="Q22" s="85"/>
      <c r="R22" s="23"/>
      <c r="S22" s="23"/>
      <c r="T22" s="85"/>
      <c r="U22" s="85"/>
      <c r="V22" s="23"/>
      <c r="W22" s="23"/>
      <c r="X22" s="85"/>
      <c r="Y22" s="85"/>
      <c r="Z22" s="23"/>
      <c r="AA22" s="23"/>
      <c r="AB22" s="85"/>
      <c r="AC22" s="85"/>
      <c r="AD22" s="23"/>
      <c r="AE22" s="23"/>
      <c r="AF22" s="85"/>
      <c r="AG22" s="85"/>
      <c r="AH22" s="23"/>
      <c r="AI22" s="23"/>
      <c r="AJ22" s="24"/>
      <c r="AK22" s="24"/>
      <c r="AL22" s="25"/>
      <c r="AM22" s="25"/>
      <c r="AN22" s="384"/>
      <c r="AO22" s="385"/>
      <c r="AP22" s="30"/>
      <c r="AQ22" s="40"/>
      <c r="AR22" s="41"/>
      <c r="AS22" s="29"/>
      <c r="AT22" s="29"/>
    </row>
    <row r="23" spans="1:46">
      <c r="A23" s="201" t="s">
        <v>44</v>
      </c>
      <c r="B23" s="85"/>
      <c r="C23" s="85"/>
      <c r="D23" s="85"/>
      <c r="E23" s="85"/>
      <c r="F23" s="23"/>
      <c r="G23" s="23"/>
      <c r="H23" s="85"/>
      <c r="I23" s="85"/>
      <c r="J23" s="23"/>
      <c r="K23" s="23"/>
      <c r="L23" s="85"/>
      <c r="M23" s="85"/>
      <c r="N23" s="23"/>
      <c r="O23" s="23"/>
      <c r="P23" s="85"/>
      <c r="Q23" s="85"/>
      <c r="R23" s="23"/>
      <c r="S23" s="23"/>
      <c r="T23" s="85"/>
      <c r="U23" s="85"/>
      <c r="V23" s="23"/>
      <c r="W23" s="23"/>
      <c r="X23" s="85"/>
      <c r="Y23" s="85"/>
      <c r="Z23" s="23"/>
      <c r="AA23" s="23"/>
      <c r="AB23" s="85"/>
      <c r="AC23" s="85"/>
      <c r="AD23" s="23"/>
      <c r="AE23" s="23"/>
      <c r="AF23" s="85"/>
      <c r="AG23" s="85"/>
      <c r="AH23" s="23"/>
      <c r="AI23" s="23"/>
      <c r="AJ23" s="24"/>
      <c r="AK23" s="24"/>
      <c r="AL23" s="25"/>
      <c r="AM23" s="25"/>
      <c r="AN23" s="384"/>
      <c r="AO23" s="385"/>
      <c r="AP23" s="30"/>
      <c r="AQ23" s="40"/>
      <c r="AR23" s="13"/>
      <c r="AS23" s="29" t="e">
        <f>(#REF!/AQ23)-1</f>
        <v>#REF!</v>
      </c>
      <c r="AT23" s="29" t="e">
        <f>(#REF!/AR23)-1</f>
        <v>#REF!</v>
      </c>
    </row>
    <row r="24" spans="1:46">
      <c r="A24" s="202" t="s">
        <v>115</v>
      </c>
      <c r="B24" s="321">
        <v>808965989.36000001</v>
      </c>
      <c r="C24" s="310">
        <v>100</v>
      </c>
      <c r="D24" s="321">
        <v>817828258.86000001</v>
      </c>
      <c r="E24" s="310">
        <v>100</v>
      </c>
      <c r="F24" s="23">
        <f t="shared" ref="F24:F52" si="22">((D24-B24)/B24)</f>
        <v>1.0955058205860096E-2</v>
      </c>
      <c r="G24" s="23">
        <f t="shared" ref="G24:G52" si="23">((E24-C24)/C24)</f>
        <v>0</v>
      </c>
      <c r="H24" s="321">
        <v>818463836.38</v>
      </c>
      <c r="I24" s="310">
        <v>100</v>
      </c>
      <c r="J24" s="23">
        <f t="shared" ref="J24:J52" si="24">((H24-D24)/D24)</f>
        <v>7.7715279841997036E-4</v>
      </c>
      <c r="K24" s="23">
        <f t="shared" ref="K24:K52" si="25">((I24-E24)/E24)</f>
        <v>0</v>
      </c>
      <c r="L24" s="321">
        <v>809250351.65999997</v>
      </c>
      <c r="M24" s="310">
        <v>100</v>
      </c>
      <c r="N24" s="23">
        <f t="shared" ref="N24:N52" si="26">((L24-H24)/H24)</f>
        <v>-1.1257045590127151E-2</v>
      </c>
      <c r="O24" s="23">
        <f t="shared" ref="O24:O52" si="27">((M24-I24)/I24)</f>
        <v>0</v>
      </c>
      <c r="P24" s="321">
        <v>831888909.58000004</v>
      </c>
      <c r="Q24" s="310">
        <v>100</v>
      </c>
      <c r="R24" s="23">
        <f t="shared" ref="R24:R52" si="28">((P24-L24)/L24)</f>
        <v>2.7974727318390447E-2</v>
      </c>
      <c r="S24" s="23">
        <f t="shared" ref="S24:S52" si="29">((Q24-M24)/M24)</f>
        <v>0</v>
      </c>
      <c r="T24" s="321">
        <v>834224445.30999994</v>
      </c>
      <c r="U24" s="310">
        <v>100</v>
      </c>
      <c r="V24" s="23">
        <f t="shared" ref="V24:V52" si="30">((T24-P24)/P24)</f>
        <v>2.8075091554941554E-3</v>
      </c>
      <c r="W24" s="23">
        <f t="shared" ref="W24:W52" si="31">((U24-Q24)/Q24)</f>
        <v>0</v>
      </c>
      <c r="X24" s="321">
        <v>840701123.40999997</v>
      </c>
      <c r="Y24" s="310">
        <v>100</v>
      </c>
      <c r="Z24" s="23">
        <f t="shared" ref="Z24:Z52" si="32">((X24-T24)/T24)</f>
        <v>7.7637117162075893E-3</v>
      </c>
      <c r="AA24" s="23">
        <f t="shared" ref="AA24:AA52" si="33">((Y24-U24)/U24)</f>
        <v>0</v>
      </c>
      <c r="AB24" s="321">
        <v>835877117.96000004</v>
      </c>
      <c r="AC24" s="310">
        <v>100</v>
      </c>
      <c r="AD24" s="23">
        <f t="shared" ref="AD24:AD52" si="34">((AB24-X24)/X24)</f>
        <v>-5.7380742283691683E-3</v>
      </c>
      <c r="AE24" s="23">
        <f t="shared" ref="AE24:AE52" si="35">((AC24-Y24)/Y24)</f>
        <v>0</v>
      </c>
      <c r="AF24" s="321">
        <v>813920925.62</v>
      </c>
      <c r="AG24" s="310">
        <v>100</v>
      </c>
      <c r="AH24" s="23">
        <f t="shared" ref="AH24:AH52" si="36">((AF24-AB24)/AB24)</f>
        <v>-2.6267248939156537E-2</v>
      </c>
      <c r="AI24" s="23">
        <f t="shared" ref="AI24:AI52" si="37">((AG24-AC24)/AC24)</f>
        <v>0</v>
      </c>
      <c r="AJ24" s="24">
        <f t="shared" si="16"/>
        <v>8.7697380458992558E-4</v>
      </c>
      <c r="AK24" s="24">
        <f t="shared" si="17"/>
        <v>0</v>
      </c>
      <c r="AL24" s="25">
        <f t="shared" si="18"/>
        <v>-4.777694091234486E-3</v>
      </c>
      <c r="AM24" s="25">
        <f t="shared" si="19"/>
        <v>0</v>
      </c>
      <c r="AN24" s="384">
        <f t="shared" si="20"/>
        <v>1.6101562640418912E-2</v>
      </c>
      <c r="AO24" s="385">
        <f t="shared" si="21"/>
        <v>0</v>
      </c>
      <c r="AP24" s="30"/>
      <c r="AQ24" s="28">
        <v>56630718400</v>
      </c>
      <c r="AR24" s="42">
        <v>100</v>
      </c>
      <c r="AS24" s="29" t="e">
        <f>(#REF!/AQ24)-1</f>
        <v>#REF!</v>
      </c>
      <c r="AT24" s="29" t="e">
        <f>(#REF!/AR24)-1</f>
        <v>#REF!</v>
      </c>
    </row>
    <row r="25" spans="1:46">
      <c r="A25" s="202" t="s">
        <v>37</v>
      </c>
      <c r="B25" s="321">
        <v>3313072792.2199998</v>
      </c>
      <c r="C25" s="310">
        <v>100</v>
      </c>
      <c r="D25" s="321">
        <v>3317545180.6999998</v>
      </c>
      <c r="E25" s="310">
        <v>100</v>
      </c>
      <c r="F25" s="23">
        <f t="shared" si="22"/>
        <v>1.3499215865411739E-3</v>
      </c>
      <c r="G25" s="23">
        <f t="shared" si="23"/>
        <v>0</v>
      </c>
      <c r="H25" s="321">
        <v>3329801705.5900002</v>
      </c>
      <c r="I25" s="310">
        <v>100</v>
      </c>
      <c r="J25" s="23">
        <f t="shared" si="24"/>
        <v>3.694456057841607E-3</v>
      </c>
      <c r="K25" s="23">
        <f t="shared" si="25"/>
        <v>0</v>
      </c>
      <c r="L25" s="321">
        <v>3324415921.2199998</v>
      </c>
      <c r="M25" s="310">
        <v>100</v>
      </c>
      <c r="N25" s="23">
        <f t="shared" si="26"/>
        <v>-1.6174489793067323E-3</v>
      </c>
      <c r="O25" s="23">
        <f t="shared" si="27"/>
        <v>0</v>
      </c>
      <c r="P25" s="321">
        <v>3325322527.29</v>
      </c>
      <c r="Q25" s="310">
        <v>100</v>
      </c>
      <c r="R25" s="23">
        <f t="shared" si="28"/>
        <v>2.7271138494231004E-4</v>
      </c>
      <c r="S25" s="23">
        <f t="shared" si="29"/>
        <v>0</v>
      </c>
      <c r="T25" s="321">
        <v>3303171312.5599999</v>
      </c>
      <c r="U25" s="310">
        <v>100</v>
      </c>
      <c r="V25" s="23">
        <f t="shared" si="30"/>
        <v>-6.6613733098702882E-3</v>
      </c>
      <c r="W25" s="23">
        <f t="shared" si="31"/>
        <v>0</v>
      </c>
      <c r="X25" s="321">
        <v>3287387390.23</v>
      </c>
      <c r="Y25" s="310">
        <v>100</v>
      </c>
      <c r="Z25" s="23">
        <f t="shared" si="32"/>
        <v>-4.7784146919607334E-3</v>
      </c>
      <c r="AA25" s="23">
        <f t="shared" si="33"/>
        <v>0</v>
      </c>
      <c r="AB25" s="321">
        <v>3341828994.2600002</v>
      </c>
      <c r="AC25" s="310">
        <v>100</v>
      </c>
      <c r="AD25" s="23">
        <f t="shared" si="34"/>
        <v>1.656075100604168E-2</v>
      </c>
      <c r="AE25" s="23">
        <f t="shared" si="35"/>
        <v>0</v>
      </c>
      <c r="AF25" s="321">
        <v>3433386374.0999999</v>
      </c>
      <c r="AG25" s="310">
        <v>100</v>
      </c>
      <c r="AH25" s="23">
        <f t="shared" si="36"/>
        <v>2.7397386280764414E-2</v>
      </c>
      <c r="AI25" s="23">
        <f t="shared" si="37"/>
        <v>0</v>
      </c>
      <c r="AJ25" s="24">
        <f t="shared" si="16"/>
        <v>4.5272486668741785E-3</v>
      </c>
      <c r="AK25" s="24">
        <f t="shared" si="17"/>
        <v>0</v>
      </c>
      <c r="AL25" s="25">
        <f t="shared" si="18"/>
        <v>3.4917744021667758E-2</v>
      </c>
      <c r="AM25" s="25">
        <f t="shared" si="19"/>
        <v>0</v>
      </c>
      <c r="AN25" s="384">
        <f t="shared" si="20"/>
        <v>1.1626793888397147E-2</v>
      </c>
      <c r="AO25" s="385">
        <f t="shared" si="21"/>
        <v>0</v>
      </c>
      <c r="AP25" s="30"/>
      <c r="AQ25" s="28">
        <v>366113097.69999999</v>
      </c>
      <c r="AR25" s="32">
        <v>1.1357999999999999</v>
      </c>
      <c r="AS25" s="29" t="e">
        <f>(#REF!/AQ25)-1</f>
        <v>#REF!</v>
      </c>
      <c r="AT25" s="29" t="e">
        <f>(#REF!/AR25)-1</f>
        <v>#REF!</v>
      </c>
    </row>
    <row r="26" spans="1:46">
      <c r="A26" s="202" t="s">
        <v>138</v>
      </c>
      <c r="B26" s="321">
        <v>510583469.42000002</v>
      </c>
      <c r="C26" s="310">
        <v>100</v>
      </c>
      <c r="D26" s="321">
        <v>493551899.81</v>
      </c>
      <c r="E26" s="310">
        <v>100</v>
      </c>
      <c r="F26" s="23">
        <f t="shared" si="22"/>
        <v>-3.3357072114667395E-2</v>
      </c>
      <c r="G26" s="23">
        <f t="shared" si="23"/>
        <v>0</v>
      </c>
      <c r="H26" s="321">
        <v>485018923.54000002</v>
      </c>
      <c r="I26" s="310">
        <v>100</v>
      </c>
      <c r="J26" s="23">
        <f t="shared" si="24"/>
        <v>-1.7288913837197009E-2</v>
      </c>
      <c r="K26" s="23">
        <f t="shared" si="25"/>
        <v>0</v>
      </c>
      <c r="L26" s="321">
        <v>552902413.13999999</v>
      </c>
      <c r="M26" s="310">
        <v>100</v>
      </c>
      <c r="N26" s="23">
        <f t="shared" si="26"/>
        <v>0.13996049701430163</v>
      </c>
      <c r="O26" s="23">
        <f t="shared" si="27"/>
        <v>0</v>
      </c>
      <c r="P26" s="321">
        <v>524340085.01999998</v>
      </c>
      <c r="Q26" s="310">
        <v>100</v>
      </c>
      <c r="R26" s="23">
        <f t="shared" si="28"/>
        <v>-5.1658895749416379E-2</v>
      </c>
      <c r="S26" s="23">
        <f t="shared" si="29"/>
        <v>0</v>
      </c>
      <c r="T26" s="321">
        <v>519140753.98000002</v>
      </c>
      <c r="U26" s="310">
        <v>100</v>
      </c>
      <c r="V26" s="23">
        <f t="shared" si="30"/>
        <v>-9.9159518574698392E-3</v>
      </c>
      <c r="W26" s="23">
        <f t="shared" si="31"/>
        <v>0</v>
      </c>
      <c r="X26" s="321">
        <v>453417157.98000002</v>
      </c>
      <c r="Y26" s="310">
        <v>100</v>
      </c>
      <c r="Z26" s="23">
        <f t="shared" si="32"/>
        <v>-0.12660072532570235</v>
      </c>
      <c r="AA26" s="23">
        <f t="shared" si="33"/>
        <v>0</v>
      </c>
      <c r="AB26" s="321">
        <v>424945120.56</v>
      </c>
      <c r="AC26" s="310">
        <v>100</v>
      </c>
      <c r="AD26" s="23">
        <f t="shared" si="34"/>
        <v>-6.2794353762095398E-2</v>
      </c>
      <c r="AE26" s="23">
        <f t="shared" si="35"/>
        <v>0</v>
      </c>
      <c r="AF26" s="321">
        <v>419760490.38999999</v>
      </c>
      <c r="AG26" s="310">
        <v>100</v>
      </c>
      <c r="AH26" s="23">
        <f t="shared" si="36"/>
        <v>-1.2200705265582581E-2</v>
      </c>
      <c r="AI26" s="23">
        <f t="shared" si="37"/>
        <v>0</v>
      </c>
      <c r="AJ26" s="24">
        <f t="shared" si="16"/>
        <v>-2.1732015112228664E-2</v>
      </c>
      <c r="AK26" s="24">
        <f t="shared" si="17"/>
        <v>0</v>
      </c>
      <c r="AL26" s="25">
        <f t="shared" si="18"/>
        <v>-0.14951094190582004</v>
      </c>
      <c r="AM26" s="25">
        <f t="shared" si="19"/>
        <v>0</v>
      </c>
      <c r="AN26" s="384">
        <f t="shared" si="20"/>
        <v>7.5695817035947854E-2</v>
      </c>
      <c r="AO26" s="385">
        <f t="shared" si="21"/>
        <v>0</v>
      </c>
      <c r="AP26" s="30"/>
      <c r="AQ26" s="28">
        <v>691810420.35000002</v>
      </c>
      <c r="AR26" s="42">
        <v>100</v>
      </c>
      <c r="AS26" s="29" t="e">
        <f>(#REF!/AQ26)-1</f>
        <v>#REF!</v>
      </c>
      <c r="AT26" s="29" t="e">
        <f>(#REF!/AR26)-1</f>
        <v>#REF!</v>
      </c>
    </row>
    <row r="27" spans="1:46">
      <c r="A27" s="202" t="s">
        <v>15</v>
      </c>
      <c r="B27" s="321">
        <v>79450988647.059998</v>
      </c>
      <c r="C27" s="310">
        <v>1</v>
      </c>
      <c r="D27" s="321">
        <v>78884907553.710007</v>
      </c>
      <c r="E27" s="310">
        <v>1</v>
      </c>
      <c r="F27" s="23">
        <f t="shared" si="22"/>
        <v>-7.1249093685247442E-3</v>
      </c>
      <c r="G27" s="23">
        <f t="shared" si="23"/>
        <v>0</v>
      </c>
      <c r="H27" s="321">
        <v>79085463217.5</v>
      </c>
      <c r="I27" s="310">
        <v>1</v>
      </c>
      <c r="J27" s="23">
        <f t="shared" si="24"/>
        <v>2.5423832011648344E-3</v>
      </c>
      <c r="K27" s="23">
        <f t="shared" si="25"/>
        <v>0</v>
      </c>
      <c r="L27" s="321">
        <v>79847036683.710007</v>
      </c>
      <c r="M27" s="310">
        <v>1</v>
      </c>
      <c r="N27" s="23">
        <f t="shared" si="26"/>
        <v>9.629752867673487E-3</v>
      </c>
      <c r="O27" s="23">
        <f t="shared" si="27"/>
        <v>0</v>
      </c>
      <c r="P27" s="321">
        <v>81325758691.130005</v>
      </c>
      <c r="Q27" s="310">
        <v>1</v>
      </c>
      <c r="R27" s="23">
        <f t="shared" si="28"/>
        <v>1.8519435020206323E-2</v>
      </c>
      <c r="S27" s="23">
        <f t="shared" si="29"/>
        <v>0</v>
      </c>
      <c r="T27" s="321">
        <v>80645865362.789993</v>
      </c>
      <c r="U27" s="310">
        <v>1</v>
      </c>
      <c r="V27" s="23">
        <f t="shared" si="30"/>
        <v>-8.360122786215899E-3</v>
      </c>
      <c r="W27" s="23">
        <f t="shared" si="31"/>
        <v>0</v>
      </c>
      <c r="X27" s="321">
        <v>79663888467.130005</v>
      </c>
      <c r="Y27" s="310">
        <v>1</v>
      </c>
      <c r="Z27" s="23">
        <f t="shared" si="32"/>
        <v>-1.2176407200077892E-2</v>
      </c>
      <c r="AA27" s="23">
        <f t="shared" si="33"/>
        <v>0</v>
      </c>
      <c r="AB27" s="321">
        <v>79461020448.75</v>
      </c>
      <c r="AC27" s="310">
        <v>1</v>
      </c>
      <c r="AD27" s="23">
        <f t="shared" si="34"/>
        <v>-2.5465492870550745E-3</v>
      </c>
      <c r="AE27" s="23">
        <f t="shared" si="35"/>
        <v>0</v>
      </c>
      <c r="AF27" s="321">
        <v>79179387352.850006</v>
      </c>
      <c r="AG27" s="310">
        <v>1</v>
      </c>
      <c r="AH27" s="23">
        <f t="shared" si="36"/>
        <v>-3.5442924632668026E-3</v>
      </c>
      <c r="AI27" s="23">
        <f t="shared" si="37"/>
        <v>0</v>
      </c>
      <c r="AJ27" s="24">
        <f t="shared" si="16"/>
        <v>-3.8258875201197104E-4</v>
      </c>
      <c r="AK27" s="24">
        <f t="shared" si="17"/>
        <v>0</v>
      </c>
      <c r="AL27" s="25">
        <f t="shared" si="18"/>
        <v>3.7330309215295497E-3</v>
      </c>
      <c r="AM27" s="25">
        <f t="shared" si="19"/>
        <v>0</v>
      </c>
      <c r="AN27" s="384">
        <f t="shared" si="20"/>
        <v>1.0204775730896952E-2</v>
      </c>
      <c r="AO27" s="385">
        <f t="shared" si="21"/>
        <v>0</v>
      </c>
      <c r="AP27" s="30"/>
      <c r="AQ27" s="28">
        <v>13880602273.7041</v>
      </c>
      <c r="AR27" s="35">
        <v>1</v>
      </c>
      <c r="AS27" s="29" t="e">
        <f>(#REF!/AQ27)-1</f>
        <v>#REF!</v>
      </c>
      <c r="AT27" s="29" t="e">
        <f>(#REF!/AR27)-1</f>
        <v>#REF!</v>
      </c>
    </row>
    <row r="28" spans="1:46">
      <c r="A28" s="202" t="s">
        <v>82</v>
      </c>
      <c r="B28" s="321">
        <v>39747093653.339996</v>
      </c>
      <c r="C28" s="310">
        <v>1</v>
      </c>
      <c r="D28" s="321">
        <v>39607756062</v>
      </c>
      <c r="E28" s="310">
        <v>1</v>
      </c>
      <c r="F28" s="23">
        <f t="shared" si="22"/>
        <v>-3.5056045243269662E-3</v>
      </c>
      <c r="G28" s="23">
        <f t="shared" si="23"/>
        <v>0</v>
      </c>
      <c r="H28" s="321">
        <v>40934587170.089996</v>
      </c>
      <c r="I28" s="310">
        <v>1</v>
      </c>
      <c r="J28" s="23">
        <f t="shared" si="24"/>
        <v>3.3499274889823127E-2</v>
      </c>
      <c r="K28" s="23">
        <f t="shared" si="25"/>
        <v>0</v>
      </c>
      <c r="L28" s="321">
        <v>40777370723.519997</v>
      </c>
      <c r="M28" s="310">
        <v>1</v>
      </c>
      <c r="N28" s="23">
        <f t="shared" si="26"/>
        <v>-3.8406750241974908E-3</v>
      </c>
      <c r="O28" s="23">
        <f t="shared" si="27"/>
        <v>0</v>
      </c>
      <c r="P28" s="321">
        <v>40930190328.449997</v>
      </c>
      <c r="Q28" s="310">
        <v>1</v>
      </c>
      <c r="R28" s="23">
        <f t="shared" si="28"/>
        <v>3.747657149504625E-3</v>
      </c>
      <c r="S28" s="23">
        <f t="shared" si="29"/>
        <v>0</v>
      </c>
      <c r="T28" s="321">
        <v>40539430957.650002</v>
      </c>
      <c r="U28" s="310">
        <v>1</v>
      </c>
      <c r="V28" s="23">
        <f t="shared" si="30"/>
        <v>-9.5469717502970931E-3</v>
      </c>
      <c r="W28" s="23">
        <f t="shared" si="31"/>
        <v>0</v>
      </c>
      <c r="X28" s="321">
        <v>40195248956.879997</v>
      </c>
      <c r="Y28" s="310">
        <v>1</v>
      </c>
      <c r="Z28" s="23">
        <f t="shared" si="32"/>
        <v>-8.4900550560159087E-3</v>
      </c>
      <c r="AA28" s="23">
        <f t="shared" si="33"/>
        <v>0</v>
      </c>
      <c r="AB28" s="321">
        <v>40095551080.629997</v>
      </c>
      <c r="AC28" s="310">
        <v>1</v>
      </c>
      <c r="AD28" s="23">
        <f t="shared" si="34"/>
        <v>-2.4803398122238839E-3</v>
      </c>
      <c r="AE28" s="23">
        <f t="shared" si="35"/>
        <v>0</v>
      </c>
      <c r="AF28" s="321">
        <v>39990420892.980003</v>
      </c>
      <c r="AG28" s="310">
        <v>1</v>
      </c>
      <c r="AH28" s="23">
        <f t="shared" si="36"/>
        <v>-2.6219913386046931E-3</v>
      </c>
      <c r="AI28" s="23">
        <f t="shared" si="37"/>
        <v>0</v>
      </c>
      <c r="AJ28" s="24">
        <f t="shared" si="16"/>
        <v>8.4516181670771478E-4</v>
      </c>
      <c r="AK28" s="24">
        <f t="shared" si="17"/>
        <v>0</v>
      </c>
      <c r="AL28" s="25">
        <f t="shared" si="18"/>
        <v>9.661361031940284E-3</v>
      </c>
      <c r="AM28" s="25">
        <f t="shared" si="19"/>
        <v>0</v>
      </c>
      <c r="AN28" s="384">
        <f t="shared" si="20"/>
        <v>1.3803853709455048E-2</v>
      </c>
      <c r="AO28" s="385">
        <f t="shared" si="21"/>
        <v>0</v>
      </c>
      <c r="AP28" s="30"/>
      <c r="AQ28" s="38">
        <v>246915130.99000001</v>
      </c>
      <c r="AR28" s="35">
        <v>10</v>
      </c>
      <c r="AS28" s="29" t="e">
        <f>(#REF!/AQ28)-1</f>
        <v>#REF!</v>
      </c>
      <c r="AT28" s="29" t="e">
        <f>(#REF!/AR28)-1</f>
        <v>#REF!</v>
      </c>
    </row>
    <row r="29" spans="1:46">
      <c r="A29" s="202" t="s">
        <v>97</v>
      </c>
      <c r="B29" s="321">
        <v>5970449846.79</v>
      </c>
      <c r="C29" s="310">
        <v>100</v>
      </c>
      <c r="D29" s="321">
        <v>6027359426.3900003</v>
      </c>
      <c r="E29" s="310">
        <v>100</v>
      </c>
      <c r="F29" s="23">
        <f t="shared" si="22"/>
        <v>9.5318746594274962E-3</v>
      </c>
      <c r="G29" s="23">
        <f t="shared" si="23"/>
        <v>0</v>
      </c>
      <c r="H29" s="321">
        <v>4830806999.1300001</v>
      </c>
      <c r="I29" s="310">
        <v>100</v>
      </c>
      <c r="J29" s="23">
        <f t="shared" si="24"/>
        <v>-0.19852017153997037</v>
      </c>
      <c r="K29" s="23">
        <f t="shared" si="25"/>
        <v>0</v>
      </c>
      <c r="L29" s="321">
        <v>4830806999.1300001</v>
      </c>
      <c r="M29" s="310">
        <v>100</v>
      </c>
      <c r="N29" s="23">
        <f t="shared" si="26"/>
        <v>0</v>
      </c>
      <c r="O29" s="23">
        <f t="shared" si="27"/>
        <v>0</v>
      </c>
      <c r="P29" s="321">
        <v>5036249213.3599997</v>
      </c>
      <c r="Q29" s="310">
        <v>100</v>
      </c>
      <c r="R29" s="23">
        <f t="shared" si="28"/>
        <v>4.2527514402251727E-2</v>
      </c>
      <c r="S29" s="23">
        <f t="shared" si="29"/>
        <v>0</v>
      </c>
      <c r="T29" s="321">
        <v>5022455086.3400002</v>
      </c>
      <c r="U29" s="310">
        <v>100</v>
      </c>
      <c r="V29" s="23">
        <f t="shared" si="30"/>
        <v>-2.7389683146352029E-3</v>
      </c>
      <c r="W29" s="23">
        <f t="shared" si="31"/>
        <v>0</v>
      </c>
      <c r="X29" s="321">
        <v>5762076009.1499996</v>
      </c>
      <c r="Y29" s="310">
        <v>100</v>
      </c>
      <c r="Z29" s="23">
        <f t="shared" si="32"/>
        <v>0.14726282467345694</v>
      </c>
      <c r="AA29" s="23">
        <f t="shared" si="33"/>
        <v>0</v>
      </c>
      <c r="AB29" s="321">
        <v>6073036021.4700003</v>
      </c>
      <c r="AC29" s="310">
        <v>100</v>
      </c>
      <c r="AD29" s="23">
        <f t="shared" si="34"/>
        <v>5.3966662679597717E-2</v>
      </c>
      <c r="AE29" s="23">
        <f t="shared" si="35"/>
        <v>0</v>
      </c>
      <c r="AF29" s="321">
        <v>6278151194.9899998</v>
      </c>
      <c r="AG29" s="310">
        <v>100</v>
      </c>
      <c r="AH29" s="23">
        <f t="shared" si="36"/>
        <v>3.377473355910552E-2</v>
      </c>
      <c r="AI29" s="23">
        <f t="shared" si="37"/>
        <v>0</v>
      </c>
      <c r="AJ29" s="24">
        <f t="shared" si="16"/>
        <v>1.0725558764904228E-2</v>
      </c>
      <c r="AK29" s="24">
        <f t="shared" si="17"/>
        <v>0</v>
      </c>
      <c r="AL29" s="25">
        <f t="shared" si="18"/>
        <v>4.1608895514334297E-2</v>
      </c>
      <c r="AM29" s="25">
        <f t="shared" si="19"/>
        <v>0</v>
      </c>
      <c r="AN29" s="384">
        <f t="shared" si="20"/>
        <v>9.7201101201475709E-2</v>
      </c>
      <c r="AO29" s="385">
        <f t="shared" si="21"/>
        <v>0</v>
      </c>
      <c r="AP29" s="30"/>
      <c r="AQ29" s="38"/>
      <c r="AR29" s="35"/>
      <c r="AS29" s="29"/>
      <c r="AT29" s="29"/>
    </row>
    <row r="30" spans="1:46" ht="15.75" customHeight="1">
      <c r="A30" s="202" t="s">
        <v>229</v>
      </c>
      <c r="B30" s="321">
        <v>12833215067.25</v>
      </c>
      <c r="C30" s="310">
        <v>100</v>
      </c>
      <c r="D30" s="321">
        <v>12723815789.6</v>
      </c>
      <c r="E30" s="310">
        <v>100</v>
      </c>
      <c r="F30" s="23">
        <f t="shared" si="22"/>
        <v>-8.5246975973451468E-3</v>
      </c>
      <c r="G30" s="23">
        <f t="shared" si="23"/>
        <v>0</v>
      </c>
      <c r="H30" s="321">
        <v>12501464130.220001</v>
      </c>
      <c r="I30" s="310">
        <v>100</v>
      </c>
      <c r="J30" s="23">
        <f t="shared" si="24"/>
        <v>-1.747523408518234E-2</v>
      </c>
      <c r="K30" s="23">
        <f t="shared" si="25"/>
        <v>0</v>
      </c>
      <c r="L30" s="321">
        <v>12443485136.380001</v>
      </c>
      <c r="M30" s="310">
        <v>100</v>
      </c>
      <c r="N30" s="23">
        <f t="shared" si="26"/>
        <v>-4.6377762825273042E-3</v>
      </c>
      <c r="O30" s="23">
        <f t="shared" si="27"/>
        <v>0</v>
      </c>
      <c r="P30" s="321">
        <v>12713311422.23</v>
      </c>
      <c r="Q30" s="310">
        <v>100</v>
      </c>
      <c r="R30" s="23">
        <f t="shared" si="28"/>
        <v>2.1684140969568839E-2</v>
      </c>
      <c r="S30" s="23">
        <f t="shared" si="29"/>
        <v>0</v>
      </c>
      <c r="T30" s="321">
        <v>12789705036.869999</v>
      </c>
      <c r="U30" s="310">
        <v>100</v>
      </c>
      <c r="V30" s="23">
        <f t="shared" si="30"/>
        <v>6.0089470085992313E-3</v>
      </c>
      <c r="W30" s="23">
        <f t="shared" si="31"/>
        <v>0</v>
      </c>
      <c r="X30" s="321">
        <v>12754115327.99</v>
      </c>
      <c r="Y30" s="310">
        <v>100</v>
      </c>
      <c r="Z30" s="23">
        <f t="shared" si="32"/>
        <v>-2.7826841023621423E-3</v>
      </c>
      <c r="AA30" s="23">
        <f t="shared" si="33"/>
        <v>0</v>
      </c>
      <c r="AB30" s="321">
        <v>12818435327.519999</v>
      </c>
      <c r="AC30" s="310">
        <v>100</v>
      </c>
      <c r="AD30" s="23">
        <f t="shared" si="34"/>
        <v>5.0430780870267828E-3</v>
      </c>
      <c r="AE30" s="23">
        <f t="shared" si="35"/>
        <v>0</v>
      </c>
      <c r="AF30" s="321">
        <v>12742981407.68</v>
      </c>
      <c r="AG30" s="310">
        <v>100</v>
      </c>
      <c r="AH30" s="23">
        <f t="shared" si="36"/>
        <v>-5.8863595994439067E-3</v>
      </c>
      <c r="AI30" s="23">
        <f t="shared" si="37"/>
        <v>0</v>
      </c>
      <c r="AJ30" s="24">
        <f t="shared" si="16"/>
        <v>-8.2132320020824809E-4</v>
      </c>
      <c r="AK30" s="24">
        <f t="shared" si="17"/>
        <v>0</v>
      </c>
      <c r="AL30" s="25">
        <f t="shared" si="18"/>
        <v>1.5062791223105592E-3</v>
      </c>
      <c r="AM30" s="25">
        <f t="shared" si="19"/>
        <v>0</v>
      </c>
      <c r="AN30" s="384">
        <f t="shared" si="20"/>
        <v>1.1761324514762739E-2</v>
      </c>
      <c r="AO30" s="385">
        <f t="shared" si="21"/>
        <v>0</v>
      </c>
      <c r="AP30" s="30"/>
      <c r="AQ30" s="38"/>
      <c r="AR30" s="35"/>
      <c r="AS30" s="29"/>
      <c r="AT30" s="29"/>
    </row>
    <row r="31" spans="1:46">
      <c r="A31" s="202" t="s">
        <v>89</v>
      </c>
      <c r="B31" s="321">
        <v>5495920720.9399996</v>
      </c>
      <c r="C31" s="310">
        <v>100</v>
      </c>
      <c r="D31" s="321">
        <v>5200927057.8500004</v>
      </c>
      <c r="E31" s="310">
        <v>100</v>
      </c>
      <c r="F31" s="23">
        <f t="shared" si="22"/>
        <v>-5.3675021542076519E-2</v>
      </c>
      <c r="G31" s="23">
        <f t="shared" si="23"/>
        <v>0</v>
      </c>
      <c r="H31" s="321">
        <v>5195263385.3100004</v>
      </c>
      <c r="I31" s="310">
        <v>100</v>
      </c>
      <c r="J31" s="23">
        <f t="shared" si="24"/>
        <v>-1.0889736535434618E-3</v>
      </c>
      <c r="K31" s="23">
        <f t="shared" si="25"/>
        <v>0</v>
      </c>
      <c r="L31" s="321">
        <v>5208164199.6599998</v>
      </c>
      <c r="M31" s="310">
        <v>100</v>
      </c>
      <c r="N31" s="23">
        <f t="shared" si="26"/>
        <v>2.4831877410638032E-3</v>
      </c>
      <c r="O31" s="23">
        <f t="shared" si="27"/>
        <v>0</v>
      </c>
      <c r="P31" s="321">
        <v>5311125330.2299995</v>
      </c>
      <c r="Q31" s="310">
        <v>100</v>
      </c>
      <c r="R31" s="23">
        <f t="shared" si="28"/>
        <v>1.976917904714318E-2</v>
      </c>
      <c r="S31" s="23">
        <f t="shared" si="29"/>
        <v>0</v>
      </c>
      <c r="T31" s="321">
        <v>5341807931.9300003</v>
      </c>
      <c r="U31" s="310">
        <v>100</v>
      </c>
      <c r="V31" s="23">
        <f t="shared" si="30"/>
        <v>5.7770434309581701E-3</v>
      </c>
      <c r="W31" s="23">
        <f t="shared" si="31"/>
        <v>0</v>
      </c>
      <c r="X31" s="321">
        <v>5370357225.0799999</v>
      </c>
      <c r="Y31" s="310">
        <v>100</v>
      </c>
      <c r="Z31" s="23">
        <f t="shared" si="32"/>
        <v>5.3445001231417792E-3</v>
      </c>
      <c r="AA31" s="23">
        <f t="shared" si="33"/>
        <v>0</v>
      </c>
      <c r="AB31" s="321">
        <v>5360735339.1700001</v>
      </c>
      <c r="AC31" s="310">
        <v>100</v>
      </c>
      <c r="AD31" s="23">
        <f t="shared" si="34"/>
        <v>-1.7916658998147956E-3</v>
      </c>
      <c r="AE31" s="23">
        <f t="shared" si="35"/>
        <v>0</v>
      </c>
      <c r="AF31" s="321">
        <v>5563436722.6800003</v>
      </c>
      <c r="AG31" s="310">
        <v>100</v>
      </c>
      <c r="AH31" s="23">
        <f t="shared" si="36"/>
        <v>3.7812234830713429E-2</v>
      </c>
      <c r="AI31" s="23">
        <f t="shared" si="37"/>
        <v>0</v>
      </c>
      <c r="AJ31" s="24">
        <f t="shared" si="16"/>
        <v>1.8288105096981987E-3</v>
      </c>
      <c r="AK31" s="24">
        <f t="shared" si="17"/>
        <v>0</v>
      </c>
      <c r="AL31" s="25">
        <f t="shared" si="18"/>
        <v>6.9700970768826156E-2</v>
      </c>
      <c r="AM31" s="25">
        <f t="shared" si="19"/>
        <v>0</v>
      </c>
      <c r="AN31" s="384">
        <f t="shared" si="20"/>
        <v>2.6042100973044786E-2</v>
      </c>
      <c r="AO31" s="385">
        <f t="shared" si="21"/>
        <v>0</v>
      </c>
      <c r="AP31" s="30"/>
      <c r="AQ31" s="38"/>
      <c r="AR31" s="35"/>
      <c r="AS31" s="29"/>
      <c r="AT31" s="29"/>
    </row>
    <row r="32" spans="1:46">
      <c r="A32" s="202" t="s">
        <v>178</v>
      </c>
      <c r="B32" s="321">
        <v>44514190.369999997</v>
      </c>
      <c r="C32" s="310">
        <v>100</v>
      </c>
      <c r="D32" s="321">
        <v>44514190.369999997</v>
      </c>
      <c r="E32" s="310">
        <v>100</v>
      </c>
      <c r="F32" s="23">
        <f t="shared" si="22"/>
        <v>0</v>
      </c>
      <c r="G32" s="23">
        <f t="shared" si="23"/>
        <v>0</v>
      </c>
      <c r="H32" s="321">
        <v>44514190.369999997</v>
      </c>
      <c r="I32" s="310">
        <v>100</v>
      </c>
      <c r="J32" s="23">
        <f t="shared" si="24"/>
        <v>0</v>
      </c>
      <c r="K32" s="23">
        <f t="shared" si="25"/>
        <v>0</v>
      </c>
      <c r="L32" s="321">
        <v>44514190.369999997</v>
      </c>
      <c r="M32" s="310">
        <v>100</v>
      </c>
      <c r="N32" s="23">
        <f t="shared" si="26"/>
        <v>0</v>
      </c>
      <c r="O32" s="23">
        <f t="shared" si="27"/>
        <v>0</v>
      </c>
      <c r="P32" s="321">
        <v>44514190.369999997</v>
      </c>
      <c r="Q32" s="310">
        <v>100</v>
      </c>
      <c r="R32" s="23">
        <f t="shared" si="28"/>
        <v>0</v>
      </c>
      <c r="S32" s="23">
        <f t="shared" si="29"/>
        <v>0</v>
      </c>
      <c r="T32" s="321">
        <v>44514190.369999997</v>
      </c>
      <c r="U32" s="310">
        <v>100</v>
      </c>
      <c r="V32" s="23">
        <f t="shared" si="30"/>
        <v>0</v>
      </c>
      <c r="W32" s="23">
        <f t="shared" si="31"/>
        <v>0</v>
      </c>
      <c r="X32" s="321">
        <v>44514190.369999997</v>
      </c>
      <c r="Y32" s="310">
        <v>100</v>
      </c>
      <c r="Z32" s="23">
        <f t="shared" si="32"/>
        <v>0</v>
      </c>
      <c r="AA32" s="23">
        <f t="shared" si="33"/>
        <v>0</v>
      </c>
      <c r="AB32" s="321">
        <v>44514190.369999997</v>
      </c>
      <c r="AC32" s="310">
        <v>100</v>
      </c>
      <c r="AD32" s="23">
        <f t="shared" si="34"/>
        <v>0</v>
      </c>
      <c r="AE32" s="23">
        <f t="shared" si="35"/>
        <v>0</v>
      </c>
      <c r="AF32" s="321">
        <v>44514190.369999997</v>
      </c>
      <c r="AG32" s="310">
        <v>100</v>
      </c>
      <c r="AH32" s="23">
        <f t="shared" si="36"/>
        <v>0</v>
      </c>
      <c r="AI32" s="23">
        <f t="shared" si="37"/>
        <v>0</v>
      </c>
      <c r="AJ32" s="24">
        <f t="shared" si="16"/>
        <v>0</v>
      </c>
      <c r="AK32" s="24">
        <f t="shared" si="17"/>
        <v>0</v>
      </c>
      <c r="AL32" s="25">
        <f t="shared" si="18"/>
        <v>0</v>
      </c>
      <c r="AM32" s="25">
        <f t="shared" si="19"/>
        <v>0</v>
      </c>
      <c r="AN32" s="384">
        <f t="shared" si="20"/>
        <v>0</v>
      </c>
      <c r="AO32" s="385">
        <f t="shared" si="21"/>
        <v>0</v>
      </c>
      <c r="AP32" s="30"/>
      <c r="AQ32" s="38"/>
      <c r="AR32" s="35"/>
      <c r="AS32" s="29"/>
      <c r="AT32" s="29"/>
    </row>
    <row r="33" spans="1:47">
      <c r="A33" s="202" t="s">
        <v>108</v>
      </c>
      <c r="B33" s="321">
        <v>5527273124.6300001</v>
      </c>
      <c r="C33" s="310">
        <v>1</v>
      </c>
      <c r="D33" s="321">
        <v>5561480520.4099998</v>
      </c>
      <c r="E33" s="310">
        <v>1</v>
      </c>
      <c r="F33" s="23">
        <f t="shared" si="22"/>
        <v>6.188837607385215E-3</v>
      </c>
      <c r="G33" s="23">
        <f t="shared" si="23"/>
        <v>0</v>
      </c>
      <c r="H33" s="321">
        <v>5723289390.6999998</v>
      </c>
      <c r="I33" s="310">
        <v>1</v>
      </c>
      <c r="J33" s="23">
        <f t="shared" si="24"/>
        <v>2.9094567480040582E-2</v>
      </c>
      <c r="K33" s="23">
        <f t="shared" si="25"/>
        <v>0</v>
      </c>
      <c r="L33" s="321">
        <v>5723289390.6999998</v>
      </c>
      <c r="M33" s="310">
        <v>1</v>
      </c>
      <c r="N33" s="23">
        <f t="shared" si="26"/>
        <v>0</v>
      </c>
      <c r="O33" s="23">
        <f t="shared" si="27"/>
        <v>0</v>
      </c>
      <c r="P33" s="321">
        <v>5379116591</v>
      </c>
      <c r="Q33" s="310">
        <v>1</v>
      </c>
      <c r="R33" s="23">
        <f t="shared" si="28"/>
        <v>-6.0135487864594064E-2</v>
      </c>
      <c r="S33" s="23">
        <f t="shared" si="29"/>
        <v>0</v>
      </c>
      <c r="T33" s="321">
        <v>5083820454.8599997</v>
      </c>
      <c r="U33" s="310">
        <v>1</v>
      </c>
      <c r="V33" s="23">
        <f t="shared" si="30"/>
        <v>-5.4896771829424797E-2</v>
      </c>
      <c r="W33" s="23">
        <f t="shared" si="31"/>
        <v>0</v>
      </c>
      <c r="X33" s="321">
        <v>5019305636.8000002</v>
      </c>
      <c r="Y33" s="310">
        <v>1</v>
      </c>
      <c r="Z33" s="23">
        <f t="shared" si="32"/>
        <v>-1.2690223549953458E-2</v>
      </c>
      <c r="AA33" s="23">
        <f t="shared" si="33"/>
        <v>0</v>
      </c>
      <c r="AB33" s="321">
        <v>4745469606.2600002</v>
      </c>
      <c r="AC33" s="310">
        <v>1</v>
      </c>
      <c r="AD33" s="23">
        <f t="shared" si="34"/>
        <v>-5.4556556295818827E-2</v>
      </c>
      <c r="AE33" s="23">
        <f t="shared" si="35"/>
        <v>0</v>
      </c>
      <c r="AF33" s="321">
        <v>4754926961.3400002</v>
      </c>
      <c r="AG33" s="310">
        <v>1</v>
      </c>
      <c r="AH33" s="23">
        <f t="shared" si="36"/>
        <v>1.992922906412513E-3</v>
      </c>
      <c r="AI33" s="23">
        <f t="shared" si="37"/>
        <v>0</v>
      </c>
      <c r="AJ33" s="24">
        <f t="shared" si="16"/>
        <v>-1.8125338943244106E-2</v>
      </c>
      <c r="AK33" s="24">
        <f t="shared" si="17"/>
        <v>0</v>
      </c>
      <c r="AL33" s="25">
        <f t="shared" si="18"/>
        <v>-0.14502497241697423</v>
      </c>
      <c r="AM33" s="25">
        <f t="shared" si="19"/>
        <v>0</v>
      </c>
      <c r="AN33" s="384">
        <f t="shared" si="20"/>
        <v>3.386514449494301E-2</v>
      </c>
      <c r="AO33" s="385">
        <f t="shared" si="21"/>
        <v>0</v>
      </c>
      <c r="AP33" s="30"/>
      <c r="AQ33" s="38"/>
      <c r="AR33" s="35"/>
      <c r="AS33" s="29"/>
      <c r="AT33" s="29"/>
    </row>
    <row r="34" spans="1:47">
      <c r="A34" s="202" t="s">
        <v>100</v>
      </c>
      <c r="B34" s="321">
        <v>13189150636.700001</v>
      </c>
      <c r="C34" s="69">
        <v>100</v>
      </c>
      <c r="D34" s="321">
        <v>13178552136.25</v>
      </c>
      <c r="E34" s="69">
        <v>100</v>
      </c>
      <c r="F34" s="23">
        <f t="shared" si="22"/>
        <v>-8.0357717808677382E-4</v>
      </c>
      <c r="G34" s="23">
        <f t="shared" si="23"/>
        <v>0</v>
      </c>
      <c r="H34" s="321">
        <v>13169237396.639999</v>
      </c>
      <c r="I34" s="69">
        <v>100</v>
      </c>
      <c r="J34" s="23">
        <f t="shared" si="24"/>
        <v>-7.068105444132006E-4</v>
      </c>
      <c r="K34" s="23">
        <f t="shared" si="25"/>
        <v>0</v>
      </c>
      <c r="L34" s="321">
        <v>13321667928</v>
      </c>
      <c r="M34" s="69">
        <v>100</v>
      </c>
      <c r="N34" s="23">
        <f t="shared" si="26"/>
        <v>1.1574742467539673E-2</v>
      </c>
      <c r="O34" s="23">
        <f t="shared" si="27"/>
        <v>0</v>
      </c>
      <c r="P34" s="321">
        <v>13358985636.48</v>
      </c>
      <c r="Q34" s="69">
        <v>100</v>
      </c>
      <c r="R34" s="23">
        <f t="shared" si="28"/>
        <v>2.8012789901153243E-3</v>
      </c>
      <c r="S34" s="23">
        <f t="shared" si="29"/>
        <v>0</v>
      </c>
      <c r="T34" s="321">
        <v>13336306643.370001</v>
      </c>
      <c r="U34" s="69">
        <v>100</v>
      </c>
      <c r="V34" s="23">
        <f t="shared" si="30"/>
        <v>-1.6976583198104599E-3</v>
      </c>
      <c r="W34" s="23">
        <f t="shared" si="31"/>
        <v>0</v>
      </c>
      <c r="X34" s="321">
        <v>13412684841.01</v>
      </c>
      <c r="Y34" s="69">
        <v>100</v>
      </c>
      <c r="Z34" s="23">
        <f t="shared" si="32"/>
        <v>5.7270876924511915E-3</v>
      </c>
      <c r="AA34" s="23">
        <f t="shared" si="33"/>
        <v>0</v>
      </c>
      <c r="AB34" s="321">
        <v>13539988654.25</v>
      </c>
      <c r="AC34" s="69">
        <v>100</v>
      </c>
      <c r="AD34" s="23">
        <f t="shared" si="34"/>
        <v>9.4912998217002425E-3</v>
      </c>
      <c r="AE34" s="23">
        <f t="shared" si="35"/>
        <v>0</v>
      </c>
      <c r="AF34" s="321">
        <v>14527961910.5</v>
      </c>
      <c r="AG34" s="69">
        <v>100</v>
      </c>
      <c r="AH34" s="23">
        <f t="shared" si="36"/>
        <v>7.2967066773714756E-2</v>
      </c>
      <c r="AI34" s="23">
        <f t="shared" si="37"/>
        <v>0</v>
      </c>
      <c r="AJ34" s="24">
        <f t="shared" si="16"/>
        <v>1.2419178712901345E-2</v>
      </c>
      <c r="AK34" s="24">
        <f t="shared" si="17"/>
        <v>0</v>
      </c>
      <c r="AL34" s="25">
        <f t="shared" si="18"/>
        <v>0.1023943875092472</v>
      </c>
      <c r="AM34" s="25">
        <f t="shared" si="19"/>
        <v>0</v>
      </c>
      <c r="AN34" s="384">
        <f t="shared" si="20"/>
        <v>2.4954353552168327E-2</v>
      </c>
      <c r="AO34" s="385">
        <f t="shared" si="21"/>
        <v>0</v>
      </c>
      <c r="AP34" s="30"/>
      <c r="AQ34" s="38"/>
      <c r="AR34" s="35"/>
      <c r="AS34" s="29"/>
      <c r="AT34" s="29"/>
    </row>
    <row r="35" spans="1:47">
      <c r="A35" s="202" t="s">
        <v>99</v>
      </c>
      <c r="B35" s="321">
        <v>413141799.31</v>
      </c>
      <c r="C35" s="69">
        <v>1000000</v>
      </c>
      <c r="D35" s="321">
        <v>571960540.88</v>
      </c>
      <c r="E35" s="69">
        <v>1000000</v>
      </c>
      <c r="F35" s="23">
        <f t="shared" si="22"/>
        <v>0.38441702542625256</v>
      </c>
      <c r="G35" s="23">
        <f t="shared" si="23"/>
        <v>0</v>
      </c>
      <c r="H35" s="321">
        <v>572794721.44000006</v>
      </c>
      <c r="I35" s="69">
        <v>1000000</v>
      </c>
      <c r="J35" s="23">
        <f t="shared" si="24"/>
        <v>1.4584582333540331E-3</v>
      </c>
      <c r="K35" s="23">
        <f t="shared" si="25"/>
        <v>0</v>
      </c>
      <c r="L35" s="321">
        <v>573670747.15999997</v>
      </c>
      <c r="M35" s="69">
        <v>1000000</v>
      </c>
      <c r="N35" s="23">
        <f t="shared" si="26"/>
        <v>1.5293886050443861E-3</v>
      </c>
      <c r="O35" s="23">
        <f t="shared" si="27"/>
        <v>0</v>
      </c>
      <c r="P35" s="321">
        <v>597605629.16999996</v>
      </c>
      <c r="Q35" s="69">
        <v>1000000</v>
      </c>
      <c r="R35" s="23">
        <f t="shared" si="28"/>
        <v>4.1722333112663351E-2</v>
      </c>
      <c r="S35" s="23">
        <f t="shared" si="29"/>
        <v>0</v>
      </c>
      <c r="T35" s="321">
        <v>1164580342.51</v>
      </c>
      <c r="U35" s="69">
        <v>1000000</v>
      </c>
      <c r="V35" s="23">
        <f t="shared" si="30"/>
        <v>0.94874393021942838</v>
      </c>
      <c r="W35" s="23">
        <f t="shared" si="31"/>
        <v>0</v>
      </c>
      <c r="X35" s="321">
        <v>1088848164.1300001</v>
      </c>
      <c r="Y35" s="69">
        <v>1000000</v>
      </c>
      <c r="Z35" s="23">
        <f t="shared" si="32"/>
        <v>-6.5029586723725399E-2</v>
      </c>
      <c r="AA35" s="23">
        <f t="shared" si="33"/>
        <v>0</v>
      </c>
      <c r="AB35" s="321">
        <v>1080347151.77</v>
      </c>
      <c r="AC35" s="69">
        <v>1000000</v>
      </c>
      <c r="AD35" s="23">
        <f t="shared" si="34"/>
        <v>-7.8073441642733743E-3</v>
      </c>
      <c r="AE35" s="23">
        <f t="shared" si="35"/>
        <v>0</v>
      </c>
      <c r="AF35" s="321">
        <v>1081979680.1500001</v>
      </c>
      <c r="AG35" s="69">
        <v>1000000</v>
      </c>
      <c r="AH35" s="23">
        <f t="shared" si="36"/>
        <v>1.5111146239664183E-3</v>
      </c>
      <c r="AI35" s="23">
        <f t="shared" si="37"/>
        <v>0</v>
      </c>
      <c r="AJ35" s="24">
        <f t="shared" si="16"/>
        <v>0.16331816491658877</v>
      </c>
      <c r="AK35" s="24">
        <f t="shared" si="17"/>
        <v>0</v>
      </c>
      <c r="AL35" s="25">
        <f t="shared" si="18"/>
        <v>0.89170336555962615</v>
      </c>
      <c r="AM35" s="25">
        <f t="shared" si="19"/>
        <v>0</v>
      </c>
      <c r="AN35" s="384">
        <f t="shared" si="20"/>
        <v>0.34652277086218636</v>
      </c>
      <c r="AO35" s="385">
        <f t="shared" si="21"/>
        <v>0</v>
      </c>
      <c r="AP35" s="30"/>
      <c r="AQ35" s="38"/>
      <c r="AR35" s="35"/>
      <c r="AS35" s="29"/>
      <c r="AT35" s="29"/>
    </row>
    <row r="36" spans="1:47">
      <c r="A36" s="202" t="s">
        <v>168</v>
      </c>
      <c r="B36" s="321">
        <v>2201400009.9899998</v>
      </c>
      <c r="C36" s="310">
        <v>1</v>
      </c>
      <c r="D36" s="321">
        <v>2203096766.54</v>
      </c>
      <c r="E36" s="310">
        <v>1</v>
      </c>
      <c r="F36" s="23">
        <f t="shared" si="22"/>
        <v>7.7076248855286345E-4</v>
      </c>
      <c r="G36" s="23">
        <f t="shared" si="23"/>
        <v>0</v>
      </c>
      <c r="H36" s="321">
        <v>2247105838.5500002</v>
      </c>
      <c r="I36" s="310">
        <v>1</v>
      </c>
      <c r="J36" s="23">
        <f t="shared" si="24"/>
        <v>1.9976004993696762E-2</v>
      </c>
      <c r="K36" s="23">
        <f t="shared" si="25"/>
        <v>0</v>
      </c>
      <c r="L36" s="321">
        <v>2183777007.1700001</v>
      </c>
      <c r="M36" s="310">
        <v>1</v>
      </c>
      <c r="N36" s="23">
        <f t="shared" si="26"/>
        <v>-2.8182398128992706E-2</v>
      </c>
      <c r="O36" s="23">
        <f t="shared" si="27"/>
        <v>0</v>
      </c>
      <c r="P36" s="321">
        <v>2233493440.9299998</v>
      </c>
      <c r="Q36" s="310">
        <v>1</v>
      </c>
      <c r="R36" s="23">
        <f t="shared" si="28"/>
        <v>2.276625937390387E-2</v>
      </c>
      <c r="S36" s="23">
        <f t="shared" si="29"/>
        <v>0</v>
      </c>
      <c r="T36" s="321">
        <v>2301638322.0799999</v>
      </c>
      <c r="U36" s="310">
        <v>1</v>
      </c>
      <c r="V36" s="23">
        <f t="shared" si="30"/>
        <v>3.0510446057824724E-2</v>
      </c>
      <c r="W36" s="23">
        <f t="shared" si="31"/>
        <v>0</v>
      </c>
      <c r="X36" s="321">
        <v>2340588445.8200002</v>
      </c>
      <c r="Y36" s="310">
        <v>1</v>
      </c>
      <c r="Z36" s="23">
        <f t="shared" si="32"/>
        <v>1.6922782074987725E-2</v>
      </c>
      <c r="AA36" s="23">
        <f t="shared" si="33"/>
        <v>0</v>
      </c>
      <c r="AB36" s="321">
        <v>2370574483</v>
      </c>
      <c r="AC36" s="310">
        <v>1</v>
      </c>
      <c r="AD36" s="23">
        <f t="shared" si="34"/>
        <v>1.2811324106786547E-2</v>
      </c>
      <c r="AE36" s="23">
        <f t="shared" si="35"/>
        <v>0</v>
      </c>
      <c r="AF36" s="321">
        <v>2489458643.8299999</v>
      </c>
      <c r="AG36" s="310">
        <v>1</v>
      </c>
      <c r="AH36" s="23">
        <f t="shared" si="36"/>
        <v>5.0149936938302865E-2</v>
      </c>
      <c r="AI36" s="23">
        <f t="shared" si="37"/>
        <v>0</v>
      </c>
      <c r="AJ36" s="24">
        <f t="shared" si="16"/>
        <v>1.5715639738132833E-2</v>
      </c>
      <c r="AK36" s="24">
        <f t="shared" si="17"/>
        <v>0</v>
      </c>
      <c r="AL36" s="25">
        <f t="shared" si="18"/>
        <v>0.12998152493307683</v>
      </c>
      <c r="AM36" s="25">
        <f t="shared" si="19"/>
        <v>0</v>
      </c>
      <c r="AN36" s="384">
        <f t="shared" si="20"/>
        <v>2.278078260778614E-2</v>
      </c>
      <c r="AO36" s="385">
        <f t="shared" si="21"/>
        <v>0</v>
      </c>
      <c r="AP36" s="30"/>
      <c r="AQ36" s="38"/>
      <c r="AR36" s="35"/>
      <c r="AS36" s="29"/>
      <c r="AT36" s="29"/>
      <c r="AU36" s="88"/>
    </row>
    <row r="37" spans="1:47" s="84" customFormat="1">
      <c r="A37" s="202" t="s">
        <v>14</v>
      </c>
      <c r="B37" s="321">
        <v>190240664187.16</v>
      </c>
      <c r="C37" s="310">
        <v>100</v>
      </c>
      <c r="D37" s="321">
        <v>191887392821.85001</v>
      </c>
      <c r="E37" s="310">
        <v>100</v>
      </c>
      <c r="F37" s="23">
        <f t="shared" si="22"/>
        <v>8.6560286241954033E-3</v>
      </c>
      <c r="G37" s="23">
        <f t="shared" si="23"/>
        <v>0</v>
      </c>
      <c r="H37" s="321">
        <v>191069692937.47</v>
      </c>
      <c r="I37" s="310">
        <v>100</v>
      </c>
      <c r="J37" s="23">
        <f t="shared" si="24"/>
        <v>-4.2613528296732081E-3</v>
      </c>
      <c r="K37" s="23">
        <f t="shared" si="25"/>
        <v>0</v>
      </c>
      <c r="L37" s="321">
        <v>194918601087.01999</v>
      </c>
      <c r="M37" s="310">
        <v>100</v>
      </c>
      <c r="N37" s="23">
        <f t="shared" si="26"/>
        <v>2.0144001334683633E-2</v>
      </c>
      <c r="O37" s="23">
        <f t="shared" si="27"/>
        <v>0</v>
      </c>
      <c r="P37" s="321">
        <v>198768512276.39999</v>
      </c>
      <c r="Q37" s="310">
        <v>100</v>
      </c>
      <c r="R37" s="23">
        <f t="shared" si="28"/>
        <v>1.9751379129081887E-2</v>
      </c>
      <c r="S37" s="23">
        <f t="shared" si="29"/>
        <v>0</v>
      </c>
      <c r="T37" s="321">
        <v>201580231819.81</v>
      </c>
      <c r="U37" s="310">
        <v>100</v>
      </c>
      <c r="V37" s="23">
        <f t="shared" si="30"/>
        <v>1.4145698990291443E-2</v>
      </c>
      <c r="W37" s="23">
        <f t="shared" si="31"/>
        <v>0</v>
      </c>
      <c r="X37" s="321">
        <v>200337515700.42999</v>
      </c>
      <c r="Y37" s="310">
        <v>100</v>
      </c>
      <c r="Z37" s="23">
        <f t="shared" si="32"/>
        <v>-6.164870970536699E-3</v>
      </c>
      <c r="AA37" s="23">
        <f t="shared" si="33"/>
        <v>0</v>
      </c>
      <c r="AB37" s="321">
        <v>202577681162.17001</v>
      </c>
      <c r="AC37" s="310">
        <v>100</v>
      </c>
      <c r="AD37" s="23">
        <f t="shared" si="34"/>
        <v>1.1181956878659709E-2</v>
      </c>
      <c r="AE37" s="23">
        <f t="shared" si="35"/>
        <v>0</v>
      </c>
      <c r="AF37" s="321">
        <v>205188776678.94</v>
      </c>
      <c r="AG37" s="310">
        <v>100</v>
      </c>
      <c r="AH37" s="23">
        <f t="shared" si="36"/>
        <v>1.2889354354291983E-2</v>
      </c>
      <c r="AI37" s="23">
        <f t="shared" si="37"/>
        <v>0</v>
      </c>
      <c r="AJ37" s="24">
        <f t="shared" si="16"/>
        <v>9.5427744388742707E-3</v>
      </c>
      <c r="AK37" s="24">
        <f t="shared" si="17"/>
        <v>0</v>
      </c>
      <c r="AL37" s="25">
        <f t="shared" si="18"/>
        <v>6.9318696040855179E-2</v>
      </c>
      <c r="AM37" s="25">
        <f t="shared" si="19"/>
        <v>0</v>
      </c>
      <c r="AN37" s="384">
        <f t="shared" si="20"/>
        <v>9.9264827905563065E-3</v>
      </c>
      <c r="AO37" s="385">
        <f t="shared" si="21"/>
        <v>0</v>
      </c>
      <c r="AP37" s="30"/>
      <c r="AQ37" s="38"/>
      <c r="AR37" s="35"/>
      <c r="AS37" s="29"/>
      <c r="AT37" s="29"/>
    </row>
    <row r="38" spans="1:47" s="368" customFormat="1">
      <c r="A38" s="202" t="s">
        <v>261</v>
      </c>
      <c r="B38" s="379">
        <v>266218657.97</v>
      </c>
      <c r="C38" s="310">
        <v>1</v>
      </c>
      <c r="D38" s="379">
        <v>266633878.59</v>
      </c>
      <c r="E38" s="310">
        <v>1</v>
      </c>
      <c r="F38" s="23">
        <f t="shared" si="22"/>
        <v>1.5596976679478104E-3</v>
      </c>
      <c r="G38" s="23">
        <f t="shared" si="23"/>
        <v>0</v>
      </c>
      <c r="H38" s="379">
        <v>286270616.13999999</v>
      </c>
      <c r="I38" s="310">
        <v>1</v>
      </c>
      <c r="J38" s="23">
        <f t="shared" ref="J38" si="38">((H38-D38)/D38)</f>
        <v>7.3646821078559105E-2</v>
      </c>
      <c r="K38" s="23">
        <f t="shared" ref="K38" si="39">((I38-E38)/E38)</f>
        <v>0</v>
      </c>
      <c r="L38" s="321">
        <v>267330946.31</v>
      </c>
      <c r="M38" s="310">
        <v>1</v>
      </c>
      <c r="N38" s="23">
        <f t="shared" ref="N38" si="40">((L38-H38)/H38)</f>
        <v>-6.6160020491720956E-2</v>
      </c>
      <c r="O38" s="23">
        <f t="shared" ref="O38" si="41">((M38-I38)/I38)</f>
        <v>0</v>
      </c>
      <c r="P38" s="321">
        <v>267941343.74000001</v>
      </c>
      <c r="Q38" s="310">
        <v>1</v>
      </c>
      <c r="R38" s="23">
        <f t="shared" ref="R38" si="42">((P38-L38)/L38)</f>
        <v>2.2833025447498447E-3</v>
      </c>
      <c r="S38" s="23">
        <f t="shared" ref="S38" si="43">((Q38-M38)/M38)</f>
        <v>0</v>
      </c>
      <c r="T38" s="321">
        <v>267804689.91999999</v>
      </c>
      <c r="U38" s="310">
        <v>1</v>
      </c>
      <c r="V38" s="23">
        <f t="shared" ref="V38" si="44">((T38-P38)/P38)</f>
        <v>-5.1001393847090008E-4</v>
      </c>
      <c r="W38" s="23">
        <f t="shared" ref="W38" si="45">((U38-Q38)/Q38)</f>
        <v>0</v>
      </c>
      <c r="X38" s="321">
        <v>268609226.94999999</v>
      </c>
      <c r="Y38" s="310">
        <v>1</v>
      </c>
      <c r="Z38" s="23">
        <f t="shared" ref="Z38" si="46">((X38-T38)/T38)</f>
        <v>3.0041932060276342E-3</v>
      </c>
      <c r="AA38" s="23">
        <f t="shared" ref="AA38" si="47">((Y38-U38)/U38)</f>
        <v>0</v>
      </c>
      <c r="AB38" s="321">
        <v>268706599.25999999</v>
      </c>
      <c r="AC38" s="310">
        <v>1</v>
      </c>
      <c r="AD38" s="23">
        <f t="shared" ref="AD38" si="48">((AB38-X38)/X38)</f>
        <v>3.6250545487824087E-4</v>
      </c>
      <c r="AE38" s="23">
        <f t="shared" ref="AE38" si="49">((AC38-Y38)/Y38)</f>
        <v>0</v>
      </c>
      <c r="AF38" s="321">
        <v>268855979.88</v>
      </c>
      <c r="AG38" s="310">
        <v>1</v>
      </c>
      <c r="AH38" s="23">
        <f t="shared" si="36"/>
        <v>5.5592464201247385E-4</v>
      </c>
      <c r="AI38" s="23">
        <f t="shared" si="37"/>
        <v>0</v>
      </c>
      <c r="AJ38" s="24">
        <f t="shared" si="16"/>
        <v>1.8428012704979062E-3</v>
      </c>
      <c r="AK38" s="24">
        <f t="shared" si="17"/>
        <v>0</v>
      </c>
      <c r="AL38" s="25">
        <f t="shared" si="18"/>
        <v>8.3339045351280821E-3</v>
      </c>
      <c r="AM38" s="25">
        <f t="shared" si="19"/>
        <v>0</v>
      </c>
      <c r="AN38" s="384">
        <f t="shared" si="20"/>
        <v>3.7399784405484596E-2</v>
      </c>
      <c r="AO38" s="385">
        <f t="shared" si="21"/>
        <v>0</v>
      </c>
      <c r="AP38" s="30"/>
      <c r="AQ38" s="38"/>
      <c r="AR38" s="35"/>
      <c r="AS38" s="29"/>
      <c r="AT38" s="29"/>
    </row>
    <row r="39" spans="1:47" s="86" customFormat="1">
      <c r="A39" s="202" t="s">
        <v>122</v>
      </c>
      <c r="B39" s="321">
        <v>565444933.24000001</v>
      </c>
      <c r="C39" s="310">
        <v>10</v>
      </c>
      <c r="D39" s="321">
        <v>572662387.32000005</v>
      </c>
      <c r="E39" s="310">
        <v>10</v>
      </c>
      <c r="F39" s="23">
        <f t="shared" si="22"/>
        <v>1.2764203294994659E-2</v>
      </c>
      <c r="G39" s="23">
        <f t="shared" si="23"/>
        <v>0</v>
      </c>
      <c r="H39" s="321">
        <v>587883712.46000004</v>
      </c>
      <c r="I39" s="310">
        <v>10</v>
      </c>
      <c r="J39" s="23">
        <f t="shared" si="24"/>
        <v>2.6579928203830868E-2</v>
      </c>
      <c r="K39" s="23">
        <f t="shared" si="25"/>
        <v>0</v>
      </c>
      <c r="L39" s="321">
        <v>588099068.22000003</v>
      </c>
      <c r="M39" s="310">
        <v>10</v>
      </c>
      <c r="N39" s="23">
        <f t="shared" si="26"/>
        <v>3.6632373960291238E-4</v>
      </c>
      <c r="O39" s="23">
        <f t="shared" si="27"/>
        <v>0</v>
      </c>
      <c r="P39" s="321">
        <v>600565117.19000006</v>
      </c>
      <c r="Q39" s="310">
        <v>10</v>
      </c>
      <c r="R39" s="23">
        <f t="shared" si="28"/>
        <v>2.1197192180105011E-2</v>
      </c>
      <c r="S39" s="23">
        <f t="shared" si="29"/>
        <v>0</v>
      </c>
      <c r="T39" s="321">
        <v>631223080.52999997</v>
      </c>
      <c r="U39" s="310">
        <v>10</v>
      </c>
      <c r="V39" s="23">
        <f t="shared" si="30"/>
        <v>5.1048524901756306E-2</v>
      </c>
      <c r="W39" s="23">
        <f t="shared" si="31"/>
        <v>0</v>
      </c>
      <c r="X39" s="321">
        <v>632899599.01999998</v>
      </c>
      <c r="Y39" s="310">
        <v>10</v>
      </c>
      <c r="Z39" s="23">
        <f t="shared" si="32"/>
        <v>2.6559841389074967E-3</v>
      </c>
      <c r="AA39" s="23">
        <f t="shared" si="33"/>
        <v>0</v>
      </c>
      <c r="AB39" s="321">
        <v>618707415.85000002</v>
      </c>
      <c r="AC39" s="310">
        <v>10</v>
      </c>
      <c r="AD39" s="23">
        <f t="shared" si="34"/>
        <v>-2.2424067248542335E-2</v>
      </c>
      <c r="AE39" s="23">
        <f t="shared" si="35"/>
        <v>0</v>
      </c>
      <c r="AF39" s="321">
        <v>627642877.64999998</v>
      </c>
      <c r="AG39" s="310">
        <v>10</v>
      </c>
      <c r="AH39" s="23">
        <f t="shared" si="36"/>
        <v>1.4442144333641337E-2</v>
      </c>
      <c r="AI39" s="23">
        <f t="shared" si="37"/>
        <v>0</v>
      </c>
      <c r="AJ39" s="24">
        <f t="shared" si="16"/>
        <v>1.3328779193037033E-2</v>
      </c>
      <c r="AK39" s="24">
        <f t="shared" si="17"/>
        <v>0</v>
      </c>
      <c r="AL39" s="25">
        <f t="shared" si="18"/>
        <v>9.6008558528355353E-2</v>
      </c>
      <c r="AM39" s="25">
        <f t="shared" si="19"/>
        <v>0</v>
      </c>
      <c r="AN39" s="384">
        <f t="shared" si="20"/>
        <v>2.1454410973628983E-2</v>
      </c>
      <c r="AO39" s="385">
        <f t="shared" si="21"/>
        <v>0</v>
      </c>
      <c r="AP39" s="30"/>
      <c r="AQ39" s="38"/>
      <c r="AR39" s="35"/>
      <c r="AS39" s="29"/>
      <c r="AT39" s="29"/>
    </row>
    <row r="40" spans="1:47" s="86" customFormat="1">
      <c r="A40" s="202" t="s">
        <v>86</v>
      </c>
      <c r="B40" s="321">
        <v>2291317082.7194843</v>
      </c>
      <c r="C40" s="310">
        <v>100</v>
      </c>
      <c r="D40" s="321">
        <v>2297935491.6891432</v>
      </c>
      <c r="E40" s="310">
        <v>100</v>
      </c>
      <c r="F40" s="23">
        <f t="shared" si="22"/>
        <v>2.8884736292384698E-3</v>
      </c>
      <c r="G40" s="23">
        <f t="shared" si="23"/>
        <v>0</v>
      </c>
      <c r="H40" s="321">
        <v>2297191442.3656645</v>
      </c>
      <c r="I40" s="310">
        <v>100</v>
      </c>
      <c r="J40" s="23">
        <f t="shared" si="24"/>
        <v>-3.2379034405868829E-4</v>
      </c>
      <c r="K40" s="23">
        <f t="shared" si="25"/>
        <v>0</v>
      </c>
      <c r="L40" s="321">
        <v>2341905565.5004201</v>
      </c>
      <c r="M40" s="310">
        <v>100</v>
      </c>
      <c r="N40" s="23">
        <f t="shared" si="26"/>
        <v>1.9464691670933912E-2</v>
      </c>
      <c r="O40" s="23">
        <f t="shared" si="27"/>
        <v>0</v>
      </c>
      <c r="P40" s="321">
        <v>2367062198.1420093</v>
      </c>
      <c r="Q40" s="310">
        <v>100</v>
      </c>
      <c r="R40" s="23">
        <f t="shared" si="28"/>
        <v>1.0741950065016255E-2</v>
      </c>
      <c r="S40" s="23">
        <f t="shared" si="29"/>
        <v>0</v>
      </c>
      <c r="T40" s="321">
        <v>2360216427.2076592</v>
      </c>
      <c r="U40" s="310">
        <v>100</v>
      </c>
      <c r="V40" s="23">
        <f t="shared" si="30"/>
        <v>-2.8920959236827409E-3</v>
      </c>
      <c r="W40" s="23">
        <f t="shared" si="31"/>
        <v>0</v>
      </c>
      <c r="X40" s="321">
        <v>2462043061.5500002</v>
      </c>
      <c r="Y40" s="310">
        <v>100</v>
      </c>
      <c r="Z40" s="23">
        <f t="shared" si="32"/>
        <v>4.3142922474618435E-2</v>
      </c>
      <c r="AA40" s="23">
        <f t="shared" si="33"/>
        <v>0</v>
      </c>
      <c r="AB40" s="321">
        <v>3139377470.432292</v>
      </c>
      <c r="AC40" s="310">
        <v>100</v>
      </c>
      <c r="AD40" s="23">
        <f t="shared" si="34"/>
        <v>0.2751107076315189</v>
      </c>
      <c r="AE40" s="23">
        <f t="shared" si="35"/>
        <v>0</v>
      </c>
      <c r="AF40" s="321">
        <v>3139377470.432292</v>
      </c>
      <c r="AG40" s="310">
        <v>100</v>
      </c>
      <c r="AH40" s="23">
        <f t="shared" si="36"/>
        <v>0</v>
      </c>
      <c r="AI40" s="23">
        <f t="shared" si="37"/>
        <v>0</v>
      </c>
      <c r="AJ40" s="24">
        <f t="shared" si="16"/>
        <v>4.3516607400448069E-2</v>
      </c>
      <c r="AK40" s="24">
        <f t="shared" si="17"/>
        <v>0</v>
      </c>
      <c r="AL40" s="25">
        <f t="shared" si="18"/>
        <v>0.366173019993973</v>
      </c>
      <c r="AM40" s="25">
        <f t="shared" si="19"/>
        <v>0</v>
      </c>
      <c r="AN40" s="384">
        <f t="shared" si="20"/>
        <v>9.479958431793846E-2</v>
      </c>
      <c r="AO40" s="385">
        <f t="shared" si="21"/>
        <v>0</v>
      </c>
      <c r="AP40" s="30"/>
      <c r="AQ40" s="38"/>
      <c r="AR40" s="35"/>
      <c r="AS40" s="29"/>
      <c r="AT40" s="29"/>
    </row>
    <row r="41" spans="1:47" s="368" customFormat="1">
      <c r="A41" s="202" t="s">
        <v>269</v>
      </c>
      <c r="B41" s="321">
        <v>18399704831.07</v>
      </c>
      <c r="C41" s="310">
        <v>100</v>
      </c>
      <c r="D41" s="321">
        <v>18624859998.630001</v>
      </c>
      <c r="E41" s="310">
        <v>100</v>
      </c>
      <c r="F41" s="23">
        <f t="shared" si="22"/>
        <v>1.2236890190749212E-2</v>
      </c>
      <c r="G41" s="23">
        <f t="shared" si="23"/>
        <v>0</v>
      </c>
      <c r="H41" s="321">
        <v>19027610965</v>
      </c>
      <c r="I41" s="310">
        <v>100</v>
      </c>
      <c r="J41" s="23">
        <f t="shared" si="24"/>
        <v>2.1624375506695045E-2</v>
      </c>
      <c r="K41" s="23">
        <f t="shared" si="25"/>
        <v>0</v>
      </c>
      <c r="L41" s="321">
        <v>19621654972.389999</v>
      </c>
      <c r="M41" s="310">
        <v>100</v>
      </c>
      <c r="N41" s="23">
        <f t="shared" si="26"/>
        <v>3.1220104745819276E-2</v>
      </c>
      <c r="O41" s="23">
        <f t="shared" si="27"/>
        <v>0</v>
      </c>
      <c r="P41" s="321">
        <v>20560355838.720001</v>
      </c>
      <c r="Q41" s="310">
        <v>100</v>
      </c>
      <c r="R41" s="23">
        <f t="shared" si="28"/>
        <v>4.7840045482955722E-2</v>
      </c>
      <c r="S41" s="23">
        <f t="shared" si="29"/>
        <v>0</v>
      </c>
      <c r="T41" s="321">
        <v>20706609914.98</v>
      </c>
      <c r="U41" s="310">
        <v>100</v>
      </c>
      <c r="V41" s="23">
        <f t="shared" si="30"/>
        <v>7.1134019959210723E-3</v>
      </c>
      <c r="W41" s="23">
        <f t="shared" si="31"/>
        <v>0</v>
      </c>
      <c r="X41" s="321">
        <v>20971225675.27</v>
      </c>
      <c r="Y41" s="310">
        <v>100</v>
      </c>
      <c r="Z41" s="23">
        <f t="shared" si="32"/>
        <v>1.2779289385200962E-2</v>
      </c>
      <c r="AA41" s="23">
        <f t="shared" si="33"/>
        <v>0</v>
      </c>
      <c r="AB41" s="321">
        <v>20964679811.240002</v>
      </c>
      <c r="AC41" s="310">
        <v>100</v>
      </c>
      <c r="AD41" s="23">
        <f t="shared" si="34"/>
        <v>-3.1213550086955054E-4</v>
      </c>
      <c r="AE41" s="23">
        <f t="shared" si="35"/>
        <v>0</v>
      </c>
      <c r="AF41" s="321">
        <v>21087722544.799999</v>
      </c>
      <c r="AG41" s="310">
        <v>100</v>
      </c>
      <c r="AH41" s="23">
        <f t="shared" si="36"/>
        <v>5.86904902282502E-3</v>
      </c>
      <c r="AI41" s="23">
        <f t="shared" si="37"/>
        <v>0</v>
      </c>
      <c r="AJ41" s="24">
        <f t="shared" si="16"/>
        <v>1.7296377603662094E-2</v>
      </c>
      <c r="AK41" s="24">
        <f t="shared" si="17"/>
        <v>0</v>
      </c>
      <c r="AL41" s="25">
        <f t="shared" si="18"/>
        <v>0.13223522465946913</v>
      </c>
      <c r="AM41" s="25">
        <f t="shared" si="19"/>
        <v>0</v>
      </c>
      <c r="AN41" s="384">
        <f t="shared" si="20"/>
        <v>1.574736465130416E-2</v>
      </c>
      <c r="AO41" s="385">
        <f t="shared" si="21"/>
        <v>0</v>
      </c>
      <c r="AP41" s="30"/>
      <c r="AQ41" s="38"/>
      <c r="AR41" s="35"/>
      <c r="AS41" s="29"/>
      <c r="AT41" s="29"/>
    </row>
    <row r="42" spans="1:47" s="86" customFormat="1">
      <c r="A42" s="202" t="s">
        <v>121</v>
      </c>
      <c r="B42" s="321">
        <v>3309853518.3899999</v>
      </c>
      <c r="C42" s="310">
        <v>1</v>
      </c>
      <c r="D42" s="321">
        <v>3303707470.5599999</v>
      </c>
      <c r="E42" s="310">
        <v>1</v>
      </c>
      <c r="F42" s="23">
        <f t="shared" si="22"/>
        <v>-1.8568942087169838E-3</v>
      </c>
      <c r="G42" s="23">
        <f t="shared" si="23"/>
        <v>0</v>
      </c>
      <c r="H42" s="321">
        <v>3223499113.8299999</v>
      </c>
      <c r="I42" s="310">
        <v>1</v>
      </c>
      <c r="J42" s="23">
        <f t="shared" si="24"/>
        <v>-2.4278286574932188E-2</v>
      </c>
      <c r="K42" s="23">
        <f t="shared" si="25"/>
        <v>0</v>
      </c>
      <c r="L42" s="321">
        <v>3211962804.1100001</v>
      </c>
      <c r="M42" s="310">
        <v>1</v>
      </c>
      <c r="N42" s="23">
        <f t="shared" si="26"/>
        <v>-3.5788158496786199E-3</v>
      </c>
      <c r="O42" s="23">
        <f t="shared" si="27"/>
        <v>0</v>
      </c>
      <c r="P42" s="321">
        <v>3238806802.1300001</v>
      </c>
      <c r="Q42" s="310">
        <v>1</v>
      </c>
      <c r="R42" s="23">
        <f t="shared" si="28"/>
        <v>8.3575058794736444E-3</v>
      </c>
      <c r="S42" s="23">
        <f t="shared" si="29"/>
        <v>0</v>
      </c>
      <c r="T42" s="321">
        <v>3250069370.8099999</v>
      </c>
      <c r="U42" s="310">
        <v>1</v>
      </c>
      <c r="V42" s="23">
        <f t="shared" si="30"/>
        <v>3.4773820632317447E-3</v>
      </c>
      <c r="W42" s="23">
        <f t="shared" si="31"/>
        <v>0</v>
      </c>
      <c r="X42" s="321">
        <v>3255040109.9000001</v>
      </c>
      <c r="Y42" s="310">
        <v>1</v>
      </c>
      <c r="Z42" s="23">
        <f t="shared" si="32"/>
        <v>1.5294255361575E-3</v>
      </c>
      <c r="AA42" s="23">
        <f t="shared" si="33"/>
        <v>0</v>
      </c>
      <c r="AB42" s="321">
        <v>3317170674.1900001</v>
      </c>
      <c r="AC42" s="310">
        <v>1</v>
      </c>
      <c r="AD42" s="23">
        <f t="shared" si="34"/>
        <v>1.9087495758050341E-2</v>
      </c>
      <c r="AE42" s="23">
        <f t="shared" si="35"/>
        <v>0</v>
      </c>
      <c r="AF42" s="321">
        <v>3307850359.5</v>
      </c>
      <c r="AG42" s="310">
        <v>1</v>
      </c>
      <c r="AH42" s="23">
        <f t="shared" si="36"/>
        <v>-2.8097181620827904E-3</v>
      </c>
      <c r="AI42" s="23">
        <f t="shared" si="37"/>
        <v>0</v>
      </c>
      <c r="AJ42" s="24">
        <f t="shared" si="16"/>
        <v>-8.9881948121690847E-6</v>
      </c>
      <c r="AK42" s="24">
        <f t="shared" si="17"/>
        <v>0</v>
      </c>
      <c r="AL42" s="25">
        <f t="shared" si="18"/>
        <v>1.2540120385712632E-3</v>
      </c>
      <c r="AM42" s="25">
        <f t="shared" si="19"/>
        <v>0</v>
      </c>
      <c r="AN42" s="384">
        <f t="shared" si="20"/>
        <v>1.2318376372461609E-2</v>
      </c>
      <c r="AO42" s="385">
        <f t="shared" si="21"/>
        <v>0</v>
      </c>
      <c r="AP42" s="30"/>
      <c r="AQ42" s="38"/>
      <c r="AR42" s="35"/>
      <c r="AS42" s="29"/>
      <c r="AT42" s="29"/>
    </row>
    <row r="43" spans="1:47" s="86" customFormat="1">
      <c r="A43" s="202" t="s">
        <v>55</v>
      </c>
      <c r="B43" s="316">
        <v>2969180321.9699998</v>
      </c>
      <c r="C43" s="310">
        <v>10</v>
      </c>
      <c r="D43" s="316">
        <v>3002907899.8200002</v>
      </c>
      <c r="E43" s="310">
        <v>10</v>
      </c>
      <c r="F43" s="23">
        <f t="shared" si="22"/>
        <v>1.1359221802878822E-2</v>
      </c>
      <c r="G43" s="23">
        <f t="shared" si="23"/>
        <v>0</v>
      </c>
      <c r="H43" s="316">
        <v>3071845396.8600001</v>
      </c>
      <c r="I43" s="310">
        <v>10</v>
      </c>
      <c r="J43" s="23">
        <f t="shared" si="24"/>
        <v>2.2956913545078155E-2</v>
      </c>
      <c r="K43" s="23">
        <f t="shared" si="25"/>
        <v>0</v>
      </c>
      <c r="L43" s="316">
        <v>3120273348.9200001</v>
      </c>
      <c r="M43" s="310">
        <v>10</v>
      </c>
      <c r="N43" s="23">
        <f t="shared" si="26"/>
        <v>1.5765100714216398E-2</v>
      </c>
      <c r="O43" s="23">
        <f t="shared" si="27"/>
        <v>0</v>
      </c>
      <c r="P43" s="316">
        <v>3209541710.29</v>
      </c>
      <c r="Q43" s="310">
        <v>10</v>
      </c>
      <c r="R43" s="23">
        <f t="shared" si="28"/>
        <v>2.8609147785368792E-2</v>
      </c>
      <c r="S43" s="23">
        <f t="shared" si="29"/>
        <v>0</v>
      </c>
      <c r="T43" s="316">
        <v>3069097115.7800002</v>
      </c>
      <c r="U43" s="310">
        <v>10</v>
      </c>
      <c r="V43" s="23">
        <f t="shared" si="30"/>
        <v>-4.3758457495574908E-2</v>
      </c>
      <c r="W43" s="23">
        <f t="shared" si="31"/>
        <v>0</v>
      </c>
      <c r="X43" s="316">
        <v>3141693568.02</v>
      </c>
      <c r="Y43" s="310">
        <v>10</v>
      </c>
      <c r="Z43" s="23">
        <f t="shared" si="32"/>
        <v>2.36540094696709E-2</v>
      </c>
      <c r="AA43" s="23">
        <f t="shared" si="33"/>
        <v>0</v>
      </c>
      <c r="AB43" s="316">
        <v>3218146936.1100001</v>
      </c>
      <c r="AC43" s="310">
        <v>10</v>
      </c>
      <c r="AD43" s="23">
        <f t="shared" si="34"/>
        <v>2.4335081202137614E-2</v>
      </c>
      <c r="AE43" s="23">
        <f t="shared" si="35"/>
        <v>0</v>
      </c>
      <c r="AF43" s="316">
        <v>3291678950.0100002</v>
      </c>
      <c r="AG43" s="310">
        <v>10</v>
      </c>
      <c r="AH43" s="23">
        <f t="shared" si="36"/>
        <v>2.2849178536541094E-2</v>
      </c>
      <c r="AI43" s="23">
        <f t="shared" si="37"/>
        <v>0</v>
      </c>
      <c r="AJ43" s="24">
        <f t="shared" si="16"/>
        <v>1.3221274445039607E-2</v>
      </c>
      <c r="AK43" s="24">
        <f t="shared" si="17"/>
        <v>0</v>
      </c>
      <c r="AL43" s="25">
        <f t="shared" si="18"/>
        <v>9.6163805159428808E-2</v>
      </c>
      <c r="AM43" s="25">
        <f t="shared" si="19"/>
        <v>0</v>
      </c>
      <c r="AN43" s="384">
        <f t="shared" si="20"/>
        <v>2.3643944125601227E-2</v>
      </c>
      <c r="AO43" s="385">
        <f t="shared" si="21"/>
        <v>0</v>
      </c>
      <c r="AP43" s="30"/>
      <c r="AQ43" s="38"/>
      <c r="AR43" s="35"/>
      <c r="AS43" s="29"/>
      <c r="AT43" s="29"/>
    </row>
    <row r="44" spans="1:47" s="86" customFormat="1">
      <c r="A44" s="202" t="s">
        <v>187</v>
      </c>
      <c r="B44" s="321">
        <v>3614399783.6399999</v>
      </c>
      <c r="C44" s="310">
        <v>100</v>
      </c>
      <c r="D44" s="321">
        <v>3610394554.9899998</v>
      </c>
      <c r="E44" s="310">
        <v>100</v>
      </c>
      <c r="F44" s="23">
        <f t="shared" si="22"/>
        <v>-1.1081310562625418E-3</v>
      </c>
      <c r="G44" s="23">
        <f t="shared" si="23"/>
        <v>0</v>
      </c>
      <c r="H44" s="321">
        <v>3715299710.0300002</v>
      </c>
      <c r="I44" s="310">
        <v>100</v>
      </c>
      <c r="J44" s="23">
        <f t="shared" si="24"/>
        <v>2.9056424011887811E-2</v>
      </c>
      <c r="K44" s="23">
        <f t="shared" si="25"/>
        <v>0</v>
      </c>
      <c r="L44" s="321">
        <v>3865582815.6900001</v>
      </c>
      <c r="M44" s="310">
        <v>100</v>
      </c>
      <c r="N44" s="23">
        <f t="shared" si="26"/>
        <v>4.0449793391980841E-2</v>
      </c>
      <c r="O44" s="23">
        <f t="shared" si="27"/>
        <v>0</v>
      </c>
      <c r="P44" s="321">
        <v>4004013863.0700002</v>
      </c>
      <c r="Q44" s="310">
        <v>100</v>
      </c>
      <c r="R44" s="23">
        <f t="shared" si="28"/>
        <v>3.5811171039493148E-2</v>
      </c>
      <c r="S44" s="23">
        <f t="shared" si="29"/>
        <v>0</v>
      </c>
      <c r="T44" s="321">
        <v>4376513911.0299997</v>
      </c>
      <c r="U44" s="310">
        <v>100</v>
      </c>
      <c r="V44" s="23">
        <f t="shared" si="30"/>
        <v>9.3031657905997447E-2</v>
      </c>
      <c r="W44" s="23">
        <f t="shared" si="31"/>
        <v>0</v>
      </c>
      <c r="X44" s="321">
        <v>4322112616.21</v>
      </c>
      <c r="Y44" s="310">
        <v>100</v>
      </c>
      <c r="Z44" s="23">
        <f t="shared" si="32"/>
        <v>-1.243028033862607E-2</v>
      </c>
      <c r="AA44" s="23">
        <f t="shared" si="33"/>
        <v>0</v>
      </c>
      <c r="AB44" s="321">
        <v>4486353598.1300001</v>
      </c>
      <c r="AC44" s="310">
        <v>100</v>
      </c>
      <c r="AD44" s="23">
        <f t="shared" si="34"/>
        <v>3.8000162537185508E-2</v>
      </c>
      <c r="AE44" s="23">
        <f t="shared" si="35"/>
        <v>0</v>
      </c>
      <c r="AF44" s="321">
        <v>4547333981.5799999</v>
      </c>
      <c r="AG44" s="310">
        <v>100</v>
      </c>
      <c r="AH44" s="23">
        <f t="shared" si="36"/>
        <v>1.3592415781809447E-2</v>
      </c>
      <c r="AI44" s="23">
        <f t="shared" si="37"/>
        <v>0</v>
      </c>
      <c r="AJ44" s="24">
        <f t="shared" si="16"/>
        <v>2.9550401659183202E-2</v>
      </c>
      <c r="AK44" s="24">
        <f t="shared" si="17"/>
        <v>0</v>
      </c>
      <c r="AL44" s="25">
        <f t="shared" si="18"/>
        <v>0.25951164403764043</v>
      </c>
      <c r="AM44" s="25">
        <f t="shared" si="19"/>
        <v>0</v>
      </c>
      <c r="AN44" s="384">
        <f t="shared" si="20"/>
        <v>3.2108047374431681E-2</v>
      </c>
      <c r="AO44" s="385">
        <f t="shared" si="21"/>
        <v>0</v>
      </c>
      <c r="AP44" s="30"/>
      <c r="AQ44" s="38"/>
      <c r="AR44" s="35"/>
      <c r="AS44" s="29"/>
      <c r="AT44" s="29"/>
    </row>
    <row r="45" spans="1:47" s="86" customFormat="1">
      <c r="A45" s="202" t="s">
        <v>161</v>
      </c>
      <c r="B45" s="321">
        <v>140805259.68000001</v>
      </c>
      <c r="C45" s="310">
        <v>1</v>
      </c>
      <c r="D45" s="321">
        <v>140805259.56</v>
      </c>
      <c r="E45" s="310">
        <v>1</v>
      </c>
      <c r="F45" s="23">
        <f t="shared" si="22"/>
        <v>-8.5224092509817231E-10</v>
      </c>
      <c r="G45" s="23">
        <f t="shared" si="23"/>
        <v>0</v>
      </c>
      <c r="H45" s="321">
        <v>140745259.96000001</v>
      </c>
      <c r="I45" s="310">
        <v>1</v>
      </c>
      <c r="J45" s="23">
        <f t="shared" si="24"/>
        <v>-4.261176051767227E-4</v>
      </c>
      <c r="K45" s="23">
        <f t="shared" si="25"/>
        <v>0</v>
      </c>
      <c r="L45" s="321">
        <v>142280248.12</v>
      </c>
      <c r="M45" s="310">
        <v>1</v>
      </c>
      <c r="N45" s="23">
        <f t="shared" si="26"/>
        <v>1.0906144622108354E-2</v>
      </c>
      <c r="O45" s="23">
        <f t="shared" si="27"/>
        <v>0</v>
      </c>
      <c r="P45" s="321">
        <v>142166213</v>
      </c>
      <c r="Q45" s="310">
        <v>1</v>
      </c>
      <c r="R45" s="23">
        <f t="shared" si="28"/>
        <v>-8.0148243699875246E-4</v>
      </c>
      <c r="S45" s="23">
        <f t="shared" si="29"/>
        <v>0</v>
      </c>
      <c r="T45" s="321">
        <v>142612914.30000001</v>
      </c>
      <c r="U45" s="310">
        <v>1</v>
      </c>
      <c r="V45" s="23">
        <f t="shared" si="30"/>
        <v>3.1421059235784239E-3</v>
      </c>
      <c r="W45" s="23">
        <f t="shared" si="31"/>
        <v>0</v>
      </c>
      <c r="X45" s="321">
        <v>142632701.99000001</v>
      </c>
      <c r="Y45" s="310">
        <v>1</v>
      </c>
      <c r="Z45" s="23">
        <f t="shared" si="32"/>
        <v>1.3875103876197567E-4</v>
      </c>
      <c r="AA45" s="23">
        <f t="shared" si="33"/>
        <v>0</v>
      </c>
      <c r="AB45" s="321">
        <v>143812692.97</v>
      </c>
      <c r="AC45" s="310">
        <v>1</v>
      </c>
      <c r="AD45" s="23">
        <f t="shared" si="34"/>
        <v>8.2729343519182472E-3</v>
      </c>
      <c r="AE45" s="23">
        <f t="shared" si="35"/>
        <v>0</v>
      </c>
      <c r="AF45" s="321">
        <v>143692693.72</v>
      </c>
      <c r="AG45" s="310">
        <v>1</v>
      </c>
      <c r="AH45" s="23">
        <f t="shared" si="36"/>
        <v>-8.3441348271694215E-4</v>
      </c>
      <c r="AI45" s="23">
        <f t="shared" si="37"/>
        <v>0</v>
      </c>
      <c r="AJ45" s="24">
        <f t="shared" si="16"/>
        <v>2.5497401949042073E-3</v>
      </c>
      <c r="AK45" s="24">
        <f t="shared" si="17"/>
        <v>0</v>
      </c>
      <c r="AL45" s="25">
        <f t="shared" si="18"/>
        <v>2.050657886660549E-2</v>
      </c>
      <c r="AM45" s="25">
        <f t="shared" si="19"/>
        <v>0</v>
      </c>
      <c r="AN45" s="384">
        <f t="shared" si="20"/>
        <v>4.5792749032002008E-3</v>
      </c>
      <c r="AO45" s="385">
        <f t="shared" si="21"/>
        <v>0</v>
      </c>
      <c r="AP45" s="30"/>
      <c r="AQ45" s="38"/>
      <c r="AR45" s="35"/>
      <c r="AS45" s="29"/>
      <c r="AT45" s="29"/>
    </row>
    <row r="46" spans="1:47" s="86" customFormat="1">
      <c r="A46" s="202" t="s">
        <v>95</v>
      </c>
      <c r="B46" s="316">
        <v>637722694.30999994</v>
      </c>
      <c r="C46" s="310">
        <v>10</v>
      </c>
      <c r="D46" s="316">
        <v>659737414.15999997</v>
      </c>
      <c r="E46" s="310">
        <v>10</v>
      </c>
      <c r="F46" s="23">
        <f t="shared" si="22"/>
        <v>3.4520834912139045E-2</v>
      </c>
      <c r="G46" s="23">
        <f t="shared" si="23"/>
        <v>0</v>
      </c>
      <c r="H46" s="316">
        <v>669207531.46000004</v>
      </c>
      <c r="I46" s="310">
        <v>10</v>
      </c>
      <c r="J46" s="23">
        <f t="shared" si="24"/>
        <v>1.4354373568547338E-2</v>
      </c>
      <c r="K46" s="23">
        <f t="shared" si="25"/>
        <v>0</v>
      </c>
      <c r="L46" s="316">
        <v>684712547.72000003</v>
      </c>
      <c r="M46" s="310">
        <v>10</v>
      </c>
      <c r="N46" s="23">
        <f t="shared" si="26"/>
        <v>2.3169219608411951E-2</v>
      </c>
      <c r="O46" s="23">
        <f t="shared" si="27"/>
        <v>0</v>
      </c>
      <c r="P46" s="316">
        <v>717496204.33000004</v>
      </c>
      <c r="Q46" s="310">
        <v>10</v>
      </c>
      <c r="R46" s="23">
        <f t="shared" si="28"/>
        <v>4.7879444767245975E-2</v>
      </c>
      <c r="S46" s="23">
        <f t="shared" si="29"/>
        <v>0</v>
      </c>
      <c r="T46" s="316">
        <v>746863329.35000002</v>
      </c>
      <c r="U46" s="310">
        <v>10</v>
      </c>
      <c r="V46" s="23">
        <f t="shared" si="30"/>
        <v>4.0930007493800033E-2</v>
      </c>
      <c r="W46" s="23">
        <f t="shared" si="31"/>
        <v>0</v>
      </c>
      <c r="X46" s="316">
        <v>737242694.67999995</v>
      </c>
      <c r="Y46" s="310">
        <v>10</v>
      </c>
      <c r="Z46" s="23">
        <f t="shared" si="32"/>
        <v>-1.2881385779608401E-2</v>
      </c>
      <c r="AA46" s="23">
        <f t="shared" si="33"/>
        <v>0</v>
      </c>
      <c r="AB46" s="316">
        <v>739073419.46000004</v>
      </c>
      <c r="AC46" s="310">
        <v>10</v>
      </c>
      <c r="AD46" s="23">
        <f t="shared" si="34"/>
        <v>2.4832050466023488E-3</v>
      </c>
      <c r="AE46" s="23">
        <f t="shared" si="35"/>
        <v>0</v>
      </c>
      <c r="AF46" s="316">
        <v>729188172.07000005</v>
      </c>
      <c r="AG46" s="310">
        <v>10</v>
      </c>
      <c r="AH46" s="23">
        <f t="shared" si="36"/>
        <v>-1.3375189973984706E-2</v>
      </c>
      <c r="AI46" s="23">
        <f t="shared" si="37"/>
        <v>0</v>
      </c>
      <c r="AJ46" s="24">
        <f t="shared" si="16"/>
        <v>1.71350637053942E-2</v>
      </c>
      <c r="AK46" s="24">
        <f t="shared" si="17"/>
        <v>0</v>
      </c>
      <c r="AL46" s="25">
        <f t="shared" si="18"/>
        <v>0.10527030363804234</v>
      </c>
      <c r="AM46" s="25">
        <f t="shared" si="19"/>
        <v>0</v>
      </c>
      <c r="AN46" s="384">
        <f t="shared" si="20"/>
        <v>2.3617077397949264E-2</v>
      </c>
      <c r="AO46" s="385">
        <f t="shared" si="21"/>
        <v>0</v>
      </c>
      <c r="AP46" s="30"/>
      <c r="AQ46" s="38"/>
      <c r="AR46" s="35"/>
      <c r="AS46" s="29"/>
      <c r="AT46" s="29"/>
    </row>
    <row r="47" spans="1:47" s="93" customFormat="1">
      <c r="A47" s="202" t="s">
        <v>34</v>
      </c>
      <c r="B47" s="321">
        <v>343799646939.75</v>
      </c>
      <c r="C47" s="310">
        <v>100</v>
      </c>
      <c r="D47" s="321">
        <v>347912159703.41998</v>
      </c>
      <c r="E47" s="310">
        <v>100</v>
      </c>
      <c r="F47" s="23">
        <f t="shared" si="22"/>
        <v>1.196194586084229E-2</v>
      </c>
      <c r="G47" s="23">
        <f t="shared" si="23"/>
        <v>0</v>
      </c>
      <c r="H47" s="321">
        <v>347302845839.95001</v>
      </c>
      <c r="I47" s="310">
        <v>100</v>
      </c>
      <c r="J47" s="23">
        <f t="shared" si="24"/>
        <v>-1.7513439713903198E-3</v>
      </c>
      <c r="K47" s="23">
        <f t="shared" si="25"/>
        <v>0</v>
      </c>
      <c r="L47" s="321">
        <v>348549575831.40002</v>
      </c>
      <c r="M47" s="310">
        <v>100</v>
      </c>
      <c r="N47" s="23">
        <f t="shared" si="26"/>
        <v>3.5897488499836579E-3</v>
      </c>
      <c r="O47" s="23">
        <f t="shared" si="27"/>
        <v>0</v>
      </c>
      <c r="P47" s="321">
        <v>351806490156.37</v>
      </c>
      <c r="Q47" s="310">
        <v>100</v>
      </c>
      <c r="R47" s="23">
        <f t="shared" si="28"/>
        <v>9.3441924787921737E-3</v>
      </c>
      <c r="S47" s="23">
        <f t="shared" si="29"/>
        <v>0</v>
      </c>
      <c r="T47" s="321">
        <v>359958395664.09998</v>
      </c>
      <c r="U47" s="310">
        <v>100</v>
      </c>
      <c r="V47" s="23">
        <f t="shared" si="30"/>
        <v>2.3171560888790434E-2</v>
      </c>
      <c r="W47" s="23">
        <f t="shared" si="31"/>
        <v>0</v>
      </c>
      <c r="X47" s="321">
        <v>364274293935.89001</v>
      </c>
      <c r="Y47" s="310">
        <v>100</v>
      </c>
      <c r="Z47" s="23">
        <f t="shared" si="32"/>
        <v>1.1989991965119984E-2</v>
      </c>
      <c r="AA47" s="23">
        <f t="shared" si="33"/>
        <v>0</v>
      </c>
      <c r="AB47" s="321">
        <v>363736924253.53998</v>
      </c>
      <c r="AC47" s="310">
        <v>100</v>
      </c>
      <c r="AD47" s="23">
        <f t="shared" si="34"/>
        <v>-1.4751787081759063E-3</v>
      </c>
      <c r="AE47" s="23">
        <f t="shared" si="35"/>
        <v>0</v>
      </c>
      <c r="AF47" s="321">
        <v>367815111680.13</v>
      </c>
      <c r="AG47" s="310">
        <v>100</v>
      </c>
      <c r="AH47" s="23">
        <f t="shared" si="36"/>
        <v>1.1211914861157616E-2</v>
      </c>
      <c r="AI47" s="23">
        <f t="shared" si="37"/>
        <v>0</v>
      </c>
      <c r="AJ47" s="24">
        <f t="shared" si="16"/>
        <v>8.5053540281399918E-3</v>
      </c>
      <c r="AK47" s="24">
        <f t="shared" si="17"/>
        <v>0</v>
      </c>
      <c r="AL47" s="25">
        <f t="shared" si="18"/>
        <v>5.7206830579524512E-2</v>
      </c>
      <c r="AM47" s="25">
        <f t="shared" si="19"/>
        <v>0</v>
      </c>
      <c r="AN47" s="384">
        <f t="shared" si="20"/>
        <v>8.2478701635202399E-3</v>
      </c>
      <c r="AO47" s="385">
        <f t="shared" si="21"/>
        <v>0</v>
      </c>
      <c r="AP47" s="30"/>
      <c r="AQ47" s="38"/>
      <c r="AR47" s="35"/>
      <c r="AS47" s="29"/>
      <c r="AT47" s="29"/>
    </row>
    <row r="48" spans="1:47" s="93" customFormat="1">
      <c r="A48" s="202" t="s">
        <v>150</v>
      </c>
      <c r="B48" s="321">
        <v>1858104842.04</v>
      </c>
      <c r="C48" s="310">
        <v>1</v>
      </c>
      <c r="D48" s="321">
        <v>1955331148.1600001</v>
      </c>
      <c r="E48" s="310">
        <v>1</v>
      </c>
      <c r="F48" s="23">
        <f t="shared" si="22"/>
        <v>5.2325522177347143E-2</v>
      </c>
      <c r="G48" s="23">
        <f t="shared" si="23"/>
        <v>0</v>
      </c>
      <c r="H48" s="321">
        <v>1871697039.27</v>
      </c>
      <c r="I48" s="310">
        <v>1</v>
      </c>
      <c r="J48" s="23">
        <f t="shared" si="24"/>
        <v>-4.2772350334980967E-2</v>
      </c>
      <c r="K48" s="23">
        <f t="shared" si="25"/>
        <v>0</v>
      </c>
      <c r="L48" s="321">
        <v>1893901801.0899999</v>
      </c>
      <c r="M48" s="310">
        <v>1</v>
      </c>
      <c r="N48" s="23">
        <f t="shared" si="26"/>
        <v>1.1863438021283746E-2</v>
      </c>
      <c r="O48" s="23">
        <f t="shared" si="27"/>
        <v>0</v>
      </c>
      <c r="P48" s="321">
        <v>1983737881.28</v>
      </c>
      <c r="Q48" s="310">
        <v>1</v>
      </c>
      <c r="R48" s="23">
        <f t="shared" si="28"/>
        <v>4.7434391866725392E-2</v>
      </c>
      <c r="S48" s="23">
        <f t="shared" si="29"/>
        <v>0</v>
      </c>
      <c r="T48" s="321">
        <v>1981069177.02</v>
      </c>
      <c r="U48" s="310">
        <v>1</v>
      </c>
      <c r="V48" s="23">
        <f t="shared" si="30"/>
        <v>-1.3452907691000075E-3</v>
      </c>
      <c r="W48" s="23">
        <f t="shared" si="31"/>
        <v>0</v>
      </c>
      <c r="X48" s="321">
        <v>1949568377.29</v>
      </c>
      <c r="Y48" s="310">
        <v>1</v>
      </c>
      <c r="Z48" s="23">
        <f t="shared" si="32"/>
        <v>-1.5900908507084404E-2</v>
      </c>
      <c r="AA48" s="23">
        <f t="shared" si="33"/>
        <v>0</v>
      </c>
      <c r="AB48" s="321">
        <v>2066333206.0599999</v>
      </c>
      <c r="AC48" s="310">
        <v>1</v>
      </c>
      <c r="AD48" s="23">
        <f t="shared" si="34"/>
        <v>5.9892656308012687E-2</v>
      </c>
      <c r="AE48" s="23">
        <f t="shared" si="35"/>
        <v>0</v>
      </c>
      <c r="AF48" s="321">
        <v>2204045949.0900002</v>
      </c>
      <c r="AG48" s="310">
        <v>1</v>
      </c>
      <c r="AH48" s="23">
        <f t="shared" si="36"/>
        <v>6.6645951691685426E-2</v>
      </c>
      <c r="AI48" s="23">
        <f t="shared" si="37"/>
        <v>0</v>
      </c>
      <c r="AJ48" s="24">
        <f t="shared" si="16"/>
        <v>2.2267926306736126E-2</v>
      </c>
      <c r="AK48" s="24">
        <f t="shared" si="17"/>
        <v>0</v>
      </c>
      <c r="AL48" s="25">
        <f t="shared" si="18"/>
        <v>0.12719830150716155</v>
      </c>
      <c r="AM48" s="25">
        <f t="shared" si="19"/>
        <v>0</v>
      </c>
      <c r="AN48" s="384">
        <f t="shared" si="20"/>
        <v>4.0133303656809491E-2</v>
      </c>
      <c r="AO48" s="385">
        <f t="shared" si="21"/>
        <v>0</v>
      </c>
      <c r="AP48" s="30"/>
      <c r="AQ48" s="38"/>
      <c r="AR48" s="35"/>
      <c r="AS48" s="29"/>
      <c r="AT48" s="29"/>
    </row>
    <row r="49" spans="1:48" s="103" customFormat="1">
      <c r="A49" s="202" t="s">
        <v>76</v>
      </c>
      <c r="B49" s="321">
        <v>46871670231.099998</v>
      </c>
      <c r="C49" s="310">
        <v>1</v>
      </c>
      <c r="D49" s="321">
        <v>47016801670.660004</v>
      </c>
      <c r="E49" s="310">
        <v>1</v>
      </c>
      <c r="F49" s="23">
        <f t="shared" si="22"/>
        <v>3.0963573272391833E-3</v>
      </c>
      <c r="G49" s="23">
        <f t="shared" si="23"/>
        <v>0</v>
      </c>
      <c r="H49" s="321">
        <v>47758737757.550003</v>
      </c>
      <c r="I49" s="310">
        <v>1</v>
      </c>
      <c r="J49" s="23">
        <f t="shared" si="24"/>
        <v>1.578023303428977E-2</v>
      </c>
      <c r="K49" s="23">
        <f t="shared" si="25"/>
        <v>0</v>
      </c>
      <c r="L49" s="321">
        <v>45539940187.550003</v>
      </c>
      <c r="M49" s="310">
        <v>1</v>
      </c>
      <c r="N49" s="23">
        <f t="shared" si="26"/>
        <v>-4.6458463397082525E-2</v>
      </c>
      <c r="O49" s="23">
        <f t="shared" si="27"/>
        <v>0</v>
      </c>
      <c r="P49" s="321">
        <v>46856482719.209999</v>
      </c>
      <c r="Q49" s="310">
        <v>1</v>
      </c>
      <c r="R49" s="23">
        <f t="shared" si="28"/>
        <v>2.8909623645485612E-2</v>
      </c>
      <c r="S49" s="23">
        <f t="shared" si="29"/>
        <v>0</v>
      </c>
      <c r="T49" s="321">
        <v>46205218883.139999</v>
      </c>
      <c r="U49" s="310">
        <v>1</v>
      </c>
      <c r="V49" s="23">
        <f t="shared" si="30"/>
        <v>-1.3899119145855086E-2</v>
      </c>
      <c r="W49" s="23">
        <f t="shared" si="31"/>
        <v>0</v>
      </c>
      <c r="X49" s="321">
        <v>46061441509.559998</v>
      </c>
      <c r="Y49" s="310">
        <v>1</v>
      </c>
      <c r="Z49" s="23">
        <f t="shared" si="32"/>
        <v>-3.1117128552866852E-3</v>
      </c>
      <c r="AA49" s="23">
        <f t="shared" si="33"/>
        <v>0</v>
      </c>
      <c r="AB49" s="321">
        <v>45367611149.040001</v>
      </c>
      <c r="AC49" s="310">
        <v>1</v>
      </c>
      <c r="AD49" s="23">
        <f t="shared" si="34"/>
        <v>-1.5063149084815181E-2</v>
      </c>
      <c r="AE49" s="23">
        <f t="shared" si="35"/>
        <v>0</v>
      </c>
      <c r="AF49" s="321">
        <v>43700670576.059998</v>
      </c>
      <c r="AG49" s="310">
        <v>1</v>
      </c>
      <c r="AH49" s="23">
        <f t="shared" si="36"/>
        <v>-3.6742965537767278E-2</v>
      </c>
      <c r="AI49" s="23">
        <f t="shared" si="37"/>
        <v>0</v>
      </c>
      <c r="AJ49" s="24">
        <f t="shared" si="16"/>
        <v>-8.4361495017240239E-3</v>
      </c>
      <c r="AK49" s="24">
        <f t="shared" si="17"/>
        <v>0</v>
      </c>
      <c r="AL49" s="25">
        <f t="shared" si="18"/>
        <v>-7.0530767231438002E-2</v>
      </c>
      <c r="AM49" s="25">
        <f t="shared" si="19"/>
        <v>0</v>
      </c>
      <c r="AN49" s="384">
        <f t="shared" si="20"/>
        <v>2.5250803787257269E-2</v>
      </c>
      <c r="AO49" s="385">
        <f t="shared" si="21"/>
        <v>0</v>
      </c>
      <c r="AP49" s="30"/>
      <c r="AQ49" s="38"/>
      <c r="AR49" s="35"/>
      <c r="AS49" s="29"/>
      <c r="AT49" s="29"/>
    </row>
    <row r="50" spans="1:48" s="103" customFormat="1">
      <c r="A50" s="202" t="s">
        <v>158</v>
      </c>
      <c r="B50" s="321">
        <v>1743422992.8201618</v>
      </c>
      <c r="C50" s="310">
        <v>1</v>
      </c>
      <c r="D50" s="321">
        <v>1746093745.9000001</v>
      </c>
      <c r="E50" s="310">
        <v>1</v>
      </c>
      <c r="F50" s="23">
        <f t="shared" si="22"/>
        <v>1.5319019485443774E-3</v>
      </c>
      <c r="G50" s="23">
        <f t="shared" si="23"/>
        <v>0</v>
      </c>
      <c r="H50" s="321">
        <v>1747483379.8699999</v>
      </c>
      <c r="I50" s="310">
        <v>1</v>
      </c>
      <c r="J50" s="23">
        <f t="shared" si="24"/>
        <v>7.9585301377018704E-4</v>
      </c>
      <c r="K50" s="23">
        <f t="shared" si="25"/>
        <v>0</v>
      </c>
      <c r="L50" s="321">
        <v>1960264366.8476787</v>
      </c>
      <c r="M50" s="310">
        <v>1</v>
      </c>
      <c r="N50" s="23">
        <f t="shared" si="26"/>
        <v>0.12176424075261198</v>
      </c>
      <c r="O50" s="23">
        <f t="shared" si="27"/>
        <v>0</v>
      </c>
      <c r="P50" s="321">
        <v>1969128508.02</v>
      </c>
      <c r="Q50" s="310">
        <v>1</v>
      </c>
      <c r="R50" s="23">
        <f t="shared" si="28"/>
        <v>4.5219110861948872E-3</v>
      </c>
      <c r="S50" s="23">
        <f t="shared" si="29"/>
        <v>0</v>
      </c>
      <c r="T50" s="321">
        <v>1912438357.3499999</v>
      </c>
      <c r="U50" s="310">
        <v>1</v>
      </c>
      <c r="V50" s="23">
        <f t="shared" si="30"/>
        <v>-2.8789462160091935E-2</v>
      </c>
      <c r="W50" s="23">
        <f t="shared" si="31"/>
        <v>0</v>
      </c>
      <c r="X50" s="321">
        <v>1916078314.4000001</v>
      </c>
      <c r="Y50" s="310">
        <v>1</v>
      </c>
      <c r="Z50" s="23">
        <f t="shared" si="32"/>
        <v>1.9033068626818142E-3</v>
      </c>
      <c r="AA50" s="23">
        <f t="shared" si="33"/>
        <v>0</v>
      </c>
      <c r="AB50" s="321">
        <v>1922732430.3199999</v>
      </c>
      <c r="AC50" s="310">
        <v>1</v>
      </c>
      <c r="AD50" s="23">
        <f t="shared" si="34"/>
        <v>3.4727786802824416E-3</v>
      </c>
      <c r="AE50" s="23">
        <f t="shared" si="35"/>
        <v>0</v>
      </c>
      <c r="AF50" s="321">
        <v>1812692246.1099999</v>
      </c>
      <c r="AG50" s="310">
        <v>1</v>
      </c>
      <c r="AH50" s="23">
        <f t="shared" si="36"/>
        <v>-5.7231147961490446E-2</v>
      </c>
      <c r="AI50" s="23">
        <f t="shared" si="37"/>
        <v>0</v>
      </c>
      <c r="AJ50" s="24">
        <f t="shared" si="16"/>
        <v>5.9961727778129114E-3</v>
      </c>
      <c r="AK50" s="24">
        <f t="shared" si="17"/>
        <v>0</v>
      </c>
      <c r="AL50" s="25">
        <f t="shared" si="18"/>
        <v>3.81414230286201E-2</v>
      </c>
      <c r="AM50" s="25">
        <f t="shared" si="19"/>
        <v>0</v>
      </c>
      <c r="AN50" s="384">
        <f t="shared" si="20"/>
        <v>5.1661322372479897E-2</v>
      </c>
      <c r="AO50" s="385">
        <f t="shared" si="21"/>
        <v>0</v>
      </c>
      <c r="AP50" s="30"/>
      <c r="AQ50" s="38"/>
      <c r="AR50" s="35"/>
      <c r="AS50" s="29"/>
      <c r="AT50" s="29"/>
    </row>
    <row r="51" spans="1:48" s="108" customFormat="1">
      <c r="A51" s="202" t="s">
        <v>131</v>
      </c>
      <c r="B51" s="321">
        <v>1459418551.0699999</v>
      </c>
      <c r="C51" s="310">
        <v>1</v>
      </c>
      <c r="D51" s="321">
        <v>1455997321.7</v>
      </c>
      <c r="E51" s="310">
        <v>1</v>
      </c>
      <c r="F51" s="23">
        <f t="shared" si="22"/>
        <v>-2.3442413881141549E-3</v>
      </c>
      <c r="G51" s="23">
        <f t="shared" si="23"/>
        <v>0</v>
      </c>
      <c r="H51" s="321">
        <v>1502214044.52</v>
      </c>
      <c r="I51" s="310">
        <v>1</v>
      </c>
      <c r="J51" s="23">
        <f t="shared" si="24"/>
        <v>3.1742313073789177E-2</v>
      </c>
      <c r="K51" s="23">
        <f t="shared" si="25"/>
        <v>0</v>
      </c>
      <c r="L51" s="321">
        <v>1500621737.8199999</v>
      </c>
      <c r="M51" s="310">
        <v>1</v>
      </c>
      <c r="N51" s="23">
        <f t="shared" si="26"/>
        <v>-1.0599732480259395E-3</v>
      </c>
      <c r="O51" s="23">
        <f t="shared" si="27"/>
        <v>0</v>
      </c>
      <c r="P51" s="321">
        <v>1475000894.24</v>
      </c>
      <c r="Q51" s="310">
        <v>1</v>
      </c>
      <c r="R51" s="23">
        <f t="shared" si="28"/>
        <v>-1.7073485565536405E-2</v>
      </c>
      <c r="S51" s="23">
        <f t="shared" si="29"/>
        <v>0</v>
      </c>
      <c r="T51" s="321">
        <v>1472255115.6199999</v>
      </c>
      <c r="U51" s="310">
        <v>1</v>
      </c>
      <c r="V51" s="23">
        <f t="shared" si="30"/>
        <v>-1.861543698531042E-3</v>
      </c>
      <c r="W51" s="23">
        <f t="shared" si="31"/>
        <v>0</v>
      </c>
      <c r="X51" s="321">
        <v>1477682132.3</v>
      </c>
      <c r="Y51" s="310">
        <v>1</v>
      </c>
      <c r="Z51" s="23">
        <f t="shared" si="32"/>
        <v>3.686193121301961E-3</v>
      </c>
      <c r="AA51" s="23">
        <f t="shared" si="33"/>
        <v>0</v>
      </c>
      <c r="AB51" s="321">
        <v>1468513939</v>
      </c>
      <c r="AC51" s="310">
        <v>1</v>
      </c>
      <c r="AD51" s="23">
        <f t="shared" si="34"/>
        <v>-6.2044421459774542E-3</v>
      </c>
      <c r="AE51" s="23">
        <f t="shared" si="35"/>
        <v>0</v>
      </c>
      <c r="AF51" s="321">
        <v>1554579584.01</v>
      </c>
      <c r="AG51" s="310">
        <v>1</v>
      </c>
      <c r="AH51" s="23">
        <f t="shared" si="36"/>
        <v>5.8607305470050421E-2</v>
      </c>
      <c r="AI51" s="23">
        <f t="shared" si="37"/>
        <v>0</v>
      </c>
      <c r="AJ51" s="24">
        <f t="shared" si="16"/>
        <v>8.1865157023695706E-3</v>
      </c>
      <c r="AK51" s="24">
        <f t="shared" si="17"/>
        <v>0</v>
      </c>
      <c r="AL51" s="25">
        <f t="shared" si="18"/>
        <v>6.7707722288181699E-2</v>
      </c>
      <c r="AM51" s="25">
        <f t="shared" si="19"/>
        <v>0</v>
      </c>
      <c r="AN51" s="384">
        <f t="shared" si="20"/>
        <v>2.4668979266374819E-2</v>
      </c>
      <c r="AO51" s="385">
        <f t="shared" si="21"/>
        <v>0</v>
      </c>
      <c r="AP51" s="30"/>
      <c r="AQ51" s="38"/>
      <c r="AR51" s="35"/>
      <c r="AS51" s="29"/>
      <c r="AT51" s="29"/>
    </row>
    <row r="52" spans="1:48">
      <c r="A52" s="202" t="s">
        <v>112</v>
      </c>
      <c r="B52" s="321">
        <v>23187442008.939999</v>
      </c>
      <c r="C52" s="310">
        <v>1</v>
      </c>
      <c r="D52" s="321">
        <v>23671739562.240002</v>
      </c>
      <c r="E52" s="310">
        <v>1</v>
      </c>
      <c r="F52" s="23">
        <f t="shared" si="22"/>
        <v>2.0886200086809078E-2</v>
      </c>
      <c r="G52" s="23">
        <f t="shared" si="23"/>
        <v>0</v>
      </c>
      <c r="H52" s="321">
        <v>24313594778.380001</v>
      </c>
      <c r="I52" s="310">
        <v>1</v>
      </c>
      <c r="J52" s="23">
        <f t="shared" si="24"/>
        <v>2.7114830933838735E-2</v>
      </c>
      <c r="K52" s="23">
        <f t="shared" si="25"/>
        <v>0</v>
      </c>
      <c r="L52" s="321">
        <v>24683657105.130001</v>
      </c>
      <c r="M52" s="310">
        <v>1</v>
      </c>
      <c r="N52" s="23">
        <f t="shared" si="26"/>
        <v>1.5220387199965378E-2</v>
      </c>
      <c r="O52" s="23">
        <f t="shared" si="27"/>
        <v>0</v>
      </c>
      <c r="P52" s="321">
        <v>26305325064.27</v>
      </c>
      <c r="Q52" s="310">
        <v>1</v>
      </c>
      <c r="R52" s="23">
        <f t="shared" si="28"/>
        <v>6.569804272653619E-2</v>
      </c>
      <c r="S52" s="23">
        <f t="shared" si="29"/>
        <v>0</v>
      </c>
      <c r="T52" s="321">
        <v>26956318666.68</v>
      </c>
      <c r="U52" s="310">
        <v>1</v>
      </c>
      <c r="V52" s="23">
        <f t="shared" si="30"/>
        <v>2.4747597713370647E-2</v>
      </c>
      <c r="W52" s="23">
        <f t="shared" si="31"/>
        <v>0</v>
      </c>
      <c r="X52" s="321">
        <v>25766031502.720001</v>
      </c>
      <c r="Y52" s="310">
        <v>1</v>
      </c>
      <c r="Z52" s="23">
        <f t="shared" si="32"/>
        <v>-4.4156146789853835E-2</v>
      </c>
      <c r="AA52" s="23">
        <f t="shared" si="33"/>
        <v>0</v>
      </c>
      <c r="AB52" s="321">
        <v>25766031502.720001</v>
      </c>
      <c r="AC52" s="310">
        <v>1</v>
      </c>
      <c r="AD52" s="23">
        <f t="shared" si="34"/>
        <v>0</v>
      </c>
      <c r="AE52" s="23">
        <f t="shared" si="35"/>
        <v>0</v>
      </c>
      <c r="AF52" s="321">
        <v>25440235235.029999</v>
      </c>
      <c r="AG52" s="310">
        <v>1</v>
      </c>
      <c r="AH52" s="23">
        <f t="shared" si="36"/>
        <v>-1.2644410050325742E-2</v>
      </c>
      <c r="AI52" s="23">
        <f t="shared" si="37"/>
        <v>0</v>
      </c>
      <c r="AJ52" s="24">
        <f t="shared" si="16"/>
        <v>1.210831272754256E-2</v>
      </c>
      <c r="AK52" s="24">
        <f t="shared" si="17"/>
        <v>0</v>
      </c>
      <c r="AL52" s="25">
        <f t="shared" si="18"/>
        <v>7.4709155537137403E-2</v>
      </c>
      <c r="AM52" s="25">
        <f t="shared" si="19"/>
        <v>0</v>
      </c>
      <c r="AN52" s="384">
        <f t="shared" si="20"/>
        <v>3.2223639316986123E-2</v>
      </c>
      <c r="AO52" s="385">
        <f t="shared" si="21"/>
        <v>0</v>
      </c>
      <c r="AP52" s="30"/>
      <c r="AQ52" s="39">
        <v>2266908745.4000001</v>
      </c>
      <c r="AR52" s="35">
        <v>1</v>
      </c>
      <c r="AS52" s="29" t="e">
        <f>(#REF!/AQ52)-1</f>
        <v>#REF!</v>
      </c>
      <c r="AT52" s="29" t="e">
        <f>(#REF!/AR52)-1</f>
        <v>#REF!</v>
      </c>
    </row>
    <row r="53" spans="1:48">
      <c r="A53" s="204" t="s">
        <v>42</v>
      </c>
      <c r="B53" s="76">
        <f>SUM(B24:B52)</f>
        <v>810860786783.24963</v>
      </c>
      <c r="C53" s="85"/>
      <c r="D53" s="76">
        <f>SUM(D24:D52)</f>
        <v>816758455712.61926</v>
      </c>
      <c r="E53" s="85"/>
      <c r="F53" s="23">
        <f>((D53-B53)/B53)</f>
        <v>7.2733433722527866E-3</v>
      </c>
      <c r="G53" s="23"/>
      <c r="H53" s="76">
        <f>SUM(H24:H52)</f>
        <v>817523630430.57593</v>
      </c>
      <c r="I53" s="85"/>
      <c r="J53" s="23">
        <f>((H53-D53)/D53)</f>
        <v>9.3684333795975515E-4</v>
      </c>
      <c r="K53" s="23"/>
      <c r="L53" s="76">
        <f>SUM(L24:L52)</f>
        <v>822530716125.65808</v>
      </c>
      <c r="M53" s="85"/>
      <c r="N53" s="23">
        <f>((L53-H53)/H53)</f>
        <v>6.1246984291389913E-3</v>
      </c>
      <c r="O53" s="23"/>
      <c r="P53" s="76">
        <f>SUM(P24:P52)</f>
        <v>835884528785.64209</v>
      </c>
      <c r="Q53" s="85"/>
      <c r="R53" s="23">
        <f>((P53-L53)/L53)</f>
        <v>1.6235032197805421E-2</v>
      </c>
      <c r="S53" s="23"/>
      <c r="T53" s="76">
        <f>SUM(T24:T52)</f>
        <v>846543599278.24756</v>
      </c>
      <c r="U53" s="85"/>
      <c r="V53" s="23">
        <f>((T53-P53)/P53)</f>
        <v>1.2751845650368446E-2</v>
      </c>
      <c r="W53" s="23"/>
      <c r="X53" s="76">
        <f>SUM(X24:X52)</f>
        <v>847949243662.16028</v>
      </c>
      <c r="Y53" s="85"/>
      <c r="Z53" s="23">
        <f>((X53-T53)/T53)</f>
        <v>1.6604512574557937E-3</v>
      </c>
      <c r="AA53" s="23"/>
      <c r="AB53" s="76">
        <f>SUM(AB24:AB52)</f>
        <v>849994179796.46228</v>
      </c>
      <c r="AC53" s="85"/>
      <c r="AD53" s="23">
        <f>((AB53-X53)/X53)</f>
        <v>2.4116256363060627E-3</v>
      </c>
      <c r="AE53" s="23"/>
      <c r="AF53" s="76">
        <f>SUM(AF24:AF52)</f>
        <v>856179741726.49231</v>
      </c>
      <c r="AG53" s="85"/>
      <c r="AH53" s="23">
        <f>((AF53-AB53)/AB53)</f>
        <v>7.2771815114207137E-3</v>
      </c>
      <c r="AI53" s="23"/>
      <c r="AJ53" s="24">
        <f t="shared" si="16"/>
        <v>6.8338776740884963E-3</v>
      </c>
      <c r="AK53" s="24"/>
      <c r="AL53" s="25">
        <f t="shared" si="18"/>
        <v>4.8265537672919585E-2</v>
      </c>
      <c r="AM53" s="25"/>
      <c r="AN53" s="384">
        <f t="shared" si="20"/>
        <v>5.4168032596471401E-3</v>
      </c>
      <c r="AO53" s="385"/>
      <c r="AP53" s="30"/>
      <c r="AQ53" s="43">
        <f>SUM(AQ24:AQ52)</f>
        <v>74083068068.144089</v>
      </c>
      <c r="AR53" s="44"/>
      <c r="AS53" s="29" t="e">
        <f>(#REF!/AQ53)-1</f>
        <v>#REF!</v>
      </c>
      <c r="AT53" s="29" t="e">
        <f>(#REF!/AR53)-1</f>
        <v>#REF!</v>
      </c>
    </row>
    <row r="54" spans="1:48" s="108" customFormat="1" ht="8.25" customHeight="1">
      <c r="A54" s="204"/>
      <c r="B54" s="85"/>
      <c r="C54" s="85"/>
      <c r="D54" s="85"/>
      <c r="E54" s="85"/>
      <c r="F54" s="23"/>
      <c r="G54" s="23"/>
      <c r="H54" s="85"/>
      <c r="I54" s="85"/>
      <c r="J54" s="23"/>
      <c r="K54" s="23"/>
      <c r="L54" s="85"/>
      <c r="M54" s="85"/>
      <c r="N54" s="23"/>
      <c r="O54" s="23"/>
      <c r="P54" s="85"/>
      <c r="Q54" s="85"/>
      <c r="R54" s="23"/>
      <c r="S54" s="23"/>
      <c r="T54" s="85"/>
      <c r="U54" s="85"/>
      <c r="V54" s="23"/>
      <c r="W54" s="23"/>
      <c r="X54" s="85"/>
      <c r="Y54" s="85"/>
      <c r="Z54" s="23"/>
      <c r="AA54" s="23"/>
      <c r="AB54" s="85"/>
      <c r="AC54" s="85"/>
      <c r="AD54" s="23"/>
      <c r="AE54" s="23"/>
      <c r="AF54" s="85"/>
      <c r="AG54" s="85"/>
      <c r="AH54" s="23"/>
      <c r="AI54" s="23"/>
      <c r="AJ54" s="24"/>
      <c r="AK54" s="24"/>
      <c r="AL54" s="25"/>
      <c r="AM54" s="25"/>
      <c r="AN54" s="384"/>
      <c r="AO54" s="385"/>
      <c r="AP54" s="30"/>
      <c r="AQ54" s="43"/>
      <c r="AR54" s="44"/>
      <c r="AS54" s="29"/>
      <c r="AT54" s="29"/>
    </row>
    <row r="55" spans="1:48">
      <c r="A55" s="205" t="s">
        <v>192</v>
      </c>
      <c r="B55" s="85"/>
      <c r="C55" s="85"/>
      <c r="D55" s="85"/>
      <c r="E55" s="85"/>
      <c r="F55" s="23"/>
      <c r="G55" s="23"/>
      <c r="H55" s="85"/>
      <c r="I55" s="85"/>
      <c r="J55" s="23"/>
      <c r="K55" s="23"/>
      <c r="L55" s="85"/>
      <c r="M55" s="85"/>
      <c r="N55" s="23"/>
      <c r="O55" s="23"/>
      <c r="P55" s="85"/>
      <c r="Q55" s="85"/>
      <c r="R55" s="23"/>
      <c r="S55" s="23"/>
      <c r="T55" s="85"/>
      <c r="U55" s="85"/>
      <c r="V55" s="23"/>
      <c r="W55" s="23"/>
      <c r="X55" s="85"/>
      <c r="Y55" s="85"/>
      <c r="Z55" s="23"/>
      <c r="AA55" s="23"/>
      <c r="AB55" s="85"/>
      <c r="AC55" s="85"/>
      <c r="AD55" s="23"/>
      <c r="AE55" s="23"/>
      <c r="AF55" s="85"/>
      <c r="AG55" s="85"/>
      <c r="AH55" s="23"/>
      <c r="AI55" s="23"/>
      <c r="AJ55" s="24"/>
      <c r="AK55" s="24"/>
      <c r="AL55" s="25"/>
      <c r="AM55" s="25"/>
      <c r="AN55" s="384"/>
      <c r="AO55" s="385"/>
      <c r="AP55" s="30"/>
      <c r="AQ55" s="40"/>
      <c r="AR55" s="13"/>
      <c r="AS55" s="29" t="e">
        <f>(#REF!/AQ55)-1</f>
        <v>#REF!</v>
      </c>
      <c r="AT55" s="29" t="e">
        <f>(#REF!/AR55)-1</f>
        <v>#REF!</v>
      </c>
    </row>
    <row r="56" spans="1:48">
      <c r="A56" s="202" t="s">
        <v>137</v>
      </c>
      <c r="B56" s="326">
        <v>437991462.02999997</v>
      </c>
      <c r="C56" s="327">
        <v>1.2892999999999999</v>
      </c>
      <c r="D56" s="326">
        <v>438176583.14999998</v>
      </c>
      <c r="E56" s="327">
        <v>1.2897000000000001</v>
      </c>
      <c r="F56" s="23">
        <f t="shared" ref="F56:F85" si="50">((D56-B56)/B56)</f>
        <v>4.2265919783460301E-4</v>
      </c>
      <c r="G56" s="23">
        <f t="shared" ref="G56:G85" si="51">((E56-C56)/C56)</f>
        <v>3.1024586985199567E-4</v>
      </c>
      <c r="H56" s="326">
        <v>441747390.16000003</v>
      </c>
      <c r="I56" s="327">
        <v>1.2982</v>
      </c>
      <c r="J56" s="23">
        <f t="shared" ref="J56:J82" si="52">((H56-D56)/D56)</f>
        <v>8.1492419889943411E-3</v>
      </c>
      <c r="K56" s="23">
        <f t="shared" ref="K56:K81" si="53">((I56-E56)/E56)</f>
        <v>6.590680003101459E-3</v>
      </c>
      <c r="L56" s="326">
        <v>462533700.88</v>
      </c>
      <c r="M56" s="327">
        <v>1.3594999999999999</v>
      </c>
      <c r="N56" s="23">
        <f t="shared" ref="N56:N82" si="54">((L56-H56)/H56)</f>
        <v>4.7054744822535813E-2</v>
      </c>
      <c r="O56" s="23">
        <f t="shared" ref="O56:O81" si="55">((M56-I56)/I56)</f>
        <v>4.7219226621475818E-2</v>
      </c>
      <c r="P56" s="326">
        <v>466969177.01999998</v>
      </c>
      <c r="Q56" s="327">
        <v>1.3539000000000001</v>
      </c>
      <c r="R56" s="23">
        <f t="shared" ref="R56:R82" si="56">((P56-L56)/L56)</f>
        <v>9.5895199237616812E-3</v>
      </c>
      <c r="S56" s="23">
        <f t="shared" ref="S56:S81" si="57">((Q56-M56)/M56)</f>
        <v>-4.1191614564176741E-3</v>
      </c>
      <c r="T56" s="326">
        <v>297803859.43000001</v>
      </c>
      <c r="U56" s="327">
        <v>1.3573</v>
      </c>
      <c r="V56" s="23">
        <f t="shared" ref="V56:V82" si="58">((T56-P56)/P56)</f>
        <v>-0.36226227750092965</v>
      </c>
      <c r="W56" s="23">
        <f t="shared" ref="W56:W81" si="59">((U56-Q56)/Q56)</f>
        <v>2.511263756555024E-3</v>
      </c>
      <c r="X56" s="326">
        <v>489124343.69</v>
      </c>
      <c r="Y56" s="327">
        <v>1.3573</v>
      </c>
      <c r="Z56" s="23">
        <f t="shared" ref="Z56:Z82" si="60">((X56-T56)/T56)</f>
        <v>0.64243789394197104</v>
      </c>
      <c r="AA56" s="23">
        <f t="shared" ref="AA56:AA81" si="61">((Y56-U56)/U56)</f>
        <v>0</v>
      </c>
      <c r="AB56" s="326">
        <v>477880682.05000001</v>
      </c>
      <c r="AC56" s="327">
        <v>1.3258000000000001</v>
      </c>
      <c r="AD56" s="23">
        <f t="shared" ref="AD56:AD82" si="62">((AB56-X56)/X56)</f>
        <v>-2.2987327834016084E-2</v>
      </c>
      <c r="AE56" s="23">
        <f t="shared" ref="AE56:AE81" si="63">((AC56-Y56)/Y56)</f>
        <v>-2.3207839092315524E-2</v>
      </c>
      <c r="AF56" s="326">
        <v>473172465.54000002</v>
      </c>
      <c r="AG56" s="327">
        <v>1.3137000000000001</v>
      </c>
      <c r="AH56" s="23">
        <f t="shared" ref="AH56:AH82" si="64">((AF56-AB56)/AB56)</f>
        <v>-9.852284653572534E-3</v>
      </c>
      <c r="AI56" s="23">
        <f t="shared" ref="AI56:AI81" si="65">((AG56-AC56)/AC56)</f>
        <v>-9.1265650927741734E-3</v>
      </c>
      <c r="AJ56" s="24">
        <f t="shared" si="16"/>
        <v>3.9069021235822406E-2</v>
      </c>
      <c r="AK56" s="24">
        <f t="shared" si="17"/>
        <v>2.5222313261846164E-3</v>
      </c>
      <c r="AL56" s="25">
        <f t="shared" si="18"/>
        <v>7.9867075822306066E-2</v>
      </c>
      <c r="AM56" s="25">
        <f t="shared" si="19"/>
        <v>1.8608978832286596E-2</v>
      </c>
      <c r="AN56" s="384">
        <f t="shared" si="20"/>
        <v>0.27639192652889361</v>
      </c>
      <c r="AO56" s="385">
        <f t="shared" si="21"/>
        <v>2.0239520723142182E-2</v>
      </c>
      <c r="AP56" s="30"/>
      <c r="AQ56" s="28">
        <v>1092437778.4100001</v>
      </c>
      <c r="AR56" s="32">
        <v>143.21</v>
      </c>
      <c r="AS56" s="29" t="e">
        <f>(#REF!/AQ56)-1</f>
        <v>#REF!</v>
      </c>
      <c r="AT56" s="29" t="e">
        <f>(#REF!/AR56)-1</f>
        <v>#REF!</v>
      </c>
    </row>
    <row r="57" spans="1:48">
      <c r="A57" s="202" t="s">
        <v>143</v>
      </c>
      <c r="B57" s="326">
        <v>1016752779.01</v>
      </c>
      <c r="C57" s="327">
        <v>1.1389</v>
      </c>
      <c r="D57" s="326">
        <v>993025846.11000001</v>
      </c>
      <c r="E57" s="327">
        <v>1.1324000000000001</v>
      </c>
      <c r="F57" s="23">
        <f t="shared" si="50"/>
        <v>-2.3335990212982358E-2</v>
      </c>
      <c r="G57" s="23">
        <f t="shared" si="51"/>
        <v>-5.7072613925717363E-3</v>
      </c>
      <c r="H57" s="326">
        <v>572772340.07000005</v>
      </c>
      <c r="I57" s="327">
        <v>1.1323000000000001</v>
      </c>
      <c r="J57" s="23">
        <f t="shared" si="52"/>
        <v>-0.42320500285694218</v>
      </c>
      <c r="K57" s="23">
        <f t="shared" si="53"/>
        <v>-8.8308018368058087E-5</v>
      </c>
      <c r="L57" s="326">
        <v>574045627.38</v>
      </c>
      <c r="M57" s="327">
        <v>1.1353</v>
      </c>
      <c r="N57" s="23">
        <f t="shared" si="54"/>
        <v>2.2230251374295257E-3</v>
      </c>
      <c r="O57" s="23">
        <f t="shared" si="55"/>
        <v>2.6494745208865949E-3</v>
      </c>
      <c r="P57" s="326">
        <v>569797345.80999994</v>
      </c>
      <c r="Q57" s="327">
        <v>1.1335999999999999</v>
      </c>
      <c r="R57" s="23">
        <f t="shared" si="56"/>
        <v>-7.4005991290093474E-3</v>
      </c>
      <c r="S57" s="23">
        <f t="shared" si="57"/>
        <v>-1.4974015678675546E-3</v>
      </c>
      <c r="T57" s="326">
        <v>569420483.15999997</v>
      </c>
      <c r="U57" s="327">
        <v>1.133</v>
      </c>
      <c r="V57" s="23">
        <f t="shared" si="58"/>
        <v>-6.6139769300652682E-4</v>
      </c>
      <c r="W57" s="23">
        <f t="shared" si="59"/>
        <v>-5.2928722653487466E-4</v>
      </c>
      <c r="X57" s="326">
        <v>569767074.63999999</v>
      </c>
      <c r="Y57" s="327">
        <v>1.1335</v>
      </c>
      <c r="Z57" s="23">
        <f t="shared" si="60"/>
        <v>6.0867406468522009E-4</v>
      </c>
      <c r="AA57" s="23">
        <f t="shared" si="61"/>
        <v>4.4130626654893639E-4</v>
      </c>
      <c r="AB57" s="326">
        <v>623338591.72000003</v>
      </c>
      <c r="AC57" s="327">
        <v>1.1334</v>
      </c>
      <c r="AD57" s="23">
        <f t="shared" si="62"/>
        <v>9.4023539555788682E-2</v>
      </c>
      <c r="AE57" s="23">
        <f t="shared" si="63"/>
        <v>-8.8222320247012784E-5</v>
      </c>
      <c r="AF57" s="326">
        <v>661378218.15999997</v>
      </c>
      <c r="AG57" s="327">
        <v>1.1339999999999999</v>
      </c>
      <c r="AH57" s="23">
        <f t="shared" si="64"/>
        <v>6.1025623866855193E-2</v>
      </c>
      <c r="AI57" s="23">
        <f t="shared" si="65"/>
        <v>5.2938062466907881E-4</v>
      </c>
      <c r="AJ57" s="24">
        <f t="shared" si="16"/>
        <v>-3.7090265908397736E-2</v>
      </c>
      <c r="AK57" s="24">
        <f t="shared" si="17"/>
        <v>-5.3628988918557837E-4</v>
      </c>
      <c r="AL57" s="25">
        <f t="shared" si="18"/>
        <v>-0.33397683378450815</v>
      </c>
      <c r="AM57" s="25">
        <f t="shared" si="19"/>
        <v>1.4129282938889294E-3</v>
      </c>
      <c r="AN57" s="384">
        <f t="shared" si="20"/>
        <v>0.16091994978840199</v>
      </c>
      <c r="AO57" s="385">
        <f t="shared" si="21"/>
        <v>2.3995423984054941E-3</v>
      </c>
      <c r="AP57" s="30"/>
      <c r="AQ57" s="31">
        <v>1186217562.8099999</v>
      </c>
      <c r="AR57" s="35">
        <v>212.98</v>
      </c>
      <c r="AS57" s="29" t="e">
        <f>(#REF!/AQ57)-1</f>
        <v>#REF!</v>
      </c>
      <c r="AT57" s="29" t="e">
        <f>(#REF!/AR57)-1</f>
        <v>#REF!</v>
      </c>
      <c r="AU57" s="83"/>
      <c r="AV57" s="83"/>
    </row>
    <row r="58" spans="1:48">
      <c r="A58" s="202" t="s">
        <v>225</v>
      </c>
      <c r="B58" s="326">
        <v>840002418.75</v>
      </c>
      <c r="C58" s="327">
        <v>1.0637000000000001</v>
      </c>
      <c r="D58" s="326">
        <v>840701547.28999996</v>
      </c>
      <c r="E58" s="327">
        <v>1.0261</v>
      </c>
      <c r="F58" s="23">
        <f t="shared" si="50"/>
        <v>8.3229348439297203E-4</v>
      </c>
      <c r="G58" s="23">
        <f t="shared" si="51"/>
        <v>-3.5348312494124352E-2</v>
      </c>
      <c r="H58" s="326">
        <v>591074536.51999998</v>
      </c>
      <c r="I58" s="327">
        <v>1.0271999999999999</v>
      </c>
      <c r="J58" s="23">
        <f t="shared" si="52"/>
        <v>-0.29692702668940274</v>
      </c>
      <c r="K58" s="23">
        <f t="shared" si="53"/>
        <v>1.0720202709286412E-3</v>
      </c>
      <c r="L58" s="326">
        <v>593325159.47000003</v>
      </c>
      <c r="M58" s="327">
        <v>1.0314000000000001</v>
      </c>
      <c r="N58" s="23">
        <f t="shared" si="54"/>
        <v>3.8076804378188505E-3</v>
      </c>
      <c r="O58" s="23">
        <f t="shared" si="55"/>
        <v>4.0887850467291702E-3</v>
      </c>
      <c r="P58" s="326">
        <v>593230861.70000005</v>
      </c>
      <c r="Q58" s="327">
        <v>1.0313000000000001</v>
      </c>
      <c r="R58" s="23">
        <f t="shared" si="56"/>
        <v>-1.589310153040103E-4</v>
      </c>
      <c r="S58" s="23">
        <f t="shared" si="57"/>
        <v>-9.6955594337782598E-5</v>
      </c>
      <c r="T58" s="326">
        <v>590474118.48000002</v>
      </c>
      <c r="U58" s="327">
        <v>1.0317000000000001</v>
      </c>
      <c r="V58" s="23">
        <f t="shared" si="58"/>
        <v>-4.6469989981642729E-3</v>
      </c>
      <c r="W58" s="23">
        <f t="shared" si="59"/>
        <v>3.8785998254625801E-4</v>
      </c>
      <c r="X58" s="326">
        <v>591140241.47000003</v>
      </c>
      <c r="Y58" s="327">
        <v>1.0327</v>
      </c>
      <c r="Z58" s="23">
        <f t="shared" si="60"/>
        <v>1.1281154739089074E-3</v>
      </c>
      <c r="AA58" s="23">
        <f t="shared" si="61"/>
        <v>9.6927401376358413E-4</v>
      </c>
      <c r="AB58" s="326">
        <v>713060097.32000005</v>
      </c>
      <c r="AC58" s="327">
        <v>1.0341</v>
      </c>
      <c r="AD58" s="23">
        <f t="shared" si="62"/>
        <v>0.20624523132923506</v>
      </c>
      <c r="AE58" s="23">
        <f t="shared" si="63"/>
        <v>1.3556696039508744E-3</v>
      </c>
      <c r="AF58" s="326">
        <v>861113040.15999997</v>
      </c>
      <c r="AG58" s="327">
        <v>1.0356000000000001</v>
      </c>
      <c r="AH58" s="23">
        <f t="shared" si="64"/>
        <v>0.20763038542816986</v>
      </c>
      <c r="AI58" s="23">
        <f t="shared" si="65"/>
        <v>1.4505366985785289E-3</v>
      </c>
      <c r="AJ58" s="24">
        <f t="shared" si="16"/>
        <v>1.4738843681331826E-2</v>
      </c>
      <c r="AK58" s="24">
        <f t="shared" si="17"/>
        <v>-3.2651403089956352E-3</v>
      </c>
      <c r="AL58" s="25">
        <f t="shared" si="18"/>
        <v>2.4279118952256502E-2</v>
      </c>
      <c r="AM58" s="25">
        <f t="shared" si="19"/>
        <v>9.2583568852938926E-3</v>
      </c>
      <c r="AN58" s="384">
        <f t="shared" si="20"/>
        <v>0.15680440369146306</v>
      </c>
      <c r="AO58" s="385">
        <f t="shared" si="21"/>
        <v>1.3022632395501589E-2</v>
      </c>
      <c r="AP58" s="30"/>
      <c r="AQ58" s="31">
        <v>4662655514.79</v>
      </c>
      <c r="AR58" s="35">
        <v>1067.58</v>
      </c>
      <c r="AS58" s="29" t="e">
        <f>(#REF!/AQ58)-1</f>
        <v>#REF!</v>
      </c>
      <c r="AT58" s="29" t="e">
        <f>(#REF!/AR58)-1</f>
        <v>#REF!</v>
      </c>
    </row>
    <row r="59" spans="1:48" s="103" customFormat="1">
      <c r="A59" s="202" t="s">
        <v>166</v>
      </c>
      <c r="B59" s="326">
        <v>250284868.36000001</v>
      </c>
      <c r="C59" s="74">
        <v>1091.99</v>
      </c>
      <c r="D59" s="326">
        <v>250569426.77000001</v>
      </c>
      <c r="E59" s="74">
        <v>1094.24</v>
      </c>
      <c r="F59" s="23">
        <f t="shared" si="50"/>
        <v>1.1369381291988403E-3</v>
      </c>
      <c r="G59" s="23">
        <f t="shared" si="51"/>
        <v>2.0604584291064936E-3</v>
      </c>
      <c r="H59" s="326">
        <v>252584086.44</v>
      </c>
      <c r="I59" s="74">
        <v>1104.05</v>
      </c>
      <c r="J59" s="23">
        <f t="shared" si="52"/>
        <v>8.040325174424658E-3</v>
      </c>
      <c r="K59" s="23">
        <f t="shared" si="53"/>
        <v>8.9651264804795523E-3</v>
      </c>
      <c r="L59" s="326">
        <v>253302524.36000001</v>
      </c>
      <c r="M59" s="74">
        <v>1106.32</v>
      </c>
      <c r="N59" s="23">
        <f t="shared" si="54"/>
        <v>2.8443514796435039E-3</v>
      </c>
      <c r="O59" s="23">
        <f t="shared" si="55"/>
        <v>2.0560663013450315E-3</v>
      </c>
      <c r="P59" s="326">
        <v>253831885.16</v>
      </c>
      <c r="Q59" s="74">
        <v>1108.6300000000001</v>
      </c>
      <c r="R59" s="23">
        <f t="shared" si="56"/>
        <v>2.0898362593798751E-3</v>
      </c>
      <c r="S59" s="23">
        <f t="shared" si="57"/>
        <v>2.0880034709669652E-3</v>
      </c>
      <c r="T59" s="326">
        <v>258686348.22</v>
      </c>
      <c r="U59" s="74">
        <v>1130.42</v>
      </c>
      <c r="V59" s="23">
        <f t="shared" si="58"/>
        <v>1.9124717357474803E-2</v>
      </c>
      <c r="W59" s="23">
        <f t="shared" si="59"/>
        <v>1.9654889367958617E-2</v>
      </c>
      <c r="X59" s="326">
        <v>260272906.19</v>
      </c>
      <c r="Y59" s="74">
        <v>1137.06</v>
      </c>
      <c r="Z59" s="23">
        <f t="shared" si="60"/>
        <v>6.1331337386645139E-3</v>
      </c>
      <c r="AA59" s="23">
        <f t="shared" si="61"/>
        <v>5.8739229666848356E-3</v>
      </c>
      <c r="AB59" s="326">
        <v>260835562.18000001</v>
      </c>
      <c r="AC59" s="74">
        <v>1137.06</v>
      </c>
      <c r="AD59" s="23">
        <f t="shared" si="62"/>
        <v>2.161792397973491E-3</v>
      </c>
      <c r="AE59" s="23">
        <f t="shared" si="63"/>
        <v>0</v>
      </c>
      <c r="AF59" s="326">
        <v>268855979.88</v>
      </c>
      <c r="AG59" s="74">
        <v>1137.8599999999999</v>
      </c>
      <c r="AH59" s="23">
        <f t="shared" si="64"/>
        <v>3.0748942486857594E-2</v>
      </c>
      <c r="AI59" s="23">
        <f t="shared" si="65"/>
        <v>7.0356885300683738E-4</v>
      </c>
      <c r="AJ59" s="24">
        <f t="shared" si="16"/>
        <v>9.03500462795216E-3</v>
      </c>
      <c r="AK59" s="24">
        <f t="shared" si="17"/>
        <v>5.1752544836935416E-3</v>
      </c>
      <c r="AL59" s="25">
        <f t="shared" si="18"/>
        <v>7.2979985410532064E-2</v>
      </c>
      <c r="AM59" s="25">
        <f t="shared" si="19"/>
        <v>3.9863284105863331E-2</v>
      </c>
      <c r="AN59" s="384">
        <f t="shared" si="20"/>
        <v>1.054844398156566E-2</v>
      </c>
      <c r="AO59" s="385">
        <f t="shared" si="21"/>
        <v>6.5492936732314787E-3</v>
      </c>
      <c r="AP59" s="30"/>
      <c r="AQ59" s="31"/>
      <c r="AR59" s="31"/>
      <c r="AS59" s="29"/>
      <c r="AT59" s="29"/>
    </row>
    <row r="60" spans="1:48">
      <c r="A60" s="202" t="s">
        <v>175</v>
      </c>
      <c r="B60" s="326">
        <v>1402292232.3599999</v>
      </c>
      <c r="C60" s="74">
        <v>1.0358000000000001</v>
      </c>
      <c r="D60" s="326">
        <v>1380876684.46</v>
      </c>
      <c r="E60" s="74">
        <v>1.0422</v>
      </c>
      <c r="F60" s="23">
        <f t="shared" si="50"/>
        <v>-1.5271815250633154E-2</v>
      </c>
      <c r="G60" s="23">
        <f t="shared" si="51"/>
        <v>6.1787989959451251E-3</v>
      </c>
      <c r="H60" s="326">
        <v>1375989298.0699999</v>
      </c>
      <c r="I60" s="74">
        <v>1.044</v>
      </c>
      <c r="J60" s="23">
        <f t="shared" si="52"/>
        <v>-3.5393358762599038E-3</v>
      </c>
      <c r="K60" s="23">
        <f t="shared" si="53"/>
        <v>1.7271157167530454E-3</v>
      </c>
      <c r="L60" s="326">
        <v>1384370561.9100001</v>
      </c>
      <c r="M60" s="74">
        <v>1.0454000000000001</v>
      </c>
      <c r="N60" s="23">
        <f t="shared" si="54"/>
        <v>6.0910821412317245E-3</v>
      </c>
      <c r="O60" s="23">
        <f t="shared" si="55"/>
        <v>1.3409961685824404E-3</v>
      </c>
      <c r="P60" s="326">
        <v>1397180405.9300001</v>
      </c>
      <c r="Q60" s="74">
        <v>1.0472999999999999</v>
      </c>
      <c r="R60" s="23">
        <f t="shared" si="56"/>
        <v>9.2531901301963447E-3</v>
      </c>
      <c r="S60" s="23">
        <f t="shared" si="57"/>
        <v>1.8174861297109151E-3</v>
      </c>
      <c r="T60" s="326">
        <v>1396161113.3599999</v>
      </c>
      <c r="U60" s="74">
        <v>1.0119</v>
      </c>
      <c r="V60" s="23">
        <f t="shared" si="58"/>
        <v>-7.2953540263950649E-4</v>
      </c>
      <c r="W60" s="23">
        <f t="shared" si="59"/>
        <v>-3.3801203093669317E-2</v>
      </c>
      <c r="X60" s="326">
        <v>1395618096.4100001</v>
      </c>
      <c r="Y60" s="74">
        <v>1.0135000000000001</v>
      </c>
      <c r="Z60" s="23">
        <f t="shared" si="60"/>
        <v>-3.8893573585714993E-4</v>
      </c>
      <c r="AA60" s="23">
        <f t="shared" si="61"/>
        <v>1.5811839114537461E-3</v>
      </c>
      <c r="AB60" s="326">
        <v>1396131107.73</v>
      </c>
      <c r="AC60" s="74">
        <v>1.0163</v>
      </c>
      <c r="AD60" s="23">
        <f t="shared" si="62"/>
        <v>3.6758717970164701E-4</v>
      </c>
      <c r="AE60" s="23">
        <f t="shared" si="63"/>
        <v>2.7627035027132842E-3</v>
      </c>
      <c r="AF60" s="326">
        <v>1410950897.8699999</v>
      </c>
      <c r="AG60" s="74">
        <v>1.0163</v>
      </c>
      <c r="AH60" s="23">
        <f t="shared" si="64"/>
        <v>1.0614898599384184E-2</v>
      </c>
      <c r="AI60" s="23">
        <f t="shared" si="65"/>
        <v>0</v>
      </c>
      <c r="AJ60" s="24">
        <f t="shared" si="16"/>
        <v>7.9964197314052348E-4</v>
      </c>
      <c r="AK60" s="24">
        <f t="shared" si="17"/>
        <v>-2.2991148335638452E-3</v>
      </c>
      <c r="AL60" s="25">
        <f t="shared" si="18"/>
        <v>2.177907248956162E-2</v>
      </c>
      <c r="AM60" s="25">
        <f t="shared" si="19"/>
        <v>-2.4851276146612967E-2</v>
      </c>
      <c r="AN60" s="384">
        <f t="shared" si="20"/>
        <v>8.2536339699535895E-3</v>
      </c>
      <c r="AO60" s="385">
        <f t="shared" si="21"/>
        <v>1.2854285466217709E-2</v>
      </c>
      <c r="AP60" s="30"/>
      <c r="AQ60" s="45">
        <v>1198249163.9190199</v>
      </c>
      <c r="AR60" s="45">
        <v>1987.7461478934799</v>
      </c>
      <c r="AS60" s="29" t="e">
        <f>(#REF!/AQ60)-1</f>
        <v>#REF!</v>
      </c>
      <c r="AT60" s="29" t="e">
        <f>(#REF!/AR60)-1</f>
        <v>#REF!</v>
      </c>
    </row>
    <row r="61" spans="1:48">
      <c r="A61" s="202" t="s">
        <v>105</v>
      </c>
      <c r="B61" s="326">
        <v>426817161.36000001</v>
      </c>
      <c r="C61" s="327">
        <v>2.2035</v>
      </c>
      <c r="D61" s="326">
        <v>427641327.52999997</v>
      </c>
      <c r="E61" s="74">
        <v>2.2075999999999998</v>
      </c>
      <c r="F61" s="23">
        <f t="shared" si="50"/>
        <v>1.9309583695600564E-3</v>
      </c>
      <c r="G61" s="23">
        <f t="shared" si="51"/>
        <v>1.8606761969592787E-3</v>
      </c>
      <c r="H61" s="326">
        <v>426641143.81999999</v>
      </c>
      <c r="I61" s="74">
        <v>2.2023999999999999</v>
      </c>
      <c r="J61" s="23">
        <f t="shared" si="52"/>
        <v>-2.3388378194804231E-3</v>
      </c>
      <c r="K61" s="23">
        <f t="shared" si="53"/>
        <v>-2.3554991846348396E-3</v>
      </c>
      <c r="L61" s="326">
        <v>428293032.39999998</v>
      </c>
      <c r="M61" s="74">
        <v>2.2084000000000001</v>
      </c>
      <c r="N61" s="23">
        <f t="shared" si="54"/>
        <v>3.871845469964602E-3</v>
      </c>
      <c r="O61" s="23">
        <f t="shared" si="55"/>
        <v>2.7243007628043169E-3</v>
      </c>
      <c r="P61" s="326">
        <v>428104942.13</v>
      </c>
      <c r="Q61" s="74">
        <v>2.21</v>
      </c>
      <c r="R61" s="23">
        <f t="shared" si="56"/>
        <v>-4.3916257275069539E-4</v>
      </c>
      <c r="S61" s="23">
        <f t="shared" si="57"/>
        <v>7.2450642999448639E-4</v>
      </c>
      <c r="T61" s="326">
        <v>428854878.23000002</v>
      </c>
      <c r="U61" s="74">
        <v>2.2139000000000002</v>
      </c>
      <c r="V61" s="23">
        <f t="shared" si="58"/>
        <v>1.7517576327635465E-3</v>
      </c>
      <c r="W61" s="23">
        <f t="shared" si="59"/>
        <v>1.7647058823530484E-3</v>
      </c>
      <c r="X61" s="326">
        <v>430422416.88999999</v>
      </c>
      <c r="Y61" s="74">
        <v>2.222</v>
      </c>
      <c r="Z61" s="23">
        <f t="shared" si="60"/>
        <v>3.6551727392483495E-3</v>
      </c>
      <c r="AA61" s="23">
        <f t="shared" si="61"/>
        <v>3.6587018383846485E-3</v>
      </c>
      <c r="AB61" s="326">
        <v>431078132.06999999</v>
      </c>
      <c r="AC61" s="74">
        <v>2.2252000000000001</v>
      </c>
      <c r="AD61" s="23">
        <f t="shared" si="62"/>
        <v>1.5234224665570419E-3</v>
      </c>
      <c r="AE61" s="23">
        <f t="shared" si="63"/>
        <v>1.4401440144014815E-3</v>
      </c>
      <c r="AF61" s="326">
        <v>431820071.91000003</v>
      </c>
      <c r="AG61" s="74">
        <v>2.2288999999999999</v>
      </c>
      <c r="AH61" s="23">
        <f t="shared" si="64"/>
        <v>1.7211261365481527E-3</v>
      </c>
      <c r="AI61" s="23">
        <f t="shared" si="65"/>
        <v>1.6627718856731144E-3</v>
      </c>
      <c r="AJ61" s="24">
        <f t="shared" si="16"/>
        <v>1.4595353028013288E-3</v>
      </c>
      <c r="AK61" s="24">
        <f t="shared" si="17"/>
        <v>1.435038478241942E-3</v>
      </c>
      <c r="AL61" s="25">
        <f t="shared" si="18"/>
        <v>9.7716102513663323E-3</v>
      </c>
      <c r="AM61" s="25">
        <f t="shared" si="19"/>
        <v>9.6484870447545289E-3</v>
      </c>
      <c r="AN61" s="384">
        <f t="shared" si="20"/>
        <v>2.0372565945975694E-3</v>
      </c>
      <c r="AO61" s="385">
        <f t="shared" si="21"/>
        <v>1.7656097360077775E-3</v>
      </c>
      <c r="AP61" s="30"/>
      <c r="AQ61" s="28">
        <v>609639394.97000003</v>
      </c>
      <c r="AR61" s="32">
        <v>1.1629</v>
      </c>
      <c r="AS61" s="29" t="e">
        <f>(#REF!/AQ61)-1</f>
        <v>#REF!</v>
      </c>
      <c r="AT61" s="29" t="e">
        <f>(#REF!/AR61)-1</f>
        <v>#REF!</v>
      </c>
    </row>
    <row r="62" spans="1:48">
      <c r="A62" s="203" t="s">
        <v>18</v>
      </c>
      <c r="B62" s="326">
        <v>3349479690.7715502</v>
      </c>
      <c r="C62" s="326">
        <v>3836.1960200561998</v>
      </c>
      <c r="D62" s="326">
        <v>3349492057.9685998</v>
      </c>
      <c r="E62" s="326">
        <v>3841.8106843473502</v>
      </c>
      <c r="F62" s="23">
        <f t="shared" si="50"/>
        <v>3.6922740817601414E-6</v>
      </c>
      <c r="G62" s="23">
        <f t="shared" si="51"/>
        <v>1.4636020322726089E-3</v>
      </c>
      <c r="H62" s="326">
        <v>3355160303.19665</v>
      </c>
      <c r="I62" s="326">
        <v>3847.2670315517398</v>
      </c>
      <c r="J62" s="23">
        <f t="shared" si="52"/>
        <v>1.6922700904948285E-3</v>
      </c>
      <c r="K62" s="23">
        <f t="shared" si="53"/>
        <v>1.4202540553651948E-3</v>
      </c>
      <c r="L62" s="326">
        <v>3358973503.3470702</v>
      </c>
      <c r="M62" s="326">
        <v>3852.9402117873801</v>
      </c>
      <c r="N62" s="23">
        <f t="shared" si="54"/>
        <v>1.1365180217431455E-3</v>
      </c>
      <c r="O62" s="23">
        <f t="shared" si="55"/>
        <v>1.474600070417287E-3</v>
      </c>
      <c r="P62" s="326">
        <v>3364534181.98317</v>
      </c>
      <c r="Q62" s="326">
        <v>3858.8447676742999</v>
      </c>
      <c r="R62" s="23">
        <f t="shared" si="56"/>
        <v>1.6554696339696761E-3</v>
      </c>
      <c r="S62" s="23">
        <f t="shared" si="57"/>
        <v>1.5324805375530671E-3</v>
      </c>
      <c r="T62" s="326">
        <v>3363372917.55371</v>
      </c>
      <c r="U62" s="326">
        <v>3864.4071978944298</v>
      </c>
      <c r="V62" s="23">
        <f t="shared" si="58"/>
        <v>-3.4514864960461189E-4</v>
      </c>
      <c r="W62" s="23">
        <f t="shared" si="59"/>
        <v>1.441475507573318E-3</v>
      </c>
      <c r="X62" s="326">
        <v>3366659469.3608599</v>
      </c>
      <c r="Y62" s="326">
        <v>3869.9492439026999</v>
      </c>
      <c r="Z62" s="23">
        <f t="shared" si="60"/>
        <v>9.7715950259250539E-4</v>
      </c>
      <c r="AA62" s="23">
        <f t="shared" si="61"/>
        <v>1.4341257855253235E-3</v>
      </c>
      <c r="AB62" s="326">
        <v>3370302141.3460202</v>
      </c>
      <c r="AC62" s="326">
        <v>3875.4492330304602</v>
      </c>
      <c r="AD62" s="23">
        <f t="shared" si="62"/>
        <v>1.0819840908507122E-3</v>
      </c>
      <c r="AE62" s="23">
        <f t="shared" si="63"/>
        <v>1.4212044606077929E-3</v>
      </c>
      <c r="AF62" s="326">
        <v>3375017543.3560901</v>
      </c>
      <c r="AG62" s="326">
        <v>3880.9153313414599</v>
      </c>
      <c r="AH62" s="23">
        <f t="shared" si="64"/>
        <v>1.3991036448104991E-3</v>
      </c>
      <c r="AI62" s="23">
        <f t="shared" si="65"/>
        <v>1.4104425015846432E-3</v>
      </c>
      <c r="AJ62" s="24">
        <f t="shared" si="16"/>
        <v>9.5013107611731417E-4</v>
      </c>
      <c r="AK62" s="24">
        <f t="shared" si="17"/>
        <v>1.4497731188624044E-3</v>
      </c>
      <c r="AL62" s="25">
        <f t="shared" si="18"/>
        <v>7.6207033621005123E-3</v>
      </c>
      <c r="AM62" s="25">
        <f t="shared" si="19"/>
        <v>1.0178702233671596E-2</v>
      </c>
      <c r="AN62" s="384">
        <f t="shared" si="20"/>
        <v>7.4413909855521097E-4</v>
      </c>
      <c r="AO62" s="385">
        <f t="shared" si="21"/>
        <v>3.9993327424575816E-5</v>
      </c>
      <c r="AP62" s="30"/>
      <c r="AQ62" s="28">
        <v>4056683843.0900002</v>
      </c>
      <c r="AR62" s="35">
        <v>1</v>
      </c>
      <c r="AS62" s="29" t="e">
        <f>(#REF!/AQ62)-1</f>
        <v>#REF!</v>
      </c>
      <c r="AT62" s="29" t="e">
        <f>(#REF!/AR62)-1</f>
        <v>#REF!</v>
      </c>
    </row>
    <row r="63" spans="1:48" ht="15" customHeight="1">
      <c r="A63" s="202" t="s">
        <v>221</v>
      </c>
      <c r="B63" s="326">
        <v>333742498.25</v>
      </c>
      <c r="C63" s="327">
        <v>105.8</v>
      </c>
      <c r="D63" s="326">
        <v>334531774.12</v>
      </c>
      <c r="E63" s="327">
        <v>106</v>
      </c>
      <c r="F63" s="23">
        <f t="shared" si="50"/>
        <v>2.3649246773743918E-3</v>
      </c>
      <c r="G63" s="23">
        <f t="shared" si="51"/>
        <v>1.8903591682419929E-3</v>
      </c>
      <c r="H63" s="326">
        <v>325338460.38999999</v>
      </c>
      <c r="I63" s="327">
        <v>106.19</v>
      </c>
      <c r="J63" s="23">
        <f t="shared" si="52"/>
        <v>-2.7481137641359839E-2</v>
      </c>
      <c r="K63" s="23">
        <f t="shared" si="53"/>
        <v>1.7924528301886578E-3</v>
      </c>
      <c r="L63" s="326">
        <v>326126178.5</v>
      </c>
      <c r="M63" s="327">
        <v>106.39</v>
      </c>
      <c r="N63" s="23">
        <f t="shared" si="54"/>
        <v>2.4212265253107058E-3</v>
      </c>
      <c r="O63" s="23">
        <f t="shared" si="55"/>
        <v>1.8834165175628857E-3</v>
      </c>
      <c r="P63" s="326">
        <v>315087741.38</v>
      </c>
      <c r="Q63" s="327">
        <v>103.99</v>
      </c>
      <c r="R63" s="23">
        <f t="shared" si="56"/>
        <v>-3.3847136009659537E-2</v>
      </c>
      <c r="S63" s="23">
        <f t="shared" si="57"/>
        <v>-2.2558511138264927E-2</v>
      </c>
      <c r="T63" s="326">
        <v>312553095.89999998</v>
      </c>
      <c r="U63" s="327">
        <v>106.81</v>
      </c>
      <c r="V63" s="23">
        <f t="shared" si="58"/>
        <v>-8.0442529084087822E-3</v>
      </c>
      <c r="W63" s="23">
        <f t="shared" si="59"/>
        <v>2.7117992114626479E-2</v>
      </c>
      <c r="X63" s="326">
        <v>308410493.52999997</v>
      </c>
      <c r="Y63" s="327">
        <v>107.02</v>
      </c>
      <c r="Z63" s="23">
        <f t="shared" si="60"/>
        <v>-1.3254075625363227E-2</v>
      </c>
      <c r="AA63" s="23">
        <f t="shared" si="61"/>
        <v>1.9661080423180764E-3</v>
      </c>
      <c r="AB63" s="326">
        <v>343654046.68000001</v>
      </c>
      <c r="AC63" s="327">
        <v>104.34</v>
      </c>
      <c r="AD63" s="23">
        <f t="shared" si="62"/>
        <v>0.11427481842984631</v>
      </c>
      <c r="AE63" s="23">
        <f t="shared" si="63"/>
        <v>-2.5042048215286793E-2</v>
      </c>
      <c r="AF63" s="326">
        <v>344472162.74000001</v>
      </c>
      <c r="AG63" s="327">
        <v>107.1</v>
      </c>
      <c r="AH63" s="23">
        <f t="shared" si="64"/>
        <v>2.3806385168564791E-3</v>
      </c>
      <c r="AI63" s="23">
        <f t="shared" si="65"/>
        <v>2.645198389879232E-2</v>
      </c>
      <c r="AJ63" s="24">
        <f t="shared" si="16"/>
        <v>4.8518757455745642E-3</v>
      </c>
      <c r="AK63" s="24">
        <f t="shared" si="17"/>
        <v>1.6877191522723365E-3</v>
      </c>
      <c r="AL63" s="25">
        <f t="shared" si="18"/>
        <v>2.9714333253242142E-2</v>
      </c>
      <c r="AM63" s="25">
        <f t="shared" si="19"/>
        <v>1.0377358490565983E-2</v>
      </c>
      <c r="AN63" s="384">
        <f t="shared" si="20"/>
        <v>4.6335350983257903E-2</v>
      </c>
      <c r="AO63" s="385">
        <f t="shared" si="21"/>
        <v>1.9132976648981923E-2</v>
      </c>
      <c r="AP63" s="30"/>
      <c r="AQ63" s="28">
        <v>739078842.02999997</v>
      </c>
      <c r="AR63" s="32">
        <v>16.871500000000001</v>
      </c>
      <c r="AS63" s="29" t="e">
        <f>(#REF!/AQ63)-1</f>
        <v>#REF!</v>
      </c>
      <c r="AT63" s="29" t="e">
        <f>(#REF!/AR63)-1</f>
        <v>#REF!</v>
      </c>
    </row>
    <row r="64" spans="1:48">
      <c r="A64" s="202" t="s">
        <v>110</v>
      </c>
      <c r="B64" s="326">
        <v>348318948.70999998</v>
      </c>
      <c r="C64" s="327">
        <v>1.4225000000000001</v>
      </c>
      <c r="D64" s="326">
        <v>348172202.95999998</v>
      </c>
      <c r="E64" s="327">
        <v>1.4218999999999999</v>
      </c>
      <c r="F64" s="23">
        <f t="shared" si="50"/>
        <v>-4.2129706277385486E-4</v>
      </c>
      <c r="G64" s="23">
        <f t="shared" si="51"/>
        <v>-4.2179261862928359E-4</v>
      </c>
      <c r="H64" s="326">
        <v>352998746.98000002</v>
      </c>
      <c r="I64" s="327">
        <v>1.4416</v>
      </c>
      <c r="J64" s="23">
        <f t="shared" si="52"/>
        <v>1.3862519692746815E-2</v>
      </c>
      <c r="K64" s="23">
        <f t="shared" si="53"/>
        <v>1.3854701455798616E-2</v>
      </c>
      <c r="L64" s="326">
        <v>352998746.98000002</v>
      </c>
      <c r="M64" s="327">
        <v>1.4416</v>
      </c>
      <c r="N64" s="23">
        <f t="shared" si="54"/>
        <v>0</v>
      </c>
      <c r="O64" s="23">
        <f t="shared" si="55"/>
        <v>0</v>
      </c>
      <c r="P64" s="326">
        <v>355576575.60000002</v>
      </c>
      <c r="Q64" s="327">
        <v>1.4528000000000001</v>
      </c>
      <c r="R64" s="23">
        <f t="shared" si="56"/>
        <v>7.3026565732995583E-3</v>
      </c>
      <c r="S64" s="23">
        <f t="shared" si="57"/>
        <v>7.7691453940067282E-3</v>
      </c>
      <c r="T64" s="326">
        <v>357093615.06</v>
      </c>
      <c r="U64" s="327">
        <v>1.4583999999999999</v>
      </c>
      <c r="V64" s="23">
        <f t="shared" si="58"/>
        <v>4.266421255225054E-3</v>
      </c>
      <c r="W64" s="23">
        <f t="shared" si="59"/>
        <v>3.8546255506606737E-3</v>
      </c>
      <c r="X64" s="326">
        <v>356783397.56</v>
      </c>
      <c r="Y64" s="327">
        <v>1.4185000000000001</v>
      </c>
      <c r="Z64" s="23">
        <f t="shared" si="60"/>
        <v>-8.6872877844056736E-4</v>
      </c>
      <c r="AA64" s="23">
        <f t="shared" si="61"/>
        <v>-2.7358749314316942E-2</v>
      </c>
      <c r="AB64" s="326">
        <v>353572578.68000001</v>
      </c>
      <c r="AC64" s="327">
        <v>1.4056</v>
      </c>
      <c r="AD64" s="23">
        <f t="shared" si="62"/>
        <v>-8.9993505918672528E-3</v>
      </c>
      <c r="AE64" s="23">
        <f t="shared" si="63"/>
        <v>-9.0941135001763353E-3</v>
      </c>
      <c r="AF64" s="326">
        <v>352680830.77999997</v>
      </c>
      <c r="AG64" s="327">
        <v>1.4020999999999999</v>
      </c>
      <c r="AH64" s="23">
        <f t="shared" si="64"/>
        <v>-2.5221070687359778E-3</v>
      </c>
      <c r="AI64" s="23">
        <f t="shared" si="65"/>
        <v>-2.4900398406374918E-3</v>
      </c>
      <c r="AJ64" s="24">
        <f t="shared" si="16"/>
        <v>1.5775142524317217E-3</v>
      </c>
      <c r="AK64" s="24">
        <f t="shared" si="17"/>
        <v>-1.7357778591617541E-3</v>
      </c>
      <c r="AL64" s="25">
        <f t="shared" si="18"/>
        <v>1.2949419228961164E-2</v>
      </c>
      <c r="AM64" s="25">
        <f t="shared" si="19"/>
        <v>-1.3925029889584387E-2</v>
      </c>
      <c r="AN64" s="384">
        <f t="shared" si="20"/>
        <v>6.8876048283491031E-3</v>
      </c>
      <c r="AO64" s="385">
        <f t="shared" si="21"/>
        <v>1.2424913821640205E-2</v>
      </c>
      <c r="AP64" s="30"/>
      <c r="AQ64" s="36">
        <v>0</v>
      </c>
      <c r="AR64" s="37">
        <v>0</v>
      </c>
      <c r="AS64" s="29" t="e">
        <f>(#REF!/AQ64)-1</f>
        <v>#REF!</v>
      </c>
      <c r="AT64" s="29" t="e">
        <f>(#REF!/AR64)-1</f>
        <v>#REF!</v>
      </c>
    </row>
    <row r="65" spans="1:46">
      <c r="A65" s="202" t="s">
        <v>237</v>
      </c>
      <c r="B65" s="326">
        <v>766811976.88999999</v>
      </c>
      <c r="C65" s="74">
        <v>1000</v>
      </c>
      <c r="D65" s="326">
        <v>766103183.28000009</v>
      </c>
      <c r="E65" s="74">
        <v>1000</v>
      </c>
      <c r="F65" s="23">
        <f t="shared" si="50"/>
        <v>-9.2433820983676724E-4</v>
      </c>
      <c r="G65" s="23">
        <f t="shared" si="51"/>
        <v>0</v>
      </c>
      <c r="H65" s="326">
        <v>819285447.79000008</v>
      </c>
      <c r="I65" s="74">
        <v>1000</v>
      </c>
      <c r="J65" s="23">
        <f t="shared" si="52"/>
        <v>6.9419192702352486E-2</v>
      </c>
      <c r="K65" s="23">
        <f t="shared" si="53"/>
        <v>0</v>
      </c>
      <c r="L65" s="326">
        <v>847565533.24000001</v>
      </c>
      <c r="M65" s="74">
        <v>1000</v>
      </c>
      <c r="N65" s="23">
        <f t="shared" si="54"/>
        <v>3.4517988237536358E-2</v>
      </c>
      <c r="O65" s="23">
        <f t="shared" si="55"/>
        <v>0</v>
      </c>
      <c r="P65" s="326">
        <v>857422739.38999999</v>
      </c>
      <c r="Q65" s="74">
        <v>1000</v>
      </c>
      <c r="R65" s="23">
        <f t="shared" si="56"/>
        <v>1.1630022415280036E-2</v>
      </c>
      <c r="S65" s="23">
        <f t="shared" si="57"/>
        <v>0</v>
      </c>
      <c r="T65" s="326">
        <v>657726995.08000004</v>
      </c>
      <c r="U65" s="74">
        <v>1000</v>
      </c>
      <c r="V65" s="23">
        <f t="shared" si="58"/>
        <v>-0.23290231893321417</v>
      </c>
      <c r="W65" s="23">
        <f t="shared" si="59"/>
        <v>0</v>
      </c>
      <c r="X65" s="326">
        <v>665352920.03000009</v>
      </c>
      <c r="Y65" s="74">
        <v>1000</v>
      </c>
      <c r="Z65" s="23">
        <f t="shared" si="60"/>
        <v>1.1594362109270728E-2</v>
      </c>
      <c r="AA65" s="23">
        <f t="shared" si="61"/>
        <v>0</v>
      </c>
      <c r="AB65" s="326">
        <v>670873390.58000004</v>
      </c>
      <c r="AC65" s="74">
        <v>1000</v>
      </c>
      <c r="AD65" s="23">
        <f t="shared" si="62"/>
        <v>8.2970561694552109E-3</v>
      </c>
      <c r="AE65" s="23">
        <f t="shared" si="63"/>
        <v>0</v>
      </c>
      <c r="AF65" s="326">
        <v>680887582.63000011</v>
      </c>
      <c r="AG65" s="74">
        <v>1000</v>
      </c>
      <c r="AH65" s="23">
        <f t="shared" si="64"/>
        <v>1.4927096812324535E-2</v>
      </c>
      <c r="AI65" s="23">
        <f t="shared" si="65"/>
        <v>0</v>
      </c>
      <c r="AJ65" s="24">
        <f t="shared" si="16"/>
        <v>-1.0430117337103948E-2</v>
      </c>
      <c r="AK65" s="24">
        <f t="shared" si="17"/>
        <v>0</v>
      </c>
      <c r="AL65" s="25">
        <f t="shared" si="18"/>
        <v>-0.11123253696082719</v>
      </c>
      <c r="AM65" s="25">
        <f t="shared" si="19"/>
        <v>0</v>
      </c>
      <c r="AN65" s="384">
        <f t="shared" si="20"/>
        <v>9.2540267394490172E-2</v>
      </c>
      <c r="AO65" s="385">
        <f t="shared" si="21"/>
        <v>0</v>
      </c>
      <c r="AP65" s="30"/>
      <c r="AQ65" s="28">
        <v>3320655667.8400002</v>
      </c>
      <c r="AR65" s="32">
        <v>177.09</v>
      </c>
      <c r="AS65" s="29" t="e">
        <f>(#REF!/AQ65)-1</f>
        <v>#REF!</v>
      </c>
      <c r="AT65" s="29" t="e">
        <f>(#REF!/AR65)-1</f>
        <v>#REF!</v>
      </c>
    </row>
    <row r="66" spans="1:46">
      <c r="A66" s="202" t="s">
        <v>101</v>
      </c>
      <c r="B66" s="326">
        <v>279531751.57999998</v>
      </c>
      <c r="C66" s="74">
        <v>1163.6099999999999</v>
      </c>
      <c r="D66" s="326">
        <v>279255206.41000003</v>
      </c>
      <c r="E66" s="74">
        <v>1166.33</v>
      </c>
      <c r="F66" s="23">
        <f t="shared" si="50"/>
        <v>-9.8931576980732308E-4</v>
      </c>
      <c r="G66" s="23">
        <f t="shared" si="51"/>
        <v>2.3375529601842777E-3</v>
      </c>
      <c r="H66" s="326">
        <v>280455552.80000001</v>
      </c>
      <c r="I66" s="74">
        <v>1171.9000000000001</v>
      </c>
      <c r="J66" s="23">
        <f t="shared" si="52"/>
        <v>4.2983849985509231E-3</v>
      </c>
      <c r="K66" s="23">
        <f t="shared" si="53"/>
        <v>4.7756638344209311E-3</v>
      </c>
      <c r="L66" s="326">
        <v>281329015.79000002</v>
      </c>
      <c r="M66" s="74">
        <v>1175.29</v>
      </c>
      <c r="N66" s="23">
        <f t="shared" si="54"/>
        <v>3.1144435589866826E-3</v>
      </c>
      <c r="O66" s="23">
        <f t="shared" si="55"/>
        <v>2.892738288249742E-3</v>
      </c>
      <c r="P66" s="326">
        <v>264535189.61000001</v>
      </c>
      <c r="Q66" s="74">
        <v>1094.5</v>
      </c>
      <c r="R66" s="23">
        <f t="shared" si="56"/>
        <v>-5.9694611068969415E-2</v>
      </c>
      <c r="S66" s="23">
        <f t="shared" si="57"/>
        <v>-6.8740481072756487E-2</v>
      </c>
      <c r="T66" s="326">
        <v>265596152.59999999</v>
      </c>
      <c r="U66" s="74">
        <v>1100.3499999999999</v>
      </c>
      <c r="V66" s="23">
        <f t="shared" si="58"/>
        <v>4.0106686432309462E-3</v>
      </c>
      <c r="W66" s="23">
        <f t="shared" si="59"/>
        <v>5.3449063499313929E-3</v>
      </c>
      <c r="X66" s="326">
        <v>266188415.46000001</v>
      </c>
      <c r="Y66" s="74">
        <v>1103.3900000000001</v>
      </c>
      <c r="Z66" s="23">
        <f t="shared" si="60"/>
        <v>2.2299376485772722E-3</v>
      </c>
      <c r="AA66" s="23">
        <f t="shared" si="61"/>
        <v>2.7627573044941983E-3</v>
      </c>
      <c r="AB66" s="326">
        <v>273870818.58999997</v>
      </c>
      <c r="AC66" s="74">
        <v>1103.94</v>
      </c>
      <c r="AD66" s="23">
        <f t="shared" si="62"/>
        <v>2.8860771858625064E-2</v>
      </c>
      <c r="AE66" s="23">
        <f t="shared" si="63"/>
        <v>4.9846382512072293E-4</v>
      </c>
      <c r="AF66" s="326">
        <v>269425882.17000002</v>
      </c>
      <c r="AG66" s="74">
        <v>1102.8900000000001</v>
      </c>
      <c r="AH66" s="23">
        <f t="shared" si="64"/>
        <v>-1.623004759281885E-2</v>
      </c>
      <c r="AI66" s="23">
        <f t="shared" si="65"/>
        <v>-9.5113864883956956E-4</v>
      </c>
      <c r="AJ66" s="24">
        <f t="shared" si="16"/>
        <v>-4.2999709654530874E-3</v>
      </c>
      <c r="AK66" s="24">
        <f t="shared" si="17"/>
        <v>-6.3849421448993488E-3</v>
      </c>
      <c r="AL66" s="25">
        <f t="shared" si="18"/>
        <v>-3.5198356250406598E-2</v>
      </c>
      <c r="AM66" s="25">
        <f t="shared" si="19"/>
        <v>-5.439283907641905E-2</v>
      </c>
      <c r="AN66" s="384">
        <f t="shared" si="20"/>
        <v>2.5528974822007885E-2</v>
      </c>
      <c r="AO66" s="385">
        <f t="shared" si="21"/>
        <v>2.5278751339520057E-2</v>
      </c>
      <c r="AP66" s="30"/>
      <c r="AQ66" s="46">
        <v>1300500308</v>
      </c>
      <c r="AR66" s="32">
        <v>1.19</v>
      </c>
      <c r="AS66" s="29" t="e">
        <f>(#REF!/AQ66)-1</f>
        <v>#REF!</v>
      </c>
      <c r="AT66" s="29" t="e">
        <f>(#REF!/AR66)-1</f>
        <v>#REF!</v>
      </c>
    </row>
    <row r="67" spans="1:46">
      <c r="A67" s="202" t="s">
        <v>169</v>
      </c>
      <c r="B67" s="326">
        <v>712878368.46000004</v>
      </c>
      <c r="C67" s="311">
        <v>1.0510999999999999</v>
      </c>
      <c r="D67" s="326">
        <v>714449304</v>
      </c>
      <c r="E67" s="311">
        <v>1.0529999999999999</v>
      </c>
      <c r="F67" s="23">
        <f t="shared" si="50"/>
        <v>2.2036515757850603E-3</v>
      </c>
      <c r="G67" s="23">
        <f t="shared" si="51"/>
        <v>1.8076301017981285E-3</v>
      </c>
      <c r="H67" s="326">
        <v>716982747.07000005</v>
      </c>
      <c r="I67" s="311">
        <v>1.0568</v>
      </c>
      <c r="J67" s="23">
        <f t="shared" si="52"/>
        <v>3.5460081713510247E-3</v>
      </c>
      <c r="K67" s="23">
        <f t="shared" si="53"/>
        <v>3.6087369420702998E-3</v>
      </c>
      <c r="L67" s="326">
        <v>720852198.14999998</v>
      </c>
      <c r="M67" s="311">
        <v>1.0612999999999999</v>
      </c>
      <c r="N67" s="23">
        <f t="shared" si="54"/>
        <v>5.3968538236278422E-3</v>
      </c>
      <c r="O67" s="23">
        <f t="shared" si="55"/>
        <v>4.2581377744132743E-3</v>
      </c>
      <c r="P67" s="326">
        <v>723138750.88999999</v>
      </c>
      <c r="Q67" s="311">
        <v>1.1289</v>
      </c>
      <c r="R67" s="23">
        <f t="shared" si="56"/>
        <v>3.1720132724409166E-3</v>
      </c>
      <c r="S67" s="23">
        <f t="shared" si="57"/>
        <v>6.3695467822481963E-2</v>
      </c>
      <c r="T67" s="326">
        <v>724601569.22000003</v>
      </c>
      <c r="U67" s="311">
        <v>1.0658000000000001</v>
      </c>
      <c r="V67" s="23">
        <f t="shared" si="58"/>
        <v>2.0228736576482528E-3</v>
      </c>
      <c r="W67" s="23">
        <f t="shared" si="59"/>
        <v>-5.5895119142528066E-2</v>
      </c>
      <c r="X67" s="326">
        <v>725528116.74000001</v>
      </c>
      <c r="Y67" s="311">
        <v>1.0676000000000001</v>
      </c>
      <c r="Z67" s="23">
        <f t="shared" si="60"/>
        <v>1.2786993009101075E-3</v>
      </c>
      <c r="AA67" s="23">
        <f t="shared" si="61"/>
        <v>1.6888722086695661E-3</v>
      </c>
      <c r="AB67" s="326">
        <v>726108153.88</v>
      </c>
      <c r="AC67" s="311">
        <v>1.0680000000000001</v>
      </c>
      <c r="AD67" s="23">
        <f t="shared" si="62"/>
        <v>7.9946886497831977E-4</v>
      </c>
      <c r="AE67" s="23">
        <f t="shared" si="63"/>
        <v>3.7467216185833261E-4</v>
      </c>
      <c r="AF67" s="326">
        <v>728153784.57000005</v>
      </c>
      <c r="AG67" s="311">
        <v>1.0680000000000001</v>
      </c>
      <c r="AH67" s="23">
        <f t="shared" si="64"/>
        <v>2.8172534340361196E-3</v>
      </c>
      <c r="AI67" s="23">
        <f t="shared" si="65"/>
        <v>0</v>
      </c>
      <c r="AJ67" s="24">
        <f t="shared" si="16"/>
        <v>2.6546027625972048E-3</v>
      </c>
      <c r="AK67" s="24">
        <f t="shared" si="17"/>
        <v>2.4422997335954376E-3</v>
      </c>
      <c r="AL67" s="25">
        <f t="shared" si="18"/>
        <v>1.9181879656502615E-2</v>
      </c>
      <c r="AM67" s="25">
        <f t="shared" si="19"/>
        <v>1.4245014245014363E-2</v>
      </c>
      <c r="AN67" s="384">
        <f t="shared" si="20"/>
        <v>1.4415162706578665E-3</v>
      </c>
      <c r="AO67" s="385">
        <f t="shared" si="21"/>
        <v>3.200685921117187E-2</v>
      </c>
      <c r="AP67" s="30"/>
      <c r="AQ67" s="31">
        <v>776682398.99000001</v>
      </c>
      <c r="AR67" s="35">
        <v>2.4700000000000002</v>
      </c>
      <c r="AS67" s="29" t="e">
        <f>(#REF!/AQ67)-1</f>
        <v>#REF!</v>
      </c>
      <c r="AT67" s="29" t="e">
        <f>(#REF!/AR67)-1</f>
        <v>#REF!</v>
      </c>
    </row>
    <row r="68" spans="1:46">
      <c r="A68" s="202" t="s">
        <v>209</v>
      </c>
      <c r="B68" s="326">
        <v>66573844982.93</v>
      </c>
      <c r="C68" s="326">
        <v>1546.83</v>
      </c>
      <c r="D68" s="326">
        <v>66586071668.029999</v>
      </c>
      <c r="E68" s="326">
        <v>1550.28</v>
      </c>
      <c r="F68" s="23">
        <f t="shared" si="50"/>
        <v>1.8365598536682811E-4</v>
      </c>
      <c r="G68" s="23">
        <f t="shared" si="51"/>
        <v>2.2303679137332774E-3</v>
      </c>
      <c r="H68" s="326">
        <v>67249605090.529999</v>
      </c>
      <c r="I68" s="326">
        <v>1553.62</v>
      </c>
      <c r="J68" s="23">
        <f t="shared" si="52"/>
        <v>9.9650483333526135E-3</v>
      </c>
      <c r="K68" s="23">
        <f t="shared" si="53"/>
        <v>2.1544495187965518E-3</v>
      </c>
      <c r="L68" s="326">
        <v>67394318452.419998</v>
      </c>
      <c r="M68" s="326">
        <v>1557.09</v>
      </c>
      <c r="N68" s="23">
        <f t="shared" si="54"/>
        <v>2.151884188690615E-3</v>
      </c>
      <c r="O68" s="23">
        <f t="shared" si="55"/>
        <v>2.2334933896319738E-3</v>
      </c>
      <c r="P68" s="326">
        <v>67204708627.720001</v>
      </c>
      <c r="Q68" s="326">
        <v>1560.5</v>
      </c>
      <c r="R68" s="23">
        <f t="shared" si="56"/>
        <v>-2.813439308446459E-3</v>
      </c>
      <c r="S68" s="23">
        <f t="shared" si="57"/>
        <v>2.1899825957395411E-3</v>
      </c>
      <c r="T68" s="326">
        <v>67192842137.190002</v>
      </c>
      <c r="U68" s="326">
        <v>1563.84</v>
      </c>
      <c r="V68" s="23">
        <f t="shared" si="58"/>
        <v>-1.765723082847233E-4</v>
      </c>
      <c r="W68" s="23">
        <f t="shared" si="59"/>
        <v>2.1403396347324053E-3</v>
      </c>
      <c r="X68" s="326">
        <v>67219574887.040001</v>
      </c>
      <c r="Y68" s="326">
        <v>1567.02</v>
      </c>
      <c r="Z68" s="23">
        <f t="shared" si="60"/>
        <v>3.9785115497000814E-4</v>
      </c>
      <c r="AA68" s="23">
        <f t="shared" si="61"/>
        <v>2.0334561080417842E-3</v>
      </c>
      <c r="AB68" s="326">
        <v>67540567273.980003</v>
      </c>
      <c r="AC68" s="326">
        <v>1570.83</v>
      </c>
      <c r="AD68" s="23">
        <f t="shared" si="62"/>
        <v>4.7752814188339963E-3</v>
      </c>
      <c r="AE68" s="23">
        <f t="shared" si="63"/>
        <v>2.4313665428647661E-3</v>
      </c>
      <c r="AF68" s="326">
        <v>68124092493</v>
      </c>
      <c r="AG68" s="326">
        <v>1574.21</v>
      </c>
      <c r="AH68" s="23">
        <f t="shared" si="64"/>
        <v>8.6396256734550658E-3</v>
      </c>
      <c r="AI68" s="23">
        <f t="shared" si="65"/>
        <v>2.1517287039336586E-3</v>
      </c>
      <c r="AJ68" s="24">
        <f t="shared" si="16"/>
        <v>2.890416892242243E-3</v>
      </c>
      <c r="AK68" s="24">
        <f t="shared" si="17"/>
        <v>2.1956480509342448E-3</v>
      </c>
      <c r="AL68" s="25">
        <f t="shared" si="18"/>
        <v>2.3098236409529051E-2</v>
      </c>
      <c r="AM68" s="25">
        <f t="shared" si="19"/>
        <v>1.5435921252934996E-2</v>
      </c>
      <c r="AN68" s="384">
        <f t="shared" si="20"/>
        <v>4.5147661440977328E-3</v>
      </c>
      <c r="AO68" s="385">
        <f t="shared" si="21"/>
        <v>1.1415811008530321E-4</v>
      </c>
      <c r="AP68" s="30"/>
      <c r="AQ68" s="28">
        <v>8144502990.9799995</v>
      </c>
      <c r="AR68" s="28">
        <v>2263.5700000000002</v>
      </c>
      <c r="AS68" s="29" t="e">
        <f>(#REF!/AQ68)-1</f>
        <v>#REF!</v>
      </c>
      <c r="AT68" s="29" t="e">
        <f>(#REF!/AR68)-1</f>
        <v>#REF!</v>
      </c>
    </row>
    <row r="69" spans="1:46">
      <c r="A69" s="202" t="s">
        <v>173</v>
      </c>
      <c r="B69" s="326">
        <v>21647941.760000002</v>
      </c>
      <c r="C69" s="326">
        <v>0.64580000000000004</v>
      </c>
      <c r="D69" s="326">
        <v>21711622.109999999</v>
      </c>
      <c r="E69" s="326">
        <v>0.64770000000000005</v>
      </c>
      <c r="F69" s="23">
        <f t="shared" si="50"/>
        <v>2.9416353160032598E-3</v>
      </c>
      <c r="G69" s="23">
        <f t="shared" si="51"/>
        <v>2.942087333539815E-3</v>
      </c>
      <c r="H69" s="326">
        <v>21761622.530000001</v>
      </c>
      <c r="I69" s="326">
        <v>0.6492</v>
      </c>
      <c r="J69" s="23">
        <f t="shared" si="52"/>
        <v>2.3029334126524088E-3</v>
      </c>
      <c r="K69" s="23">
        <f t="shared" si="53"/>
        <v>2.3158869847150622E-3</v>
      </c>
      <c r="L69" s="326">
        <v>21811589.719999999</v>
      </c>
      <c r="M69" s="326">
        <v>0.65069999999999995</v>
      </c>
      <c r="N69" s="23">
        <f t="shared" si="54"/>
        <v>2.2961150957891197E-3</v>
      </c>
      <c r="O69" s="23">
        <f t="shared" si="55"/>
        <v>2.3105360443622085E-3</v>
      </c>
      <c r="P69" s="326">
        <v>21859957.219999999</v>
      </c>
      <c r="Q69" s="326">
        <v>0.65210000000000001</v>
      </c>
      <c r="R69" s="23">
        <f t="shared" si="56"/>
        <v>2.2175137447982404E-3</v>
      </c>
      <c r="S69" s="23">
        <f t="shared" si="57"/>
        <v>2.1515291224835837E-3</v>
      </c>
      <c r="T69" s="326">
        <v>21906034.350000001</v>
      </c>
      <c r="U69" s="326">
        <v>0.65349999999999997</v>
      </c>
      <c r="V69" s="23">
        <f t="shared" si="58"/>
        <v>2.1078325788234406E-3</v>
      </c>
      <c r="W69" s="23">
        <f t="shared" si="59"/>
        <v>2.1469099831313552E-3</v>
      </c>
      <c r="X69" s="326">
        <v>21954567.82</v>
      </c>
      <c r="Y69" s="326">
        <v>0.65500000000000003</v>
      </c>
      <c r="Z69" s="23">
        <f t="shared" si="60"/>
        <v>2.2155297131632046E-3</v>
      </c>
      <c r="AA69" s="23">
        <f t="shared" si="61"/>
        <v>2.2953328232594595E-3</v>
      </c>
      <c r="AB69" s="326">
        <v>22002935.899999999</v>
      </c>
      <c r="AC69" s="326">
        <v>0.65500000000000003</v>
      </c>
      <c r="AD69" s="23">
        <f t="shared" si="62"/>
        <v>2.2030987080481827E-3</v>
      </c>
      <c r="AE69" s="23">
        <f t="shared" si="63"/>
        <v>0</v>
      </c>
      <c r="AF69" s="326">
        <v>22023612.440000001</v>
      </c>
      <c r="AG69" s="326">
        <v>0.65700000000000003</v>
      </c>
      <c r="AH69" s="23">
        <f t="shared" si="64"/>
        <v>9.3971732199623563E-4</v>
      </c>
      <c r="AI69" s="23">
        <f t="shared" si="65"/>
        <v>3.0534351145038194E-3</v>
      </c>
      <c r="AJ69" s="24">
        <f t="shared" si="16"/>
        <v>2.1530469864092612E-3</v>
      </c>
      <c r="AK69" s="24">
        <f t="shared" si="17"/>
        <v>2.1519646757494127E-3</v>
      </c>
      <c r="AL69" s="25">
        <f t="shared" si="18"/>
        <v>1.4369738401826024E-2</v>
      </c>
      <c r="AM69" s="25">
        <f t="shared" si="19"/>
        <v>1.4358499305233864E-2</v>
      </c>
      <c r="AN69" s="384">
        <f t="shared" si="20"/>
        <v>5.541511429181051E-4</v>
      </c>
      <c r="AO69" s="385">
        <f t="shared" si="21"/>
        <v>9.3659644455260332E-4</v>
      </c>
      <c r="AP69" s="30"/>
      <c r="AQ69" s="28"/>
      <c r="AR69" s="28"/>
      <c r="AS69" s="29"/>
      <c r="AT69" s="29"/>
    </row>
    <row r="70" spans="1:46">
      <c r="A70" s="202" t="s">
        <v>104</v>
      </c>
      <c r="B70" s="326">
        <v>756899028.12</v>
      </c>
      <c r="C70" s="327">
        <v>204.426231</v>
      </c>
      <c r="D70" s="326">
        <v>905766915.50999999</v>
      </c>
      <c r="E70" s="326">
        <v>204.76953</v>
      </c>
      <c r="F70" s="23">
        <f t="shared" si="50"/>
        <v>0.19668130339625464</v>
      </c>
      <c r="G70" s="23">
        <f t="shared" si="51"/>
        <v>1.6793294985710605E-3</v>
      </c>
      <c r="H70" s="326">
        <v>974655774.58000004</v>
      </c>
      <c r="I70" s="326">
        <v>205.39851899999999</v>
      </c>
      <c r="J70" s="23">
        <f t="shared" si="52"/>
        <v>7.6055834995045687E-2</v>
      </c>
      <c r="K70" s="23">
        <f t="shared" si="53"/>
        <v>3.0716923557913621E-3</v>
      </c>
      <c r="L70" s="326">
        <v>976106839.76999998</v>
      </c>
      <c r="M70" s="326">
        <v>205.718999</v>
      </c>
      <c r="N70" s="23">
        <f t="shared" si="54"/>
        <v>1.4887976122905883E-3</v>
      </c>
      <c r="O70" s="23">
        <f t="shared" si="55"/>
        <v>1.5602838889018642E-3</v>
      </c>
      <c r="P70" s="326">
        <v>979375730.53999996</v>
      </c>
      <c r="Q70" s="326">
        <v>206.96445700000001</v>
      </c>
      <c r="R70" s="23">
        <f t="shared" si="56"/>
        <v>3.3489067352199166E-3</v>
      </c>
      <c r="S70" s="23">
        <f t="shared" si="57"/>
        <v>6.0541710102333017E-3</v>
      </c>
      <c r="T70" s="326">
        <v>988314510.83000004</v>
      </c>
      <c r="U70" s="326">
        <v>207.55206699999999</v>
      </c>
      <c r="V70" s="23">
        <f t="shared" si="58"/>
        <v>9.1270183763605128E-3</v>
      </c>
      <c r="W70" s="23">
        <f t="shared" si="59"/>
        <v>2.839183155008996E-3</v>
      </c>
      <c r="X70" s="326">
        <v>988440270.21000004</v>
      </c>
      <c r="Y70" s="326">
        <v>207.8459</v>
      </c>
      <c r="Z70" s="23">
        <f t="shared" si="60"/>
        <v>1.2724631544100347E-4</v>
      </c>
      <c r="AA70" s="23">
        <f t="shared" si="61"/>
        <v>1.4157074137932169E-3</v>
      </c>
      <c r="AB70" s="326">
        <v>1086513646.5999999</v>
      </c>
      <c r="AC70" s="326">
        <v>206.556569</v>
      </c>
      <c r="AD70" s="23">
        <f t="shared" si="62"/>
        <v>9.922033667159634E-2</v>
      </c>
      <c r="AE70" s="23">
        <f t="shared" si="63"/>
        <v>-6.2033025428935773E-3</v>
      </c>
      <c r="AF70" s="326">
        <v>1095965859.5899999</v>
      </c>
      <c r="AG70" s="326">
        <v>207.33063000000001</v>
      </c>
      <c r="AH70" s="23">
        <f t="shared" si="64"/>
        <v>8.6995805525117743E-3</v>
      </c>
      <c r="AI70" s="23">
        <f t="shared" si="65"/>
        <v>3.7474528345792647E-3</v>
      </c>
      <c r="AJ70" s="24">
        <f t="shared" ref="AJ70:AJ133" si="66">AVERAGE(F70,J70,N70,R70,V70,Z70,AD70,AH70)</f>
        <v>4.9343628081840063E-2</v>
      </c>
      <c r="AK70" s="24">
        <f t="shared" ref="AK70:AK133" si="67">AVERAGE(G70,K70,O70,S70,W70,AA70,AE70,AI70)</f>
        <v>1.7705647017481857E-3</v>
      </c>
      <c r="AL70" s="25">
        <f t="shared" ref="AL70:AL133" si="68">((AF70-D70)/D70)</f>
        <v>0.20998663212699345</v>
      </c>
      <c r="AM70" s="25">
        <f t="shared" ref="AM70:AM133" si="69">((AG70-E70)/E70)</f>
        <v>1.2507231910919609E-2</v>
      </c>
      <c r="AN70" s="384">
        <f t="shared" ref="AN70:AN133" si="70">STDEV(F70,J70,N70,R70,V70,Z70,AD70,AH70)</f>
        <v>7.0717531010901696E-2</v>
      </c>
      <c r="AO70" s="385">
        <f t="shared" ref="AO70:AO133" si="71">STDEV(G70,K70,O70,S70,W70,AA70,AE70,AI70)</f>
        <v>3.5627692415375616E-3</v>
      </c>
      <c r="AP70" s="30"/>
      <c r="AQ70" s="28">
        <v>421796041.39999998</v>
      </c>
      <c r="AR70" s="28">
        <v>2004.5</v>
      </c>
      <c r="AS70" s="29" t="e">
        <f>(#REF!/AQ70)-1</f>
        <v>#REF!</v>
      </c>
      <c r="AT70" s="29" t="e">
        <f>(#REF!/AR70)-1</f>
        <v>#REF!</v>
      </c>
    </row>
    <row r="71" spans="1:46">
      <c r="A71" s="202" t="s">
        <v>111</v>
      </c>
      <c r="B71" s="326">
        <v>1244741221.6400001</v>
      </c>
      <c r="C71" s="327">
        <v>3.5</v>
      </c>
      <c r="D71" s="326">
        <v>1245630004.48</v>
      </c>
      <c r="E71" s="327">
        <v>3.5</v>
      </c>
      <c r="F71" s="23">
        <f t="shared" si="50"/>
        <v>7.1403021330723228E-4</v>
      </c>
      <c r="G71" s="23">
        <f t="shared" si="51"/>
        <v>0</v>
      </c>
      <c r="H71" s="326">
        <v>1245948704.3099999</v>
      </c>
      <c r="I71" s="327">
        <v>3.5</v>
      </c>
      <c r="J71" s="23">
        <f t="shared" si="52"/>
        <v>2.5585432982000781E-4</v>
      </c>
      <c r="K71" s="23">
        <f t="shared" si="53"/>
        <v>0</v>
      </c>
      <c r="L71" s="326">
        <v>1241553264.1600001</v>
      </c>
      <c r="M71" s="327">
        <v>3.51</v>
      </c>
      <c r="N71" s="23">
        <f t="shared" si="54"/>
        <v>-3.5277858027341737E-3</v>
      </c>
      <c r="O71" s="23">
        <f t="shared" si="55"/>
        <v>2.8571428571427964E-3</v>
      </c>
      <c r="P71" s="326">
        <v>1244684457.24</v>
      </c>
      <c r="Q71" s="327">
        <v>3.51</v>
      </c>
      <c r="R71" s="23">
        <f t="shared" si="56"/>
        <v>2.5219965750872563E-3</v>
      </c>
      <c r="S71" s="23">
        <f t="shared" si="57"/>
        <v>0</v>
      </c>
      <c r="T71" s="326">
        <v>1244226232.96</v>
      </c>
      <c r="U71" s="327">
        <v>3.51</v>
      </c>
      <c r="V71" s="23">
        <f t="shared" si="58"/>
        <v>-3.6814493611983507E-4</v>
      </c>
      <c r="W71" s="23">
        <f t="shared" si="59"/>
        <v>0</v>
      </c>
      <c r="X71" s="326">
        <v>1245968307.73</v>
      </c>
      <c r="Y71" s="327">
        <v>3.52</v>
      </c>
      <c r="Z71" s="23">
        <f t="shared" si="60"/>
        <v>1.4001270218002115E-3</v>
      </c>
      <c r="AA71" s="23">
        <f t="shared" si="61"/>
        <v>2.8490028490029151E-3</v>
      </c>
      <c r="AB71" s="326">
        <v>1240272704.6199999</v>
      </c>
      <c r="AC71" s="327">
        <v>3.52</v>
      </c>
      <c r="AD71" s="23">
        <f t="shared" si="62"/>
        <v>-4.5712263102235858E-3</v>
      </c>
      <c r="AE71" s="23">
        <f t="shared" si="63"/>
        <v>0</v>
      </c>
      <c r="AF71" s="326">
        <v>1238484713.2</v>
      </c>
      <c r="AG71" s="327">
        <v>3.52</v>
      </c>
      <c r="AH71" s="23">
        <f t="shared" si="64"/>
        <v>-1.4416115208692353E-3</v>
      </c>
      <c r="AI71" s="23">
        <f t="shared" si="65"/>
        <v>0</v>
      </c>
      <c r="AJ71" s="24">
        <f t="shared" si="66"/>
        <v>-6.2709505374151529E-4</v>
      </c>
      <c r="AK71" s="24">
        <f t="shared" si="67"/>
        <v>7.1326821326821394E-4</v>
      </c>
      <c r="AL71" s="25">
        <f t="shared" si="68"/>
        <v>-5.7362870630134188E-3</v>
      </c>
      <c r="AM71" s="25">
        <f t="shared" si="69"/>
        <v>5.7142857142857195E-3</v>
      </c>
      <c r="AN71" s="384">
        <f t="shared" si="70"/>
        <v>2.4291472476235753E-3</v>
      </c>
      <c r="AO71" s="385">
        <f t="shared" si="71"/>
        <v>1.3207178885135693E-3</v>
      </c>
      <c r="AP71" s="30"/>
      <c r="AQ71" s="28"/>
      <c r="AR71" s="28"/>
      <c r="AS71" s="29"/>
      <c r="AT71" s="29"/>
    </row>
    <row r="72" spans="1:46">
      <c r="A72" s="202" t="s">
        <v>85</v>
      </c>
      <c r="B72" s="326">
        <v>15988388198.799999</v>
      </c>
      <c r="C72" s="326">
        <v>1191.53</v>
      </c>
      <c r="D72" s="326">
        <v>16074541304.75</v>
      </c>
      <c r="E72" s="326">
        <v>1193.5</v>
      </c>
      <c r="F72" s="23">
        <f t="shared" si="50"/>
        <v>5.3884797440974658E-3</v>
      </c>
      <c r="G72" s="23">
        <f t="shared" si="51"/>
        <v>1.6533364665598242E-3</v>
      </c>
      <c r="H72" s="326">
        <v>16256989084.93</v>
      </c>
      <c r="I72" s="326">
        <v>1195.07</v>
      </c>
      <c r="J72" s="23">
        <f t="shared" si="52"/>
        <v>1.1350108019946254E-2</v>
      </c>
      <c r="K72" s="23">
        <f t="shared" si="53"/>
        <v>1.3154587348135202E-3</v>
      </c>
      <c r="L72" s="326">
        <v>16322168283.280001</v>
      </c>
      <c r="M72" s="326">
        <v>1196.8699999999999</v>
      </c>
      <c r="N72" s="23">
        <f t="shared" si="54"/>
        <v>4.0093031993495391E-3</v>
      </c>
      <c r="O72" s="23">
        <f t="shared" si="55"/>
        <v>1.5061879220463694E-3</v>
      </c>
      <c r="P72" s="326">
        <v>16634890992.860001</v>
      </c>
      <c r="Q72" s="326">
        <v>1198.94</v>
      </c>
      <c r="R72" s="23">
        <f t="shared" si="56"/>
        <v>1.9159385208664025E-2</v>
      </c>
      <c r="S72" s="23">
        <f t="shared" si="57"/>
        <v>1.7295111415610417E-3</v>
      </c>
      <c r="T72" s="326">
        <v>16604859331.24</v>
      </c>
      <c r="U72" s="326">
        <v>1176.9100000000001</v>
      </c>
      <c r="V72" s="23">
        <f t="shared" si="58"/>
        <v>-1.8053416540505722E-3</v>
      </c>
      <c r="W72" s="23">
        <f t="shared" si="59"/>
        <v>-1.8374564198375208E-2</v>
      </c>
      <c r="X72" s="326">
        <v>16679660711.76</v>
      </c>
      <c r="Y72" s="326">
        <v>1180.3</v>
      </c>
      <c r="Z72" s="23">
        <f t="shared" si="60"/>
        <v>4.5047885698899521E-3</v>
      </c>
      <c r="AA72" s="23">
        <f t="shared" si="61"/>
        <v>2.8804241615755432E-3</v>
      </c>
      <c r="AB72" s="326">
        <v>16719439924.309999</v>
      </c>
      <c r="AC72" s="326">
        <v>1183.1500000000001</v>
      </c>
      <c r="AD72" s="23">
        <f t="shared" si="62"/>
        <v>2.3848933882661587E-3</v>
      </c>
      <c r="AE72" s="23">
        <f t="shared" si="63"/>
        <v>2.414640345674944E-3</v>
      </c>
      <c r="AF72" s="326">
        <v>16745646723.209999</v>
      </c>
      <c r="AG72" s="326">
        <v>1185.78</v>
      </c>
      <c r="AH72" s="23">
        <f t="shared" si="64"/>
        <v>1.5674447839544574E-3</v>
      </c>
      <c r="AI72" s="23">
        <f t="shared" si="65"/>
        <v>2.2228796010648538E-3</v>
      </c>
      <c r="AJ72" s="24">
        <f t="shared" si="66"/>
        <v>5.8198826575146601E-3</v>
      </c>
      <c r="AK72" s="24">
        <f t="shared" si="67"/>
        <v>-5.8151572813488898E-4</v>
      </c>
      <c r="AL72" s="25">
        <f t="shared" si="68"/>
        <v>4.1749584373004071E-2</v>
      </c>
      <c r="AM72" s="25">
        <f t="shared" si="69"/>
        <v>-6.4683703393381038E-3</v>
      </c>
      <c r="AN72" s="384">
        <f t="shared" si="70"/>
        <v>6.5655586720048771E-3</v>
      </c>
      <c r="AO72" s="385">
        <f t="shared" si="71"/>
        <v>7.2082454196962268E-3</v>
      </c>
      <c r="AP72" s="30"/>
      <c r="AQ72" s="28"/>
      <c r="AR72" s="28"/>
      <c r="AS72" s="29"/>
      <c r="AT72" s="29"/>
    </row>
    <row r="73" spans="1:46">
      <c r="A73" s="202" t="s">
        <v>17</v>
      </c>
      <c r="B73" s="326">
        <v>1752480340</v>
      </c>
      <c r="C73" s="327">
        <v>104.15</v>
      </c>
      <c r="D73" s="326">
        <v>1752480340</v>
      </c>
      <c r="E73" s="327">
        <v>104.31</v>
      </c>
      <c r="F73" s="23">
        <f t="shared" si="50"/>
        <v>0</v>
      </c>
      <c r="G73" s="23">
        <f t="shared" si="51"/>
        <v>1.5362457993278596E-3</v>
      </c>
      <c r="H73" s="326">
        <v>1226133454</v>
      </c>
      <c r="I73" s="327">
        <v>103.45</v>
      </c>
      <c r="J73" s="23">
        <f t="shared" si="52"/>
        <v>-0.300343960492019</v>
      </c>
      <c r="K73" s="23">
        <f t="shared" si="53"/>
        <v>-8.2446553542325704E-3</v>
      </c>
      <c r="L73" s="326">
        <v>1286495315</v>
      </c>
      <c r="M73" s="327">
        <v>103.64</v>
      </c>
      <c r="N73" s="23">
        <f t="shared" si="54"/>
        <v>4.922943811954747E-2</v>
      </c>
      <c r="O73" s="23">
        <f t="shared" si="55"/>
        <v>1.8366360560657102E-3</v>
      </c>
      <c r="P73" s="326">
        <v>1286103304</v>
      </c>
      <c r="Q73" s="327">
        <v>103.64</v>
      </c>
      <c r="R73" s="23">
        <f t="shared" si="56"/>
        <v>-3.0471234168466445E-4</v>
      </c>
      <c r="S73" s="23">
        <f t="shared" si="57"/>
        <v>0</v>
      </c>
      <c r="T73" s="326">
        <v>1286103304</v>
      </c>
      <c r="U73" s="327">
        <v>103.83</v>
      </c>
      <c r="V73" s="23">
        <f t="shared" si="58"/>
        <v>0</v>
      </c>
      <c r="W73" s="23">
        <f t="shared" si="59"/>
        <v>1.8332690081049568E-3</v>
      </c>
      <c r="X73" s="326">
        <v>1286103304</v>
      </c>
      <c r="Y73" s="327">
        <v>103.83</v>
      </c>
      <c r="Z73" s="23">
        <f t="shared" si="60"/>
        <v>0</v>
      </c>
      <c r="AA73" s="23">
        <f t="shared" si="61"/>
        <v>0</v>
      </c>
      <c r="AB73" s="326">
        <v>1438164301</v>
      </c>
      <c r="AC73" s="327">
        <v>98.34</v>
      </c>
      <c r="AD73" s="23">
        <f t="shared" si="62"/>
        <v>0.11823389033140996</v>
      </c>
      <c r="AE73" s="23">
        <f t="shared" si="63"/>
        <v>-5.2874891649812142E-2</v>
      </c>
      <c r="AF73" s="326">
        <v>1495093252</v>
      </c>
      <c r="AG73" s="327">
        <v>98.54</v>
      </c>
      <c r="AH73" s="23">
        <f t="shared" si="64"/>
        <v>3.9584455656711509E-2</v>
      </c>
      <c r="AI73" s="23">
        <f t="shared" si="65"/>
        <v>2.0337604230221966E-3</v>
      </c>
      <c r="AJ73" s="24">
        <f t="shared" si="66"/>
        <v>-1.1700111090754344E-2</v>
      </c>
      <c r="AK73" s="24">
        <f t="shared" si="67"/>
        <v>-6.7349544646904983E-3</v>
      </c>
      <c r="AL73" s="25">
        <f t="shared" si="68"/>
        <v>-0.14687017145082495</v>
      </c>
      <c r="AM73" s="25">
        <f t="shared" si="69"/>
        <v>-5.5315885341769684E-2</v>
      </c>
      <c r="AN73" s="384">
        <f t="shared" si="70"/>
        <v>0.12368229240821542</v>
      </c>
      <c r="AO73" s="385">
        <f t="shared" si="71"/>
        <v>1.8951373699288308E-2</v>
      </c>
      <c r="AP73" s="30"/>
      <c r="AQ73" s="28"/>
      <c r="AR73" s="28"/>
      <c r="AS73" s="29"/>
      <c r="AT73" s="29"/>
    </row>
    <row r="74" spans="1:46">
      <c r="A74" s="202" t="s">
        <v>219</v>
      </c>
      <c r="B74" s="326">
        <v>1568546174.75</v>
      </c>
      <c r="C74" s="327">
        <v>338.38470000000001</v>
      </c>
      <c r="D74" s="326">
        <v>1571852032.3800001</v>
      </c>
      <c r="E74" s="327">
        <v>339.07859999999999</v>
      </c>
      <c r="F74" s="23">
        <f t="shared" si="50"/>
        <v>2.1075934411220075E-3</v>
      </c>
      <c r="G74" s="23">
        <f t="shared" si="51"/>
        <v>2.0506246293050044E-3</v>
      </c>
      <c r="H74" s="326">
        <v>1575703570.24</v>
      </c>
      <c r="I74" s="327">
        <v>339.79730000000001</v>
      </c>
      <c r="J74" s="23">
        <f t="shared" si="52"/>
        <v>2.4503183382777686E-3</v>
      </c>
      <c r="K74" s="23">
        <f t="shared" si="53"/>
        <v>2.1195675574926065E-3</v>
      </c>
      <c r="L74" s="326">
        <v>1579142949.23</v>
      </c>
      <c r="M74" s="327">
        <v>340.48169999999999</v>
      </c>
      <c r="N74" s="23">
        <f t="shared" si="54"/>
        <v>2.1827576296448623E-3</v>
      </c>
      <c r="O74" s="23">
        <f t="shared" si="55"/>
        <v>2.0141419605158202E-3</v>
      </c>
      <c r="P74" s="326">
        <v>1582302147.95</v>
      </c>
      <c r="Q74" s="327">
        <v>341.1628</v>
      </c>
      <c r="R74" s="23">
        <f t="shared" si="56"/>
        <v>2.0005780487070369E-3</v>
      </c>
      <c r="S74" s="23">
        <f t="shared" si="57"/>
        <v>2.0004011963051611E-3</v>
      </c>
      <c r="T74" s="326">
        <v>1585745578.7</v>
      </c>
      <c r="U74" s="327">
        <v>341.84410000000003</v>
      </c>
      <c r="V74" s="23">
        <f t="shared" si="58"/>
        <v>2.1762156832443426E-3</v>
      </c>
      <c r="W74" s="23">
        <f t="shared" si="59"/>
        <v>1.9969938105796458E-3</v>
      </c>
      <c r="X74" s="326">
        <v>1588808581.9000001</v>
      </c>
      <c r="Y74" s="327">
        <v>342.46409999999997</v>
      </c>
      <c r="Z74" s="23">
        <f t="shared" si="60"/>
        <v>1.9315855211219373E-3</v>
      </c>
      <c r="AA74" s="23">
        <f t="shared" si="61"/>
        <v>1.813692264982627E-3</v>
      </c>
      <c r="AB74" s="326">
        <v>1590575958.4400001</v>
      </c>
      <c r="AC74" s="327">
        <v>331.60899999999998</v>
      </c>
      <c r="AD74" s="23">
        <f t="shared" si="62"/>
        <v>1.1123911087428913E-3</v>
      </c>
      <c r="AE74" s="23">
        <f t="shared" si="63"/>
        <v>-3.1697045033333406E-2</v>
      </c>
      <c r="AF74" s="326">
        <v>1593305292.3699999</v>
      </c>
      <c r="AG74" s="327">
        <v>332.15899999999999</v>
      </c>
      <c r="AH74" s="23">
        <f t="shared" si="64"/>
        <v>1.7159406411981076E-3</v>
      </c>
      <c r="AI74" s="23">
        <f t="shared" si="65"/>
        <v>1.6585798334786191E-3</v>
      </c>
      <c r="AJ74" s="24">
        <f t="shared" si="66"/>
        <v>1.9596725515073688E-3</v>
      </c>
      <c r="AK74" s="24">
        <f t="shared" si="67"/>
        <v>-2.2553804725842404E-3</v>
      </c>
      <c r="AL74" s="25">
        <f t="shared" si="68"/>
        <v>1.3648396635347785E-2</v>
      </c>
      <c r="AM74" s="25">
        <f t="shared" si="69"/>
        <v>-2.0407067859782371E-2</v>
      </c>
      <c r="AN74" s="384">
        <f t="shared" si="70"/>
        <v>4.0338301295473494E-4</v>
      </c>
      <c r="AO74" s="385">
        <f t="shared" si="71"/>
        <v>1.1897137032533752E-2</v>
      </c>
      <c r="AP74" s="30"/>
      <c r="AQ74" s="28"/>
      <c r="AR74" s="28"/>
      <c r="AS74" s="29"/>
      <c r="AT74" s="29"/>
    </row>
    <row r="75" spans="1:46" s="86" customFormat="1">
      <c r="A75" s="203" t="s">
        <v>91</v>
      </c>
      <c r="B75" s="326">
        <v>52850900.829999998</v>
      </c>
      <c r="C75" s="326">
        <v>11.917521000000001</v>
      </c>
      <c r="D75" s="326">
        <v>52941217.170000002</v>
      </c>
      <c r="E75" s="326">
        <v>11.94599</v>
      </c>
      <c r="F75" s="23">
        <f t="shared" si="50"/>
        <v>1.7088893203639946E-3</v>
      </c>
      <c r="G75" s="23">
        <f t="shared" si="51"/>
        <v>2.3888357318606287E-3</v>
      </c>
      <c r="H75" s="326">
        <v>53346346.43</v>
      </c>
      <c r="I75" s="326">
        <v>11.938226999999999</v>
      </c>
      <c r="J75" s="23">
        <f t="shared" si="52"/>
        <v>7.6524356948402573E-3</v>
      </c>
      <c r="K75" s="23">
        <f t="shared" si="53"/>
        <v>-6.4984149492847642E-4</v>
      </c>
      <c r="L75" s="326">
        <v>53425232.340000004</v>
      </c>
      <c r="M75" s="326">
        <v>11.962932</v>
      </c>
      <c r="N75" s="23">
        <f t="shared" si="54"/>
        <v>1.478750004061035E-3</v>
      </c>
      <c r="O75" s="23">
        <f t="shared" si="55"/>
        <v>2.0694027680995567E-3</v>
      </c>
      <c r="P75" s="326">
        <v>53504095.560000002</v>
      </c>
      <c r="Q75" s="326">
        <v>11.987636999999999</v>
      </c>
      <c r="R75" s="23">
        <f t="shared" si="56"/>
        <v>1.476141825609865E-3</v>
      </c>
      <c r="S75" s="23">
        <f t="shared" si="57"/>
        <v>2.0651291840494529E-3</v>
      </c>
      <c r="T75" s="326">
        <v>53581620.880000003</v>
      </c>
      <c r="U75" s="326">
        <v>12.005623</v>
      </c>
      <c r="V75" s="23">
        <f t="shared" si="58"/>
        <v>1.4489604802881428E-3</v>
      </c>
      <c r="W75" s="23">
        <f t="shared" si="59"/>
        <v>1.5003790989000169E-3</v>
      </c>
      <c r="X75" s="326">
        <v>54254321.450000003</v>
      </c>
      <c r="Y75" s="326">
        <v>12.159691</v>
      </c>
      <c r="Z75" s="23">
        <f t="shared" si="60"/>
        <v>1.2554688696457371E-2</v>
      </c>
      <c r="AA75" s="23">
        <f t="shared" si="61"/>
        <v>1.2832986676326629E-2</v>
      </c>
      <c r="AB75" s="326">
        <v>54337092.950000003</v>
      </c>
      <c r="AC75" s="326">
        <v>12.185290999999999</v>
      </c>
      <c r="AD75" s="23">
        <f t="shared" si="62"/>
        <v>1.5256204075150218E-3</v>
      </c>
      <c r="AE75" s="23">
        <f t="shared" si="63"/>
        <v>2.1053166564840302E-3</v>
      </c>
      <c r="AF75" s="326">
        <v>54436842.740000002</v>
      </c>
      <c r="AG75" s="326">
        <v>12.210243</v>
      </c>
      <c r="AH75" s="23">
        <f t="shared" si="64"/>
        <v>1.835758679467579E-3</v>
      </c>
      <c r="AI75" s="23">
        <f t="shared" si="65"/>
        <v>2.0477147406656724E-3</v>
      </c>
      <c r="AJ75" s="24">
        <f t="shared" si="66"/>
        <v>3.7101556385754084E-3</v>
      </c>
      <c r="AK75" s="24">
        <f t="shared" si="67"/>
        <v>3.044990420182189E-3</v>
      </c>
      <c r="AL75" s="25">
        <f t="shared" si="68"/>
        <v>2.8250683492927336E-2</v>
      </c>
      <c r="AM75" s="25">
        <f t="shared" si="69"/>
        <v>2.2120644668210846E-2</v>
      </c>
      <c r="AN75" s="384">
        <f t="shared" si="70"/>
        <v>4.1600301240767084E-3</v>
      </c>
      <c r="AO75" s="385">
        <f t="shared" si="71"/>
        <v>4.0718977950295722E-3</v>
      </c>
      <c r="AP75" s="30"/>
      <c r="AQ75" s="28"/>
      <c r="AR75" s="28"/>
      <c r="AS75" s="29"/>
      <c r="AT75" s="29"/>
    </row>
    <row r="76" spans="1:46" s="86" customFormat="1">
      <c r="A76" s="202" t="s">
        <v>35</v>
      </c>
      <c r="B76" s="326">
        <v>6627638303.2700005</v>
      </c>
      <c r="C76" s="327">
        <v>1.05</v>
      </c>
      <c r="D76" s="326">
        <v>6574211292.6000004</v>
      </c>
      <c r="E76" s="327">
        <v>1.05</v>
      </c>
      <c r="F76" s="23">
        <f t="shared" si="50"/>
        <v>-8.061244175567004E-3</v>
      </c>
      <c r="G76" s="23">
        <f t="shared" si="51"/>
        <v>0</v>
      </c>
      <c r="H76" s="326">
        <v>6651252133.2299995</v>
      </c>
      <c r="I76" s="327">
        <v>1.05</v>
      </c>
      <c r="J76" s="23">
        <f t="shared" si="52"/>
        <v>1.1718643834389248E-2</v>
      </c>
      <c r="K76" s="23">
        <f t="shared" si="53"/>
        <v>0</v>
      </c>
      <c r="L76" s="326">
        <v>6705602451.8400002</v>
      </c>
      <c r="M76" s="327">
        <v>1.06</v>
      </c>
      <c r="N76" s="23">
        <f t="shared" si="54"/>
        <v>8.1714416355476299E-3</v>
      </c>
      <c r="O76" s="23">
        <f t="shared" si="55"/>
        <v>9.5238095238095316E-3</v>
      </c>
      <c r="P76" s="326">
        <v>6693845333.0900002</v>
      </c>
      <c r="Q76" s="327">
        <v>1.06</v>
      </c>
      <c r="R76" s="23">
        <f t="shared" si="56"/>
        <v>-1.7533277337033121E-3</v>
      </c>
      <c r="S76" s="23">
        <f t="shared" si="57"/>
        <v>0</v>
      </c>
      <c r="T76" s="326">
        <v>6774295169.1400003</v>
      </c>
      <c r="U76" s="327">
        <v>1.06</v>
      </c>
      <c r="V76" s="23">
        <f t="shared" si="58"/>
        <v>1.2018478474892262E-2</v>
      </c>
      <c r="W76" s="23">
        <f t="shared" si="59"/>
        <v>0</v>
      </c>
      <c r="X76" s="326">
        <v>6898266634.3900003</v>
      </c>
      <c r="Y76" s="327">
        <v>1.06</v>
      </c>
      <c r="Z76" s="23">
        <f t="shared" si="60"/>
        <v>1.8300275106810593E-2</v>
      </c>
      <c r="AA76" s="23">
        <f t="shared" si="61"/>
        <v>0</v>
      </c>
      <c r="AB76" s="326">
        <v>6929466173.9799995</v>
      </c>
      <c r="AC76" s="327">
        <v>1.06</v>
      </c>
      <c r="AD76" s="23">
        <f t="shared" si="62"/>
        <v>4.5228085899811131E-3</v>
      </c>
      <c r="AE76" s="23">
        <f t="shared" si="63"/>
        <v>0</v>
      </c>
      <c r="AF76" s="326">
        <v>6801706994.4700003</v>
      </c>
      <c r="AG76" s="327">
        <v>1.07</v>
      </c>
      <c r="AH76" s="23">
        <f t="shared" si="64"/>
        <v>-1.8437088269473385E-2</v>
      </c>
      <c r="AI76" s="23">
        <f t="shared" si="65"/>
        <v>9.4339622641509517E-3</v>
      </c>
      <c r="AJ76" s="24">
        <f t="shared" si="66"/>
        <v>3.3099984328596437E-3</v>
      </c>
      <c r="AK76" s="24">
        <f t="shared" si="67"/>
        <v>2.3697214734950604E-3</v>
      </c>
      <c r="AL76" s="25">
        <f t="shared" si="68"/>
        <v>3.4604257719260012E-2</v>
      </c>
      <c r="AM76" s="25">
        <f t="shared" si="69"/>
        <v>1.9047619047619063E-2</v>
      </c>
      <c r="AN76" s="384">
        <f t="shared" si="70"/>
        <v>1.209624549631833E-2</v>
      </c>
      <c r="AO76" s="385">
        <f t="shared" si="71"/>
        <v>4.387937246453223E-3</v>
      </c>
      <c r="AP76" s="30"/>
      <c r="AQ76" s="28"/>
      <c r="AR76" s="28"/>
      <c r="AS76" s="29"/>
      <c r="AT76" s="29"/>
    </row>
    <row r="77" spans="1:46" s="86" customFormat="1">
      <c r="A77" s="203" t="s">
        <v>68</v>
      </c>
      <c r="B77" s="326">
        <v>25031085356.98</v>
      </c>
      <c r="C77" s="326">
        <v>4742.32</v>
      </c>
      <c r="D77" s="326">
        <v>24783269491.759998</v>
      </c>
      <c r="E77" s="326">
        <v>4750.82</v>
      </c>
      <c r="F77" s="23">
        <f t="shared" si="50"/>
        <v>-9.9003244040673198E-3</v>
      </c>
      <c r="G77" s="23">
        <f t="shared" si="51"/>
        <v>1.7923716661887011E-3</v>
      </c>
      <c r="H77" s="326">
        <v>24045984083.23</v>
      </c>
      <c r="I77" s="326">
        <v>4759.12</v>
      </c>
      <c r="J77" s="23">
        <f t="shared" si="52"/>
        <v>-2.9749319748757653E-2</v>
      </c>
      <c r="K77" s="23">
        <f t="shared" si="53"/>
        <v>1.7470668221486359E-3</v>
      </c>
      <c r="L77" s="326">
        <v>23969004408.549999</v>
      </c>
      <c r="M77" s="326">
        <v>4767.4799999999996</v>
      </c>
      <c r="N77" s="23">
        <f t="shared" si="54"/>
        <v>-3.2013526422354655E-3</v>
      </c>
      <c r="O77" s="23">
        <f t="shared" si="55"/>
        <v>1.75662727563072E-3</v>
      </c>
      <c r="P77" s="326">
        <v>23984686825.459999</v>
      </c>
      <c r="Q77" s="326">
        <v>4775.93</v>
      </c>
      <c r="R77" s="23">
        <f t="shared" si="56"/>
        <v>6.5427902814377064E-4</v>
      </c>
      <c r="S77" s="23">
        <f t="shared" si="57"/>
        <v>1.7724248449916366E-3</v>
      </c>
      <c r="T77" s="326">
        <v>23680282293.150002</v>
      </c>
      <c r="U77" s="326">
        <v>4785.92</v>
      </c>
      <c r="V77" s="23">
        <f t="shared" si="58"/>
        <v>-1.2691620054295182E-2</v>
      </c>
      <c r="W77" s="23">
        <f t="shared" si="59"/>
        <v>2.0917392005326252E-3</v>
      </c>
      <c r="X77" s="326">
        <v>23635052542.5</v>
      </c>
      <c r="Y77" s="326">
        <v>4794.79</v>
      </c>
      <c r="Z77" s="23">
        <f t="shared" si="60"/>
        <v>-1.9100173760633395E-3</v>
      </c>
      <c r="AA77" s="23">
        <f t="shared" si="61"/>
        <v>1.8533531692965805E-3</v>
      </c>
      <c r="AB77" s="326">
        <v>23516963909.889999</v>
      </c>
      <c r="AC77" s="326">
        <v>4807.91</v>
      </c>
      <c r="AD77" s="23">
        <f t="shared" si="62"/>
        <v>-4.9963346769657645E-3</v>
      </c>
      <c r="AE77" s="23">
        <f t="shared" si="63"/>
        <v>2.7363033626081417E-3</v>
      </c>
      <c r="AF77" s="326">
        <v>23516963909.889999</v>
      </c>
      <c r="AG77" s="326">
        <v>4816.7299999999996</v>
      </c>
      <c r="AH77" s="23">
        <f t="shared" si="64"/>
        <v>0</v>
      </c>
      <c r="AI77" s="23">
        <f t="shared" si="65"/>
        <v>1.834476934884328E-3</v>
      </c>
      <c r="AJ77" s="24">
        <f t="shared" si="66"/>
        <v>-7.7243362342801188E-3</v>
      </c>
      <c r="AK77" s="24">
        <f t="shared" si="67"/>
        <v>1.9480454095351712E-3</v>
      </c>
      <c r="AL77" s="25">
        <f t="shared" si="68"/>
        <v>-5.1095178636177255E-2</v>
      </c>
      <c r="AM77" s="25">
        <f t="shared" si="69"/>
        <v>1.3873394487688411E-2</v>
      </c>
      <c r="AN77" s="384">
        <f t="shared" si="70"/>
        <v>1.0043341594653001E-2</v>
      </c>
      <c r="AO77" s="385">
        <f t="shared" si="71"/>
        <v>3.3720979408403344E-4</v>
      </c>
      <c r="AP77" s="30"/>
      <c r="AQ77" s="28"/>
      <c r="AR77" s="28"/>
      <c r="AS77" s="29"/>
      <c r="AT77" s="29"/>
    </row>
    <row r="78" spans="1:46" s="103" customFormat="1" ht="15.75" customHeight="1">
      <c r="A78" s="202" t="s">
        <v>16</v>
      </c>
      <c r="B78" s="326">
        <v>42032636728.5</v>
      </c>
      <c r="C78" s="327">
        <v>249.41</v>
      </c>
      <c r="D78" s="326">
        <v>39948050523.889999</v>
      </c>
      <c r="E78" s="327">
        <v>249.63</v>
      </c>
      <c r="F78" s="23">
        <f t="shared" si="50"/>
        <v>-4.9594466749133495E-2</v>
      </c>
      <c r="G78" s="23">
        <f t="shared" si="51"/>
        <v>8.8208171284230325E-4</v>
      </c>
      <c r="H78" s="326">
        <v>43656850980.110001</v>
      </c>
      <c r="I78" s="327">
        <v>249.82</v>
      </c>
      <c r="J78" s="23">
        <f t="shared" si="52"/>
        <v>9.2840586901782346E-2</v>
      </c>
      <c r="K78" s="23">
        <f t="shared" si="53"/>
        <v>7.6112646717140463E-4</v>
      </c>
      <c r="L78" s="326">
        <v>44437097763.720001</v>
      </c>
      <c r="M78" s="327">
        <v>250.04</v>
      </c>
      <c r="N78" s="23">
        <f t="shared" si="54"/>
        <v>1.7872264400505659E-2</v>
      </c>
      <c r="O78" s="23">
        <f t="shared" si="55"/>
        <v>8.806340565206904E-4</v>
      </c>
      <c r="P78" s="326">
        <v>43620412227.959999</v>
      </c>
      <c r="Q78" s="327">
        <v>251.4</v>
      </c>
      <c r="R78" s="23">
        <f t="shared" si="56"/>
        <v>-1.8378462520267754E-2</v>
      </c>
      <c r="S78" s="23">
        <f t="shared" si="57"/>
        <v>5.4391297392417763E-3</v>
      </c>
      <c r="T78" s="326">
        <v>43360607259.209999</v>
      </c>
      <c r="U78" s="327">
        <v>251.59</v>
      </c>
      <c r="V78" s="23">
        <f t="shared" si="58"/>
        <v>-5.956041116536471E-3</v>
      </c>
      <c r="W78" s="23">
        <f t="shared" si="59"/>
        <v>7.5576770087509035E-4</v>
      </c>
      <c r="X78" s="326">
        <v>43489008384.169998</v>
      </c>
      <c r="Y78" s="327">
        <v>251.79</v>
      </c>
      <c r="Z78" s="23">
        <f t="shared" si="60"/>
        <v>2.9612390848775781E-3</v>
      </c>
      <c r="AA78" s="23">
        <f t="shared" si="61"/>
        <v>7.9494415517305389E-4</v>
      </c>
      <c r="AB78" s="326">
        <v>43147921227.25</v>
      </c>
      <c r="AC78" s="327">
        <v>252.1</v>
      </c>
      <c r="AD78" s="23">
        <f t="shared" si="62"/>
        <v>-7.8430658594679271E-3</v>
      </c>
      <c r="AE78" s="23">
        <f t="shared" si="63"/>
        <v>1.2311847174232586E-3</v>
      </c>
      <c r="AF78" s="326">
        <v>42925703021.760002</v>
      </c>
      <c r="AG78" s="327">
        <v>252.32</v>
      </c>
      <c r="AH78" s="23">
        <f t="shared" si="64"/>
        <v>-5.1501485858293523E-3</v>
      </c>
      <c r="AI78" s="23">
        <f t="shared" si="65"/>
        <v>8.7266957556524744E-4</v>
      </c>
      <c r="AJ78" s="24">
        <f t="shared" si="66"/>
        <v>3.3439881944913232E-3</v>
      </c>
      <c r="AK78" s="24">
        <f t="shared" si="67"/>
        <v>1.4521922656016029E-3</v>
      </c>
      <c r="AL78" s="25">
        <f t="shared" si="68"/>
        <v>7.4538117851064775E-2</v>
      </c>
      <c r="AM78" s="25">
        <f t="shared" si="69"/>
        <v>1.0775948403637374E-2</v>
      </c>
      <c r="AN78" s="384">
        <f t="shared" si="70"/>
        <v>4.1020890926246958E-2</v>
      </c>
      <c r="AO78" s="385">
        <f t="shared" si="71"/>
        <v>1.6180508698893045E-3</v>
      </c>
      <c r="AP78" s="30"/>
      <c r="AQ78" s="28"/>
      <c r="AR78" s="28"/>
      <c r="AS78" s="29"/>
      <c r="AT78" s="29"/>
    </row>
    <row r="79" spans="1:46" s="103" customFormat="1" ht="15.75" customHeight="1">
      <c r="A79" s="203" t="s">
        <v>69</v>
      </c>
      <c r="B79" s="326">
        <v>261789070.74000001</v>
      </c>
      <c r="C79" s="326">
        <v>4645.55</v>
      </c>
      <c r="D79" s="326">
        <v>269116980.75</v>
      </c>
      <c r="E79" s="326">
        <v>4776.09</v>
      </c>
      <c r="F79" s="23">
        <f t="shared" si="50"/>
        <v>2.7991657517581477E-2</v>
      </c>
      <c r="G79" s="23">
        <f t="shared" si="51"/>
        <v>2.8100009686689402E-2</v>
      </c>
      <c r="H79" s="326">
        <v>268567070.63999999</v>
      </c>
      <c r="I79" s="326">
        <v>4778.4799999999996</v>
      </c>
      <c r="J79" s="23">
        <f t="shared" si="52"/>
        <v>-2.0433868887331976E-3</v>
      </c>
      <c r="K79" s="23">
        <f t="shared" si="53"/>
        <v>5.0040933064481985E-4</v>
      </c>
      <c r="L79" s="326">
        <v>272413827.91000003</v>
      </c>
      <c r="M79" s="326">
        <v>4847.71</v>
      </c>
      <c r="N79" s="23">
        <f t="shared" si="54"/>
        <v>1.4323264802468713E-2</v>
      </c>
      <c r="O79" s="23">
        <f t="shared" si="55"/>
        <v>1.4487870619946192E-2</v>
      </c>
      <c r="P79" s="326">
        <v>280167437.07999998</v>
      </c>
      <c r="Q79" s="326">
        <v>4988.32</v>
      </c>
      <c r="R79" s="23">
        <f t="shared" si="56"/>
        <v>2.8462612303812973E-2</v>
      </c>
      <c r="S79" s="23">
        <f t="shared" si="57"/>
        <v>2.9005447933147747E-2</v>
      </c>
      <c r="T79" s="326">
        <v>275240451.76999998</v>
      </c>
      <c r="U79" s="326">
        <v>4897.6899999999996</v>
      </c>
      <c r="V79" s="23">
        <f t="shared" si="58"/>
        <v>-1.7585859946290382E-2</v>
      </c>
      <c r="W79" s="23">
        <f t="shared" si="59"/>
        <v>-1.8168441479295659E-2</v>
      </c>
      <c r="X79" s="326">
        <v>280622567.72000003</v>
      </c>
      <c r="Y79" s="326">
        <v>4994.6099999999997</v>
      </c>
      <c r="Z79" s="23">
        <f t="shared" si="60"/>
        <v>1.9554233091062943E-2</v>
      </c>
      <c r="AA79" s="23">
        <f t="shared" si="61"/>
        <v>1.9788920899444448E-2</v>
      </c>
      <c r="AB79" s="326">
        <v>279807917.74000001</v>
      </c>
      <c r="AC79" s="326">
        <v>4979.83</v>
      </c>
      <c r="AD79" s="23">
        <f t="shared" si="62"/>
        <v>-2.9030094999802783E-3</v>
      </c>
      <c r="AE79" s="23">
        <f t="shared" si="63"/>
        <v>-2.9591900068273091E-3</v>
      </c>
      <c r="AF79" s="326">
        <v>262008535.52000001</v>
      </c>
      <c r="AG79" s="326">
        <v>5006.29</v>
      </c>
      <c r="AH79" s="23">
        <f t="shared" si="64"/>
        <v>-6.3612861150481606E-2</v>
      </c>
      <c r="AI79" s="23">
        <f t="shared" si="65"/>
        <v>5.3134343943468023E-3</v>
      </c>
      <c r="AJ79" s="24">
        <f t="shared" si="66"/>
        <v>5.2333127868008089E-4</v>
      </c>
      <c r="AK79" s="24">
        <f t="shared" si="67"/>
        <v>9.5085576722620541E-3</v>
      </c>
      <c r="AL79" s="25">
        <f t="shared" si="68"/>
        <v>-2.6413960242083274E-2</v>
      </c>
      <c r="AM79" s="25">
        <f t="shared" si="69"/>
        <v>4.8198421721533685E-2</v>
      </c>
      <c r="AN79" s="384">
        <f t="shared" si="70"/>
        <v>3.0583486671818403E-2</v>
      </c>
      <c r="AO79" s="385">
        <f t="shared" si="71"/>
        <v>1.637269963536778E-2</v>
      </c>
      <c r="AP79" s="30"/>
      <c r="AQ79" s="28"/>
      <c r="AR79" s="28"/>
      <c r="AS79" s="29"/>
      <c r="AT79" s="29"/>
    </row>
    <row r="80" spans="1:46" s="285" customFormat="1" ht="15.75" customHeight="1">
      <c r="A80" s="202" t="s">
        <v>165</v>
      </c>
      <c r="B80" s="326">
        <v>19182276418.849998</v>
      </c>
      <c r="C80" s="327">
        <v>119.54</v>
      </c>
      <c r="D80" s="326">
        <v>19129113536.549999</v>
      </c>
      <c r="E80" s="327">
        <v>119.76</v>
      </c>
      <c r="F80" s="23">
        <f t="shared" si="50"/>
        <v>-2.7714584619246362E-3</v>
      </c>
      <c r="G80" s="23">
        <f t="shared" si="51"/>
        <v>1.8403881545925953E-3</v>
      </c>
      <c r="H80" s="326">
        <v>19235455121.529999</v>
      </c>
      <c r="I80" s="327">
        <v>119.98</v>
      </c>
      <c r="J80" s="23">
        <f t="shared" si="52"/>
        <v>5.5591486127578608E-3</v>
      </c>
      <c r="K80" s="23">
        <f t="shared" si="53"/>
        <v>1.8370073480293825E-3</v>
      </c>
      <c r="L80" s="326">
        <v>18866705976.860001</v>
      </c>
      <c r="M80" s="327">
        <v>120.13</v>
      </c>
      <c r="N80" s="23">
        <f t="shared" si="54"/>
        <v>-1.91702843702025E-2</v>
      </c>
      <c r="O80" s="23">
        <f t="shared" si="55"/>
        <v>1.2502083680612725E-3</v>
      </c>
      <c r="P80" s="326">
        <v>18897586830.689999</v>
      </c>
      <c r="Q80" s="327">
        <v>120.36</v>
      </c>
      <c r="R80" s="23">
        <f t="shared" si="56"/>
        <v>1.6367909622312109E-3</v>
      </c>
      <c r="S80" s="23">
        <f t="shared" si="57"/>
        <v>1.9145925247648712E-3</v>
      </c>
      <c r="T80" s="326">
        <v>8837639296.7099991</v>
      </c>
      <c r="U80" s="327">
        <v>120.58</v>
      </c>
      <c r="V80" s="23">
        <f t="shared" si="58"/>
        <v>-0.53234032599561742</v>
      </c>
      <c r="W80" s="23">
        <f t="shared" si="59"/>
        <v>1.8278497839813797E-3</v>
      </c>
      <c r="X80" s="326">
        <v>18922907970.220001</v>
      </c>
      <c r="Y80" s="327">
        <v>120.79</v>
      </c>
      <c r="Z80" s="23">
        <f t="shared" si="60"/>
        <v>1.1411722446360149</v>
      </c>
      <c r="AA80" s="23">
        <f t="shared" si="61"/>
        <v>1.741582351965566E-3</v>
      </c>
      <c r="AB80" s="326">
        <v>18867007707.619999</v>
      </c>
      <c r="AC80" s="327">
        <v>121.01</v>
      </c>
      <c r="AD80" s="23">
        <f t="shared" si="62"/>
        <v>-2.9541052933288871E-3</v>
      </c>
      <c r="AE80" s="23">
        <f t="shared" si="63"/>
        <v>1.8213428263929039E-3</v>
      </c>
      <c r="AF80" s="326">
        <v>18958218951.91</v>
      </c>
      <c r="AG80" s="327">
        <v>121.23</v>
      </c>
      <c r="AH80" s="23">
        <f t="shared" si="64"/>
        <v>4.8344308595985024E-3</v>
      </c>
      <c r="AI80" s="23">
        <f t="shared" si="65"/>
        <v>1.8180315676390286E-3</v>
      </c>
      <c r="AJ80" s="24">
        <f t="shared" si="66"/>
        <v>7.4495805118691125E-2</v>
      </c>
      <c r="AK80" s="24">
        <f t="shared" si="67"/>
        <v>1.7563753656783751E-3</v>
      </c>
      <c r="AL80" s="25">
        <f t="shared" si="68"/>
        <v>-8.9337430254397884E-3</v>
      </c>
      <c r="AM80" s="25">
        <f t="shared" si="69"/>
        <v>1.2274549098196382E-2</v>
      </c>
      <c r="AN80" s="384">
        <f t="shared" si="70"/>
        <v>0.46930102694312137</v>
      </c>
      <c r="AO80" s="385">
        <f t="shared" si="71"/>
        <v>2.098118368251076E-4</v>
      </c>
      <c r="AP80" s="30"/>
      <c r="AQ80" s="28"/>
      <c r="AR80" s="28"/>
      <c r="AS80" s="29"/>
      <c r="AT80" s="29"/>
    </row>
    <row r="81" spans="1:46" s="285" customFormat="1" ht="15.75" customHeight="1">
      <c r="A81" s="202" t="s">
        <v>63</v>
      </c>
      <c r="B81" s="326">
        <v>14501808658.77</v>
      </c>
      <c r="C81" s="327">
        <v>341</v>
      </c>
      <c r="D81" s="326">
        <v>14470501789.379999</v>
      </c>
      <c r="E81" s="327">
        <v>341.43</v>
      </c>
      <c r="F81" s="23">
        <f t="shared" si="50"/>
        <v>-2.1588251594443979E-3</v>
      </c>
      <c r="G81" s="23">
        <f t="shared" si="51"/>
        <v>1.2609970674487003E-3</v>
      </c>
      <c r="H81" s="326">
        <v>14472172652.34</v>
      </c>
      <c r="I81" s="327">
        <v>341.7</v>
      </c>
      <c r="J81" s="23">
        <f t="shared" si="52"/>
        <v>1.1546682930009032E-4</v>
      </c>
      <c r="K81" s="23">
        <f t="shared" si="53"/>
        <v>7.9079167032768594E-4</v>
      </c>
      <c r="L81" s="326">
        <v>14426908306.959999</v>
      </c>
      <c r="M81" s="327">
        <v>342.1</v>
      </c>
      <c r="N81" s="23">
        <f t="shared" si="54"/>
        <v>-3.1276814108959854E-3</v>
      </c>
      <c r="O81" s="23">
        <f t="shared" si="55"/>
        <v>1.1706175007317357E-3</v>
      </c>
      <c r="P81" s="326">
        <v>14289020432.26</v>
      </c>
      <c r="Q81" s="327">
        <v>342.37</v>
      </c>
      <c r="R81" s="23">
        <f t="shared" si="56"/>
        <v>-9.5576870502100137E-3</v>
      </c>
      <c r="S81" s="23">
        <f t="shared" si="57"/>
        <v>7.8924291142935343E-4</v>
      </c>
      <c r="T81" s="326">
        <v>14284793785.51</v>
      </c>
      <c r="U81" s="327">
        <v>342.66</v>
      </c>
      <c r="V81" s="23">
        <f t="shared" si="58"/>
        <v>-2.9579681616645985E-4</v>
      </c>
      <c r="W81" s="23">
        <f t="shared" si="59"/>
        <v>8.4703683149814661E-4</v>
      </c>
      <c r="X81" s="326">
        <v>14222849072.809999</v>
      </c>
      <c r="Y81" s="327">
        <v>343</v>
      </c>
      <c r="Z81" s="23">
        <f t="shared" si="60"/>
        <v>-4.3364093055956697E-3</v>
      </c>
      <c r="AA81" s="23">
        <f t="shared" si="61"/>
        <v>9.9223720305835223E-4</v>
      </c>
      <c r="AB81" s="326">
        <v>14186504237.68</v>
      </c>
      <c r="AC81" s="327">
        <v>343.42</v>
      </c>
      <c r="AD81" s="23">
        <f t="shared" si="62"/>
        <v>-2.5553835904425113E-3</v>
      </c>
      <c r="AE81" s="23">
        <f t="shared" si="63"/>
        <v>1.2244897959184137E-3</v>
      </c>
      <c r="AF81" s="326">
        <v>14206345952.42</v>
      </c>
      <c r="AG81" s="327">
        <v>343.83</v>
      </c>
      <c r="AH81" s="23">
        <f t="shared" si="64"/>
        <v>1.398633123958704E-3</v>
      </c>
      <c r="AI81" s="23">
        <f t="shared" si="65"/>
        <v>1.1938733911827154E-3</v>
      </c>
      <c r="AJ81" s="24">
        <f t="shared" si="66"/>
        <v>-2.5647104224370302E-3</v>
      </c>
      <c r="AK81" s="24">
        <f t="shared" si="67"/>
        <v>1.0336607964493878E-3</v>
      </c>
      <c r="AL81" s="25">
        <f t="shared" si="68"/>
        <v>-1.8254780712156429E-2</v>
      </c>
      <c r="AM81" s="25">
        <f t="shared" si="69"/>
        <v>7.0292592918020595E-3</v>
      </c>
      <c r="AN81" s="384">
        <f t="shared" si="70"/>
        <v>3.3924667877040762E-3</v>
      </c>
      <c r="AO81" s="385">
        <f t="shared" si="71"/>
        <v>2.0276398483868032E-4</v>
      </c>
      <c r="AP81" s="30"/>
      <c r="AQ81" s="28"/>
      <c r="AR81" s="28"/>
      <c r="AS81" s="29"/>
      <c r="AT81" s="29"/>
    </row>
    <row r="82" spans="1:46" s="288" customFormat="1" ht="15.75" customHeight="1">
      <c r="A82" s="202" t="s">
        <v>246</v>
      </c>
      <c r="B82" s="326">
        <v>69509898.75</v>
      </c>
      <c r="C82" s="74">
        <v>105.9015</v>
      </c>
      <c r="D82" s="326">
        <v>69603613.450000003</v>
      </c>
      <c r="E82" s="74">
        <v>106.10169999999999</v>
      </c>
      <c r="F82" s="23">
        <f t="shared" si="50"/>
        <v>1.3482209251528075E-3</v>
      </c>
      <c r="G82" s="23">
        <f t="shared" si="51"/>
        <v>1.8904359239481526E-3</v>
      </c>
      <c r="H82" s="326">
        <v>69859876.75</v>
      </c>
      <c r="I82" s="74">
        <v>106.3017</v>
      </c>
      <c r="J82" s="23">
        <f t="shared" si="52"/>
        <v>3.6817528185384319E-3</v>
      </c>
      <c r="K82" s="23">
        <f>((I82-E82)/E82)</f>
        <v>1.8849839352244389E-3</v>
      </c>
      <c r="L82" s="326">
        <v>69991061.420000002</v>
      </c>
      <c r="M82" s="74">
        <v>106.5013</v>
      </c>
      <c r="N82" s="23">
        <f t="shared" si="54"/>
        <v>1.8778256719441148E-3</v>
      </c>
      <c r="O82" s="23">
        <f>((M82-I82)/I82)</f>
        <v>1.8776745809333602E-3</v>
      </c>
      <c r="P82" s="326">
        <v>70322722.430000007</v>
      </c>
      <c r="Q82" s="74">
        <v>106.58</v>
      </c>
      <c r="R82" s="23">
        <f t="shared" si="56"/>
        <v>4.7386195218527289E-3</v>
      </c>
      <c r="S82" s="23">
        <f>((Q82-M82)/M82)</f>
        <v>7.3895811600419687E-4</v>
      </c>
      <c r="T82" s="326">
        <v>70398567.409999996</v>
      </c>
      <c r="U82" s="74">
        <v>106.6874</v>
      </c>
      <c r="V82" s="23">
        <f t="shared" si="58"/>
        <v>1.0785273575761544E-3</v>
      </c>
      <c r="W82" s="23">
        <f>((U82-Q82)/Q82)</f>
        <v>1.0076937511728128E-3</v>
      </c>
      <c r="X82" s="326">
        <v>70500045.230000004</v>
      </c>
      <c r="Y82" s="74">
        <v>106.7653</v>
      </c>
      <c r="Z82" s="23">
        <f t="shared" si="60"/>
        <v>1.4414756398237871E-3</v>
      </c>
      <c r="AA82" s="23">
        <f>((Y82-U82)/U82)</f>
        <v>7.3017057309485134E-4</v>
      </c>
      <c r="AB82" s="326">
        <v>70376907.129999995</v>
      </c>
      <c r="AC82" s="74">
        <v>106.9906</v>
      </c>
      <c r="AD82" s="23">
        <f t="shared" si="62"/>
        <v>-1.7466385957382305E-3</v>
      </c>
      <c r="AE82" s="23">
        <f>((AC82-Y82)/Y82)</f>
        <v>2.1102361909722004E-3</v>
      </c>
      <c r="AF82" s="326">
        <v>70523055.129999995</v>
      </c>
      <c r="AG82" s="74">
        <v>107.23560000000001</v>
      </c>
      <c r="AH82" s="23">
        <f t="shared" si="64"/>
        <v>2.0766470986006234E-3</v>
      </c>
      <c r="AI82" s="23">
        <f>((AG82-AC82)/AC82)</f>
        <v>2.2899207967803205E-3</v>
      </c>
      <c r="AJ82" s="24">
        <f t="shared" si="66"/>
        <v>1.8120538047188019E-3</v>
      </c>
      <c r="AK82" s="24">
        <f t="shared" si="67"/>
        <v>1.5662592335162918E-3</v>
      </c>
      <c r="AL82" s="25">
        <f t="shared" si="68"/>
        <v>1.3209683153310371E-2</v>
      </c>
      <c r="AM82" s="25">
        <f t="shared" si="69"/>
        <v>1.0686916420754911E-2</v>
      </c>
      <c r="AN82" s="384">
        <f t="shared" si="70"/>
        <v>1.9157139144775038E-3</v>
      </c>
      <c r="AO82" s="385">
        <f t="shared" si="71"/>
        <v>6.3456613460149784E-4</v>
      </c>
      <c r="AP82" s="30"/>
      <c r="AQ82" s="28"/>
      <c r="AR82" s="28"/>
      <c r="AS82" s="29"/>
      <c r="AT82" s="29"/>
    </row>
    <row r="83" spans="1:46" s="302" customFormat="1" ht="15.75" customHeight="1">
      <c r="A83" s="202" t="s">
        <v>156</v>
      </c>
      <c r="B83" s="326">
        <v>101900839195.67999</v>
      </c>
      <c r="C83" s="326">
        <v>2.0137</v>
      </c>
      <c r="D83" s="326">
        <v>101928161772.24001</v>
      </c>
      <c r="E83" s="326">
        <v>2.0165000000000002</v>
      </c>
      <c r="F83" s="23">
        <f t="shared" si="50"/>
        <v>2.6812906327047342E-4</v>
      </c>
      <c r="G83" s="23">
        <f t="shared" si="51"/>
        <v>1.3904752445747309E-3</v>
      </c>
      <c r="H83" s="326">
        <v>108873034819.67999</v>
      </c>
      <c r="I83" s="326">
        <v>1.883</v>
      </c>
      <c r="J83" s="23">
        <f>((H83-D83)/D83)</f>
        <v>6.813497787744284E-2</v>
      </c>
      <c r="K83" s="23">
        <f>((I83-E83)/E83)</f>
        <v>-6.6203818497396566E-2</v>
      </c>
      <c r="L83" s="326">
        <v>102047324014.97</v>
      </c>
      <c r="M83" s="326">
        <v>1.8851</v>
      </c>
      <c r="N83" s="23">
        <f>((L83-H83)/H83)</f>
        <v>-6.2694227418341145E-2</v>
      </c>
      <c r="O83" s="23">
        <f>((M83-I83)/I83)</f>
        <v>1.1152416356877274E-3</v>
      </c>
      <c r="P83" s="326">
        <v>102115129443.03</v>
      </c>
      <c r="Q83" s="326">
        <v>1.8872</v>
      </c>
      <c r="R83" s="23">
        <f>((P83-L83)/L83)</f>
        <v>6.6445081940659935E-4</v>
      </c>
      <c r="S83" s="23">
        <f>((Q83-M83)/M83)</f>
        <v>1.1139992573338236E-3</v>
      </c>
      <c r="T83" s="326">
        <v>102212737743.98</v>
      </c>
      <c r="U83" s="326">
        <v>1.8893</v>
      </c>
      <c r="V83" s="23">
        <f>((T83-P83)/P83)</f>
        <v>9.5586522273815059E-4</v>
      </c>
      <c r="W83" s="23">
        <f>((U83-Q83)/Q83)</f>
        <v>1.112759643916909E-3</v>
      </c>
      <c r="X83" s="326">
        <v>101523901673.59</v>
      </c>
      <c r="Y83" s="326">
        <v>1.8914</v>
      </c>
      <c r="Z83" s="23">
        <f>((X83-T83)/T83)</f>
        <v>-6.7392390184810372E-3</v>
      </c>
      <c r="AA83" s="23">
        <f>((Y83-U83)/U83)</f>
        <v>1.1115227862171127E-3</v>
      </c>
      <c r="AB83" s="326">
        <v>101994658862.53999</v>
      </c>
      <c r="AC83" s="326">
        <v>1.8935</v>
      </c>
      <c r="AD83" s="23">
        <f>((AB83-X83)/X83)</f>
        <v>4.6369099413016129E-3</v>
      </c>
      <c r="AE83" s="23">
        <f>((AC83-Y83)/Y83)</f>
        <v>1.1102886750555096E-3</v>
      </c>
      <c r="AF83" s="326">
        <v>101813213395.22</v>
      </c>
      <c r="AG83" s="326">
        <v>1.8956</v>
      </c>
      <c r="AH83" s="23">
        <f>((AF83-AB83)/AB83)</f>
        <v>-1.7789702847531392E-3</v>
      </c>
      <c r="AI83" s="23">
        <f>((AG83-AC83)/AC83)</f>
        <v>1.1090573012938953E-3</v>
      </c>
      <c r="AJ83" s="24">
        <f t="shared" si="66"/>
        <v>4.3098702532304496E-4</v>
      </c>
      <c r="AK83" s="24">
        <f t="shared" si="67"/>
        <v>-7.267559244164605E-3</v>
      </c>
      <c r="AL83" s="25">
        <f t="shared" si="68"/>
        <v>-1.1277391353025489E-3</v>
      </c>
      <c r="AM83" s="25">
        <f t="shared" si="69"/>
        <v>-5.9955368212249054E-2</v>
      </c>
      <c r="AN83" s="384">
        <f t="shared" si="70"/>
        <v>3.5138431222503666E-2</v>
      </c>
      <c r="AO83" s="385">
        <f t="shared" si="71"/>
        <v>2.3814044146627588E-2</v>
      </c>
      <c r="AP83" s="30"/>
      <c r="AQ83" s="28"/>
      <c r="AR83" s="28"/>
      <c r="AS83" s="29"/>
      <c r="AT83" s="29"/>
    </row>
    <row r="84" spans="1:46" s="302" customFormat="1" ht="15.75" customHeight="1">
      <c r="A84" s="202" t="s">
        <v>49</v>
      </c>
      <c r="B84" s="326">
        <v>9612697205.5799999</v>
      </c>
      <c r="C84" s="327">
        <v>1</v>
      </c>
      <c r="D84" s="326">
        <v>9592351018.3799992</v>
      </c>
      <c r="E84" s="327">
        <v>1</v>
      </c>
      <c r="F84" s="23">
        <f t="shared" si="50"/>
        <v>-2.1165950372586543E-3</v>
      </c>
      <c r="G84" s="23">
        <f t="shared" si="51"/>
        <v>0</v>
      </c>
      <c r="H84" s="326">
        <v>9596445122.3099995</v>
      </c>
      <c r="I84" s="327">
        <v>1</v>
      </c>
      <c r="J84" s="23">
        <f>((H84-D84)/D84)</f>
        <v>4.2680922770190041E-4</v>
      </c>
      <c r="K84" s="23">
        <f>((I84-E84)/E84)</f>
        <v>0</v>
      </c>
      <c r="L84" s="326">
        <v>9587506111.8400002</v>
      </c>
      <c r="M84" s="327">
        <v>1</v>
      </c>
      <c r="N84" s="23">
        <f>((L84-H84)/H84)</f>
        <v>-9.3149185516809042E-4</v>
      </c>
      <c r="O84" s="23">
        <f>((M84-I84)/I84)</f>
        <v>0</v>
      </c>
      <c r="P84" s="326">
        <v>9616989727.2199993</v>
      </c>
      <c r="Q84" s="327">
        <v>1</v>
      </c>
      <c r="R84" s="23">
        <f>((P84-L84)/L84)</f>
        <v>3.0752121600828653E-3</v>
      </c>
      <c r="S84" s="23">
        <f>((Q84-M84)/M84)</f>
        <v>0</v>
      </c>
      <c r="T84" s="326">
        <v>9591117333.0599995</v>
      </c>
      <c r="U84" s="327">
        <v>1</v>
      </c>
      <c r="V84" s="23">
        <f>((T84-P84)/P84)</f>
        <v>-2.6902798998287821E-3</v>
      </c>
      <c r="W84" s="23">
        <f>((U84-Q84)/Q84)</f>
        <v>0</v>
      </c>
      <c r="X84" s="326">
        <v>9614453112.3299999</v>
      </c>
      <c r="Y84" s="327">
        <v>1</v>
      </c>
      <c r="Z84" s="23">
        <f>((X84-T84)/T84)</f>
        <v>2.4330615985234008E-3</v>
      </c>
      <c r="AA84" s="23">
        <f>((Y84-U84)/U84)</f>
        <v>0</v>
      </c>
      <c r="AB84" s="326">
        <v>9511271456.8299999</v>
      </c>
      <c r="AC84" s="327">
        <v>1</v>
      </c>
      <c r="AD84" s="23">
        <f>((AB84-X84)/X84)</f>
        <v>-1.0731931842038449E-2</v>
      </c>
      <c r="AE84" s="23">
        <f>((AC84-Y84)/Y84)</f>
        <v>0</v>
      </c>
      <c r="AF84" s="326">
        <v>9527980012.4899998</v>
      </c>
      <c r="AG84" s="327">
        <v>1</v>
      </c>
      <c r="AH84" s="23">
        <f>((AF84-AB84)/AB84)</f>
        <v>1.7567110491838094E-3</v>
      </c>
      <c r="AI84" s="23">
        <f>((AG84-AC84)/AC84)</f>
        <v>0</v>
      </c>
      <c r="AJ84" s="24">
        <f t="shared" si="66"/>
        <v>-1.0973130748502501E-3</v>
      </c>
      <c r="AK84" s="24">
        <f t="shared" si="67"/>
        <v>0</v>
      </c>
      <c r="AL84" s="25">
        <f t="shared" si="68"/>
        <v>-6.7106599588210927E-3</v>
      </c>
      <c r="AM84" s="25">
        <f t="shared" si="69"/>
        <v>0</v>
      </c>
      <c r="AN84" s="384">
        <f t="shared" si="70"/>
        <v>4.4202742182969067E-3</v>
      </c>
      <c r="AO84" s="385">
        <f t="shared" si="71"/>
        <v>0</v>
      </c>
      <c r="AP84" s="30"/>
      <c r="AQ84" s="28"/>
      <c r="AR84" s="28"/>
      <c r="AS84" s="29"/>
      <c r="AT84" s="29"/>
    </row>
    <row r="85" spans="1:46" s="108" customFormat="1" ht="15.75" customHeight="1">
      <c r="A85" s="202" t="s">
        <v>19</v>
      </c>
      <c r="B85" s="326">
        <v>2564396476.52</v>
      </c>
      <c r="C85" s="327">
        <v>24.290900000000001</v>
      </c>
      <c r="D85" s="326">
        <v>2567513920.6599998</v>
      </c>
      <c r="E85" s="327">
        <v>24.331099999999999</v>
      </c>
      <c r="F85" s="23">
        <f t="shared" si="50"/>
        <v>1.215663868104505E-3</v>
      </c>
      <c r="G85" s="23">
        <f t="shared" si="51"/>
        <v>1.6549407391244738E-3</v>
      </c>
      <c r="H85" s="326">
        <v>2564626168.6799998</v>
      </c>
      <c r="I85" s="327">
        <v>24.3658</v>
      </c>
      <c r="J85" s="23">
        <f>((H85-D85)/D85)</f>
        <v>-1.1247269028468207E-3</v>
      </c>
      <c r="K85" s="23">
        <f>((I85-E85)/E85)</f>
        <v>1.4261582912404635E-3</v>
      </c>
      <c r="L85" s="326">
        <v>2568682014.5999999</v>
      </c>
      <c r="M85" s="327">
        <v>24.4055</v>
      </c>
      <c r="N85" s="23">
        <f>((L85-H85)/H85)</f>
        <v>1.5814569661384995E-3</v>
      </c>
      <c r="O85" s="23">
        <f>((M85-I85)/I85)</f>
        <v>1.629332917449862E-3</v>
      </c>
      <c r="P85" s="326">
        <v>2556885129.46</v>
      </c>
      <c r="Q85" s="327">
        <v>24.434999999999999</v>
      </c>
      <c r="R85" s="23">
        <f>((P85-L85)/L85)</f>
        <v>-4.5925829172112995E-3</v>
      </c>
      <c r="S85" s="23">
        <f>((Q85-M85)/M85)</f>
        <v>1.2087439306713139E-3</v>
      </c>
      <c r="T85" s="326">
        <v>2559982736.77</v>
      </c>
      <c r="U85" s="327">
        <v>24.439900000000002</v>
      </c>
      <c r="V85" s="23">
        <f>((T85-P85)/P85)</f>
        <v>1.2114769155289115E-3</v>
      </c>
      <c r="W85" s="23">
        <f>((U85-Q85)/Q85)</f>
        <v>2.0053202373655787E-4</v>
      </c>
      <c r="X85" s="326">
        <v>2561002567.2800002</v>
      </c>
      <c r="Y85" s="327">
        <v>24.500599999999999</v>
      </c>
      <c r="Z85" s="23">
        <f>((X85-T85)/T85)</f>
        <v>3.9837397938353948E-4</v>
      </c>
      <c r="AA85" s="23">
        <f>((Y85-U85)/U85)</f>
        <v>2.4836435500962396E-3</v>
      </c>
      <c r="AB85" s="326">
        <v>2563055032.3699999</v>
      </c>
      <c r="AC85" s="327">
        <v>24.530999999999999</v>
      </c>
      <c r="AD85" s="23">
        <f>((AB85-X85)/X85)</f>
        <v>8.014303133555879E-4</v>
      </c>
      <c r="AE85" s="23">
        <f>((AC85-Y85)/Y85)</f>
        <v>1.2407859399361733E-3</v>
      </c>
      <c r="AF85" s="326">
        <v>2562690636.1999998</v>
      </c>
      <c r="AG85" s="327">
        <v>24.567499999999999</v>
      </c>
      <c r="AH85" s="23">
        <f>((AF85-AB85)/AB85)</f>
        <v>-1.4217258911648387E-4</v>
      </c>
      <c r="AI85" s="23">
        <f>((AG85-AC85)/AC85)</f>
        <v>1.487913252619143E-3</v>
      </c>
      <c r="AJ85" s="24">
        <f t="shared" si="66"/>
        <v>-8.1385045832945126E-5</v>
      </c>
      <c r="AK85" s="24">
        <f t="shared" si="67"/>
        <v>1.4165063306092786E-3</v>
      </c>
      <c r="AL85" s="25">
        <f t="shared" si="68"/>
        <v>-1.8785816198263006E-3</v>
      </c>
      <c r="AM85" s="25">
        <f t="shared" si="69"/>
        <v>9.7159602319664851E-3</v>
      </c>
      <c r="AN85" s="384">
        <f t="shared" si="70"/>
        <v>2.0203099749614112E-3</v>
      </c>
      <c r="AO85" s="385">
        <f t="shared" si="71"/>
        <v>6.3231507322586303E-4</v>
      </c>
      <c r="AP85" s="30"/>
      <c r="AQ85" s="28"/>
      <c r="AR85" s="28"/>
      <c r="AS85" s="29"/>
      <c r="AT85" s="29"/>
    </row>
    <row r="86" spans="1:46">
      <c r="A86" s="204" t="s">
        <v>42</v>
      </c>
      <c r="B86" s="76">
        <f>SUM(B56:B85)</f>
        <v>319908980259.00153</v>
      </c>
      <c r="C86" s="85"/>
      <c r="D86" s="76">
        <f>SUM(D56:D85)</f>
        <v>317665884188.13855</v>
      </c>
      <c r="E86" s="85"/>
      <c r="F86" s="23">
        <f>((D85-B86)/B86)</f>
        <v>-0.99197423617623581</v>
      </c>
      <c r="G86" s="23"/>
      <c r="H86" s="76">
        <f>SUM(H56:H85)</f>
        <v>327549421729.35663</v>
      </c>
      <c r="I86" s="85"/>
      <c r="J86" s="23">
        <f>((H85-D86)/D86)</f>
        <v>-0.99192665534344537</v>
      </c>
      <c r="K86" s="23"/>
      <c r="L86" s="76">
        <f>SUM(L56:L85)</f>
        <v>321409973646.99713</v>
      </c>
      <c r="M86" s="85"/>
      <c r="N86" s="23">
        <f>((L85-H86)/H86)</f>
        <v>-0.99215787956199664</v>
      </c>
      <c r="O86" s="23"/>
      <c r="P86" s="76">
        <f>SUM(P56:P85)</f>
        <v>320721885218.37311</v>
      </c>
      <c r="Q86" s="85"/>
      <c r="R86" s="23">
        <f>((P85-L86)/L86)</f>
        <v>-0.99204478597708912</v>
      </c>
      <c r="S86" s="23"/>
      <c r="T86" s="76">
        <f>SUM(T56:T85)</f>
        <v>309847018533.15375</v>
      </c>
      <c r="U86" s="85"/>
      <c r="V86" s="23">
        <f>((T85-P86)/P86)</f>
        <v>-0.99201806033589823</v>
      </c>
      <c r="W86" s="23"/>
      <c r="X86" s="76">
        <f>SUM(X56:X85)</f>
        <v>319728597414.12091</v>
      </c>
      <c r="Y86" s="85"/>
      <c r="Z86" s="23">
        <f>((X85-T86)/T86)</f>
        <v>-0.9917346225262903</v>
      </c>
      <c r="AA86" s="23"/>
      <c r="AB86" s="76">
        <f>SUM(AB56:AB85)</f>
        <v>320399612573.65601</v>
      </c>
      <c r="AC86" s="85"/>
      <c r="AD86" s="23">
        <f>((AB85-X86)/X86)</f>
        <v>-0.99198365409569456</v>
      </c>
      <c r="AE86" s="23"/>
      <c r="AF86" s="76">
        <f>SUM(AF56:AF85)</f>
        <v>320872331713.32611</v>
      </c>
      <c r="AG86" s="85"/>
      <c r="AH86" s="23">
        <f>((AF85-AB86)/AB86)</f>
        <v>-0.99200158010300066</v>
      </c>
      <c r="AI86" s="23"/>
      <c r="AJ86" s="24">
        <f t="shared" si="66"/>
        <v>-0.99198018426495627</v>
      </c>
      <c r="AK86" s="24"/>
      <c r="AL86" s="25">
        <f t="shared" si="68"/>
        <v>1.0093773630688441E-2</v>
      </c>
      <c r="AM86" s="25"/>
      <c r="AN86" s="384">
        <f t="shared" si="70"/>
        <v>1.2003256156794314E-4</v>
      </c>
      <c r="AO86" s="385"/>
      <c r="AP86" s="30"/>
      <c r="AQ86" s="40"/>
      <c r="AR86" s="13"/>
      <c r="AS86" s="29" t="e">
        <f>(#REF!/AQ86)-1</f>
        <v>#REF!</v>
      </c>
      <c r="AT86" s="29" t="e">
        <f>(#REF!/AR86)-1</f>
        <v>#REF!</v>
      </c>
    </row>
    <row r="87" spans="1:46" s="108" customFormat="1" ht="7.5" customHeight="1">
      <c r="A87" s="204"/>
      <c r="B87" s="85"/>
      <c r="C87" s="85"/>
      <c r="D87" s="85"/>
      <c r="E87" s="85"/>
      <c r="F87" s="23"/>
      <c r="G87" s="23"/>
      <c r="H87" s="85"/>
      <c r="I87" s="85"/>
      <c r="J87" s="23"/>
      <c r="K87" s="23"/>
      <c r="L87" s="85"/>
      <c r="M87" s="85"/>
      <c r="N87" s="23"/>
      <c r="O87" s="23"/>
      <c r="P87" s="85"/>
      <c r="Q87" s="85"/>
      <c r="R87" s="23"/>
      <c r="S87" s="23"/>
      <c r="T87" s="85"/>
      <c r="U87" s="85"/>
      <c r="V87" s="23"/>
      <c r="W87" s="23"/>
      <c r="X87" s="85"/>
      <c r="Y87" s="85"/>
      <c r="Z87" s="23"/>
      <c r="AA87" s="23"/>
      <c r="AB87" s="85"/>
      <c r="AC87" s="85"/>
      <c r="AD87" s="23"/>
      <c r="AE87" s="23"/>
      <c r="AF87" s="85"/>
      <c r="AG87" s="85"/>
      <c r="AH87" s="23"/>
      <c r="AI87" s="23"/>
      <c r="AJ87" s="24"/>
      <c r="AK87" s="24"/>
      <c r="AL87" s="25"/>
      <c r="AM87" s="25"/>
      <c r="AN87" s="384"/>
      <c r="AO87" s="385"/>
      <c r="AP87" s="30"/>
      <c r="AQ87" s="40"/>
      <c r="AR87" s="13"/>
      <c r="AS87" s="29"/>
      <c r="AT87" s="29"/>
    </row>
    <row r="88" spans="1:46" s="108" customFormat="1">
      <c r="A88" s="201" t="s">
        <v>194</v>
      </c>
      <c r="B88" s="85"/>
      <c r="C88" s="85"/>
      <c r="D88" s="85"/>
      <c r="E88" s="85"/>
      <c r="F88" s="23"/>
      <c r="G88" s="23"/>
      <c r="H88" s="85"/>
      <c r="I88" s="85"/>
      <c r="J88" s="23"/>
      <c r="K88" s="23"/>
      <c r="L88" s="85"/>
      <c r="M88" s="85"/>
      <c r="N88" s="23"/>
      <c r="O88" s="23"/>
      <c r="P88" s="85"/>
      <c r="Q88" s="85"/>
      <c r="R88" s="23"/>
      <c r="S88" s="23"/>
      <c r="T88" s="85"/>
      <c r="U88" s="85"/>
      <c r="V88" s="23"/>
      <c r="W88" s="23"/>
      <c r="X88" s="85"/>
      <c r="Y88" s="85"/>
      <c r="Z88" s="23"/>
      <c r="AA88" s="23"/>
      <c r="AB88" s="85"/>
      <c r="AC88" s="85"/>
      <c r="AD88" s="23"/>
      <c r="AE88" s="23"/>
      <c r="AF88" s="85"/>
      <c r="AG88" s="85"/>
      <c r="AH88" s="23"/>
      <c r="AI88" s="23"/>
      <c r="AJ88" s="24"/>
      <c r="AK88" s="24"/>
      <c r="AL88" s="25"/>
      <c r="AM88" s="25"/>
      <c r="AN88" s="384"/>
      <c r="AO88" s="385"/>
      <c r="AP88" s="30"/>
      <c r="AQ88" s="40"/>
      <c r="AR88" s="13"/>
      <c r="AS88" s="29"/>
      <c r="AT88" s="29"/>
    </row>
    <row r="89" spans="1:46" s="108" customFormat="1">
      <c r="A89" s="200" t="s">
        <v>195</v>
      </c>
      <c r="B89" s="85"/>
      <c r="C89" s="85"/>
      <c r="D89" s="85"/>
      <c r="E89" s="85"/>
      <c r="F89" s="23"/>
      <c r="G89" s="23"/>
      <c r="H89" s="85"/>
      <c r="I89" s="85"/>
      <c r="J89" s="23"/>
      <c r="K89" s="23"/>
      <c r="L89" s="85"/>
      <c r="M89" s="85"/>
      <c r="N89" s="23"/>
      <c r="O89" s="23"/>
      <c r="P89" s="85"/>
      <c r="Q89" s="85"/>
      <c r="R89" s="23"/>
      <c r="S89" s="23"/>
      <c r="T89" s="85"/>
      <c r="U89" s="85"/>
      <c r="V89" s="23"/>
      <c r="W89" s="23"/>
      <c r="X89" s="85"/>
      <c r="Y89" s="85"/>
      <c r="Z89" s="23"/>
      <c r="AA89" s="23"/>
      <c r="AB89" s="85"/>
      <c r="AC89" s="85"/>
      <c r="AD89" s="23"/>
      <c r="AE89" s="23"/>
      <c r="AF89" s="85"/>
      <c r="AG89" s="85"/>
      <c r="AH89" s="23"/>
      <c r="AI89" s="23"/>
      <c r="AJ89" s="24"/>
      <c r="AK89" s="24"/>
      <c r="AL89" s="25"/>
      <c r="AM89" s="25"/>
      <c r="AN89" s="384"/>
      <c r="AO89" s="385"/>
      <c r="AP89" s="30"/>
      <c r="AQ89" s="40"/>
      <c r="AR89" s="13"/>
      <c r="AS89" s="29"/>
      <c r="AT89" s="29"/>
    </row>
    <row r="90" spans="1:46">
      <c r="A90" s="202" t="s">
        <v>144</v>
      </c>
      <c r="B90" s="326">
        <v>792240227.33000004</v>
      </c>
      <c r="C90" s="326">
        <f>108.6188*462.88</f>
        <v>50277.470143999999</v>
      </c>
      <c r="D90" s="326">
        <v>1009385874.39</v>
      </c>
      <c r="E90" s="326">
        <f>108.7447*588.95</f>
        <v>64045.191064999999</v>
      </c>
      <c r="F90" s="23">
        <f>((D103-B90)/B90)</f>
        <v>3.5477748605717219</v>
      </c>
      <c r="G90" s="23">
        <f t="shared" ref="G90:G99" si="72">((E90-C90)/C90)</f>
        <v>0.27383479879890116</v>
      </c>
      <c r="H90" s="326">
        <v>1274486249.7</v>
      </c>
      <c r="I90" s="326">
        <f>108.8704*742.77</f>
        <v>80865.667008000004</v>
      </c>
      <c r="J90" s="23">
        <f>((H103-D90)/D90)</f>
        <v>3.6666923188679283</v>
      </c>
      <c r="K90" s="23">
        <f t="shared" ref="K90:K99" si="73">((I90-E90)/E90)</f>
        <v>0.26263448766869574</v>
      </c>
      <c r="L90" s="326">
        <v>1327238436.2</v>
      </c>
      <c r="M90" s="326">
        <f>108.9958*770.38</f>
        <v>83968.184404</v>
      </c>
      <c r="N90" s="23">
        <f>((L103-H90)/H90)</f>
        <v>2.7793647503647914</v>
      </c>
      <c r="O90" s="23">
        <f t="shared" ref="O90:O99" si="74">((M90-I90)/I90)</f>
        <v>3.8366311820479573E-2</v>
      </c>
      <c r="P90" s="326">
        <v>1344517092.97</v>
      </c>
      <c r="Q90" s="326">
        <f>108.2525*786.68</f>
        <v>85160.076699999991</v>
      </c>
      <c r="R90" s="23">
        <f>((P103-L90)/L90)</f>
        <v>2.7059028894814343</v>
      </c>
      <c r="S90" s="23">
        <f t="shared" ref="S90:S99" si="75">((Q90-M90)/M90)</f>
        <v>1.419457029421268E-2</v>
      </c>
      <c r="T90" s="326">
        <v>1336163219.55</v>
      </c>
      <c r="U90" s="326">
        <f>109.1769*775.17</f>
        <v>84630.657573000004</v>
      </c>
      <c r="V90" s="23">
        <f>((T103-P90)/P90)</f>
        <v>2.6186495328774222</v>
      </c>
      <c r="W90" s="23">
        <f t="shared" ref="W90:W99" si="76">((U90-Q90)/Q90)</f>
        <v>-6.2167525854281728E-3</v>
      </c>
      <c r="X90" s="326">
        <v>1332265977</v>
      </c>
      <c r="Y90" s="326">
        <f>109.3654*770.39</f>
        <v>84254.010505999991</v>
      </c>
      <c r="Z90" s="23">
        <f>((X103-T90)/T90)</f>
        <v>2.5982242721797877</v>
      </c>
      <c r="AA90" s="23">
        <f t="shared" ref="AA90:AA99" si="77">((Y90-U90)/U90)</f>
        <v>-4.4504802136876645E-3</v>
      </c>
      <c r="AB90" s="326">
        <v>1327789872.3599999</v>
      </c>
      <c r="AC90" s="326">
        <f>107.4889*759.9</f>
        <v>81680.815109999996</v>
      </c>
      <c r="AD90" s="23">
        <f>((AB103-X90)/X90)</f>
        <v>2.5732777964388411</v>
      </c>
      <c r="AE90" s="23">
        <f t="shared" ref="AE90:AE99" si="78">((AC90-Y90)/Y90)</f>
        <v>-3.0540924764842502E-2</v>
      </c>
      <c r="AF90" s="326">
        <v>1318076094.02</v>
      </c>
      <c r="AG90" s="326">
        <f>107.5861*750.115</f>
        <v>80701.947401500001</v>
      </c>
      <c r="AH90" s="23">
        <f>((AF103-AB90)/AB90)</f>
        <v>2.442750129609371</v>
      </c>
      <c r="AI90" s="23">
        <f t="shared" ref="AI90:AI99" si="79">((AG90-AC90)/AC90)</f>
        <v>-1.1984059012899761E-2</v>
      </c>
      <c r="AJ90" s="24">
        <f t="shared" si="66"/>
        <v>2.8665795687989122</v>
      </c>
      <c r="AK90" s="24">
        <f t="shared" si="67"/>
        <v>6.6979744000678867E-2</v>
      </c>
      <c r="AL90" s="25">
        <f t="shared" si="68"/>
        <v>0.30581983309064048</v>
      </c>
      <c r="AM90" s="25">
        <f t="shared" si="69"/>
        <v>0.26007817385687743</v>
      </c>
      <c r="AN90" s="384">
        <f t="shared" si="70"/>
        <v>0.46854974569200497</v>
      </c>
      <c r="AO90" s="385">
        <f t="shared" si="71"/>
        <v>0.12585726753881732</v>
      </c>
      <c r="AP90" s="30"/>
      <c r="AQ90" s="49">
        <v>31507613595.857655</v>
      </c>
      <c r="AR90" s="49">
        <v>11.808257597614354</v>
      </c>
      <c r="AS90" s="29" t="e">
        <f>(#REF!/AQ90)-1</f>
        <v>#REF!</v>
      </c>
      <c r="AT90" s="29" t="e">
        <f>(#REF!/AR90)-1</f>
        <v>#REF!</v>
      </c>
    </row>
    <row r="91" spans="1:46">
      <c r="A91" s="202" t="s">
        <v>145</v>
      </c>
      <c r="B91" s="326">
        <f>11659795.11*462.88</f>
        <v>5397085960.5167999</v>
      </c>
      <c r="C91" s="326">
        <f>1.1539*462.88</f>
        <v>534.11723199999994</v>
      </c>
      <c r="D91" s="326">
        <f>11684243.38*589.45</f>
        <v>6887277260.3410006</v>
      </c>
      <c r="E91" s="326">
        <f>1.1265*589.45</f>
        <v>664.01542500000005</v>
      </c>
      <c r="F91" s="23">
        <f>((D104-B91)/B91)</f>
        <v>0.30236253085673276</v>
      </c>
      <c r="G91" s="23">
        <f t="shared" si="72"/>
        <v>0.24320165165538063</v>
      </c>
      <c r="H91" s="326">
        <f>11794314.09*742.77</f>
        <v>8760462676.6292992</v>
      </c>
      <c r="I91" s="326">
        <f>1.1397*742.77</f>
        <v>846.53496899999993</v>
      </c>
      <c r="J91" s="23">
        <f>((H104-D91)/D91)</f>
        <v>-1.2688112660165207E-2</v>
      </c>
      <c r="K91" s="23">
        <f t="shared" si="73"/>
        <v>0.27487244592247218</v>
      </c>
      <c r="L91" s="326">
        <f>11518943.61*770.38</f>
        <v>8873963778.2717991</v>
      </c>
      <c r="M91" s="326">
        <f>1.1409*770.38</f>
        <v>878.92654200000004</v>
      </c>
      <c r="N91" s="23">
        <f>((L104-H91)/H91)</f>
        <v>-7.2866155581283606E-2</v>
      </c>
      <c r="O91" s="23">
        <f t="shared" si="74"/>
        <v>3.826371524647567E-2</v>
      </c>
      <c r="P91" s="326">
        <f>11535371.33*786.68</f>
        <v>9074645917.8843994</v>
      </c>
      <c r="Q91" s="326">
        <f>1.1421*786.68</f>
        <v>898.46722799999986</v>
      </c>
      <c r="R91" s="23">
        <f>((P104-L91)/L91)</f>
        <v>-7.1573109140579738E-2</v>
      </c>
      <c r="S91" s="23">
        <f t="shared" si="75"/>
        <v>2.2232444995386E-2</v>
      </c>
      <c r="T91" s="326">
        <f>10990681.69*775.17</f>
        <v>8519646725.6372995</v>
      </c>
      <c r="U91" s="326">
        <f>1.1433*775.17</f>
        <v>886.25186099999996</v>
      </c>
      <c r="V91" s="23">
        <f>((T104-P91)/P91)</f>
        <v>-0.14609167292264674</v>
      </c>
      <c r="W91" s="23">
        <f t="shared" si="76"/>
        <v>-1.3595784709022134E-2</v>
      </c>
      <c r="X91" s="326">
        <f>10753033.18*770.39</f>
        <v>8284029231.5401993</v>
      </c>
      <c r="Y91" s="326">
        <f>1.1445*770.39</f>
        <v>881.71135500000003</v>
      </c>
      <c r="Z91" s="23">
        <f>((X104-T91)/T91)</f>
        <v>-5.0681357042418905E-2</v>
      </c>
      <c r="AA91" s="23">
        <f t="shared" si="77"/>
        <v>-5.1232682263444487E-3</v>
      </c>
      <c r="AB91" s="326">
        <f>10769596.39*759.39</f>
        <v>8178323802.6021004</v>
      </c>
      <c r="AC91" s="326">
        <f>1.1458*759.39</f>
        <v>870.10906199999988</v>
      </c>
      <c r="AD91" s="23">
        <f>((AB104-X91)/X91)</f>
        <v>-3.3930003142678432E-2</v>
      </c>
      <c r="AE91" s="23">
        <f t="shared" si="78"/>
        <v>-1.3158833595831535E-2</v>
      </c>
      <c r="AF91" s="326">
        <f>10940376.08*750.11</f>
        <v>8206485501.3688002</v>
      </c>
      <c r="AG91" s="326">
        <f>1.147*750.11</f>
        <v>860.37617</v>
      </c>
      <c r="AH91" s="23">
        <f>((AF104-AB91)/AB91)</f>
        <v>-6.0000228428822352E-3</v>
      </c>
      <c r="AI91" s="23">
        <f t="shared" si="79"/>
        <v>-1.1185829943694898E-2</v>
      </c>
      <c r="AJ91" s="24">
        <f t="shared" si="66"/>
        <v>-1.1433487809490267E-2</v>
      </c>
      <c r="AK91" s="24">
        <f t="shared" si="67"/>
        <v>6.6938317668102681E-2</v>
      </c>
      <c r="AL91" s="25">
        <f t="shared" si="68"/>
        <v>0.19154278115449114</v>
      </c>
      <c r="AM91" s="25">
        <f t="shared" si="69"/>
        <v>0.29571714392026349</v>
      </c>
      <c r="AN91" s="384">
        <f t="shared" si="70"/>
        <v>0.13420086221708796</v>
      </c>
      <c r="AO91" s="385">
        <f t="shared" si="71"/>
        <v>0.12031135937621083</v>
      </c>
      <c r="AP91" s="30"/>
      <c r="AQ91" s="40">
        <f>SUM(AQ90:AQ90)</f>
        <v>31507613595.857655</v>
      </c>
      <c r="AR91" s="13"/>
      <c r="AS91" s="29" t="e">
        <f>(#REF!/AQ91)-1</f>
        <v>#REF!</v>
      </c>
      <c r="AT91" s="29" t="e">
        <f>(#REF!/AR91)-1</f>
        <v>#REF!</v>
      </c>
    </row>
    <row r="92" spans="1:46">
      <c r="A92" s="202" t="s">
        <v>170</v>
      </c>
      <c r="B92" s="326">
        <v>1122848825.0646</v>
      </c>
      <c r="C92" s="326">
        <v>48065.805006000002</v>
      </c>
      <c r="D92" s="326">
        <v>1430072390.3730001</v>
      </c>
      <c r="E92" s="326">
        <v>61217.152914999999</v>
      </c>
      <c r="F92" s="23">
        <f t="shared" ref="F92:F97" si="80">((D92-B92)/B92)</f>
        <v>0.27361080000304128</v>
      </c>
      <c r="G92" s="23">
        <f t="shared" si="72"/>
        <v>0.27361131073032746</v>
      </c>
      <c r="H92" s="326">
        <v>1805383438.0857</v>
      </c>
      <c r="I92" s="326">
        <v>77283.059116999997</v>
      </c>
      <c r="J92" s="23">
        <f>((H92-D92)/D92)</f>
        <v>0.26244199261465989</v>
      </c>
      <c r="K92" s="23">
        <f t="shared" si="73"/>
        <v>0.26244125113605832</v>
      </c>
      <c r="L92" s="326">
        <v>1874623925.7504001</v>
      </c>
      <c r="M92" s="326">
        <v>80247.06624</v>
      </c>
      <c r="N92" s="23">
        <f>((L92-H92)/H92)</f>
        <v>3.8352233771523747E-2</v>
      </c>
      <c r="O92" s="23">
        <f t="shared" si="74"/>
        <v>3.8352611256145384E-2</v>
      </c>
      <c r="P92" s="326">
        <v>1912043563.2711997</v>
      </c>
      <c r="Q92" s="326">
        <v>82132.629403999992</v>
      </c>
      <c r="R92" s="23">
        <f>((P92-L92)/L92)</f>
        <v>1.9961143676228709E-2</v>
      </c>
      <c r="S92" s="23">
        <f t="shared" si="75"/>
        <v>2.3496973189782645E-2</v>
      </c>
      <c r="T92" s="326">
        <v>1945887097.45</v>
      </c>
      <c r="U92" s="326">
        <v>81017.490000000005</v>
      </c>
      <c r="V92" s="23">
        <f>((T92-P92)/P92)</f>
        <v>1.770018990618576E-2</v>
      </c>
      <c r="W92" s="23">
        <f t="shared" si="76"/>
        <v>-1.3577300667128986E-2</v>
      </c>
      <c r="X92" s="326">
        <v>1937762741.9547598</v>
      </c>
      <c r="Y92" s="326">
        <v>80601.918261900006</v>
      </c>
      <c r="Z92" s="23">
        <f>((X92-T92)/T92)</f>
        <v>-4.1751422813208561E-3</v>
      </c>
      <c r="AA92" s="23">
        <f t="shared" si="77"/>
        <v>-5.129407713075281E-3</v>
      </c>
      <c r="AB92" s="326">
        <v>1912497976.0139999</v>
      </c>
      <c r="AC92" s="326">
        <v>79551.043380000003</v>
      </c>
      <c r="AD92" s="23">
        <f>((AB92-X92)/X92)</f>
        <v>-1.3038111113269482E-2</v>
      </c>
      <c r="AE92" s="23">
        <f t="shared" si="78"/>
        <v>-1.3037839601849085E-2</v>
      </c>
      <c r="AF92" s="326">
        <v>1890950554.0209002</v>
      </c>
      <c r="AG92" s="326">
        <v>78654.769066499997</v>
      </c>
      <c r="AH92" s="23">
        <f>((AF92-AB92)/AB92)</f>
        <v>-1.1266637802152611E-2</v>
      </c>
      <c r="AI92" s="23">
        <f t="shared" si="79"/>
        <v>-1.1266656921376579E-2</v>
      </c>
      <c r="AJ92" s="24">
        <f t="shared" si="66"/>
        <v>7.2948308596862049E-2</v>
      </c>
      <c r="AK92" s="24">
        <f t="shared" si="67"/>
        <v>6.936136767611048E-2</v>
      </c>
      <c r="AL92" s="25">
        <f t="shared" si="68"/>
        <v>0.32227610766451553</v>
      </c>
      <c r="AM92" s="25">
        <f t="shared" si="69"/>
        <v>0.28484853217058498</v>
      </c>
      <c r="AN92" s="384">
        <f t="shared" si="70"/>
        <v>0.12169283500764956</v>
      </c>
      <c r="AO92" s="385">
        <f t="shared" si="71"/>
        <v>0.12408589900665543</v>
      </c>
      <c r="AP92" s="30"/>
      <c r="AQ92" s="40"/>
      <c r="AR92" s="13"/>
      <c r="AS92" s="29" t="e">
        <f>(#REF!/AQ92)-1</f>
        <v>#REF!</v>
      </c>
      <c r="AT92" s="29" t="e">
        <f>(#REF!/AR92)-1</f>
        <v>#REF!</v>
      </c>
    </row>
    <row r="93" spans="1:46">
      <c r="A93" s="202" t="s">
        <v>238</v>
      </c>
      <c r="B93" s="326">
        <v>13477414947.799999</v>
      </c>
      <c r="C93" s="326">
        <v>58448.25</v>
      </c>
      <c r="D93" s="326">
        <v>18912307316.380001</v>
      </c>
      <c r="E93" s="326">
        <v>82097.61</v>
      </c>
      <c r="F93" s="23">
        <f t="shared" si="80"/>
        <v>0.40325925925929679</v>
      </c>
      <c r="G93" s="23">
        <f t="shared" si="72"/>
        <v>0.40462049761968921</v>
      </c>
      <c r="H93" s="326">
        <v>21968043746.759998</v>
      </c>
      <c r="I93" s="326">
        <v>95470.27</v>
      </c>
      <c r="J93" s="23">
        <f>((H93-D93)/D93)</f>
        <v>0.16157396235484264</v>
      </c>
      <c r="K93" s="23">
        <f t="shared" si="73"/>
        <v>0.16288732400370734</v>
      </c>
      <c r="L93" s="326">
        <v>21941802007.599998</v>
      </c>
      <c r="M93" s="326">
        <v>95356.23</v>
      </c>
      <c r="N93" s="23">
        <f>((L93-H93)/H93)</f>
        <v>-1.1945414649800197E-3</v>
      </c>
      <c r="O93" s="23">
        <f t="shared" si="74"/>
        <v>-1.1945079866225177E-3</v>
      </c>
      <c r="P93" s="326">
        <v>22160007773.43</v>
      </c>
      <c r="Q93" s="326">
        <v>96529.83</v>
      </c>
      <c r="R93" s="23">
        <f>((P93-L93)/L93)</f>
        <v>9.9447513816058371E-3</v>
      </c>
      <c r="S93" s="23">
        <f t="shared" si="75"/>
        <v>1.2307533550770683E-2</v>
      </c>
      <c r="T93" s="326">
        <v>22930145770.439999</v>
      </c>
      <c r="U93" s="326">
        <v>96529.83</v>
      </c>
      <c r="V93" s="23">
        <f>((T93-P93)/P93)</f>
        <v>3.4753507529604703E-2</v>
      </c>
      <c r="W93" s="23">
        <f t="shared" si="76"/>
        <v>0</v>
      </c>
      <c r="X93" s="326">
        <v>22186249512.580002</v>
      </c>
      <c r="Y93" s="326">
        <v>96877.48</v>
      </c>
      <c r="Z93" s="23">
        <f>((X93-T93)/T93)</f>
        <v>-3.2441846000777624E-2</v>
      </c>
      <c r="AA93" s="23">
        <f t="shared" si="77"/>
        <v>3.6014773878706111E-3</v>
      </c>
      <c r="AB93" s="326">
        <v>22127490835.77</v>
      </c>
      <c r="AC93" s="326">
        <v>96752.79</v>
      </c>
      <c r="AD93" s="23">
        <f>((AB93-X93)/X93)</f>
        <v>-2.64842765680987E-3</v>
      </c>
      <c r="AE93" s="23">
        <f t="shared" si="78"/>
        <v>-1.287089631150628E-3</v>
      </c>
      <c r="AF93" s="326">
        <v>21195053386.790001</v>
      </c>
      <c r="AG93" s="326">
        <v>92779.72</v>
      </c>
      <c r="AH93" s="23">
        <f>((AF93-AB93)/AB93)</f>
        <v>-4.2139321439585729E-2</v>
      </c>
      <c r="AI93" s="23">
        <f t="shared" si="79"/>
        <v>-4.1064138822249907E-2</v>
      </c>
      <c r="AJ93" s="24">
        <f t="shared" si="66"/>
        <v>6.6388417995399601E-2</v>
      </c>
      <c r="AK93" s="24">
        <f t="shared" si="67"/>
        <v>6.7483887015251834E-2</v>
      </c>
      <c r="AL93" s="25">
        <f t="shared" si="68"/>
        <v>0.12070161679494851</v>
      </c>
      <c r="AM93" s="25">
        <f t="shared" si="69"/>
        <v>0.13011474999089498</v>
      </c>
      <c r="AN93" s="384">
        <f t="shared" si="70"/>
        <v>0.15005148658533829</v>
      </c>
      <c r="AO93" s="385">
        <f t="shared" si="71"/>
        <v>0.1491266098365201</v>
      </c>
      <c r="AP93" s="30"/>
      <c r="AQ93" s="28">
        <v>885354617.76999998</v>
      </c>
      <c r="AR93" s="28">
        <v>1763.14</v>
      </c>
      <c r="AS93" s="29" t="e">
        <f>(#REF!/AQ93)-1</f>
        <v>#REF!</v>
      </c>
      <c r="AT93" s="29" t="e">
        <f>(#REF!/AR93)-1</f>
        <v>#REF!</v>
      </c>
    </row>
    <row r="94" spans="1:46" s="368" customFormat="1">
      <c r="A94" s="202" t="s">
        <v>266</v>
      </c>
      <c r="B94" s="326">
        <v>8220705391.6599998</v>
      </c>
      <c r="C94" s="326">
        <v>51351.3</v>
      </c>
      <c r="D94" s="326">
        <v>11797150548.02</v>
      </c>
      <c r="E94" s="326">
        <v>72198.429999999993</v>
      </c>
      <c r="F94" s="23">
        <f t="shared" si="80"/>
        <v>0.43505331792918223</v>
      </c>
      <c r="G94" s="23">
        <f t="shared" si="72"/>
        <v>0.40597083228662156</v>
      </c>
      <c r="H94" s="326">
        <v>13829499913.58</v>
      </c>
      <c r="I94" s="326">
        <v>84025.55</v>
      </c>
      <c r="J94" s="23">
        <f>((H94-D94)/D94)</f>
        <v>0.17227459777574028</v>
      </c>
      <c r="K94" s="23">
        <f t="shared" si="73"/>
        <v>0.16381408847810142</v>
      </c>
      <c r="L94" s="326">
        <v>13801704321.75</v>
      </c>
      <c r="M94" s="326">
        <v>83925.18</v>
      </c>
      <c r="N94" s="23">
        <f>((L94-H94)/H94)</f>
        <v>-2.0098768577094966E-3</v>
      </c>
      <c r="O94" s="23">
        <f t="shared" si="74"/>
        <v>-1.1945176199383389E-3</v>
      </c>
      <c r="P94" s="326">
        <v>15343617291.120001</v>
      </c>
      <c r="Q94" s="326">
        <v>85086.09</v>
      </c>
      <c r="R94" s="23">
        <f>((P94-L94)/L94)</f>
        <v>0.11171902639155311</v>
      </c>
      <c r="S94" s="23">
        <f t="shared" si="75"/>
        <v>1.383267810685665E-2</v>
      </c>
      <c r="T94" s="326">
        <v>16593265112.24</v>
      </c>
      <c r="U94" s="326">
        <v>85086.09</v>
      </c>
      <c r="V94" s="23">
        <f>((T94-P94)/P94)</f>
        <v>8.1444146931585873E-2</v>
      </c>
      <c r="W94" s="23">
        <f t="shared" si="76"/>
        <v>0</v>
      </c>
      <c r="X94" s="326">
        <v>16221466335.26</v>
      </c>
      <c r="Y94" s="326">
        <v>85505.75</v>
      </c>
      <c r="Z94" s="23">
        <f>((X94-T94)/T94)</f>
        <v>-2.2406607407588677E-2</v>
      </c>
      <c r="AA94" s="23">
        <f t="shared" si="77"/>
        <v>4.9321810415780473E-3</v>
      </c>
      <c r="AB94" s="326">
        <v>16339871052.09</v>
      </c>
      <c r="AC94" s="326">
        <v>85442.21</v>
      </c>
      <c r="AD94" s="23">
        <f>((AB94-X94)/X94)</f>
        <v>7.2992610151788795E-3</v>
      </c>
      <c r="AE94" s="23">
        <f t="shared" si="78"/>
        <v>-7.4310791964275617E-4</v>
      </c>
      <c r="AF94" s="326">
        <v>15790237851.65</v>
      </c>
      <c r="AG94" s="326">
        <v>81975.48</v>
      </c>
      <c r="AH94" s="23">
        <f>((AF94-AB94)/AB94)</f>
        <v>-3.3637548221024549E-2</v>
      </c>
      <c r="AI94" s="23">
        <f t="shared" si="79"/>
        <v>-4.0573973917575522E-2</v>
      </c>
      <c r="AJ94" s="24">
        <f t="shared" si="66"/>
        <v>9.3717039694614701E-2</v>
      </c>
      <c r="AK94" s="24">
        <f t="shared" si="67"/>
        <v>6.8254772557000118E-2</v>
      </c>
      <c r="AL94" s="25">
        <f t="shared" si="68"/>
        <v>0.3384789646767869</v>
      </c>
      <c r="AM94" s="25">
        <f t="shared" si="69"/>
        <v>0.13541914969619151</v>
      </c>
      <c r="AN94" s="384">
        <f t="shared" si="70"/>
        <v>0.1556057324028943</v>
      </c>
      <c r="AO94" s="385">
        <f t="shared" si="71"/>
        <v>0.14939953923794141</v>
      </c>
      <c r="AP94" s="30"/>
      <c r="AQ94" s="28"/>
      <c r="AR94" s="28"/>
      <c r="AS94" s="29"/>
      <c r="AT94" s="29"/>
    </row>
    <row r="95" spans="1:46">
      <c r="A95" s="202" t="s">
        <v>235</v>
      </c>
      <c r="B95" s="326">
        <f>84634.53*462.9</f>
        <v>39177323.936999999</v>
      </c>
      <c r="C95" s="326">
        <f>102.03*462.9</f>
        <v>47229.686999999998</v>
      </c>
      <c r="D95" s="326">
        <f>84686.24*589.45</f>
        <v>49918304.168000005</v>
      </c>
      <c r="E95" s="326">
        <f>102.09*589.45</f>
        <v>60176.950500000006</v>
      </c>
      <c r="F95" s="23">
        <f t="shared" si="80"/>
        <v>0.27416319318471799</v>
      </c>
      <c r="G95" s="23">
        <f t="shared" si="72"/>
        <v>0.27413401024656397</v>
      </c>
      <c r="H95" s="326">
        <f>80066.12*743.27</f>
        <v>59510745.012399994</v>
      </c>
      <c r="I95" s="326">
        <f>101.32*743.27</f>
        <v>75308.116399999999</v>
      </c>
      <c r="J95" s="23">
        <f>((H95-D95)/D95)</f>
        <v>0.19216279487613677</v>
      </c>
      <c r="K95" s="23">
        <f t="shared" si="73"/>
        <v>0.25144454436919317</v>
      </c>
      <c r="L95" s="326">
        <f>80095.63*770.88</f>
        <v>61744119.2544</v>
      </c>
      <c r="M95" s="326">
        <f>101.35*770.88</f>
        <v>78128.687999999995</v>
      </c>
      <c r="N95" s="23">
        <f>((L95-H95)/H95)</f>
        <v>3.752892425619353E-2</v>
      </c>
      <c r="O95" s="23">
        <f t="shared" si="74"/>
        <v>3.7453753125605935E-2</v>
      </c>
      <c r="P95" s="326">
        <f>80125.13*787.18</f>
        <v>63072899.833399996</v>
      </c>
      <c r="Q95" s="326">
        <f>101.39*787.18</f>
        <v>79812.180200000003</v>
      </c>
      <c r="R95" s="23">
        <f>((P95-L95)/L95)</f>
        <v>2.1520763354403259E-2</v>
      </c>
      <c r="S95" s="23">
        <f t="shared" si="75"/>
        <v>2.1547682971458679E-2</v>
      </c>
      <c r="T95" s="326">
        <f>80125.13*775.67</f>
        <v>62150659.587099999</v>
      </c>
      <c r="U95" s="326">
        <f>101.39*775.67</f>
        <v>78645.181299999997</v>
      </c>
      <c r="V95" s="23">
        <f>((T95-P95)/P95)</f>
        <v>-1.4621814578622378E-2</v>
      </c>
      <c r="W95" s="23">
        <f t="shared" si="76"/>
        <v>-1.4621814578622499E-2</v>
      </c>
      <c r="X95" s="326">
        <f>80130.23*770.89</f>
        <v>61771593.004699998</v>
      </c>
      <c r="Y95" s="326">
        <f>101.4*770.89</f>
        <v>78168.245999999999</v>
      </c>
      <c r="Z95" s="23">
        <f>((X95-T95)/T95)</f>
        <v>-6.0991562264719823E-3</v>
      </c>
      <c r="AA95" s="23">
        <f t="shared" si="77"/>
        <v>-6.0643931658149464E-3</v>
      </c>
      <c r="AB95" s="326">
        <f>80112.8*759.9</f>
        <v>60877716.719999999</v>
      </c>
      <c r="AC95" s="326">
        <f>101.38*759.9</f>
        <v>77038.661999999997</v>
      </c>
      <c r="AD95" s="23">
        <f>((AB95-X95)/X95)</f>
        <v>-1.447066914126671E-2</v>
      </c>
      <c r="AE95" s="23">
        <f t="shared" si="78"/>
        <v>-1.4450676045615793E-2</v>
      </c>
      <c r="AF95" s="326">
        <f>80095.38*750.62</f>
        <v>60121194.135600001</v>
      </c>
      <c r="AG95" s="326">
        <f>101.35*750.62</f>
        <v>76075.337</v>
      </c>
      <c r="AH95" s="23">
        <f>((AF95-AB95)/AB95)</f>
        <v>-1.2426921132399496E-2</v>
      </c>
      <c r="AI95" s="23">
        <f t="shared" si="79"/>
        <v>-1.2504435759800672E-2</v>
      </c>
      <c r="AJ95" s="24">
        <f t="shared" si="66"/>
        <v>5.9719639324086388E-2</v>
      </c>
      <c r="AK95" s="24">
        <f t="shared" si="67"/>
        <v>6.7117333895370987E-2</v>
      </c>
      <c r="AL95" s="25">
        <f t="shared" si="68"/>
        <v>0.20439175844720564</v>
      </c>
      <c r="AM95" s="25">
        <f t="shared" si="69"/>
        <v>0.26419395412866581</v>
      </c>
      <c r="AN95" s="384">
        <f t="shared" si="70"/>
        <v>0.11087116260230949</v>
      </c>
      <c r="AO95" s="385">
        <f t="shared" si="71"/>
        <v>0.12236874363731973</v>
      </c>
      <c r="AP95" s="30"/>
      <c r="AQ95" s="33">
        <v>113791197</v>
      </c>
      <c r="AR95" s="32">
        <v>81.52</v>
      </c>
      <c r="AS95" s="29" t="e">
        <f>(#REF!/AQ95)-1</f>
        <v>#REF!</v>
      </c>
      <c r="AT95" s="29" t="e">
        <f>(#REF!/AR95)-1</f>
        <v>#REF!</v>
      </c>
    </row>
    <row r="96" spans="1:46">
      <c r="A96" s="202" t="s">
        <v>120</v>
      </c>
      <c r="B96" s="326">
        <v>5919393244.4200001</v>
      </c>
      <c r="C96" s="326">
        <v>462.88</v>
      </c>
      <c r="D96" s="326">
        <v>7169191969.5200005</v>
      </c>
      <c r="E96" s="326">
        <v>588.95000000000005</v>
      </c>
      <c r="F96" s="23">
        <f t="shared" si="80"/>
        <v>0.21113628939556278</v>
      </c>
      <c r="G96" s="23">
        <f t="shared" si="72"/>
        <v>0.27236000691323897</v>
      </c>
      <c r="H96" s="326">
        <v>9530705087.2399998</v>
      </c>
      <c r="I96" s="326">
        <v>742.77</v>
      </c>
      <c r="J96" s="23">
        <f t="shared" ref="J96" si="81">((H96-D96)/D96)</f>
        <v>0.32939738923996337</v>
      </c>
      <c r="K96" s="23">
        <f t="shared" si="73"/>
        <v>0.26117667034553005</v>
      </c>
      <c r="L96" s="326">
        <v>9918831535.8400002</v>
      </c>
      <c r="M96" s="326">
        <v>770.38</v>
      </c>
      <c r="N96" s="23">
        <f t="shared" ref="N96" si="82">((L96-H96)/H96)</f>
        <v>4.0723791686686009E-2</v>
      </c>
      <c r="O96" s="23">
        <f t="shared" si="74"/>
        <v>3.7171668214925228E-2</v>
      </c>
      <c r="P96" s="326">
        <v>10164567268.68</v>
      </c>
      <c r="Q96" s="326">
        <v>786.68</v>
      </c>
      <c r="R96" s="23">
        <f t="shared" ref="R96" si="83">((P96-L96)/L96)</f>
        <v>2.4774665438371056E-2</v>
      </c>
      <c r="S96" s="23">
        <f t="shared" si="75"/>
        <v>2.1158389366286709E-2</v>
      </c>
      <c r="T96" s="326">
        <v>10025172428.25</v>
      </c>
      <c r="U96" s="326">
        <v>775.173</v>
      </c>
      <c r="V96" s="23">
        <f t="shared" ref="V96" si="84">((T96-P96)/P96)</f>
        <v>-1.3713799785605878E-2</v>
      </c>
      <c r="W96" s="23">
        <f t="shared" si="76"/>
        <v>-1.462729445263633E-2</v>
      </c>
      <c r="X96" s="326">
        <v>9778947170.0699997</v>
      </c>
      <c r="Y96" s="326">
        <v>770.38900000000001</v>
      </c>
      <c r="Z96" s="23">
        <f t="shared" ref="Z96" si="85">((X96-T96)/T96)</f>
        <v>-2.4560700570711434E-2</v>
      </c>
      <c r="AA96" s="23">
        <f t="shared" si="77"/>
        <v>-6.1715255820313552E-3</v>
      </c>
      <c r="AB96" s="326">
        <v>9648436719.7999992</v>
      </c>
      <c r="AC96" s="326">
        <v>759.39599999999996</v>
      </c>
      <c r="AD96" s="23">
        <f t="shared" ref="AD96" si="86">((AB96-X96)/X96)</f>
        <v>-1.3346063538358009E-2</v>
      </c>
      <c r="AE96" s="23">
        <f t="shared" si="78"/>
        <v>-1.426941454252339E-2</v>
      </c>
      <c r="AF96" s="326">
        <v>9574438312.9699993</v>
      </c>
      <c r="AG96" s="326">
        <v>750.11500000000001</v>
      </c>
      <c r="AH96" s="23">
        <f t="shared" ref="AH96" si="87">((AF96-AB96)/AB96)</f>
        <v>-7.6694711256326533E-3</v>
      </c>
      <c r="AI96" s="23">
        <f t="shared" si="79"/>
        <v>-1.2221555025309522E-2</v>
      </c>
      <c r="AJ96" s="24">
        <f t="shared" si="66"/>
        <v>6.8342762592534412E-2</v>
      </c>
      <c r="AK96" s="24">
        <f t="shared" si="67"/>
        <v>6.8072118154685043E-2</v>
      </c>
      <c r="AL96" s="25">
        <f t="shared" si="68"/>
        <v>0.33549755030636147</v>
      </c>
      <c r="AM96" s="25">
        <f t="shared" si="69"/>
        <v>0.2736480176585448</v>
      </c>
      <c r="AN96" s="384">
        <f t="shared" si="70"/>
        <v>0.13039267777476676</v>
      </c>
      <c r="AO96" s="385">
        <f t="shared" si="71"/>
        <v>0.12407207511657245</v>
      </c>
      <c r="AP96" s="30"/>
      <c r="AQ96" s="28">
        <v>1066913090.3099999</v>
      </c>
      <c r="AR96" s="32">
        <v>1.1691</v>
      </c>
      <c r="AS96" s="29" t="e">
        <f>(#REF!/AQ96)-1</f>
        <v>#REF!</v>
      </c>
      <c r="AT96" s="29" t="e">
        <f>(#REF!/AR96)-1</f>
        <v>#REF!</v>
      </c>
    </row>
    <row r="97" spans="1:46" s="302" customFormat="1">
      <c r="A97" s="213" t="s">
        <v>249</v>
      </c>
      <c r="B97" s="326">
        <f>1871731.68*462.9</f>
        <v>866424594.67199993</v>
      </c>
      <c r="C97" s="326">
        <f>102*462.05</f>
        <v>47129.1</v>
      </c>
      <c r="D97" s="326">
        <f>2009282.34*589.45</f>
        <v>1184371475.3130002</v>
      </c>
      <c r="E97" s="326">
        <f>102.4*589.45</f>
        <v>60359.680000000008</v>
      </c>
      <c r="F97" s="23">
        <f t="shared" si="80"/>
        <v>0.36696428355818383</v>
      </c>
      <c r="G97" s="23">
        <f t="shared" si="72"/>
        <v>0.28073058895671699</v>
      </c>
      <c r="H97" s="326">
        <f>2020647.39*743.27</f>
        <v>1501886585.5653</v>
      </c>
      <c r="I97" s="326">
        <f>102.61*743.27</f>
        <v>76266.934699999998</v>
      </c>
      <c r="J97" s="23">
        <f>((H97-D97)/D97)</f>
        <v>0.26808743444989536</v>
      </c>
      <c r="K97" s="23">
        <f t="shared" si="73"/>
        <v>0.26354107079427835</v>
      </c>
      <c r="L97" s="326">
        <f>2046075.55*770.88</f>
        <v>1577278719.984</v>
      </c>
      <c r="M97" s="326">
        <f>102.81*770.88</f>
        <v>79254.1728</v>
      </c>
      <c r="N97" s="23">
        <f>((L97-H97)/H97)</f>
        <v>5.0198287369563853E-2</v>
      </c>
      <c r="O97" s="23">
        <f t="shared" si="74"/>
        <v>3.9168194077164119E-2</v>
      </c>
      <c r="P97" s="326">
        <f>2124436.15*787.18</f>
        <v>1672313648.5569999</v>
      </c>
      <c r="Q97" s="326">
        <f>101.42*787.18</f>
        <v>79835.795599999998</v>
      </c>
      <c r="R97" s="23">
        <f>((P97-L97)/L97)</f>
        <v>6.025246354300906E-2</v>
      </c>
      <c r="S97" s="23">
        <f t="shared" si="75"/>
        <v>7.3387025496782091E-3</v>
      </c>
      <c r="T97" s="326">
        <f>2177008.55*775.67</f>
        <v>1688640221.9784997</v>
      </c>
      <c r="U97" s="326">
        <f>101.63*775.67</f>
        <v>78831.342099999994</v>
      </c>
      <c r="V97" s="23">
        <f>((T97-P97)/P97)</f>
        <v>9.7628656176953071E-3</v>
      </c>
      <c r="W97" s="23">
        <f t="shared" si="76"/>
        <v>-1.2581492956274908E-2</v>
      </c>
      <c r="X97" s="326">
        <f>2540045.39*770.89</f>
        <v>1958095590.6971002</v>
      </c>
      <c r="Y97" s="326">
        <f>101.62*770.89</f>
        <v>78337.841800000009</v>
      </c>
      <c r="Z97" s="23">
        <f>((X97-T97)/T97)</f>
        <v>0.15956943652739269</v>
      </c>
      <c r="AA97" s="23">
        <f t="shared" si="77"/>
        <v>-6.26020421387682E-3</v>
      </c>
      <c r="AB97" s="326">
        <f>2603833.82*759.9</f>
        <v>1978653319.8179998</v>
      </c>
      <c r="AC97" s="326">
        <f>102.02*759.9</f>
        <v>77524.997999999992</v>
      </c>
      <c r="AD97" s="23">
        <f>((AB97-X97)/X97)</f>
        <v>1.0498838370592999E-2</v>
      </c>
      <c r="AE97" s="23">
        <f t="shared" si="78"/>
        <v>-1.0376132164519457E-2</v>
      </c>
      <c r="AF97" s="326">
        <f>2689935.68*750.62</f>
        <v>2019119520.1216002</v>
      </c>
      <c r="AG97" s="326">
        <f>102.18*750.62</f>
        <v>76698.351600000009</v>
      </c>
      <c r="AH97" s="23">
        <f>((AF97-AB97)/AB97)</f>
        <v>2.0451384736423897E-2</v>
      </c>
      <c r="AI97" s="23">
        <f t="shared" si="79"/>
        <v>-1.0662965770085971E-2</v>
      </c>
      <c r="AJ97" s="24">
        <f t="shared" si="66"/>
        <v>0.11822312427159465</v>
      </c>
      <c r="AK97" s="24">
        <f t="shared" si="67"/>
        <v>6.8862220159135054E-2</v>
      </c>
      <c r="AL97" s="25">
        <f t="shared" si="68"/>
        <v>0.70480255748138199</v>
      </c>
      <c r="AM97" s="25">
        <f t="shared" si="69"/>
        <v>0.27068850596954785</v>
      </c>
      <c r="AN97" s="384">
        <f t="shared" si="70"/>
        <v>0.13467231754911602</v>
      </c>
      <c r="AO97" s="385">
        <f t="shared" si="71"/>
        <v>0.12667978061199114</v>
      </c>
      <c r="AP97" s="30"/>
      <c r="AQ97" s="28"/>
      <c r="AR97" s="32"/>
      <c r="AS97" s="29"/>
      <c r="AT97" s="29"/>
    </row>
    <row r="98" spans="1:46" s="302" customFormat="1">
      <c r="A98" s="213" t="s">
        <v>127</v>
      </c>
      <c r="B98" s="326">
        <f>1671501.35*462.9</f>
        <v>773737974.91499996</v>
      </c>
      <c r="C98" s="326">
        <f>127.96*462.9</f>
        <v>59232.683999999994</v>
      </c>
      <c r="D98" s="326">
        <f>1696598.64*589.45</f>
        <v>1000060068.348</v>
      </c>
      <c r="E98" s="326">
        <f>126.2*589.45</f>
        <v>74388.590000000011</v>
      </c>
      <c r="F98" s="23">
        <f>((D110-B98)/B98)</f>
        <v>9.1181842619396392</v>
      </c>
      <c r="G98" s="23">
        <f t="shared" si="72"/>
        <v>0.25587066086689603</v>
      </c>
      <c r="H98" s="326">
        <f>1702290.92*743.27</f>
        <v>1265261772.1083999</v>
      </c>
      <c r="I98" s="326">
        <f>130.28*743.27</f>
        <v>96833.215599999996</v>
      </c>
      <c r="J98" s="23">
        <f>((H110-D98)/D98)</f>
        <v>10.042381233331328</v>
      </c>
      <c r="K98" s="23">
        <f t="shared" si="73"/>
        <v>0.30172134731952821</v>
      </c>
      <c r="L98" s="326">
        <f>1703890.93*770.88</f>
        <v>1313495440.1183999</v>
      </c>
      <c r="M98" s="326">
        <f>126.2*770.88</f>
        <v>97285.055999999997</v>
      </c>
      <c r="N98" s="23">
        <f>((L110-H98)/H98)</f>
        <v>8.0312891342464496</v>
      </c>
      <c r="O98" s="23">
        <f t="shared" si="74"/>
        <v>4.6661715941198273E-3</v>
      </c>
      <c r="P98" s="326">
        <f>1704948.86*787.18</f>
        <v>1342101643.6148</v>
      </c>
      <c r="Q98" s="326">
        <f>129.4*787.18</f>
        <v>101861.092</v>
      </c>
      <c r="R98" s="23">
        <f>((P110-L98)/L98)</f>
        <v>7.967563810475232</v>
      </c>
      <c r="S98" s="23">
        <f t="shared" si="75"/>
        <v>4.7037399043076127E-2</v>
      </c>
      <c r="T98" s="326">
        <f>1715533.68*775.67</f>
        <v>1330688009.5655999</v>
      </c>
      <c r="U98" s="326">
        <f>126.48*775.67</f>
        <v>98106.741599999994</v>
      </c>
      <c r="V98" s="23">
        <f>((T110-P98)/P98)</f>
        <v>8.0127325851943478</v>
      </c>
      <c r="W98" s="23">
        <f t="shared" si="76"/>
        <v>-3.6857551065720071E-2</v>
      </c>
      <c r="X98" s="326">
        <f>1718500.91*770.89</f>
        <v>1324775166.5098999</v>
      </c>
      <c r="Y98" s="326">
        <f>130.66*770.89</f>
        <v>100724.4874</v>
      </c>
      <c r="Z98" s="23">
        <f>((X110-T98)/T98)</f>
        <v>8.4766506440053195</v>
      </c>
      <c r="AA98" s="23">
        <f t="shared" si="77"/>
        <v>2.6682629117100395E-2</v>
      </c>
      <c r="AB98" s="326">
        <f>1734223.34*759.9</f>
        <v>1317836316.066</v>
      </c>
      <c r="AC98" s="326">
        <f>131.86*759.9</f>
        <v>100200.414</v>
      </c>
      <c r="AD98" s="23">
        <f>((AB110-X98)/X98)</f>
        <v>8.7574978502387282</v>
      </c>
      <c r="AE98" s="23">
        <f t="shared" si="78"/>
        <v>-5.2030386406314326E-3</v>
      </c>
      <c r="AF98" s="326">
        <f>1731751.7*750.62</f>
        <v>1299887461.0539999</v>
      </c>
      <c r="AG98" s="326">
        <f>131.72*750.62</f>
        <v>98871.666400000002</v>
      </c>
      <c r="AH98" s="23">
        <f>((AF110-AB98)/AB98)</f>
        <v>9.0815372790383915</v>
      </c>
      <c r="AI98" s="23">
        <f t="shared" si="79"/>
        <v>-1.3260899301274368E-2</v>
      </c>
      <c r="AJ98" s="24">
        <f t="shared" si="66"/>
        <v>8.6859795998086788</v>
      </c>
      <c r="AK98" s="24">
        <f t="shared" si="67"/>
        <v>7.2582089866636848E-2</v>
      </c>
      <c r="AL98" s="25">
        <f t="shared" si="68"/>
        <v>0.29980938365160897</v>
      </c>
      <c r="AM98" s="25">
        <f t="shared" si="69"/>
        <v>0.3291240820668867</v>
      </c>
      <c r="AN98" s="384">
        <f t="shared" si="70"/>
        <v>0.72012181564940236</v>
      </c>
      <c r="AO98" s="385">
        <f t="shared" si="71"/>
        <v>0.13031168309651497</v>
      </c>
      <c r="AP98" s="30"/>
      <c r="AQ98" s="28"/>
      <c r="AR98" s="32"/>
      <c r="AS98" s="29"/>
      <c r="AT98" s="29"/>
    </row>
    <row r="99" spans="1:46">
      <c r="A99" s="213" t="s">
        <v>164</v>
      </c>
      <c r="B99" s="326">
        <v>70083833814.229996</v>
      </c>
      <c r="C99" s="326">
        <v>60764.87</v>
      </c>
      <c r="D99" s="326">
        <v>100063914841.14</v>
      </c>
      <c r="E99" s="326">
        <v>85352.41</v>
      </c>
      <c r="F99" s="23">
        <f>((D111-B99)/B99)</f>
        <v>5.7133661102234257</v>
      </c>
      <c r="G99" s="23">
        <f t="shared" si="72"/>
        <v>0.40463412494752315</v>
      </c>
      <c r="H99" s="326">
        <v>115594181627.23</v>
      </c>
      <c r="I99" s="326">
        <v>92516.67</v>
      </c>
      <c r="J99" s="23">
        <f>((H111-D99)/D99)</f>
        <v>4.5016793932661558</v>
      </c>
      <c r="K99" s="23">
        <f t="shared" si="73"/>
        <v>8.3937407274147197E-2</v>
      </c>
      <c r="L99" s="326">
        <v>115362369025.59</v>
      </c>
      <c r="M99" s="326">
        <v>93090.25</v>
      </c>
      <c r="N99" s="23">
        <f>((L111-H99)/H99)</f>
        <v>3.7893685179320142</v>
      </c>
      <c r="O99" s="23">
        <f t="shared" si="74"/>
        <v>6.1997475698163558E-3</v>
      </c>
      <c r="P99" s="326">
        <v>115362369025.59</v>
      </c>
      <c r="Q99" s="326">
        <v>93090.25</v>
      </c>
      <c r="R99" s="23">
        <f>((P111-L99)/L99)</f>
        <v>3.8680805198543577</v>
      </c>
      <c r="S99" s="23">
        <f t="shared" si="75"/>
        <v>0</v>
      </c>
      <c r="T99" s="326">
        <v>120462231205.64999</v>
      </c>
      <c r="U99" s="326">
        <v>97485.98</v>
      </c>
      <c r="V99" s="23">
        <f>((T111-P99)/P99)</f>
        <v>4.0537515958371069</v>
      </c>
      <c r="W99" s="23">
        <f t="shared" si="76"/>
        <v>4.7220090181302507E-2</v>
      </c>
      <c r="X99" s="326">
        <v>116926790827.58</v>
      </c>
      <c r="Y99" s="326">
        <v>94421.36</v>
      </c>
      <c r="Z99" s="23">
        <f>((X111-T99)/T99)</f>
        <v>3.7196667842085351</v>
      </c>
      <c r="AA99" s="23">
        <f t="shared" si="77"/>
        <v>-3.1436520410422046E-2</v>
      </c>
      <c r="AB99" s="326">
        <v>116755317214.14</v>
      </c>
      <c r="AC99" s="326">
        <v>94269.04</v>
      </c>
      <c r="AD99" s="23">
        <f>((AB111-X99)/X99)</f>
        <v>3.8744753727278325</v>
      </c>
      <c r="AE99" s="23">
        <f t="shared" si="78"/>
        <v>-1.6131943026451534E-3</v>
      </c>
      <c r="AF99" s="326">
        <v>111790450090.59</v>
      </c>
      <c r="AG99" s="326">
        <v>90390.23</v>
      </c>
      <c r="AH99" s="23">
        <f>((AF111-AB99)/AB99)</f>
        <v>3.737455629233382</v>
      </c>
      <c r="AI99" s="23">
        <f t="shared" si="79"/>
        <v>-4.1146170577317835E-2</v>
      </c>
      <c r="AJ99" s="24">
        <f t="shared" si="66"/>
        <v>4.1572304904103516</v>
      </c>
      <c r="AK99" s="24">
        <f t="shared" si="67"/>
        <v>5.8474435585300522E-2</v>
      </c>
      <c r="AL99" s="25">
        <f t="shared" si="68"/>
        <v>0.11719045040429281</v>
      </c>
      <c r="AM99" s="25">
        <f t="shared" si="69"/>
        <v>5.9023758087205648E-2</v>
      </c>
      <c r="AN99" s="384">
        <f t="shared" si="70"/>
        <v>0.67796591986162258</v>
      </c>
      <c r="AO99" s="385">
        <f t="shared" si="71"/>
        <v>0.1455885713857516</v>
      </c>
      <c r="AP99" s="30"/>
      <c r="AQ99" s="28">
        <v>4173976375.3699999</v>
      </c>
      <c r="AR99" s="32">
        <v>299.53579999999999</v>
      </c>
      <c r="AS99" s="29" t="e">
        <f>(#REF!/AQ99)-1</f>
        <v>#REF!</v>
      </c>
      <c r="AT99" s="29" t="e">
        <f>(#REF!/AR99)-1</f>
        <v>#REF!</v>
      </c>
    </row>
    <row r="100" spans="1:46" ht="6.75" customHeight="1">
      <c r="A100" s="204"/>
      <c r="B100" s="85"/>
      <c r="C100" s="326"/>
      <c r="D100" s="85"/>
      <c r="E100" s="85"/>
      <c r="F100" s="23"/>
      <c r="G100" s="23"/>
      <c r="H100" s="85"/>
      <c r="I100" s="85"/>
      <c r="J100" s="23"/>
      <c r="K100" s="23"/>
      <c r="L100" s="85"/>
      <c r="M100" s="85"/>
      <c r="N100" s="23"/>
      <c r="O100" s="23"/>
      <c r="P100" s="85"/>
      <c r="Q100" s="85"/>
      <c r="R100" s="23"/>
      <c r="S100" s="23"/>
      <c r="T100" s="85"/>
      <c r="U100" s="85"/>
      <c r="V100" s="23"/>
      <c r="W100" s="23"/>
      <c r="X100" s="85"/>
      <c r="Y100" s="85"/>
      <c r="Z100" s="23"/>
      <c r="AA100" s="23"/>
      <c r="AB100" s="85"/>
      <c r="AC100" s="85"/>
      <c r="AD100" s="23"/>
      <c r="AE100" s="23"/>
      <c r="AF100" s="85"/>
      <c r="AG100" s="85"/>
      <c r="AH100" s="23"/>
      <c r="AI100" s="23"/>
      <c r="AJ100" s="24"/>
      <c r="AK100" s="24"/>
      <c r="AL100" s="25"/>
      <c r="AM100" s="25"/>
      <c r="AN100" s="384"/>
      <c r="AO100" s="385"/>
      <c r="AP100" s="30"/>
      <c r="AQ100" s="50">
        <v>4131236617.7600002</v>
      </c>
      <c r="AR100" s="48">
        <v>103.24</v>
      </c>
      <c r="AS100" s="29" t="e">
        <f>(#REF!/AQ100)-1</f>
        <v>#REF!</v>
      </c>
      <c r="AT100" s="29" t="e">
        <f>(#REF!/AR100)-1</f>
        <v>#REF!</v>
      </c>
    </row>
    <row r="101" spans="1:46">
      <c r="A101" s="200" t="s">
        <v>196</v>
      </c>
      <c r="B101" s="85"/>
      <c r="C101" s="85"/>
      <c r="D101" s="85"/>
      <c r="E101" s="85"/>
      <c r="F101" s="23"/>
      <c r="G101" s="23"/>
      <c r="H101" s="85"/>
      <c r="I101" s="85"/>
      <c r="J101" s="23"/>
      <c r="K101" s="23"/>
      <c r="L101" s="85"/>
      <c r="M101" s="85"/>
      <c r="N101" s="23"/>
      <c r="O101" s="23"/>
      <c r="P101" s="85"/>
      <c r="Q101" s="85"/>
      <c r="R101" s="23"/>
      <c r="S101" s="23"/>
      <c r="T101" s="85"/>
      <c r="U101" s="85"/>
      <c r="V101" s="23"/>
      <c r="W101" s="23"/>
      <c r="X101" s="85"/>
      <c r="Y101" s="85"/>
      <c r="Z101" s="23"/>
      <c r="AA101" s="23"/>
      <c r="AB101" s="85"/>
      <c r="AC101" s="85"/>
      <c r="AD101" s="23"/>
      <c r="AE101" s="23"/>
      <c r="AF101" s="85"/>
      <c r="AG101" s="85"/>
      <c r="AH101" s="23"/>
      <c r="AI101" s="23"/>
      <c r="AJ101" s="24"/>
      <c r="AK101" s="24"/>
      <c r="AL101" s="25"/>
      <c r="AM101" s="25"/>
      <c r="AN101" s="384"/>
      <c r="AO101" s="385"/>
      <c r="AP101" s="30"/>
      <c r="AQ101" s="45">
        <v>2931134847.0043802</v>
      </c>
      <c r="AR101" s="49">
        <v>2254.1853324818899</v>
      </c>
      <c r="AS101" s="29" t="e">
        <f>(#REF!/AQ101)-1</f>
        <v>#REF!</v>
      </c>
      <c r="AT101" s="29" t="e">
        <f>(#REF!/AR101)-1</f>
        <v>#REF!</v>
      </c>
    </row>
    <row r="102" spans="1:46">
      <c r="A102" s="202" t="s">
        <v>147</v>
      </c>
      <c r="B102" s="325">
        <v>405114500.13999999</v>
      </c>
      <c r="C102" s="326">
        <v>43668.800000000003</v>
      </c>
      <c r="D102" s="325">
        <v>419170905.30000001</v>
      </c>
      <c r="E102" s="326">
        <v>45183.35</v>
      </c>
      <c r="F102" s="23">
        <f t="shared" ref="F102:F110" si="88">((D102-B102)/B102)</f>
        <v>3.4697363720978626E-2</v>
      </c>
      <c r="G102" s="23">
        <f t="shared" ref="G102:G110" si="89">((E102-C102)/C102)</f>
        <v>3.4682656725167522E-2</v>
      </c>
      <c r="H102" s="325">
        <v>404929163.23000002</v>
      </c>
      <c r="I102" s="326">
        <v>44879.519999999997</v>
      </c>
      <c r="J102" s="23">
        <f t="shared" ref="J102:J109" si="90">((H102-D102)/D102)</f>
        <v>-3.3975979463095607E-2</v>
      </c>
      <c r="K102" s="23">
        <f t="shared" ref="K102:K109" si="91">((I102-E102)/E102)</f>
        <v>-6.724379666403703E-3</v>
      </c>
      <c r="L102" s="325">
        <v>672003049.42999995</v>
      </c>
      <c r="M102" s="326">
        <v>74477.78</v>
      </c>
      <c r="N102" s="23">
        <f t="shared" ref="N102:N109" si="92">((L102-H102)/H102)</f>
        <v>0.65955705454660418</v>
      </c>
      <c r="O102" s="23">
        <f t="shared" ref="O102:O109" si="93">((M102-I102)/I102)</f>
        <v>0.65950482536355126</v>
      </c>
      <c r="P102" s="325">
        <v>661952778.97000003</v>
      </c>
      <c r="Q102" s="326">
        <v>73361.63</v>
      </c>
      <c r="R102" s="23">
        <f t="shared" ref="R102:R109" si="94">((P102-L102)/L102)</f>
        <v>-1.4955691746525055E-2</v>
      </c>
      <c r="S102" s="23">
        <f t="shared" ref="S102:S109" si="95">((Q102-M102)/M102)</f>
        <v>-1.4986348948639368E-2</v>
      </c>
      <c r="T102" s="325">
        <v>683317247.75</v>
      </c>
      <c r="U102" s="326">
        <v>75730.59</v>
      </c>
      <c r="V102" s="23">
        <f t="shared" ref="V102:V109" si="96">((T102-P102)/P102)</f>
        <v>3.2274913647531073E-2</v>
      </c>
      <c r="W102" s="23">
        <f t="shared" ref="W102:W109" si="97">((U102-Q102)/Q102)</f>
        <v>3.2291539869002253E-2</v>
      </c>
      <c r="X102" s="325">
        <v>677681666.59000003</v>
      </c>
      <c r="Y102" s="326">
        <v>75373.73</v>
      </c>
      <c r="Z102" s="23">
        <f t="shared" ref="Z102:Z109" si="98">((X102-T102)/T102)</f>
        <v>-8.2473860839260022E-3</v>
      </c>
      <c r="AA102" s="23">
        <f t="shared" ref="AA102:AA109" si="99">((Y102-U102)/U102)</f>
        <v>-4.7122305530697779E-3</v>
      </c>
      <c r="AB102" s="325">
        <v>688560395.04999995</v>
      </c>
      <c r="AC102" s="326">
        <v>76580.98</v>
      </c>
      <c r="AD102" s="23">
        <f t="shared" ref="AD102:AD109" si="100">((AB102-X102)/X102)</f>
        <v>1.605285932367061E-2</v>
      </c>
      <c r="AE102" s="23">
        <f t="shared" ref="AE102:AE109" si="101">((AC102-Y102)/Y102)</f>
        <v>1.6016853617301412E-2</v>
      </c>
      <c r="AF102" s="325">
        <v>688495589.79999995</v>
      </c>
      <c r="AG102" s="326">
        <v>76576.89</v>
      </c>
      <c r="AH102" s="23">
        <f t="shared" ref="AH102:AH109" si="102">((AF102-AB102)/AB102)</f>
        <v>-9.4117016409713995E-5</v>
      </c>
      <c r="AI102" s="23">
        <f t="shared" ref="AI102:AI109" si="103">((AG102-AC102)/AC102)</f>
        <v>-5.3407517114517309E-5</v>
      </c>
      <c r="AJ102" s="24">
        <f t="shared" si="66"/>
        <v>8.5663627116103522E-2</v>
      </c>
      <c r="AK102" s="24">
        <f t="shared" si="67"/>
        <v>8.9502438611224394E-2</v>
      </c>
      <c r="AL102" s="25">
        <f t="shared" si="68"/>
        <v>0.64251760104209676</v>
      </c>
      <c r="AM102" s="25">
        <f t="shared" si="69"/>
        <v>0.69480328483833098</v>
      </c>
      <c r="AN102" s="384">
        <f t="shared" si="70"/>
        <v>0.23307227316883872</v>
      </c>
      <c r="AO102" s="385">
        <f t="shared" si="71"/>
        <v>0.23103967138296591</v>
      </c>
      <c r="AP102" s="30"/>
      <c r="AQ102" s="51">
        <v>1131224777.76</v>
      </c>
      <c r="AR102" s="52">
        <v>0.6573</v>
      </c>
      <c r="AS102" s="29" t="e">
        <f>(#REF!/AQ102)-1</f>
        <v>#REF!</v>
      </c>
      <c r="AT102" s="29" t="e">
        <f>(#REF!/AR102)-1</f>
        <v>#REF!</v>
      </c>
    </row>
    <row r="103" spans="1:46">
      <c r="A103" s="202" t="s">
        <v>226</v>
      </c>
      <c r="B103" s="326">
        <f>6291162.22*462.9</f>
        <v>2912178991.6379995</v>
      </c>
      <c r="C103" s="325">
        <f>127.26*462.9</f>
        <v>58908.654000000002</v>
      </c>
      <c r="D103" s="326">
        <f>6112359.3*589.45</f>
        <v>3602930189.3850002</v>
      </c>
      <c r="E103" s="325">
        <f>127.37*589.45</f>
        <v>75078.246500000008</v>
      </c>
      <c r="F103" s="23">
        <f t="shared" si="88"/>
        <v>0.23719393613181625</v>
      </c>
      <c r="G103" s="23">
        <f t="shared" si="89"/>
        <v>0.27448585907259071</v>
      </c>
      <c r="H103" s="326">
        <f>6337526.48 *743.27</f>
        <v>4710493306.7896004</v>
      </c>
      <c r="I103" s="325">
        <f>127.47*743.27</f>
        <v>94744.626900000003</v>
      </c>
      <c r="J103" s="23">
        <f t="shared" si="90"/>
        <v>0.30740621083020619</v>
      </c>
      <c r="K103" s="23">
        <f t="shared" si="91"/>
        <v>0.26194512148069404</v>
      </c>
      <c r="L103" s="326">
        <f>6248376.41*770.88</f>
        <v>4816748406.9407997</v>
      </c>
      <c r="M103" s="325">
        <f>127.57*770.88</f>
        <v>98341.161599999992</v>
      </c>
      <c r="N103" s="23">
        <f t="shared" si="92"/>
        <v>2.2557106704311755E-2</v>
      </c>
      <c r="O103" s="23">
        <f t="shared" si="93"/>
        <v>3.7960302527720327E-2</v>
      </c>
      <c r="P103" s="326">
        <f>6248401.58*787.18</f>
        <v>4918616755.7444</v>
      </c>
      <c r="Q103" s="325">
        <f>127.68*787.18</f>
        <v>100507.1424</v>
      </c>
      <c r="R103" s="23">
        <f t="shared" si="94"/>
        <v>2.1148779258806805E-2</v>
      </c>
      <c r="S103" s="23">
        <f t="shared" si="95"/>
        <v>2.2025169977247908E-2</v>
      </c>
      <c r="T103" s="326">
        <f>6272430.48*775.67</f>
        <v>4865336150.4216003</v>
      </c>
      <c r="U103" s="325">
        <f>127.77*775.67</f>
        <v>99107.355899999995</v>
      </c>
      <c r="V103" s="23">
        <f t="shared" si="96"/>
        <v>-1.0832436835127241E-2</v>
      </c>
      <c r="W103" s="23">
        <f t="shared" si="97"/>
        <v>-1.3927234090778428E-2</v>
      </c>
      <c r="X103" s="326">
        <f>6236706.83*770.89</f>
        <v>4807814928.1787004</v>
      </c>
      <c r="Y103" s="325">
        <f>127.87*770.89</f>
        <v>98573.704299999998</v>
      </c>
      <c r="Z103" s="23">
        <f t="shared" si="98"/>
        <v>-1.1822661469735336E-2</v>
      </c>
      <c r="AA103" s="23">
        <f t="shared" si="99"/>
        <v>-5.3845811459086405E-3</v>
      </c>
      <c r="AB103" s="326">
        <f>6264714.35*759.9</f>
        <v>4760556434.5649996</v>
      </c>
      <c r="AC103" s="325">
        <f>127.97*759.9</f>
        <v>97244.402999999991</v>
      </c>
      <c r="AD103" s="23">
        <f t="shared" si="100"/>
        <v>-9.829515969243717E-3</v>
      </c>
      <c r="AE103" s="23">
        <f t="shared" si="101"/>
        <v>-1.3485354024582461E-2</v>
      </c>
      <c r="AF103" s="326">
        <f>6089963.97*750.62</f>
        <v>4571248755.1613998</v>
      </c>
      <c r="AG103" s="325">
        <f>128.06*750.62</f>
        <v>96124.397200000007</v>
      </c>
      <c r="AH103" s="23">
        <f t="shared" si="102"/>
        <v>-3.9765872331455288E-2</v>
      </c>
      <c r="AI103" s="23">
        <f t="shared" si="103"/>
        <v>-1.1517432010971208E-2</v>
      </c>
      <c r="AJ103" s="24">
        <f t="shared" si="66"/>
        <v>6.450694328994741E-2</v>
      </c>
      <c r="AK103" s="24">
        <f t="shared" si="67"/>
        <v>6.9012731473251515E-2</v>
      </c>
      <c r="AL103" s="25">
        <f t="shared" si="68"/>
        <v>0.26875862558460678</v>
      </c>
      <c r="AM103" s="25">
        <f t="shared" si="69"/>
        <v>0.28032288553782347</v>
      </c>
      <c r="AN103" s="384">
        <f t="shared" si="70"/>
        <v>0.13112781706590329</v>
      </c>
      <c r="AO103" s="385">
        <f t="shared" si="71"/>
        <v>0.12439524388732834</v>
      </c>
      <c r="AP103" s="30"/>
      <c r="AQ103" s="28">
        <v>318569106.36000001</v>
      </c>
      <c r="AR103" s="35">
        <v>123.8</v>
      </c>
      <c r="AS103" s="29" t="e">
        <f>(#REF!/AQ103)-1</f>
        <v>#REF!</v>
      </c>
      <c r="AT103" s="29" t="e">
        <f>(#REF!/AR103)-1</f>
        <v>#REF!</v>
      </c>
    </row>
    <row r="104" spans="1:46">
      <c r="A104" s="202" t="s">
        <v>141</v>
      </c>
      <c r="B104" s="325">
        <v>5105961582.3199997</v>
      </c>
      <c r="C104" s="325">
        <v>51251.27</v>
      </c>
      <c r="D104" s="325">
        <v>7028962530.79</v>
      </c>
      <c r="E104" s="325">
        <v>70541.2</v>
      </c>
      <c r="F104" s="23">
        <f t="shared" si="88"/>
        <v>0.37661876562656094</v>
      </c>
      <c r="G104" s="23">
        <f t="shared" si="89"/>
        <v>0.37637955117990252</v>
      </c>
      <c r="H104" s="325">
        <v>6799890710.54</v>
      </c>
      <c r="I104" s="325">
        <v>70718.38</v>
      </c>
      <c r="J104" s="23">
        <f t="shared" si="90"/>
        <v>-3.258970569932091E-2</v>
      </c>
      <c r="K104" s="23">
        <f t="shared" si="91"/>
        <v>2.5117236451890181E-3</v>
      </c>
      <c r="L104" s="325">
        <v>8122121440.2700005</v>
      </c>
      <c r="M104" s="325">
        <v>86063.69</v>
      </c>
      <c r="N104" s="23">
        <f t="shared" si="92"/>
        <v>0.19444882072597283</v>
      </c>
      <c r="O104" s="23">
        <f t="shared" si="93"/>
        <v>0.21699182023117605</v>
      </c>
      <c r="P104" s="325">
        <v>8238826600.2600002</v>
      </c>
      <c r="Q104" s="325">
        <v>87005.03</v>
      </c>
      <c r="R104" s="23">
        <f t="shared" si="94"/>
        <v>1.4368802639587249E-2</v>
      </c>
      <c r="S104" s="23">
        <f t="shared" si="95"/>
        <v>1.093771368622466E-2</v>
      </c>
      <c r="T104" s="325">
        <v>7748915714.5600004</v>
      </c>
      <c r="U104" s="325">
        <v>83687.839999999997</v>
      </c>
      <c r="V104" s="23">
        <f t="shared" si="96"/>
        <v>-5.946367237350756E-2</v>
      </c>
      <c r="W104" s="23">
        <f t="shared" si="97"/>
        <v>-3.8126416369260514E-2</v>
      </c>
      <c r="X104" s="325">
        <v>8087859468.0600004</v>
      </c>
      <c r="Y104" s="325">
        <v>87325.85</v>
      </c>
      <c r="Z104" s="23">
        <f t="shared" si="98"/>
        <v>4.374079754966672E-2</v>
      </c>
      <c r="AA104" s="23">
        <f t="shared" si="99"/>
        <v>4.3471190079705839E-2</v>
      </c>
      <c r="AB104" s="325">
        <v>8002952093.6800003</v>
      </c>
      <c r="AC104" s="325">
        <v>86382.95</v>
      </c>
      <c r="AD104" s="23">
        <f t="shared" si="100"/>
        <v>-1.0498126817770546E-2</v>
      </c>
      <c r="AE104" s="23">
        <f t="shared" si="101"/>
        <v>-1.0797490090276919E-2</v>
      </c>
      <c r="AF104" s="325">
        <v>8129253672.9700003</v>
      </c>
      <c r="AG104" s="325">
        <v>87371.78</v>
      </c>
      <c r="AH104" s="23">
        <f t="shared" si="102"/>
        <v>1.5781873715043401E-2</v>
      </c>
      <c r="AI104" s="23">
        <f t="shared" si="103"/>
        <v>1.1447050604314876E-2</v>
      </c>
      <c r="AJ104" s="24">
        <f t="shared" si="66"/>
        <v>6.7800944420779025E-2</v>
      </c>
      <c r="AK104" s="24">
        <f t="shared" si="67"/>
        <v>7.6601892870871921E-2</v>
      </c>
      <c r="AL104" s="25">
        <f t="shared" si="68"/>
        <v>0.1565367772783299</v>
      </c>
      <c r="AM104" s="25">
        <f t="shared" si="69"/>
        <v>0.23859219860166828</v>
      </c>
      <c r="AN104" s="384">
        <f t="shared" si="70"/>
        <v>0.14636222644176208</v>
      </c>
      <c r="AO104" s="385">
        <f t="shared" si="71"/>
        <v>0.14418299273129404</v>
      </c>
      <c r="AP104" s="30"/>
      <c r="AQ104" s="28">
        <v>1812522091.8199999</v>
      </c>
      <c r="AR104" s="32">
        <v>1.6227</v>
      </c>
      <c r="AS104" s="29" t="e">
        <f>(#REF!/AQ104)-1</f>
        <v>#REF!</v>
      </c>
      <c r="AT104" s="29" t="e">
        <f>(#REF!/AR104)-1</f>
        <v>#REF!</v>
      </c>
    </row>
    <row r="105" spans="1:46">
      <c r="A105" s="202" t="s">
        <v>152</v>
      </c>
      <c r="B105" s="325">
        <v>1684147832.5176737</v>
      </c>
      <c r="C105" s="325">
        <v>546.13064474249904</v>
      </c>
      <c r="D105" s="325">
        <v>2365369091.164094</v>
      </c>
      <c r="E105" s="325">
        <v>761.1109190492383</v>
      </c>
      <c r="F105" s="23">
        <f t="shared" si="88"/>
        <v>0.40449017924278413</v>
      </c>
      <c r="G105" s="23">
        <f t="shared" si="89"/>
        <v>0.39364257687481097</v>
      </c>
      <c r="H105" s="325">
        <v>2696126232.9686165</v>
      </c>
      <c r="I105" s="325">
        <v>878.07767162177015</v>
      </c>
      <c r="J105" s="23">
        <f t="shared" si="90"/>
        <v>0.13983320532938204</v>
      </c>
      <c r="K105" s="23">
        <f t="shared" si="91"/>
        <v>0.15367898376578795</v>
      </c>
      <c r="L105" s="325">
        <v>2706177805.1107197</v>
      </c>
      <c r="M105" s="325">
        <v>878.88684938200913</v>
      </c>
      <c r="N105" s="23">
        <f t="shared" si="92"/>
        <v>3.7281533851016083E-3</v>
      </c>
      <c r="O105" s="23">
        <f t="shared" si="93"/>
        <v>9.215332383346749E-4</v>
      </c>
      <c r="P105" s="325">
        <v>2835056692.0191488</v>
      </c>
      <c r="Q105" s="325">
        <v>921.13522898361782</v>
      </c>
      <c r="R105" s="23">
        <f t="shared" si="94"/>
        <v>4.762395385293474E-2</v>
      </c>
      <c r="S105" s="23">
        <f t="shared" si="95"/>
        <v>4.80703285426511E-2</v>
      </c>
      <c r="T105" s="325">
        <v>2805838252.3345246</v>
      </c>
      <c r="U105" s="325">
        <v>899.3648870078307</v>
      </c>
      <c r="V105" s="23">
        <f t="shared" si="96"/>
        <v>-1.0306121837660538E-2</v>
      </c>
      <c r="W105" s="23">
        <f t="shared" si="97"/>
        <v>-2.3634251834889163E-2</v>
      </c>
      <c r="X105" s="325">
        <v>2824812401.1299057</v>
      </c>
      <c r="Y105" s="325">
        <v>900.49476816554886</v>
      </c>
      <c r="Z105" s="23">
        <f t="shared" si="98"/>
        <v>6.7623815377077148E-3</v>
      </c>
      <c r="AA105" s="23">
        <f t="shared" si="99"/>
        <v>1.256310062845851E-3</v>
      </c>
      <c r="AB105" s="325">
        <v>2747907346.4821548</v>
      </c>
      <c r="AC105" s="325">
        <v>871.58520673566431</v>
      </c>
      <c r="AD105" s="23">
        <f t="shared" si="100"/>
        <v>-2.7224836104864647E-2</v>
      </c>
      <c r="AE105" s="23">
        <f t="shared" si="101"/>
        <v>-3.2104085944638996E-2</v>
      </c>
      <c r="AF105" s="325">
        <v>2847060291.9544473</v>
      </c>
      <c r="AG105" s="325">
        <v>906.73512641579941</v>
      </c>
      <c r="AH105" s="23">
        <f t="shared" si="102"/>
        <v>3.6083074489111536E-2</v>
      </c>
      <c r="AI105" s="23">
        <f t="shared" si="103"/>
        <v>4.0328724499331045E-2</v>
      </c>
      <c r="AJ105" s="24">
        <f t="shared" si="66"/>
        <v>7.512374873681206E-2</v>
      </c>
      <c r="AK105" s="24">
        <f t="shared" si="67"/>
        <v>7.2770014900529173E-2</v>
      </c>
      <c r="AL105" s="25">
        <f t="shared" si="68"/>
        <v>0.20364314499150471</v>
      </c>
      <c r="AM105" s="25">
        <f t="shared" si="69"/>
        <v>0.19133112365339786</v>
      </c>
      <c r="AN105" s="384">
        <f t="shared" si="70"/>
        <v>0.14267549366484089</v>
      </c>
      <c r="AO105" s="385">
        <f t="shared" si="71"/>
        <v>0.14229584276102944</v>
      </c>
      <c r="AP105" s="30"/>
      <c r="AQ105" s="28"/>
      <c r="AR105" s="32"/>
      <c r="AS105" s="29"/>
      <c r="AT105" s="29"/>
    </row>
    <row r="106" spans="1:46" ht="16.5" customHeight="1">
      <c r="A106" s="202" t="s">
        <v>191</v>
      </c>
      <c r="B106" s="326">
        <v>4741638507.7799997</v>
      </c>
      <c r="C106" s="325">
        <f>1.0177*462.9</f>
        <v>471.09332999999998</v>
      </c>
      <c r="D106" s="326">
        <v>6059403446.3500004</v>
      </c>
      <c r="E106" s="325">
        <f>1.0196*589.45</f>
        <v>601.00322000000006</v>
      </c>
      <c r="F106" s="23">
        <f t="shared" si="88"/>
        <v>0.27791341250663337</v>
      </c>
      <c r="G106" s="23">
        <f t="shared" si="89"/>
        <v>0.27576253308447413</v>
      </c>
      <c r="H106" s="326">
        <v>7796972792.04</v>
      </c>
      <c r="I106" s="325">
        <f>1.0122*743.27</f>
        <v>752.33789400000001</v>
      </c>
      <c r="J106" s="23">
        <f t="shared" si="90"/>
        <v>0.28675584338861909</v>
      </c>
      <c r="K106" s="23">
        <f t="shared" si="91"/>
        <v>0.25180343293335422</v>
      </c>
      <c r="L106" s="326">
        <v>7886932022.4499998</v>
      </c>
      <c r="M106" s="325">
        <f>1.0124*770.88</f>
        <v>780.43891199999996</v>
      </c>
      <c r="N106" s="23">
        <f t="shared" si="92"/>
        <v>1.1537712495526474E-2</v>
      </c>
      <c r="O106" s="23">
        <f t="shared" si="93"/>
        <v>3.7351591916490588E-2</v>
      </c>
      <c r="P106" s="326">
        <v>7899646733.8199997</v>
      </c>
      <c r="Q106" s="325">
        <f>1.0235*787.18</f>
        <v>805.67872999999997</v>
      </c>
      <c r="R106" s="23">
        <f t="shared" si="94"/>
        <v>1.6121238694346172E-3</v>
      </c>
      <c r="S106" s="23">
        <f t="shared" si="95"/>
        <v>3.2340542753460266E-2</v>
      </c>
      <c r="T106" s="326">
        <v>8010751415.9200001</v>
      </c>
      <c r="U106" s="325">
        <f>1.0235*775.67</f>
        <v>793.89824499999997</v>
      </c>
      <c r="V106" s="23">
        <f t="shared" si="96"/>
        <v>1.4064512736289657E-2</v>
      </c>
      <c r="W106" s="23">
        <f t="shared" si="97"/>
        <v>-1.4621814578622423E-2</v>
      </c>
      <c r="X106" s="326">
        <v>7899646733.8199997</v>
      </c>
      <c r="Y106" s="325">
        <f>1.0235*770.89</f>
        <v>789.00591500000007</v>
      </c>
      <c r="Z106" s="23">
        <f t="shared" si="98"/>
        <v>-1.3869445740033676E-2</v>
      </c>
      <c r="AA106" s="23">
        <f t="shared" si="99"/>
        <v>-6.1624144288162548E-3</v>
      </c>
      <c r="AB106" s="326">
        <v>7899646733.8199997</v>
      </c>
      <c r="AC106" s="325">
        <f>0.9988*759.9</f>
        <v>758.98811999999998</v>
      </c>
      <c r="AD106" s="23">
        <f t="shared" si="100"/>
        <v>0</v>
      </c>
      <c r="AE106" s="23">
        <f t="shared" si="101"/>
        <v>-3.8045082336296665E-2</v>
      </c>
      <c r="AF106" s="326">
        <v>8087357844.3699999</v>
      </c>
      <c r="AG106" s="325">
        <f>1.0005*750.62</f>
        <v>750.99531000000002</v>
      </c>
      <c r="AH106" s="23">
        <f t="shared" si="102"/>
        <v>2.3761962638958349E-2</v>
      </c>
      <c r="AI106" s="23">
        <f t="shared" si="103"/>
        <v>-1.0530876293557747E-2</v>
      </c>
      <c r="AJ106" s="24">
        <f t="shared" si="66"/>
        <v>7.522201523692848E-2</v>
      </c>
      <c r="AK106" s="24">
        <f t="shared" si="67"/>
        <v>6.5987239131310771E-2</v>
      </c>
      <c r="AL106" s="25">
        <f t="shared" si="68"/>
        <v>0.33467888645730914</v>
      </c>
      <c r="AM106" s="25">
        <f t="shared" si="69"/>
        <v>0.24956952809670463</v>
      </c>
      <c r="AN106" s="384">
        <f t="shared" si="70"/>
        <v>0.12833465550397241</v>
      </c>
      <c r="AO106" s="385">
        <f t="shared" si="71"/>
        <v>0.1247091302922467</v>
      </c>
      <c r="AP106" s="30"/>
      <c r="AQ106" s="28"/>
      <c r="AR106" s="32"/>
      <c r="AS106" s="29"/>
      <c r="AT106" s="29"/>
    </row>
    <row r="107" spans="1:46">
      <c r="A107" s="202" t="s">
        <v>160</v>
      </c>
      <c r="B107" s="325">
        <v>110531331.15000001</v>
      </c>
      <c r="C107" s="325">
        <v>433.69</v>
      </c>
      <c r="D107" s="325">
        <v>160963794.09999999</v>
      </c>
      <c r="E107" s="325">
        <v>663.04</v>
      </c>
      <c r="F107" s="23">
        <f t="shared" si="88"/>
        <v>0.45627300807188359</v>
      </c>
      <c r="G107" s="23">
        <f t="shared" si="89"/>
        <v>0.52883395974082859</v>
      </c>
      <c r="H107" s="325">
        <v>183968364.40000001</v>
      </c>
      <c r="I107" s="325">
        <v>756.35</v>
      </c>
      <c r="J107" s="23">
        <f t="shared" si="90"/>
        <v>0.14291766933443584</v>
      </c>
      <c r="K107" s="23">
        <f t="shared" si="91"/>
        <v>0.14073057432432443</v>
      </c>
      <c r="L107" s="325">
        <v>184445181.5</v>
      </c>
      <c r="M107" s="325">
        <v>756.24</v>
      </c>
      <c r="N107" s="23">
        <f t="shared" si="92"/>
        <v>2.5918429049206354E-3</v>
      </c>
      <c r="O107" s="23">
        <f t="shared" si="93"/>
        <v>-1.454353143386179E-4</v>
      </c>
      <c r="P107" s="325">
        <v>189520017.80000001</v>
      </c>
      <c r="Q107" s="325">
        <v>791.75</v>
      </c>
      <c r="R107" s="23">
        <f t="shared" si="94"/>
        <v>2.7514062762328175E-2</v>
      </c>
      <c r="S107" s="23">
        <f t="shared" si="95"/>
        <v>4.6955992806516439E-2</v>
      </c>
      <c r="T107" s="325">
        <v>199956032.59999999</v>
      </c>
      <c r="U107" s="325">
        <v>803.9</v>
      </c>
      <c r="V107" s="23">
        <f t="shared" si="96"/>
        <v>5.5065501371011273E-2</v>
      </c>
      <c r="W107" s="23">
        <f t="shared" si="97"/>
        <v>1.5345753078623275E-2</v>
      </c>
      <c r="X107" s="325">
        <v>192207387.99000001</v>
      </c>
      <c r="Y107" s="325">
        <v>777.82</v>
      </c>
      <c r="Z107" s="23">
        <f t="shared" si="98"/>
        <v>-3.8751742116731637E-2</v>
      </c>
      <c r="AA107" s="23">
        <f t="shared" si="99"/>
        <v>-3.2441846000746274E-2</v>
      </c>
      <c r="AB107" s="325">
        <v>194995623.19999999</v>
      </c>
      <c r="AC107" s="325">
        <v>775.76</v>
      </c>
      <c r="AD107" s="23">
        <f t="shared" si="100"/>
        <v>1.4506389370137231E-2</v>
      </c>
      <c r="AE107" s="23">
        <f t="shared" si="101"/>
        <v>-2.6484276567844216E-3</v>
      </c>
      <c r="AF107" s="325">
        <v>185549914.19999999</v>
      </c>
      <c r="AG107" s="325">
        <v>743.07</v>
      </c>
      <c r="AH107" s="23">
        <f t="shared" si="102"/>
        <v>-4.8440620589272801E-2</v>
      </c>
      <c r="AI107" s="23">
        <f t="shared" si="103"/>
        <v>-4.2139321439620424E-2</v>
      </c>
      <c r="AJ107" s="24">
        <f t="shared" si="66"/>
        <v>7.6459513888589042E-2</v>
      </c>
      <c r="AK107" s="24">
        <f t="shared" si="67"/>
        <v>8.1811406192350375E-2</v>
      </c>
      <c r="AL107" s="25">
        <f t="shared" si="68"/>
        <v>0.15274316958958906</v>
      </c>
      <c r="AM107" s="25">
        <f t="shared" si="69"/>
        <v>0.12070161679536694</v>
      </c>
      <c r="AN107" s="384">
        <f t="shared" si="70"/>
        <v>0.1646193172589436</v>
      </c>
      <c r="AO107" s="385">
        <f t="shared" si="71"/>
        <v>0.18943569981895023</v>
      </c>
      <c r="AP107" s="30"/>
      <c r="AQ107" s="28"/>
      <c r="AR107" s="32"/>
      <c r="AS107" s="29"/>
      <c r="AT107" s="29"/>
    </row>
    <row r="108" spans="1:46" s="288" customFormat="1">
      <c r="A108" s="202" t="s">
        <v>93</v>
      </c>
      <c r="B108" s="326">
        <v>205252526400.07999</v>
      </c>
      <c r="C108" s="325">
        <v>664.48</v>
      </c>
      <c r="D108" s="326">
        <v>285263219285.98999</v>
      </c>
      <c r="E108" s="325">
        <v>933.69</v>
      </c>
      <c r="F108" s="23">
        <f t="shared" si="88"/>
        <v>0.38981587359345082</v>
      </c>
      <c r="G108" s="23">
        <f t="shared" si="89"/>
        <v>0.40514387189983148</v>
      </c>
      <c r="H108" s="326">
        <v>331639905466.70001</v>
      </c>
      <c r="I108" s="325">
        <v>1086.17</v>
      </c>
      <c r="J108" s="23">
        <f t="shared" si="90"/>
        <v>0.16257506416982268</v>
      </c>
      <c r="K108" s="23">
        <f t="shared" si="91"/>
        <v>0.16330902119547175</v>
      </c>
      <c r="L108" s="326">
        <v>332095652853</v>
      </c>
      <c r="M108" s="325">
        <v>1086.4100000000001</v>
      </c>
      <c r="N108" s="23">
        <f t="shared" si="92"/>
        <v>1.3742236045407069E-3</v>
      </c>
      <c r="O108" s="23">
        <f t="shared" si="93"/>
        <v>2.2095988657393326E-4</v>
      </c>
      <c r="P108" s="326">
        <v>336866413574.47998</v>
      </c>
      <c r="Q108" s="325">
        <v>1098.69</v>
      </c>
      <c r="R108" s="23">
        <f t="shared" si="94"/>
        <v>1.4365622315422861E-2</v>
      </c>
      <c r="S108" s="23">
        <f t="shared" si="95"/>
        <v>1.1303283290838607E-2</v>
      </c>
      <c r="T108" s="326">
        <v>351547105020.04999</v>
      </c>
      <c r="U108" s="325">
        <v>1612.0921909189999</v>
      </c>
      <c r="V108" s="23">
        <f t="shared" si="96"/>
        <v>4.3580157753910831E-2</v>
      </c>
      <c r="W108" s="23">
        <f t="shared" si="97"/>
        <v>0.46728575933065725</v>
      </c>
      <c r="X108" s="326">
        <v>341503251786.06</v>
      </c>
      <c r="Y108" s="325">
        <v>1102.95</v>
      </c>
      <c r="Z108" s="23">
        <f t="shared" si="98"/>
        <v>-2.8570433636246707E-2</v>
      </c>
      <c r="AA108" s="23">
        <f t="shared" si="99"/>
        <v>-0.31582696931789916</v>
      </c>
      <c r="AB108" s="326">
        <v>343173893112.28003</v>
      </c>
      <c r="AC108" s="325">
        <v>1101.58</v>
      </c>
      <c r="AD108" s="23">
        <f t="shared" si="100"/>
        <v>4.8920217230219261E-3</v>
      </c>
      <c r="AE108" s="23">
        <f t="shared" si="101"/>
        <v>-1.2421233963462697E-3</v>
      </c>
      <c r="AF108" s="326">
        <v>332338411238.46997</v>
      </c>
      <c r="AG108" s="325">
        <v>1056.57</v>
      </c>
      <c r="AH108" s="23">
        <f t="shared" si="102"/>
        <v>-3.1574318709217467E-2</v>
      </c>
      <c r="AI108" s="23">
        <f t="shared" si="103"/>
        <v>-4.085949272862615E-2</v>
      </c>
      <c r="AJ108" s="24">
        <f t="shared" si="66"/>
        <v>6.9557276351838226E-2</v>
      </c>
      <c r="AK108" s="24">
        <f t="shared" si="67"/>
        <v>8.6166788770062674E-2</v>
      </c>
      <c r="AL108" s="25">
        <f t="shared" si="68"/>
        <v>0.165023700112158</v>
      </c>
      <c r="AM108" s="25">
        <f t="shared" si="69"/>
        <v>0.13160685023937269</v>
      </c>
      <c r="AN108" s="384">
        <f t="shared" si="70"/>
        <v>0.14324104467090856</v>
      </c>
      <c r="AO108" s="385">
        <f t="shared" si="71"/>
        <v>0.25391651578563273</v>
      </c>
      <c r="AP108" s="30"/>
      <c r="AQ108" s="28"/>
      <c r="AR108" s="32"/>
      <c r="AS108" s="29"/>
      <c r="AT108" s="29"/>
    </row>
    <row r="109" spans="1:46" s="356" customFormat="1">
      <c r="A109" s="202" t="s">
        <v>252</v>
      </c>
      <c r="B109" s="326">
        <v>5666844181.9499998</v>
      </c>
      <c r="C109" s="326">
        <v>489.79</v>
      </c>
      <c r="D109" s="326">
        <v>8265942111.2600002</v>
      </c>
      <c r="E109" s="326">
        <v>688.43</v>
      </c>
      <c r="F109" s="23">
        <f t="shared" si="88"/>
        <v>0.45864997269355534</v>
      </c>
      <c r="G109" s="23">
        <f t="shared" si="89"/>
        <v>0.40556156720227021</v>
      </c>
      <c r="H109" s="326">
        <v>9654825881.5300007</v>
      </c>
      <c r="I109" s="326">
        <v>800.9</v>
      </c>
      <c r="J109" s="23">
        <f t="shared" si="90"/>
        <v>0.16802486051505738</v>
      </c>
      <c r="K109" s="23">
        <f t="shared" si="91"/>
        <v>0.16337172987812854</v>
      </c>
      <c r="L109" s="326">
        <v>9659057378.0900002</v>
      </c>
      <c r="M109" s="326">
        <v>801.25</v>
      </c>
      <c r="N109" s="23">
        <f t="shared" si="92"/>
        <v>4.3827787387595027E-4</v>
      </c>
      <c r="O109" s="23">
        <f t="shared" si="93"/>
        <v>4.370083655887411E-4</v>
      </c>
      <c r="P109" s="326">
        <v>9765157925.6499996</v>
      </c>
      <c r="Q109" s="326">
        <v>810.46</v>
      </c>
      <c r="R109" s="23">
        <f t="shared" si="94"/>
        <v>1.0984565409112414E-2</v>
      </c>
      <c r="S109" s="23">
        <f t="shared" si="95"/>
        <v>1.1494539781591309E-2</v>
      </c>
      <c r="T109" s="326">
        <v>10161543062.59</v>
      </c>
      <c r="U109" s="326">
        <v>840.08</v>
      </c>
      <c r="V109" s="23">
        <f t="shared" si="96"/>
        <v>4.0591779463066482E-2</v>
      </c>
      <c r="W109" s="23">
        <f t="shared" si="97"/>
        <v>3.6547146065197544E-2</v>
      </c>
      <c r="X109" s="326">
        <v>9925697472.1100006</v>
      </c>
      <c r="Y109" s="326">
        <v>814.14</v>
      </c>
      <c r="Z109" s="23">
        <f t="shared" si="98"/>
        <v>-2.320962367893431E-2</v>
      </c>
      <c r="AA109" s="23">
        <f t="shared" si="99"/>
        <v>-3.0878011617941212E-2</v>
      </c>
      <c r="AB109" s="326">
        <v>9914664897.4099998</v>
      </c>
      <c r="AC109" s="326">
        <v>813.23</v>
      </c>
      <c r="AD109" s="23">
        <f t="shared" si="100"/>
        <v>-1.1115163172160901E-3</v>
      </c>
      <c r="AE109" s="23">
        <f t="shared" si="101"/>
        <v>-1.1177438769744371E-3</v>
      </c>
      <c r="AF109" s="326">
        <v>9845121557.3199997</v>
      </c>
      <c r="AG109" s="326">
        <v>780.07</v>
      </c>
      <c r="AH109" s="23">
        <f t="shared" si="102"/>
        <v>-7.0141896684946864E-3</v>
      </c>
      <c r="AI109" s="23">
        <f t="shared" si="103"/>
        <v>-4.0775672319024098E-2</v>
      </c>
      <c r="AJ109" s="24">
        <f t="shared" si="66"/>
        <v>8.0919265786252817E-2</v>
      </c>
      <c r="AK109" s="24">
        <f t="shared" si="67"/>
        <v>6.8080070434854562E-2</v>
      </c>
      <c r="AL109" s="25">
        <f t="shared" si="68"/>
        <v>0.19104651651368518</v>
      </c>
      <c r="AM109" s="25">
        <f t="shared" si="69"/>
        <v>0.1331144778699361</v>
      </c>
      <c r="AN109" s="384">
        <f t="shared" si="70"/>
        <v>0.16412817155288842</v>
      </c>
      <c r="AO109" s="385">
        <f t="shared" si="71"/>
        <v>0.15032189494745193</v>
      </c>
      <c r="AP109" s="30"/>
      <c r="AQ109" s="28"/>
      <c r="AR109" s="32"/>
      <c r="AS109" s="29"/>
      <c r="AT109" s="29"/>
    </row>
    <row r="110" spans="1:46" s="86" customFormat="1">
      <c r="A110" s="202" t="s">
        <v>123</v>
      </c>
      <c r="B110" s="325">
        <v>6025508698.2299995</v>
      </c>
      <c r="C110" s="325">
        <v>462.88</v>
      </c>
      <c r="D110" s="325">
        <v>7828823400.6499996</v>
      </c>
      <c r="E110" s="325">
        <v>588.95000000000005</v>
      </c>
      <c r="F110" s="23">
        <f t="shared" si="88"/>
        <v>0.29928007621161112</v>
      </c>
      <c r="G110" s="23">
        <f t="shared" si="89"/>
        <v>0.27236000691323897</v>
      </c>
      <c r="H110" s="325">
        <v>11043044530.93</v>
      </c>
      <c r="I110" s="325">
        <v>742.77</v>
      </c>
      <c r="J110" s="23">
        <f>((H110-D110)/D110)</f>
        <v>0.41056247737215978</v>
      </c>
      <c r="K110" s="23">
        <f>((I110-E110)/E110)</f>
        <v>0.26117667034553005</v>
      </c>
      <c r="L110" s="325">
        <v>11426944894.42</v>
      </c>
      <c r="M110" s="325">
        <v>759.28</v>
      </c>
      <c r="N110" s="23">
        <f>((L110-H110)/H110)</f>
        <v>3.4763996687213326E-2</v>
      </c>
      <c r="O110" s="23">
        <f>((M110-I110)/I110)</f>
        <v>2.2227607469337739E-2</v>
      </c>
      <c r="P110" s="325">
        <v>11778854174.030001</v>
      </c>
      <c r="Q110" s="325">
        <v>776.9</v>
      </c>
      <c r="R110" s="23">
        <f>((P110-L110)/L110)</f>
        <v>3.0796444969455026E-2</v>
      </c>
      <c r="S110" s="23">
        <f>((Q110-M110)/M110)</f>
        <v>2.3206195342956492E-2</v>
      </c>
      <c r="T110" s="325">
        <v>12096003216.049999</v>
      </c>
      <c r="U110" s="325">
        <v>776.9</v>
      </c>
      <c r="V110" s="23">
        <f>((T110-P110)/P110)</f>
        <v>2.6925288091200608E-2</v>
      </c>
      <c r="W110" s="23">
        <f>((U110-Q110)/Q110)</f>
        <v>0</v>
      </c>
      <c r="X110" s="325">
        <v>12610465382.82</v>
      </c>
      <c r="Y110" s="325">
        <v>776.9</v>
      </c>
      <c r="Z110" s="23">
        <f>((X110-T110)/T110)</f>
        <v>4.2531583166857012E-2</v>
      </c>
      <c r="AA110" s="23">
        <f>((Y110-U110)/U110)</f>
        <v>0</v>
      </c>
      <c r="AB110" s="325">
        <v>12926490839.27</v>
      </c>
      <c r="AC110" s="325">
        <v>776.9</v>
      </c>
      <c r="AD110" s="23">
        <f>((AB110-X110)/X110)</f>
        <v>2.5060570475102479E-2</v>
      </c>
      <c r="AE110" s="23">
        <f>((AC110-Y110)/Y110)</f>
        <v>0</v>
      </c>
      <c r="AF110" s="325">
        <v>13285815948.09</v>
      </c>
      <c r="AG110" s="325">
        <v>756.94</v>
      </c>
      <c r="AH110" s="23">
        <f>((AF110-AB110)/AB110)</f>
        <v>2.7797575791288141E-2</v>
      </c>
      <c r="AI110" s="23">
        <f>((AG110-AC110)/AC110)</f>
        <v>-2.5691852233234551E-2</v>
      </c>
      <c r="AJ110" s="24">
        <f t="shared" si="66"/>
        <v>0.11221475159561094</v>
      </c>
      <c r="AK110" s="24">
        <f t="shared" si="67"/>
        <v>6.9159828479728597E-2</v>
      </c>
      <c r="AL110" s="25">
        <f t="shared" si="68"/>
        <v>0.69703865679061372</v>
      </c>
      <c r="AM110" s="25">
        <f t="shared" si="69"/>
        <v>0.28523643772816026</v>
      </c>
      <c r="AN110" s="384">
        <f t="shared" si="70"/>
        <v>0.15282319786705173</v>
      </c>
      <c r="AO110" s="385">
        <f t="shared" si="71"/>
        <v>0.12295250930052756</v>
      </c>
      <c r="AP110" s="30"/>
      <c r="AQ110" s="28"/>
      <c r="AR110" s="32"/>
      <c r="AS110" s="29"/>
      <c r="AT110" s="29"/>
    </row>
    <row r="111" spans="1:46" s="103" customFormat="1">
      <c r="A111" s="204" t="s">
        <v>42</v>
      </c>
      <c r="B111" s="76">
        <f>SUM(B90:B110)</f>
        <v>338597314330.35101</v>
      </c>
      <c r="C111" s="85"/>
      <c r="D111" s="76">
        <f>SUM(D90:D110)</f>
        <v>470498434802.98218</v>
      </c>
      <c r="E111" s="85"/>
      <c r="F111" s="23"/>
      <c r="G111" s="23"/>
      <c r="H111" s="76">
        <f>SUM(H90:H110)</f>
        <v>550519578291.03943</v>
      </c>
      <c r="I111" s="85"/>
      <c r="J111" s="23"/>
      <c r="K111" s="23"/>
      <c r="L111" s="76">
        <f>SUM(L90:L110)</f>
        <v>553623134341.57056</v>
      </c>
      <c r="M111" s="85"/>
      <c r="N111" s="23"/>
      <c r="O111" s="23"/>
      <c r="P111" s="76">
        <f>SUM(P90:P110)</f>
        <v>561593301377.72437</v>
      </c>
      <c r="Q111" s="85"/>
      <c r="R111" s="23"/>
      <c r="S111" s="23"/>
      <c r="T111" s="76">
        <f>SUM(T90:T110)</f>
        <v>583012756562.62463</v>
      </c>
      <c r="U111" s="85"/>
      <c r="V111" s="23"/>
      <c r="W111" s="23"/>
      <c r="X111" s="76">
        <f>SUM(X90:X110)</f>
        <v>568541591372.9552</v>
      </c>
      <c r="Y111" s="85"/>
      <c r="Z111" s="23"/>
      <c r="AA111" s="23"/>
      <c r="AB111" s="76">
        <f>SUM(AB90:AB110)</f>
        <v>569956762301.13733</v>
      </c>
      <c r="AC111" s="85"/>
      <c r="AD111" s="23"/>
      <c r="AE111" s="23"/>
      <c r="AF111" s="76">
        <f>SUM(AF90:AF110)</f>
        <v>553123134779.05676</v>
      </c>
      <c r="AG111" s="85"/>
      <c r="AH111" s="23"/>
      <c r="AI111" s="23"/>
      <c r="AJ111" s="24" t="e">
        <f t="shared" si="66"/>
        <v>#DIV/0!</v>
      </c>
      <c r="AK111" s="24"/>
      <c r="AL111" s="25">
        <f t="shared" si="68"/>
        <v>0.17561099860124527</v>
      </c>
      <c r="AM111" s="25"/>
      <c r="AN111" s="384" t="e">
        <f t="shared" si="70"/>
        <v>#DIV/0!</v>
      </c>
      <c r="AO111" s="385"/>
      <c r="AP111" s="30"/>
      <c r="AQ111" s="28"/>
      <c r="AR111" s="32"/>
      <c r="AS111" s="29"/>
      <c r="AT111" s="29"/>
    </row>
    <row r="112" spans="1:46" s="103" customFormat="1" ht="8.25" customHeight="1">
      <c r="A112" s="204"/>
      <c r="B112" s="85"/>
      <c r="C112" s="85"/>
      <c r="D112" s="85"/>
      <c r="E112" s="85"/>
      <c r="F112" s="23"/>
      <c r="G112" s="23"/>
      <c r="H112" s="85"/>
      <c r="I112" s="85"/>
      <c r="J112" s="23"/>
      <c r="K112" s="23"/>
      <c r="L112" s="85"/>
      <c r="M112" s="85"/>
      <c r="N112" s="23"/>
      <c r="O112" s="23"/>
      <c r="P112" s="85"/>
      <c r="Q112" s="85"/>
      <c r="R112" s="23"/>
      <c r="S112" s="23"/>
      <c r="T112" s="85"/>
      <c r="U112" s="85"/>
      <c r="V112" s="23"/>
      <c r="W112" s="23"/>
      <c r="X112" s="85"/>
      <c r="Y112" s="85"/>
      <c r="Z112" s="23"/>
      <c r="AA112" s="23"/>
      <c r="AB112" s="85"/>
      <c r="AC112" s="85"/>
      <c r="AD112" s="23"/>
      <c r="AE112" s="23"/>
      <c r="AF112" s="85"/>
      <c r="AG112" s="85"/>
      <c r="AH112" s="23"/>
      <c r="AI112" s="23"/>
      <c r="AJ112" s="24"/>
      <c r="AK112" s="24"/>
      <c r="AL112" s="25"/>
      <c r="AM112" s="25"/>
      <c r="AN112" s="384"/>
      <c r="AO112" s="385"/>
      <c r="AP112" s="30"/>
      <c r="AQ112" s="28"/>
      <c r="AR112" s="32"/>
      <c r="AS112" s="29"/>
      <c r="AT112" s="29"/>
    </row>
    <row r="113" spans="1:46">
      <c r="A113" s="206" t="s">
        <v>211</v>
      </c>
      <c r="B113" s="85"/>
      <c r="C113" s="85"/>
      <c r="D113" s="85"/>
      <c r="E113" s="85"/>
      <c r="F113" s="23"/>
      <c r="G113" s="23"/>
      <c r="H113" s="85"/>
      <c r="I113" s="85"/>
      <c r="J113" s="23"/>
      <c r="K113" s="23"/>
      <c r="L113" s="85"/>
      <c r="M113" s="85"/>
      <c r="N113" s="23"/>
      <c r="O113" s="23"/>
      <c r="P113" s="85"/>
      <c r="Q113" s="85"/>
      <c r="R113" s="23"/>
      <c r="S113" s="23"/>
      <c r="T113" s="85"/>
      <c r="U113" s="85"/>
      <c r="V113" s="23"/>
      <c r="W113" s="23"/>
      <c r="X113" s="85"/>
      <c r="Y113" s="85"/>
      <c r="Z113" s="23"/>
      <c r="AA113" s="23"/>
      <c r="AB113" s="85"/>
      <c r="AC113" s="85"/>
      <c r="AD113" s="23"/>
      <c r="AE113" s="23"/>
      <c r="AF113" s="85"/>
      <c r="AG113" s="85"/>
      <c r="AH113" s="23"/>
      <c r="AI113" s="23"/>
      <c r="AJ113" s="24"/>
      <c r="AK113" s="24"/>
      <c r="AL113" s="25"/>
      <c r="AM113" s="25"/>
      <c r="AN113" s="384"/>
      <c r="AO113" s="385"/>
      <c r="AP113" s="30"/>
      <c r="AQ113" s="54">
        <f>SUM(AQ93:AQ104)</f>
        <v>16564722721.154379</v>
      </c>
      <c r="AR113" s="55"/>
      <c r="AS113" s="29" t="e">
        <f>(#REF!/AQ113)-1</f>
        <v>#REF!</v>
      </c>
      <c r="AT113" s="29" t="e">
        <f>(#REF!/AR113)-1</f>
        <v>#REF!</v>
      </c>
    </row>
    <row r="114" spans="1:46">
      <c r="A114" s="202" t="s">
        <v>162</v>
      </c>
      <c r="B114" s="326">
        <v>54330953714</v>
      </c>
      <c r="C114" s="327">
        <v>101.54</v>
      </c>
      <c r="D114" s="326">
        <v>54330953714</v>
      </c>
      <c r="E114" s="327">
        <v>101.54</v>
      </c>
      <c r="F114" s="23">
        <f t="shared" ref="F114:G117" si="104">((D114-B114)/B114)</f>
        <v>0</v>
      </c>
      <c r="G114" s="23">
        <f t="shared" si="104"/>
        <v>0</v>
      </c>
      <c r="H114" s="326">
        <v>54330953714</v>
      </c>
      <c r="I114" s="327">
        <v>101.72</v>
      </c>
      <c r="J114" s="23">
        <f t="shared" ref="J114:J117" si="105">((H114-D114)/D114)</f>
        <v>0</v>
      </c>
      <c r="K114" s="23">
        <f t="shared" ref="K114:K117" si="106">((I114-E114)/E114)</f>
        <v>1.7727004136300236E-3</v>
      </c>
      <c r="L114" s="326">
        <v>54330953714</v>
      </c>
      <c r="M114" s="327">
        <v>101.72</v>
      </c>
      <c r="N114" s="23">
        <f t="shared" ref="N114:N117" si="107">((L114-H114)/H114)</f>
        <v>0</v>
      </c>
      <c r="O114" s="23">
        <f t="shared" ref="O114:O117" si="108">((M114-I114)/I114)</f>
        <v>0</v>
      </c>
      <c r="P114" s="326">
        <v>54330953714</v>
      </c>
      <c r="Q114" s="327">
        <v>101.72</v>
      </c>
      <c r="R114" s="23">
        <f t="shared" ref="R114:R117" si="109">((P114-L114)/L114)</f>
        <v>0</v>
      </c>
      <c r="S114" s="23">
        <f t="shared" ref="S114:S117" si="110">((Q114-M114)/M114)</f>
        <v>0</v>
      </c>
      <c r="T114" s="326">
        <v>54330953714</v>
      </c>
      <c r="U114" s="327">
        <v>101.72</v>
      </c>
      <c r="V114" s="23">
        <f t="shared" ref="V114:V117" si="111">((T114-P114)/P114)</f>
        <v>0</v>
      </c>
      <c r="W114" s="23">
        <f t="shared" ref="W114:W117" si="112">((U114-Q114)/Q114)</f>
        <v>0</v>
      </c>
      <c r="X114" s="326">
        <v>54330953714</v>
      </c>
      <c r="Y114" s="327">
        <v>101.72</v>
      </c>
      <c r="Z114" s="23">
        <f t="shared" ref="Z114:Z117" si="113">((X114-T114)/T114)</f>
        <v>0</v>
      </c>
      <c r="AA114" s="23">
        <f t="shared" ref="AA114:AA117" si="114">((Y114-U114)/U114)</f>
        <v>0</v>
      </c>
      <c r="AB114" s="326">
        <v>54330953714</v>
      </c>
      <c r="AC114" s="327">
        <v>101.72</v>
      </c>
      <c r="AD114" s="23">
        <f t="shared" ref="AD114:AD117" si="115">((AB114-X114)/X114)</f>
        <v>0</v>
      </c>
      <c r="AE114" s="23">
        <f t="shared" ref="AE114:AE117" si="116">((AC114-Y114)/Y114)</f>
        <v>0</v>
      </c>
      <c r="AF114" s="326">
        <v>54330953714</v>
      </c>
      <c r="AG114" s="327">
        <v>101.29</v>
      </c>
      <c r="AH114" s="23">
        <f t="shared" ref="AH114:AH117" si="117">((AF114-AB114)/AB114)</f>
        <v>0</v>
      </c>
      <c r="AI114" s="23">
        <f t="shared" ref="AI114:AI117" si="118">((AG114-AC114)/AC114)</f>
        <v>-4.2272906016515201E-3</v>
      </c>
      <c r="AJ114" s="24">
        <f t="shared" si="66"/>
        <v>0</v>
      </c>
      <c r="AK114" s="24">
        <f t="shared" si="67"/>
        <v>-3.0682377350268704E-4</v>
      </c>
      <c r="AL114" s="25">
        <f t="shared" si="68"/>
        <v>0</v>
      </c>
      <c r="AM114" s="25">
        <f t="shared" si="69"/>
        <v>-2.4620839078195785E-3</v>
      </c>
      <c r="AN114" s="384">
        <f t="shared" si="70"/>
        <v>0</v>
      </c>
      <c r="AO114" s="385">
        <f t="shared" si="71"/>
        <v>1.7012317371079739E-3</v>
      </c>
      <c r="AP114" s="30"/>
      <c r="AQ114" s="40"/>
      <c r="AR114" s="13"/>
      <c r="AS114" s="29" t="e">
        <f>(#REF!/AQ114)-1</f>
        <v>#REF!</v>
      </c>
      <c r="AT114" s="29" t="e">
        <f>(#REF!/AR114)-1</f>
        <v>#REF!</v>
      </c>
    </row>
    <row r="115" spans="1:46">
      <c r="A115" s="202" t="s">
        <v>139</v>
      </c>
      <c r="B115" s="326">
        <v>2384096753.52</v>
      </c>
      <c r="C115" s="327">
        <v>77</v>
      </c>
      <c r="D115" s="326">
        <v>2388045303.77</v>
      </c>
      <c r="E115" s="327">
        <v>77</v>
      </c>
      <c r="F115" s="23">
        <f t="shared" si="104"/>
        <v>1.6562038617644868E-3</v>
      </c>
      <c r="G115" s="23">
        <f t="shared" si="104"/>
        <v>0</v>
      </c>
      <c r="H115" s="326">
        <v>2392753042.1500001</v>
      </c>
      <c r="I115" s="327">
        <v>77</v>
      </c>
      <c r="J115" s="23">
        <f t="shared" si="105"/>
        <v>1.9713773321502828E-3</v>
      </c>
      <c r="K115" s="23">
        <f t="shared" si="106"/>
        <v>0</v>
      </c>
      <c r="L115" s="326">
        <v>2401381024.9099998</v>
      </c>
      <c r="M115" s="327">
        <v>77</v>
      </c>
      <c r="N115" s="23">
        <f t="shared" si="107"/>
        <v>3.6058810115427156E-3</v>
      </c>
      <c r="O115" s="23">
        <f t="shared" si="108"/>
        <v>0</v>
      </c>
      <c r="P115" s="326">
        <v>2404526331.1199999</v>
      </c>
      <c r="Q115" s="327">
        <v>77</v>
      </c>
      <c r="R115" s="23">
        <f t="shared" si="109"/>
        <v>1.3097905652510598E-3</v>
      </c>
      <c r="S115" s="23">
        <f t="shared" si="110"/>
        <v>0</v>
      </c>
      <c r="T115" s="326">
        <v>2408317241.54</v>
      </c>
      <c r="U115" s="327">
        <v>77</v>
      </c>
      <c r="V115" s="23">
        <f t="shared" si="111"/>
        <v>1.5765726375865118E-3</v>
      </c>
      <c r="W115" s="23">
        <f t="shared" si="112"/>
        <v>0</v>
      </c>
      <c r="X115" s="326">
        <v>2412016399.8899999</v>
      </c>
      <c r="Y115" s="327">
        <v>77</v>
      </c>
      <c r="Z115" s="23">
        <f t="shared" si="113"/>
        <v>1.535992968947262E-3</v>
      </c>
      <c r="AA115" s="23">
        <f t="shared" si="114"/>
        <v>0</v>
      </c>
      <c r="AB115" s="326">
        <v>2420689064.9899998</v>
      </c>
      <c r="AC115" s="327">
        <v>69.3</v>
      </c>
      <c r="AD115" s="23">
        <f t="shared" si="115"/>
        <v>3.5956078492647985E-3</v>
      </c>
      <c r="AE115" s="23">
        <f t="shared" si="116"/>
        <v>-0.10000000000000003</v>
      </c>
      <c r="AF115" s="326">
        <v>2426333291.4699998</v>
      </c>
      <c r="AG115" s="327">
        <v>69.3</v>
      </c>
      <c r="AH115" s="23">
        <f t="shared" si="117"/>
        <v>2.3316610801574949E-3</v>
      </c>
      <c r="AI115" s="23">
        <f t="shared" si="118"/>
        <v>0</v>
      </c>
      <c r="AJ115" s="24">
        <f t="shared" si="66"/>
        <v>2.1978859133330764E-3</v>
      </c>
      <c r="AK115" s="24">
        <f t="shared" si="67"/>
        <v>-1.2500000000000004E-2</v>
      </c>
      <c r="AL115" s="25">
        <f t="shared" si="68"/>
        <v>1.6033191514229096E-2</v>
      </c>
      <c r="AM115" s="25">
        <f t="shared" si="69"/>
        <v>-0.10000000000000003</v>
      </c>
      <c r="AN115" s="384">
        <f t="shared" si="70"/>
        <v>9.1897023021101168E-4</v>
      </c>
      <c r="AO115" s="385">
        <f t="shared" si="71"/>
        <v>3.535533905932739E-2</v>
      </c>
      <c r="AP115" s="30"/>
      <c r="AQ115" s="28">
        <v>640873657.65999997</v>
      </c>
      <c r="AR115" s="32">
        <v>11.5358</v>
      </c>
      <c r="AS115" s="29" t="e">
        <f>(#REF!/AQ115)-1</f>
        <v>#REF!</v>
      </c>
      <c r="AT115" s="29" t="e">
        <f>(#REF!/AR115)-1</f>
        <v>#REF!</v>
      </c>
    </row>
    <row r="116" spans="1:46">
      <c r="A116" s="202" t="s">
        <v>21</v>
      </c>
      <c r="B116" s="326">
        <v>9858731069.2900009</v>
      </c>
      <c r="C116" s="327">
        <v>36.6</v>
      </c>
      <c r="D116" s="326">
        <v>9873020532.8299999</v>
      </c>
      <c r="E116" s="327">
        <v>36.6</v>
      </c>
      <c r="F116" s="23">
        <f t="shared" si="104"/>
        <v>1.4494221862396432E-3</v>
      </c>
      <c r="G116" s="23">
        <f t="shared" si="104"/>
        <v>0</v>
      </c>
      <c r="H116" s="326">
        <v>9875245071.0699997</v>
      </c>
      <c r="I116" s="327">
        <v>36.6</v>
      </c>
      <c r="J116" s="23">
        <f t="shared" si="105"/>
        <v>2.2531486008792187E-4</v>
      </c>
      <c r="K116" s="23">
        <f t="shared" si="106"/>
        <v>0</v>
      </c>
      <c r="L116" s="326">
        <v>9892265952</v>
      </c>
      <c r="M116" s="327">
        <v>36.6</v>
      </c>
      <c r="N116" s="23">
        <f t="shared" si="107"/>
        <v>1.7235907369897872E-3</v>
      </c>
      <c r="O116" s="23">
        <f t="shared" si="108"/>
        <v>0</v>
      </c>
      <c r="P116" s="326">
        <v>9896905856.8899994</v>
      </c>
      <c r="Q116" s="327">
        <v>36.6</v>
      </c>
      <c r="R116" s="23">
        <f t="shared" si="109"/>
        <v>4.6904368650352573E-4</v>
      </c>
      <c r="S116" s="23">
        <f t="shared" si="110"/>
        <v>0</v>
      </c>
      <c r="T116" s="326">
        <v>9901646027.9500008</v>
      </c>
      <c r="U116" s="327">
        <v>36.6</v>
      </c>
      <c r="V116" s="23">
        <f t="shared" si="111"/>
        <v>4.789548499848945E-4</v>
      </c>
      <c r="W116" s="23">
        <f t="shared" si="112"/>
        <v>0</v>
      </c>
      <c r="X116" s="326">
        <v>9915645721.1100006</v>
      </c>
      <c r="Y116" s="327">
        <v>36.6</v>
      </c>
      <c r="Z116" s="23">
        <f t="shared" si="113"/>
        <v>1.4138753415828065E-3</v>
      </c>
      <c r="AA116" s="23">
        <f t="shared" si="114"/>
        <v>0</v>
      </c>
      <c r="AB116" s="326">
        <v>9927214011.3899994</v>
      </c>
      <c r="AC116" s="327">
        <v>36.6</v>
      </c>
      <c r="AD116" s="23">
        <f t="shared" si="115"/>
        <v>1.1666703919615004E-3</v>
      </c>
      <c r="AE116" s="23">
        <f t="shared" si="116"/>
        <v>0</v>
      </c>
      <c r="AF116" s="326">
        <v>9933540017.9400005</v>
      </c>
      <c r="AG116" s="327">
        <v>36.6</v>
      </c>
      <c r="AH116" s="23">
        <f t="shared" si="117"/>
        <v>6.3723886104832578E-4</v>
      </c>
      <c r="AI116" s="23">
        <f t="shared" si="118"/>
        <v>0</v>
      </c>
      <c r="AJ116" s="24">
        <f t="shared" si="66"/>
        <v>9.4551386429980061E-4</v>
      </c>
      <c r="AK116" s="24">
        <f t="shared" si="67"/>
        <v>0</v>
      </c>
      <c r="AL116" s="25">
        <f t="shared" si="68"/>
        <v>6.1297841839546259E-3</v>
      </c>
      <c r="AM116" s="25">
        <f t="shared" si="69"/>
        <v>0</v>
      </c>
      <c r="AN116" s="384">
        <f t="shared" si="70"/>
        <v>5.5882799900845378E-4</v>
      </c>
      <c r="AO116" s="385">
        <f t="shared" si="71"/>
        <v>0</v>
      </c>
      <c r="AP116" s="30"/>
      <c r="AQ116" s="28">
        <v>2128320668.46</v>
      </c>
      <c r="AR116" s="35">
        <v>1.04</v>
      </c>
      <c r="AS116" s="29" t="e">
        <f>(#REF!/AQ116)-1</f>
        <v>#REF!</v>
      </c>
      <c r="AT116" s="29" t="e">
        <f>(#REF!/AR116)-1</f>
        <v>#REF!</v>
      </c>
    </row>
    <row r="117" spans="1:46">
      <c r="A117" s="202" t="s">
        <v>181</v>
      </c>
      <c r="B117" s="326">
        <v>26854922970.27</v>
      </c>
      <c r="C117" s="327">
        <v>3.35</v>
      </c>
      <c r="D117" s="326">
        <v>26857877014.560001</v>
      </c>
      <c r="E117" s="327">
        <v>3.6</v>
      </c>
      <c r="F117" s="23">
        <f t="shared" si="104"/>
        <v>1.1000010289626295E-4</v>
      </c>
      <c r="G117" s="23">
        <f t="shared" si="104"/>
        <v>7.4626865671641784E-2</v>
      </c>
      <c r="H117" s="326">
        <v>26864270591.25</v>
      </c>
      <c r="I117" s="327">
        <v>3.6</v>
      </c>
      <c r="J117" s="23">
        <f t="shared" si="105"/>
        <v>2.3805219923125667E-4</v>
      </c>
      <c r="K117" s="23">
        <f t="shared" si="106"/>
        <v>0</v>
      </c>
      <c r="L117" s="326">
        <v>26866958723.619999</v>
      </c>
      <c r="M117" s="327">
        <v>3.75</v>
      </c>
      <c r="N117" s="23">
        <f t="shared" si="107"/>
        <v>1.0006347877073898E-4</v>
      </c>
      <c r="O117" s="23">
        <f t="shared" si="108"/>
        <v>4.1666666666666644E-2</v>
      </c>
      <c r="P117" s="326">
        <v>26899569071.439999</v>
      </c>
      <c r="Q117" s="327">
        <v>3.7</v>
      </c>
      <c r="R117" s="23">
        <f t="shared" si="109"/>
        <v>1.2137714638810388E-3</v>
      </c>
      <c r="S117" s="23">
        <f t="shared" si="110"/>
        <v>-1.3333333333333286E-2</v>
      </c>
      <c r="T117" s="326">
        <v>26931489339.299999</v>
      </c>
      <c r="U117" s="327">
        <v>3.7</v>
      </c>
      <c r="V117" s="23">
        <f t="shared" si="111"/>
        <v>1.1866460676461625E-3</v>
      </c>
      <c r="W117" s="23">
        <f t="shared" si="112"/>
        <v>0</v>
      </c>
      <c r="X117" s="326">
        <v>26884898283.799999</v>
      </c>
      <c r="Y117" s="327">
        <v>3.75</v>
      </c>
      <c r="Z117" s="23">
        <f t="shared" si="113"/>
        <v>-1.7299843656255437E-3</v>
      </c>
      <c r="AA117" s="23">
        <f t="shared" si="114"/>
        <v>1.3513513513513466E-2</v>
      </c>
      <c r="AB117" s="326">
        <v>26879601041.349998</v>
      </c>
      <c r="AC117" s="327">
        <v>10.07</v>
      </c>
      <c r="AD117" s="23">
        <f t="shared" si="115"/>
        <v>-1.9703412652272208E-4</v>
      </c>
      <c r="AE117" s="23">
        <f t="shared" si="116"/>
        <v>1.6853333333333333</v>
      </c>
      <c r="AF117" s="326">
        <v>26883973889</v>
      </c>
      <c r="AG117" s="327">
        <v>3.65</v>
      </c>
      <c r="AH117" s="23">
        <f t="shared" si="117"/>
        <v>1.6268275869402206E-4</v>
      </c>
      <c r="AI117" s="23">
        <f t="shared" si="118"/>
        <v>-0.63753723932472683</v>
      </c>
      <c r="AJ117" s="24">
        <f t="shared" si="66"/>
        <v>1.3552469737140204E-4</v>
      </c>
      <c r="AK117" s="24">
        <f t="shared" si="67"/>
        <v>0.14553372581588692</v>
      </c>
      <c r="AL117" s="25">
        <f t="shared" si="68"/>
        <v>9.7166557229565003E-4</v>
      </c>
      <c r="AM117" s="25">
        <f t="shared" si="69"/>
        <v>1.388888888888884E-2</v>
      </c>
      <c r="AN117" s="384">
        <f t="shared" si="70"/>
        <v>9.1584076219539958E-4</v>
      </c>
      <c r="AO117" s="385">
        <f t="shared" si="71"/>
        <v>0.66386609301529553</v>
      </c>
      <c r="AP117" s="30"/>
      <c r="AQ117" s="28">
        <v>1789192828.73</v>
      </c>
      <c r="AR117" s="32">
        <v>0.79</v>
      </c>
      <c r="AS117" s="29" t="e">
        <f>(#REF!/AQ117)-1</f>
        <v>#REF!</v>
      </c>
      <c r="AT117" s="29" t="e">
        <f>(#REF!/AR117)-1</f>
        <v>#REF!</v>
      </c>
    </row>
    <row r="118" spans="1:46">
      <c r="A118" s="204" t="s">
        <v>42</v>
      </c>
      <c r="B118" s="70">
        <f>SUM(B114:B117)</f>
        <v>93428704507.080002</v>
      </c>
      <c r="C118" s="85"/>
      <c r="D118" s="70">
        <f>SUM(D114:D117)</f>
        <v>93449896565.160004</v>
      </c>
      <c r="E118" s="85"/>
      <c r="F118" s="23">
        <f>((D118-B118)/B118)</f>
        <v>2.2682598663664337E-4</v>
      </c>
      <c r="G118" s="23"/>
      <c r="H118" s="70">
        <f>SUM(H114:H117)</f>
        <v>93463222418.470001</v>
      </c>
      <c r="I118" s="85"/>
      <c r="J118" s="23">
        <f>((H118-D118)/D118)</f>
        <v>1.4259890914599156E-4</v>
      </c>
      <c r="K118" s="23"/>
      <c r="L118" s="70">
        <f>SUM(L114:L117)</f>
        <v>93491559414.529999</v>
      </c>
      <c r="M118" s="85"/>
      <c r="N118" s="23">
        <f>((L118-H118)/H118)</f>
        <v>3.0318873377939149E-4</v>
      </c>
      <c r="O118" s="23"/>
      <c r="P118" s="70">
        <f>SUM(P114:P117)</f>
        <v>93531954973.449997</v>
      </c>
      <c r="Q118" s="85"/>
      <c r="R118" s="23">
        <f>((P118-L118)/L118)</f>
        <v>4.3207706848582194E-4</v>
      </c>
      <c r="S118" s="23"/>
      <c r="T118" s="70">
        <f>SUM(T114:T117)</f>
        <v>93572406322.790009</v>
      </c>
      <c r="U118" s="85"/>
      <c r="V118" s="23">
        <f>((T118-P118)/P118)</f>
        <v>4.3248694364930279E-4</v>
      </c>
      <c r="W118" s="23"/>
      <c r="X118" s="70">
        <f>SUM(X114:X117)</f>
        <v>93543514118.800003</v>
      </c>
      <c r="Y118" s="85"/>
      <c r="Z118" s="23">
        <f>((X118-T118)/T118)</f>
        <v>-3.0876841929594216E-4</v>
      </c>
      <c r="AA118" s="23"/>
      <c r="AB118" s="70">
        <f>SUM(AB114:AB117)</f>
        <v>93558457831.729996</v>
      </c>
      <c r="AC118" s="85"/>
      <c r="AD118" s="23">
        <f>((AB118-X118)/X118)</f>
        <v>1.5975145974326133E-4</v>
      </c>
      <c r="AE118" s="23"/>
      <c r="AF118" s="70">
        <f>SUM(AF114:AF117)</f>
        <v>93574800912.410004</v>
      </c>
      <c r="AG118" s="85"/>
      <c r="AH118" s="23">
        <f>((AF118-AB118)/AB118)</f>
        <v>1.7468309182053706E-4</v>
      </c>
      <c r="AI118" s="23"/>
      <c r="AJ118" s="24">
        <f t="shared" si="66"/>
        <v>1.9535547174562591E-4</v>
      </c>
      <c r="AK118" s="24"/>
      <c r="AL118" s="25">
        <f t="shared" si="68"/>
        <v>1.336591605137922E-3</v>
      </c>
      <c r="AM118" s="25"/>
      <c r="AN118" s="384">
        <f t="shared" si="70"/>
        <v>2.3406531457737312E-4</v>
      </c>
      <c r="AO118" s="385"/>
      <c r="AP118" s="30"/>
      <c r="AQ118" s="28">
        <v>204378030.47999999</v>
      </c>
      <c r="AR118" s="32">
        <v>22.9087</v>
      </c>
      <c r="AS118" s="29" t="e">
        <f>(#REF!/AQ118)-1</f>
        <v>#REF!</v>
      </c>
      <c r="AT118" s="29" t="e">
        <f>(#REF!/AR118)-1</f>
        <v>#REF!</v>
      </c>
    </row>
    <row r="119" spans="1:46" s="368" customFormat="1" ht="7.5" customHeight="1">
      <c r="A119" s="204"/>
      <c r="B119" s="85"/>
      <c r="C119" s="85"/>
      <c r="D119" s="85"/>
      <c r="E119" s="85"/>
      <c r="F119" s="23"/>
      <c r="G119" s="23"/>
      <c r="H119" s="85"/>
      <c r="I119" s="85"/>
      <c r="J119" s="23"/>
      <c r="K119" s="23"/>
      <c r="L119" s="85"/>
      <c r="M119" s="85"/>
      <c r="N119" s="23"/>
      <c r="O119" s="23"/>
      <c r="P119" s="85"/>
      <c r="Q119" s="85"/>
      <c r="R119" s="23"/>
      <c r="S119" s="23"/>
      <c r="T119" s="85"/>
      <c r="U119" s="85"/>
      <c r="V119" s="23"/>
      <c r="W119" s="23"/>
      <c r="X119" s="85"/>
      <c r="Y119" s="85"/>
      <c r="Z119" s="23"/>
      <c r="AA119" s="23"/>
      <c r="AB119" s="85"/>
      <c r="AC119" s="85"/>
      <c r="AD119" s="23"/>
      <c r="AE119" s="23"/>
      <c r="AF119" s="85"/>
      <c r="AG119" s="85"/>
      <c r="AH119" s="23"/>
      <c r="AI119" s="23"/>
      <c r="AJ119" s="24"/>
      <c r="AK119" s="24"/>
      <c r="AL119" s="25"/>
      <c r="AM119" s="25"/>
      <c r="AN119" s="384"/>
      <c r="AO119" s="385"/>
      <c r="AP119" s="30"/>
      <c r="AQ119" s="28"/>
      <c r="AR119" s="32"/>
      <c r="AS119" s="29"/>
      <c r="AT119" s="29"/>
    </row>
    <row r="120" spans="1:46">
      <c r="A120" s="206" t="s">
        <v>220</v>
      </c>
      <c r="B120" s="85"/>
      <c r="C120" s="85"/>
      <c r="D120" s="85"/>
      <c r="E120" s="85"/>
      <c r="F120" s="23"/>
      <c r="G120" s="23"/>
      <c r="H120" s="85"/>
      <c r="I120" s="85"/>
      <c r="J120" s="23"/>
      <c r="K120" s="23"/>
      <c r="L120" s="85"/>
      <c r="M120" s="85"/>
      <c r="N120" s="23"/>
      <c r="O120" s="23"/>
      <c r="P120" s="85"/>
      <c r="Q120" s="85"/>
      <c r="R120" s="23"/>
      <c r="S120" s="23"/>
      <c r="T120" s="85"/>
      <c r="U120" s="85"/>
      <c r="V120" s="23"/>
      <c r="W120" s="23"/>
      <c r="X120" s="85"/>
      <c r="Y120" s="85"/>
      <c r="Z120" s="23"/>
      <c r="AA120" s="23"/>
      <c r="AB120" s="85"/>
      <c r="AC120" s="85"/>
      <c r="AD120" s="23"/>
      <c r="AE120" s="23"/>
      <c r="AF120" s="85"/>
      <c r="AG120" s="85"/>
      <c r="AH120" s="23"/>
      <c r="AI120" s="23"/>
      <c r="AJ120" s="24"/>
      <c r="AK120" s="24"/>
      <c r="AL120" s="25"/>
      <c r="AM120" s="25"/>
      <c r="AN120" s="384"/>
      <c r="AO120" s="385"/>
      <c r="AP120" s="30"/>
      <c r="AQ120" s="28">
        <v>160273731.87</v>
      </c>
      <c r="AR120" s="32">
        <v>133.94</v>
      </c>
      <c r="AS120" s="29" t="e">
        <f>(#REF!/AQ120)-1</f>
        <v>#REF!</v>
      </c>
      <c r="AT120" s="29" t="e">
        <f>(#REF!/AR120)-1</f>
        <v>#REF!</v>
      </c>
    </row>
    <row r="121" spans="1:46" s="93" customFormat="1">
      <c r="A121" s="202" t="s">
        <v>116</v>
      </c>
      <c r="B121" s="325">
        <v>180314220.96000001</v>
      </c>
      <c r="C121" s="325">
        <v>4.0999999999999996</v>
      </c>
      <c r="D121" s="325">
        <v>186288631.78999999</v>
      </c>
      <c r="E121" s="325">
        <v>4.24</v>
      </c>
      <c r="F121" s="23">
        <f t="shared" ref="F121:F144" si="119">((D121-B121)/B121)</f>
        <v>3.3133331348975052E-2</v>
      </c>
      <c r="G121" s="23">
        <f t="shared" ref="G121:G144" si="120">((E121-C121)/C121)</f>
        <v>3.4146341463414775E-2</v>
      </c>
      <c r="H121" s="325">
        <v>187052986.65000001</v>
      </c>
      <c r="I121" s="325">
        <v>4.25</v>
      </c>
      <c r="J121" s="23">
        <f t="shared" ref="J121:J131" si="121">((H121-D121)/D121)</f>
        <v>4.1030676571915487E-3</v>
      </c>
      <c r="K121" s="23">
        <f t="shared" ref="K121:K131" si="122">((I121-E121)/E121)</f>
        <v>2.3584905660376855E-3</v>
      </c>
      <c r="L121" s="325">
        <v>191306054.06</v>
      </c>
      <c r="M121" s="325">
        <v>4.3499999999999996</v>
      </c>
      <c r="N121" s="23">
        <f t="shared" ref="N121:N131" si="123">((L121-H121)/H121)</f>
        <v>2.2737233369911531E-2</v>
      </c>
      <c r="O121" s="23">
        <f t="shared" ref="O121:O131" si="124">((M121-I121)/I121)</f>
        <v>2.3529411764705799E-2</v>
      </c>
      <c r="P121" s="325">
        <v>194310726.47999999</v>
      </c>
      <c r="Q121" s="325">
        <v>4.42</v>
      </c>
      <c r="R121" s="23">
        <f t="shared" ref="R121:R131" si="125">((P121-L121)/L121)</f>
        <v>1.570610211351503E-2</v>
      </c>
      <c r="S121" s="23">
        <f t="shared" ref="S121:S131" si="126">((Q121-M121)/M121)</f>
        <v>1.6091954022988571E-2</v>
      </c>
      <c r="T121" s="325">
        <v>191624538.55000001</v>
      </c>
      <c r="U121" s="325">
        <v>4.3600000000000003</v>
      </c>
      <c r="V121" s="23">
        <f t="shared" ref="V121:V131" si="127">((T121-P121)/P121)</f>
        <v>-1.3824187571428082E-2</v>
      </c>
      <c r="W121" s="23">
        <f t="shared" ref="W121:W131" si="128">((U121-Q121)/Q121)</f>
        <v>-1.3574660633484075E-2</v>
      </c>
      <c r="X121" s="325">
        <v>196170506.66999999</v>
      </c>
      <c r="Y121" s="325">
        <v>4.4800000000000004</v>
      </c>
      <c r="Z121" s="23">
        <f t="shared" ref="Z121:Z131" si="129">((X121-T121)/T121)</f>
        <v>2.3723308895607902E-2</v>
      </c>
      <c r="AA121" s="23">
        <f t="shared" ref="AA121:AA131" si="130">((Y121-U121)/U121)</f>
        <v>2.7522935779816536E-2</v>
      </c>
      <c r="AB121" s="325">
        <v>196441877.56999999</v>
      </c>
      <c r="AC121" s="325">
        <v>4.49</v>
      </c>
      <c r="AD121" s="23">
        <f t="shared" ref="AD121:AD131" si="131">((AB121-X121)/X121)</f>
        <v>1.3833419947092702E-3</v>
      </c>
      <c r="AE121" s="23">
        <f t="shared" ref="AE121:AE131" si="132">((AC121-Y121)/Y121)</f>
        <v>2.2321428571428093E-3</v>
      </c>
      <c r="AF121" s="325">
        <v>197752973.91</v>
      </c>
      <c r="AG121" s="325">
        <v>4.51</v>
      </c>
      <c r="AH121" s="23">
        <f t="shared" ref="AH121:AH131" si="133">((AF121-AB121)/AB121)</f>
        <v>6.6742201623114106E-3</v>
      </c>
      <c r="AI121" s="23">
        <f t="shared" ref="AI121:AI131" si="134">((AG121-AC121)/AC121)</f>
        <v>4.4543429844097048E-3</v>
      </c>
      <c r="AJ121" s="24">
        <f t="shared" si="66"/>
        <v>1.1704552246349207E-2</v>
      </c>
      <c r="AK121" s="24">
        <f t="shared" si="67"/>
        <v>1.2095119850628975E-2</v>
      </c>
      <c r="AL121" s="25">
        <f t="shared" si="68"/>
        <v>6.1540750017014256E-2</v>
      </c>
      <c r="AM121" s="25">
        <f t="shared" si="69"/>
        <v>6.3679245283018771E-2</v>
      </c>
      <c r="AN121" s="384">
        <f t="shared" si="70"/>
        <v>1.5036651821057984E-2</v>
      </c>
      <c r="AO121" s="385">
        <f t="shared" si="71"/>
        <v>1.5948089720627313E-2</v>
      </c>
      <c r="AP121" s="30"/>
      <c r="AQ121" s="28"/>
      <c r="AR121" s="32"/>
      <c r="AS121" s="29"/>
      <c r="AT121" s="29"/>
    </row>
    <row r="122" spans="1:46" s="103" customFormat="1">
      <c r="A122" s="202" t="s">
        <v>154</v>
      </c>
      <c r="B122" s="325">
        <v>5218857777.5299997</v>
      </c>
      <c r="C122" s="325">
        <v>589.77639999999997</v>
      </c>
      <c r="D122" s="325">
        <v>5423260890.4499998</v>
      </c>
      <c r="E122" s="325">
        <v>613.34460000000001</v>
      </c>
      <c r="F122" s="23">
        <f t="shared" si="119"/>
        <v>3.9166254692754005E-2</v>
      </c>
      <c r="G122" s="23">
        <f t="shared" si="120"/>
        <v>3.996124632996513E-2</v>
      </c>
      <c r="H122" s="325">
        <v>5379490467.0699997</v>
      </c>
      <c r="I122" s="325">
        <v>608.30999999999995</v>
      </c>
      <c r="J122" s="23">
        <f t="shared" si="121"/>
        <v>-8.0708681113012479E-3</v>
      </c>
      <c r="K122" s="23">
        <f t="shared" si="122"/>
        <v>-8.2084361711182718E-3</v>
      </c>
      <c r="L122" s="325">
        <v>5467902900.1800003</v>
      </c>
      <c r="M122" s="325">
        <v>618.33630000000005</v>
      </c>
      <c r="N122" s="23">
        <f t="shared" si="123"/>
        <v>1.6435094299582512E-2</v>
      </c>
      <c r="O122" s="23">
        <f t="shared" si="124"/>
        <v>1.6482221235883197E-2</v>
      </c>
      <c r="P122" s="325">
        <v>5792189942.3299999</v>
      </c>
      <c r="Q122" s="325">
        <v>636.30070000000001</v>
      </c>
      <c r="R122" s="23">
        <f t="shared" si="125"/>
        <v>5.9307388604015673E-2</v>
      </c>
      <c r="S122" s="23">
        <f t="shared" si="126"/>
        <v>2.9052798614604955E-2</v>
      </c>
      <c r="T122" s="325">
        <v>5709659958.8299999</v>
      </c>
      <c r="U122" s="325">
        <v>626.8922</v>
      </c>
      <c r="V122" s="23">
        <f t="shared" si="127"/>
        <v>-1.4248493975803737E-2</v>
      </c>
      <c r="W122" s="23">
        <f t="shared" si="128"/>
        <v>-1.478624807422026E-2</v>
      </c>
      <c r="X122" s="325">
        <v>5934638478.0299997</v>
      </c>
      <c r="Y122" s="325">
        <v>651.43859999999995</v>
      </c>
      <c r="Z122" s="23">
        <f t="shared" si="129"/>
        <v>3.9403137984087844E-2</v>
      </c>
      <c r="AA122" s="23">
        <f t="shared" si="130"/>
        <v>3.9155695349216257E-2</v>
      </c>
      <c r="AB122" s="325">
        <v>5929939862.1999998</v>
      </c>
      <c r="AC122" s="325">
        <v>650.22670000000005</v>
      </c>
      <c r="AD122" s="23">
        <f t="shared" si="131"/>
        <v>-7.9172738952746236E-4</v>
      </c>
      <c r="AE122" s="23">
        <f t="shared" si="132"/>
        <v>-1.8603441675084968E-3</v>
      </c>
      <c r="AF122" s="325">
        <v>5915840945.8199997</v>
      </c>
      <c r="AG122" s="325">
        <v>648.44129999999996</v>
      </c>
      <c r="AH122" s="23">
        <f t="shared" si="133"/>
        <v>-2.3775816800222045E-3</v>
      </c>
      <c r="AI122" s="23">
        <f t="shared" si="134"/>
        <v>-2.745811576178116E-3</v>
      </c>
      <c r="AJ122" s="24">
        <f t="shared" si="66"/>
        <v>1.6102900552973174E-2</v>
      </c>
      <c r="AK122" s="24">
        <f t="shared" si="67"/>
        <v>1.2131390192580549E-2</v>
      </c>
      <c r="AL122" s="25">
        <f t="shared" si="68"/>
        <v>9.0827283680451454E-2</v>
      </c>
      <c r="AM122" s="25">
        <f t="shared" si="69"/>
        <v>5.7221829294657425E-2</v>
      </c>
      <c r="AN122" s="384">
        <f t="shared" si="70"/>
        <v>2.692341632725824E-2</v>
      </c>
      <c r="AO122" s="385">
        <f t="shared" si="71"/>
        <v>2.1926648186358026E-2</v>
      </c>
      <c r="AP122" s="30"/>
      <c r="AQ122" s="28"/>
      <c r="AR122" s="32"/>
      <c r="AS122" s="29"/>
      <c r="AT122" s="29"/>
    </row>
    <row r="123" spans="1:46" s="368" customFormat="1">
      <c r="A123" s="202" t="s">
        <v>240</v>
      </c>
      <c r="B123" s="325">
        <v>2806863067.3200002</v>
      </c>
      <c r="C123" s="325">
        <v>15.6533</v>
      </c>
      <c r="D123" s="325">
        <v>2912210240.25</v>
      </c>
      <c r="E123" s="325">
        <v>16.3429</v>
      </c>
      <c r="F123" s="23">
        <f t="shared" si="119"/>
        <v>3.7531995827137218E-2</v>
      </c>
      <c r="G123" s="23">
        <f t="shared" si="120"/>
        <v>4.4054608293458919E-2</v>
      </c>
      <c r="H123" s="325">
        <v>2916603768.6599998</v>
      </c>
      <c r="I123" s="325">
        <v>16.128499999999999</v>
      </c>
      <c r="J123" s="23">
        <f t="shared" si="121"/>
        <v>1.5086577024132307E-3</v>
      </c>
      <c r="K123" s="23">
        <f t="shared" si="122"/>
        <v>-1.3118846716311135E-2</v>
      </c>
      <c r="L123" s="325">
        <v>2975758332.46</v>
      </c>
      <c r="M123" s="325">
        <v>16.280799999999999</v>
      </c>
      <c r="N123" s="23">
        <f t="shared" si="123"/>
        <v>2.0282002113430057E-2</v>
      </c>
      <c r="O123" s="23">
        <f t="shared" si="124"/>
        <v>9.442911616083351E-3</v>
      </c>
      <c r="P123" s="325">
        <v>3056206260.1500001</v>
      </c>
      <c r="Q123" s="325">
        <v>16.414899999999999</v>
      </c>
      <c r="R123" s="23">
        <f t="shared" si="125"/>
        <v>2.7034429110879901E-2</v>
      </c>
      <c r="S123" s="23">
        <f t="shared" si="126"/>
        <v>8.2366959854552665E-3</v>
      </c>
      <c r="T123" s="325">
        <v>3043063454.27</v>
      </c>
      <c r="U123" s="325">
        <v>16.714200000000002</v>
      </c>
      <c r="V123" s="23">
        <f t="shared" si="127"/>
        <v>-4.3003661275646558E-3</v>
      </c>
      <c r="W123" s="23">
        <f t="shared" si="128"/>
        <v>1.8233434257899979E-2</v>
      </c>
      <c r="X123" s="325">
        <v>3106358702.3200002</v>
      </c>
      <c r="Y123" s="325">
        <v>16.681699999999999</v>
      </c>
      <c r="Z123" s="23">
        <f t="shared" si="129"/>
        <v>2.0799844959258032E-2</v>
      </c>
      <c r="AA123" s="23">
        <f t="shared" si="130"/>
        <v>-1.9444544160056964E-3</v>
      </c>
      <c r="AB123" s="325">
        <v>3110666057.9299998</v>
      </c>
      <c r="AC123" s="325">
        <v>16.975899999999999</v>
      </c>
      <c r="AD123" s="23">
        <f t="shared" si="131"/>
        <v>1.3866253136776141E-3</v>
      </c>
      <c r="AE123" s="23">
        <f t="shared" si="132"/>
        <v>1.7636092244795197E-2</v>
      </c>
      <c r="AF123" s="325">
        <v>3161579693.9099998</v>
      </c>
      <c r="AG123" s="325">
        <v>16.876100000000001</v>
      </c>
      <c r="AH123" s="23">
        <f t="shared" si="133"/>
        <v>1.6367438687353221E-2</v>
      </c>
      <c r="AI123" s="23">
        <f t="shared" si="134"/>
        <v>-5.8789224724461351E-3</v>
      </c>
      <c r="AJ123" s="24">
        <f t="shared" si="66"/>
        <v>1.5076328448323077E-2</v>
      </c>
      <c r="AK123" s="24">
        <f t="shared" si="67"/>
        <v>9.5826898491162184E-3</v>
      </c>
      <c r="AL123" s="25">
        <f t="shared" si="68"/>
        <v>8.5628932352972087E-2</v>
      </c>
      <c r="AM123" s="25">
        <f t="shared" si="69"/>
        <v>3.2625788568736318E-2</v>
      </c>
      <c r="AN123" s="384">
        <f t="shared" si="70"/>
        <v>1.4420836948977776E-2</v>
      </c>
      <c r="AO123" s="385">
        <f t="shared" si="71"/>
        <v>1.779700352211953E-2</v>
      </c>
      <c r="AP123" s="30"/>
      <c r="AQ123" s="28"/>
      <c r="AR123" s="32"/>
      <c r="AS123" s="29"/>
      <c r="AT123" s="29"/>
    </row>
    <row r="124" spans="1:46">
      <c r="A124" s="202" t="s">
        <v>142</v>
      </c>
      <c r="B124" s="326">
        <v>1101968822.7</v>
      </c>
      <c r="C124" s="325">
        <v>2.6223999999999998</v>
      </c>
      <c r="D124" s="326">
        <v>1142804967.6199999</v>
      </c>
      <c r="E124" s="325">
        <v>2.7210000000000001</v>
      </c>
      <c r="F124" s="23">
        <f t="shared" si="119"/>
        <v>3.7057441262217154E-2</v>
      </c>
      <c r="G124" s="23">
        <f t="shared" si="120"/>
        <v>3.7599145820622425E-2</v>
      </c>
      <c r="H124" s="326">
        <v>1152185540.3800001</v>
      </c>
      <c r="I124" s="325">
        <v>2.7435</v>
      </c>
      <c r="J124" s="23">
        <f t="shared" si="121"/>
        <v>8.2083759047146647E-3</v>
      </c>
      <c r="K124" s="23">
        <f t="shared" si="122"/>
        <v>8.269018743109138E-3</v>
      </c>
      <c r="L124" s="326">
        <v>1172321788.9300001</v>
      </c>
      <c r="M124" s="325">
        <v>2.7984</v>
      </c>
      <c r="N124" s="23">
        <f t="shared" si="123"/>
        <v>1.7476567657114368E-2</v>
      </c>
      <c r="O124" s="23">
        <f t="shared" si="124"/>
        <v>2.0010934937124091E-2</v>
      </c>
      <c r="P124" s="326">
        <v>1203861925.8699999</v>
      </c>
      <c r="Q124" s="325">
        <v>2.8744999999999998</v>
      </c>
      <c r="R124" s="23">
        <f t="shared" si="125"/>
        <v>2.690399277555618E-2</v>
      </c>
      <c r="S124" s="23">
        <f t="shared" si="126"/>
        <v>2.7194110920525955E-2</v>
      </c>
      <c r="T124" s="326">
        <v>1161707215.78</v>
      </c>
      <c r="U124" s="325">
        <v>2.7728999999999999</v>
      </c>
      <c r="V124" s="23">
        <f t="shared" si="127"/>
        <v>-3.5016233327203029E-2</v>
      </c>
      <c r="W124" s="23">
        <f t="shared" si="128"/>
        <v>-3.5345277439554679E-2</v>
      </c>
      <c r="X124" s="326">
        <v>1161707215.78</v>
      </c>
      <c r="Y124" s="325">
        <v>2.8731</v>
      </c>
      <c r="Z124" s="23">
        <f t="shared" si="129"/>
        <v>0</v>
      </c>
      <c r="AA124" s="23">
        <f t="shared" si="130"/>
        <v>3.6135453856972873E-2</v>
      </c>
      <c r="AB124" s="326">
        <v>1172510831.96</v>
      </c>
      <c r="AC124" s="325">
        <v>2.7671000000000001</v>
      </c>
      <c r="AD124" s="23">
        <f t="shared" si="131"/>
        <v>9.299775393704723E-3</v>
      </c>
      <c r="AE124" s="23">
        <f t="shared" si="132"/>
        <v>-3.6893947304305411E-2</v>
      </c>
      <c r="AF124" s="326">
        <v>1192191747.8199999</v>
      </c>
      <c r="AG124" s="325">
        <v>2.8462999999999998</v>
      </c>
      <c r="AH124" s="23">
        <f t="shared" si="133"/>
        <v>1.6785274236742663E-2</v>
      </c>
      <c r="AI124" s="23">
        <f t="shared" si="134"/>
        <v>2.8622023056629579E-2</v>
      </c>
      <c r="AJ124" s="24">
        <f t="shared" si="66"/>
        <v>1.0089399237855838E-2</v>
      </c>
      <c r="AK124" s="24">
        <f t="shared" si="67"/>
        <v>1.0698932823890495E-2</v>
      </c>
      <c r="AL124" s="25">
        <f t="shared" si="68"/>
        <v>4.3215405602281126E-2</v>
      </c>
      <c r="AM124" s="25">
        <f t="shared" si="69"/>
        <v>4.6049246600514425E-2</v>
      </c>
      <c r="AN124" s="384">
        <f t="shared" si="70"/>
        <v>2.1546914483752556E-2</v>
      </c>
      <c r="AO124" s="385">
        <f t="shared" si="71"/>
        <v>3.033558855051896E-2</v>
      </c>
      <c r="AP124" s="30"/>
      <c r="AQ124" s="56">
        <f>SUM(AQ115:AQ120)</f>
        <v>4923038917.1999998</v>
      </c>
      <c r="AR124" s="13"/>
      <c r="AS124" s="29" t="e">
        <f>(#REF!/AQ124)-1</f>
        <v>#REF!</v>
      </c>
      <c r="AT124" s="29" t="e">
        <f>(#REF!/AR124)-1</f>
        <v>#REF!</v>
      </c>
    </row>
    <row r="125" spans="1:46">
      <c r="A125" s="202" t="s">
        <v>265</v>
      </c>
      <c r="B125" s="326">
        <v>2510565113.12186</v>
      </c>
      <c r="C125" s="325">
        <v>4723.0348347712297</v>
      </c>
      <c r="D125" s="326">
        <v>2615945343.5957499</v>
      </c>
      <c r="E125" s="325">
        <v>4919.8318449966901</v>
      </c>
      <c r="F125" s="23">
        <f t="shared" si="119"/>
        <v>4.1974705186136628E-2</v>
      </c>
      <c r="G125" s="23">
        <f t="shared" si="120"/>
        <v>4.1667490736386363E-2</v>
      </c>
      <c r="H125" s="326">
        <v>2631605616.6355901</v>
      </c>
      <c r="I125" s="325">
        <v>4939.3351779398099</v>
      </c>
      <c r="J125" s="23">
        <f t="shared" si="121"/>
        <v>5.9864679811369378E-3</v>
      </c>
      <c r="K125" s="23">
        <f t="shared" si="122"/>
        <v>3.96422755036925E-3</v>
      </c>
      <c r="L125" s="326">
        <v>2688150136.8913798</v>
      </c>
      <c r="M125" s="325">
        <v>5041.1136242656403</v>
      </c>
      <c r="N125" s="23">
        <f t="shared" si="123"/>
        <v>2.1486699944074379E-2</v>
      </c>
      <c r="O125" s="23">
        <f t="shared" si="124"/>
        <v>2.0605697459122833E-2</v>
      </c>
      <c r="P125" s="326">
        <v>2764360428.6714602</v>
      </c>
      <c r="Q125" s="325">
        <v>5169.3236497398502</v>
      </c>
      <c r="R125" s="23">
        <f t="shared" si="125"/>
        <v>2.8350459572251099E-2</v>
      </c>
      <c r="S125" s="23">
        <f t="shared" si="126"/>
        <v>2.5432877540602316E-2</v>
      </c>
      <c r="T125" s="326">
        <v>2715821490.1807799</v>
      </c>
      <c r="U125" s="325">
        <v>5080.8382942378103</v>
      </c>
      <c r="V125" s="23">
        <f t="shared" si="127"/>
        <v>-1.7558831325771736E-2</v>
      </c>
      <c r="W125" s="23">
        <f t="shared" si="128"/>
        <v>-1.7117395136691249E-2</v>
      </c>
      <c r="X125" s="326">
        <v>2790478992.4307399</v>
      </c>
      <c r="Y125" s="325">
        <v>5213.7609175203497</v>
      </c>
      <c r="Z125" s="23">
        <f t="shared" si="129"/>
        <v>2.7489841478863301E-2</v>
      </c>
      <c r="AA125" s="23">
        <f t="shared" si="130"/>
        <v>2.6161553583251666E-2</v>
      </c>
      <c r="AB125" s="326">
        <v>2765772017.4156599</v>
      </c>
      <c r="AC125" s="325">
        <v>5161.76841462434</v>
      </c>
      <c r="AD125" s="23">
        <f t="shared" si="131"/>
        <v>-8.8540265245136782E-3</v>
      </c>
      <c r="AE125" s="23">
        <f t="shared" si="132"/>
        <v>-9.9721685973926805E-3</v>
      </c>
      <c r="AF125" s="326">
        <v>2780286642.5514998</v>
      </c>
      <c r="AG125" s="325">
        <v>5180.0532889984097</v>
      </c>
      <c r="AH125" s="23">
        <f t="shared" si="133"/>
        <v>5.2479470630418844E-3</v>
      </c>
      <c r="AI125" s="23">
        <f t="shared" si="134"/>
        <v>3.5423662794062767E-3</v>
      </c>
      <c r="AJ125" s="24">
        <f t="shared" si="66"/>
        <v>1.3015407921902351E-2</v>
      </c>
      <c r="AK125" s="24">
        <f t="shared" si="67"/>
        <v>1.1785581176881849E-2</v>
      </c>
      <c r="AL125" s="25">
        <f t="shared" si="68"/>
        <v>6.2822910026802972E-2</v>
      </c>
      <c r="AM125" s="25">
        <f t="shared" si="69"/>
        <v>5.2892345145161099E-2</v>
      </c>
      <c r="AN125" s="384">
        <f t="shared" si="70"/>
        <v>2.0276208563387296E-2</v>
      </c>
      <c r="AO125" s="385">
        <f t="shared" si="71"/>
        <v>2.0005521131650557E-2</v>
      </c>
      <c r="AP125" s="30"/>
      <c r="AQ125" s="12" t="e">
        <f>SUM(AQ21,AQ53,#REF!,#REF!,AQ91,AQ113,AQ124)</f>
        <v>#REF!</v>
      </c>
      <c r="AR125" s="13"/>
      <c r="AS125" s="29" t="e">
        <f>(#REF!/AQ125)-1</f>
        <v>#REF!</v>
      </c>
      <c r="AT125" s="29" t="e">
        <f>(#REF!/AR125)-1</f>
        <v>#REF!</v>
      </c>
    </row>
    <row r="126" spans="1:46" ht="15" customHeight="1">
      <c r="A126" s="202" t="s">
        <v>155</v>
      </c>
      <c r="B126" s="325">
        <v>385471981.02999997</v>
      </c>
      <c r="C126" s="325">
        <v>140.94999999999999</v>
      </c>
      <c r="D126" s="325">
        <v>407139017.07999998</v>
      </c>
      <c r="E126" s="325">
        <v>149.12</v>
      </c>
      <c r="F126" s="23">
        <f t="shared" si="119"/>
        <v>5.6209107577948031E-2</v>
      </c>
      <c r="G126" s="23">
        <f t="shared" si="120"/>
        <v>5.7963816956367625E-2</v>
      </c>
      <c r="H126" s="325">
        <v>408833544.89999998</v>
      </c>
      <c r="I126" s="325">
        <v>149.69999999999999</v>
      </c>
      <c r="J126" s="23">
        <f t="shared" si="121"/>
        <v>4.1620374096129186E-3</v>
      </c>
      <c r="K126" s="23">
        <f t="shared" si="122"/>
        <v>3.8894849785406655E-3</v>
      </c>
      <c r="L126" s="325">
        <v>418454762.29000002</v>
      </c>
      <c r="M126" s="325">
        <v>153.03</v>
      </c>
      <c r="N126" s="23">
        <f t="shared" si="123"/>
        <v>2.3533336513160582E-2</v>
      </c>
      <c r="O126" s="23">
        <f t="shared" si="124"/>
        <v>2.2244488977955997E-2</v>
      </c>
      <c r="P126" s="325">
        <v>428243627.06</v>
      </c>
      <c r="Q126" s="325">
        <v>156.41999999999999</v>
      </c>
      <c r="R126" s="23">
        <f t="shared" si="125"/>
        <v>2.3392886524770971E-2</v>
      </c>
      <c r="S126" s="23">
        <f t="shared" si="126"/>
        <v>2.2152519113899146E-2</v>
      </c>
      <c r="T126" s="325">
        <v>427510269.10000002</v>
      </c>
      <c r="U126" s="325">
        <v>153.44999999999999</v>
      </c>
      <c r="V126" s="23">
        <f t="shared" si="127"/>
        <v>-1.712478397015888E-3</v>
      </c>
      <c r="W126" s="23">
        <f t="shared" si="128"/>
        <v>-1.8987341772151892E-2</v>
      </c>
      <c r="X126" s="325">
        <v>439301656.50999999</v>
      </c>
      <c r="Y126" s="325">
        <v>157.63</v>
      </c>
      <c r="Z126" s="23">
        <f t="shared" si="129"/>
        <v>2.7581530228088656E-2</v>
      </c>
      <c r="AA126" s="23">
        <f t="shared" si="130"/>
        <v>2.7240143369175674E-2</v>
      </c>
      <c r="AB126" s="325">
        <v>429083634.07999998</v>
      </c>
      <c r="AC126" s="325">
        <v>156.9</v>
      </c>
      <c r="AD126" s="23">
        <f t="shared" si="131"/>
        <v>-2.3259694741823517E-2</v>
      </c>
      <c r="AE126" s="23">
        <f t="shared" si="132"/>
        <v>-4.6310981412167086E-3</v>
      </c>
      <c r="AF126" s="325">
        <v>425887457.70999998</v>
      </c>
      <c r="AG126" s="325">
        <v>154.74</v>
      </c>
      <c r="AH126" s="23">
        <f t="shared" si="133"/>
        <v>-7.4488424077346601E-3</v>
      </c>
      <c r="AI126" s="23">
        <f t="shared" si="134"/>
        <v>-1.3766730401529615E-2</v>
      </c>
      <c r="AJ126" s="24">
        <f t="shared" si="66"/>
        <v>1.2807235338375886E-2</v>
      </c>
      <c r="AK126" s="24">
        <f t="shared" si="67"/>
        <v>1.2013160385130112E-2</v>
      </c>
      <c r="AL126" s="25">
        <f t="shared" si="68"/>
        <v>4.6049235871481353E-2</v>
      </c>
      <c r="AM126" s="25">
        <f t="shared" si="69"/>
        <v>3.7687768240343374E-2</v>
      </c>
      <c r="AN126" s="384">
        <f t="shared" si="70"/>
        <v>2.4859034649949593E-2</v>
      </c>
      <c r="AO126" s="385">
        <f t="shared" si="71"/>
        <v>2.5409418606123519E-2</v>
      </c>
      <c r="AP126" s="30"/>
      <c r="AQ126" s="57"/>
      <c r="AR126" s="58"/>
      <c r="AS126" s="29" t="e">
        <f>(#REF!/AQ126)-1</f>
        <v>#REF!</v>
      </c>
      <c r="AT126" s="29" t="e">
        <f>(#REF!/AR126)-1</f>
        <v>#REF!</v>
      </c>
    </row>
    <row r="127" spans="1:46" ht="17.25" customHeight="1">
      <c r="A127" s="202" t="s">
        <v>179</v>
      </c>
      <c r="B127" s="325">
        <v>3734808.11</v>
      </c>
      <c r="C127" s="325">
        <v>102.99</v>
      </c>
      <c r="D127" s="325">
        <v>3734808.11</v>
      </c>
      <c r="E127" s="325">
        <v>102.99</v>
      </c>
      <c r="F127" s="23">
        <f t="shared" si="119"/>
        <v>0</v>
      </c>
      <c r="G127" s="23">
        <f t="shared" si="120"/>
        <v>0</v>
      </c>
      <c r="H127" s="325">
        <v>3734808.11</v>
      </c>
      <c r="I127" s="325">
        <v>102.99</v>
      </c>
      <c r="J127" s="23">
        <f t="shared" si="121"/>
        <v>0</v>
      </c>
      <c r="K127" s="23">
        <f t="shared" si="122"/>
        <v>0</v>
      </c>
      <c r="L127" s="325">
        <v>3734808.11</v>
      </c>
      <c r="M127" s="325">
        <v>102.99</v>
      </c>
      <c r="N127" s="23">
        <f t="shared" si="123"/>
        <v>0</v>
      </c>
      <c r="O127" s="23">
        <f t="shared" si="124"/>
        <v>0</v>
      </c>
      <c r="P127" s="325">
        <v>3734808.11</v>
      </c>
      <c r="Q127" s="325">
        <v>102.99</v>
      </c>
      <c r="R127" s="23">
        <f t="shared" si="125"/>
        <v>0</v>
      </c>
      <c r="S127" s="23">
        <f t="shared" si="126"/>
        <v>0</v>
      </c>
      <c r="T127" s="325">
        <v>3734808.11</v>
      </c>
      <c r="U127" s="325">
        <v>102.99</v>
      </c>
      <c r="V127" s="23">
        <f t="shared" si="127"/>
        <v>0</v>
      </c>
      <c r="W127" s="23">
        <f t="shared" si="128"/>
        <v>0</v>
      </c>
      <c r="X127" s="325">
        <v>3734808.11</v>
      </c>
      <c r="Y127" s="325">
        <v>102.99</v>
      </c>
      <c r="Z127" s="23">
        <f t="shared" si="129"/>
        <v>0</v>
      </c>
      <c r="AA127" s="23">
        <f t="shared" si="130"/>
        <v>0</v>
      </c>
      <c r="AB127" s="325">
        <v>3734808.11</v>
      </c>
      <c r="AC127" s="325">
        <v>102.99</v>
      </c>
      <c r="AD127" s="23">
        <f t="shared" si="131"/>
        <v>0</v>
      </c>
      <c r="AE127" s="23">
        <f t="shared" si="132"/>
        <v>0</v>
      </c>
      <c r="AF127" s="325">
        <v>3734808.11</v>
      </c>
      <c r="AG127" s="325">
        <v>102.99</v>
      </c>
      <c r="AH127" s="23">
        <f t="shared" si="133"/>
        <v>0</v>
      </c>
      <c r="AI127" s="23">
        <f t="shared" si="134"/>
        <v>0</v>
      </c>
      <c r="AJ127" s="24">
        <f t="shared" si="66"/>
        <v>0</v>
      </c>
      <c r="AK127" s="24">
        <f t="shared" si="67"/>
        <v>0</v>
      </c>
      <c r="AL127" s="25">
        <f t="shared" si="68"/>
        <v>0</v>
      </c>
      <c r="AM127" s="25">
        <f t="shared" si="69"/>
        <v>0</v>
      </c>
      <c r="AN127" s="384">
        <f t="shared" si="70"/>
        <v>0</v>
      </c>
      <c r="AO127" s="385">
        <f t="shared" si="71"/>
        <v>0</v>
      </c>
      <c r="AP127" s="30"/>
      <c r="AQ127" s="461" t="s">
        <v>84</v>
      </c>
      <c r="AR127" s="461"/>
      <c r="AS127" s="29" t="e">
        <f>(#REF!/AQ127)-1</f>
        <v>#REF!</v>
      </c>
      <c r="AT127" s="29" t="e">
        <f>(#REF!/AR127)-1</f>
        <v>#REF!</v>
      </c>
    </row>
    <row r="128" spans="1:46" ht="16.5" customHeight="1">
      <c r="A128" s="202" t="s">
        <v>109</v>
      </c>
      <c r="B128" s="325">
        <v>136434892.22999999</v>
      </c>
      <c r="C128" s="325">
        <v>1.2724</v>
      </c>
      <c r="D128" s="325">
        <v>142270957.31999999</v>
      </c>
      <c r="E128" s="325">
        <v>1.3270999999999999</v>
      </c>
      <c r="F128" s="23">
        <f t="shared" si="119"/>
        <v>4.2775458642659012E-2</v>
      </c>
      <c r="G128" s="23">
        <f t="shared" si="120"/>
        <v>4.2989625903803813E-2</v>
      </c>
      <c r="H128" s="325">
        <v>143228293.69</v>
      </c>
      <c r="I128" s="325">
        <v>1.3361000000000001</v>
      </c>
      <c r="J128" s="23">
        <f t="shared" si="121"/>
        <v>6.7289655459809401E-3</v>
      </c>
      <c r="K128" s="23">
        <f t="shared" si="122"/>
        <v>6.7817044683898117E-3</v>
      </c>
      <c r="L128" s="325">
        <v>143228293.69</v>
      </c>
      <c r="M128" s="325">
        <v>1.3361000000000001</v>
      </c>
      <c r="N128" s="23">
        <f t="shared" si="123"/>
        <v>0</v>
      </c>
      <c r="O128" s="23">
        <f t="shared" si="124"/>
        <v>0</v>
      </c>
      <c r="P128" s="325">
        <v>159468620.40000001</v>
      </c>
      <c r="Q128" s="325">
        <v>1.4308000000000001</v>
      </c>
      <c r="R128" s="23">
        <f t="shared" si="125"/>
        <v>0.11338769939653261</v>
      </c>
      <c r="S128" s="23">
        <f t="shared" si="126"/>
        <v>7.0877928298780035E-2</v>
      </c>
      <c r="T128" s="325">
        <v>155920388.96000001</v>
      </c>
      <c r="U128" s="325">
        <v>1.3987000000000001</v>
      </c>
      <c r="V128" s="23">
        <f t="shared" si="127"/>
        <v>-2.2250342613486341E-2</v>
      </c>
      <c r="W128" s="23">
        <f t="shared" si="128"/>
        <v>-2.2435001397819412E-2</v>
      </c>
      <c r="X128" s="325">
        <v>160954340.43000001</v>
      </c>
      <c r="Y128" s="325">
        <v>1.444</v>
      </c>
      <c r="Z128" s="23">
        <f t="shared" si="129"/>
        <v>3.2285395794461588E-2</v>
      </c>
      <c r="AA128" s="23">
        <f t="shared" si="130"/>
        <v>3.2387216701222486E-2</v>
      </c>
      <c r="AB128" s="325">
        <v>162810556.72999999</v>
      </c>
      <c r="AC128" s="325">
        <v>1.4359999999999999</v>
      </c>
      <c r="AD128" s="23">
        <f t="shared" si="131"/>
        <v>1.1532564421940901E-2</v>
      </c>
      <c r="AE128" s="23">
        <f t="shared" si="132"/>
        <v>-5.5401662049861548E-3</v>
      </c>
      <c r="AF128" s="325">
        <v>164146634.36000001</v>
      </c>
      <c r="AG128" s="325">
        <v>1.4474</v>
      </c>
      <c r="AH128" s="23">
        <f t="shared" si="133"/>
        <v>8.2063329112972393E-3</v>
      </c>
      <c r="AI128" s="23">
        <f t="shared" si="134"/>
        <v>7.9387186629527005E-3</v>
      </c>
      <c r="AJ128" s="24">
        <f t="shared" si="66"/>
        <v>2.4083259262423239E-2</v>
      </c>
      <c r="AK128" s="24">
        <f t="shared" si="67"/>
        <v>1.6625003304042912E-2</v>
      </c>
      <c r="AL128" s="25">
        <f t="shared" si="68"/>
        <v>0.15376066522696272</v>
      </c>
      <c r="AM128" s="25">
        <f t="shared" si="69"/>
        <v>9.064878306080934E-2</v>
      </c>
      <c r="AN128" s="384">
        <f t="shared" si="70"/>
        <v>4.1108794106541828E-2</v>
      </c>
      <c r="AO128" s="385">
        <f t="shared" si="71"/>
        <v>3.0125053837195687E-2</v>
      </c>
      <c r="AP128" s="30"/>
      <c r="AQ128" s="59" t="s">
        <v>72</v>
      </c>
      <c r="AR128" s="60" t="s">
        <v>73</v>
      </c>
      <c r="AS128" s="29" t="e">
        <f>(#REF!/AQ128)-1</f>
        <v>#REF!</v>
      </c>
      <c r="AT128" s="29" t="e">
        <f>(#REF!/AR128)-1</f>
        <v>#REF!</v>
      </c>
    </row>
    <row r="129" spans="1:46" ht="14.25" customHeight="1">
      <c r="A129" s="202" t="s">
        <v>233</v>
      </c>
      <c r="B129" s="321">
        <v>171702088.84999999</v>
      </c>
      <c r="C129" s="325">
        <v>109.64</v>
      </c>
      <c r="D129" s="321">
        <v>173351861.15000001</v>
      </c>
      <c r="E129" s="325">
        <v>110.74</v>
      </c>
      <c r="F129" s="23">
        <f t="shared" si="119"/>
        <v>9.6083414654393826E-3</v>
      </c>
      <c r="G129" s="23">
        <f t="shared" si="120"/>
        <v>1.0032834731849637E-2</v>
      </c>
      <c r="H129" s="321">
        <v>174004703.66999999</v>
      </c>
      <c r="I129" s="325">
        <v>111.04</v>
      </c>
      <c r="J129" s="23">
        <f t="shared" si="121"/>
        <v>3.7659966017617856E-3</v>
      </c>
      <c r="K129" s="23">
        <f t="shared" si="122"/>
        <v>2.7090482210584375E-3</v>
      </c>
      <c r="L129" s="321">
        <v>174893840.34</v>
      </c>
      <c r="M129" s="325">
        <v>111.67</v>
      </c>
      <c r="N129" s="23">
        <f t="shared" si="123"/>
        <v>5.1098427298049646E-3</v>
      </c>
      <c r="O129" s="23">
        <f t="shared" si="124"/>
        <v>5.6736311239192674E-3</v>
      </c>
      <c r="P129" s="321">
        <v>176140774.58000001</v>
      </c>
      <c r="Q129" s="325">
        <v>111.67</v>
      </c>
      <c r="R129" s="23">
        <f t="shared" si="125"/>
        <v>7.1296635580528388E-3</v>
      </c>
      <c r="S129" s="23">
        <f t="shared" si="126"/>
        <v>0</v>
      </c>
      <c r="T129" s="321">
        <v>175803269.84999999</v>
      </c>
      <c r="U129" s="325">
        <v>112.38</v>
      </c>
      <c r="V129" s="23">
        <f t="shared" si="127"/>
        <v>-1.9161079017892613E-3</v>
      </c>
      <c r="W129" s="23">
        <f t="shared" si="128"/>
        <v>6.3580191636070007E-3</v>
      </c>
      <c r="X129" s="321">
        <v>176975747.41999999</v>
      </c>
      <c r="Y129" s="325">
        <v>113.19</v>
      </c>
      <c r="Z129" s="23">
        <f t="shared" si="129"/>
        <v>6.6692591724851411E-3</v>
      </c>
      <c r="AA129" s="23">
        <f t="shared" si="130"/>
        <v>7.2076882007474849E-3</v>
      </c>
      <c r="AB129" s="321">
        <v>177609366.86000001</v>
      </c>
      <c r="AC129" s="325">
        <v>113.66</v>
      </c>
      <c r="AD129" s="23">
        <f t="shared" si="131"/>
        <v>3.580261415686058E-3</v>
      </c>
      <c r="AE129" s="23">
        <f t="shared" si="132"/>
        <v>4.1523102747592442E-3</v>
      </c>
      <c r="AF129" s="321">
        <v>177835881.47</v>
      </c>
      <c r="AG129" s="325">
        <v>113.85</v>
      </c>
      <c r="AH129" s="23">
        <f t="shared" si="133"/>
        <v>1.2753528375478861E-3</v>
      </c>
      <c r="AI129" s="23">
        <f t="shared" si="134"/>
        <v>1.671652296322345E-3</v>
      </c>
      <c r="AJ129" s="24">
        <f t="shared" si="66"/>
        <v>4.4028262348735992E-3</v>
      </c>
      <c r="AK129" s="24">
        <f t="shared" si="67"/>
        <v>4.7256480015329273E-3</v>
      </c>
      <c r="AL129" s="25">
        <f t="shared" si="68"/>
        <v>2.5866583088600389E-2</v>
      </c>
      <c r="AM129" s="25">
        <f t="shared" si="69"/>
        <v>2.8083799891638069E-2</v>
      </c>
      <c r="AN129" s="384">
        <f t="shared" si="70"/>
        <v>3.6047945161443141E-3</v>
      </c>
      <c r="AO129" s="385">
        <f t="shared" si="71"/>
        <v>3.2501448710009363E-3</v>
      </c>
      <c r="AP129" s="30"/>
      <c r="AQ129" s="53">
        <v>1901056000</v>
      </c>
      <c r="AR129" s="47">
        <v>12.64</v>
      </c>
      <c r="AS129" s="29" t="e">
        <f>(#REF!/AQ129)-1</f>
        <v>#REF!</v>
      </c>
      <c r="AT129" s="29" t="e">
        <f>(#REF!/AR129)-1</f>
        <v>#REF!</v>
      </c>
    </row>
    <row r="130" spans="1:46">
      <c r="A130" s="202" t="s">
        <v>263</v>
      </c>
      <c r="B130" s="326">
        <v>290493064.36000001</v>
      </c>
      <c r="C130" s="325">
        <v>1.1649</v>
      </c>
      <c r="D130" s="326">
        <v>299758685.69</v>
      </c>
      <c r="E130" s="325">
        <v>1.2028000000000001</v>
      </c>
      <c r="F130" s="23">
        <f t="shared" si="119"/>
        <v>3.1896187781328078E-2</v>
      </c>
      <c r="G130" s="23">
        <f t="shared" si="120"/>
        <v>3.2534981543480161E-2</v>
      </c>
      <c r="H130" s="326">
        <v>357832515.00999999</v>
      </c>
      <c r="I130" s="325">
        <v>1.2020999999999999</v>
      </c>
      <c r="J130" s="23">
        <f t="shared" si="121"/>
        <v>0.19373526804176719</v>
      </c>
      <c r="K130" s="23">
        <f t="shared" si="122"/>
        <v>-5.8197539075502565E-4</v>
      </c>
      <c r="L130" s="326">
        <v>366328056.30000001</v>
      </c>
      <c r="M130" s="325">
        <v>1.22</v>
      </c>
      <c r="N130" s="23">
        <f t="shared" si="123"/>
        <v>2.3741669450476309E-2</v>
      </c>
      <c r="O130" s="23">
        <f t="shared" si="124"/>
        <v>1.4890608102487338E-2</v>
      </c>
      <c r="P130" s="326">
        <v>385946263.39999998</v>
      </c>
      <c r="Q130" s="325">
        <v>1.2461</v>
      </c>
      <c r="R130" s="23">
        <f t="shared" si="125"/>
        <v>5.3553657063967461E-2</v>
      </c>
      <c r="S130" s="23">
        <f t="shared" si="126"/>
        <v>2.1393442622950828E-2</v>
      </c>
      <c r="T130" s="326">
        <v>386228069.60000002</v>
      </c>
      <c r="U130" s="325">
        <v>1.2254</v>
      </c>
      <c r="V130" s="23">
        <f t="shared" si="127"/>
        <v>7.3016952546054294E-4</v>
      </c>
      <c r="W130" s="23">
        <f t="shared" si="128"/>
        <v>-1.6611828906187256E-2</v>
      </c>
      <c r="X130" s="326">
        <v>364914954.13999999</v>
      </c>
      <c r="Y130" s="325">
        <v>1.2488999999999999</v>
      </c>
      <c r="Z130" s="23">
        <f t="shared" si="129"/>
        <v>-5.5182720101294359E-2</v>
      </c>
      <c r="AA130" s="23">
        <f t="shared" si="130"/>
        <v>1.917741145748315E-2</v>
      </c>
      <c r="AB130" s="326">
        <v>378863904.12</v>
      </c>
      <c r="AC130" s="325">
        <v>1.2543</v>
      </c>
      <c r="AD130" s="23">
        <f t="shared" si="131"/>
        <v>3.8225207878569124E-2</v>
      </c>
      <c r="AE130" s="23">
        <f t="shared" si="132"/>
        <v>4.3238049483546098E-3</v>
      </c>
      <c r="AF130" s="326">
        <v>443648904.97000003</v>
      </c>
      <c r="AG130" s="325">
        <v>1.2548999999999999</v>
      </c>
      <c r="AH130" s="23">
        <f t="shared" si="133"/>
        <v>0.1709980817530726</v>
      </c>
      <c r="AI130" s="23">
        <f t="shared" si="134"/>
        <v>4.7835446065529294E-4</v>
      </c>
      <c r="AJ130" s="24">
        <f t="shared" si="66"/>
        <v>5.721219017416837E-2</v>
      </c>
      <c r="AK130" s="24">
        <f t="shared" si="67"/>
        <v>9.4505998548086376E-3</v>
      </c>
      <c r="AL130" s="25">
        <f t="shared" si="68"/>
        <v>0.48002018339780916</v>
      </c>
      <c r="AM130" s="25">
        <f t="shared" si="69"/>
        <v>4.3315596940472073E-2</v>
      </c>
      <c r="AN130" s="384">
        <f t="shared" si="70"/>
        <v>8.4128881163809108E-2</v>
      </c>
      <c r="AO130" s="385">
        <f t="shared" si="71"/>
        <v>1.5521472212147211E-2</v>
      </c>
      <c r="AP130" s="30"/>
      <c r="AQ130" s="53">
        <v>106884243.56</v>
      </c>
      <c r="AR130" s="47">
        <v>2.92</v>
      </c>
      <c r="AS130" s="29" t="e">
        <f>(#REF!/AQ130)-1</f>
        <v>#REF!</v>
      </c>
      <c r="AT130" s="29" t="e">
        <f>(#REF!/AR130)-1</f>
        <v>#REF!</v>
      </c>
    </row>
    <row r="131" spans="1:46">
      <c r="A131" s="203" t="s">
        <v>126</v>
      </c>
      <c r="B131" s="325">
        <v>5474830147.6899996</v>
      </c>
      <c r="C131" s="325">
        <v>226.32</v>
      </c>
      <c r="D131" s="325">
        <v>5728613100.7399998</v>
      </c>
      <c r="E131" s="325">
        <v>236.85</v>
      </c>
      <c r="F131" s="23">
        <f t="shared" si="119"/>
        <v>4.6354488852422042E-2</v>
      </c>
      <c r="G131" s="23">
        <f t="shared" si="120"/>
        <v>4.6527041357370104E-2</v>
      </c>
      <c r="H131" s="325">
        <v>5742781290.2600002</v>
      </c>
      <c r="I131" s="325">
        <v>237.45</v>
      </c>
      <c r="J131" s="23">
        <f t="shared" si="121"/>
        <v>2.4732320495112975E-3</v>
      </c>
      <c r="K131" s="23">
        <f t="shared" si="122"/>
        <v>2.5332488917035861E-3</v>
      </c>
      <c r="L131" s="325">
        <v>5846289120.8199997</v>
      </c>
      <c r="M131" s="325">
        <v>241.67</v>
      </c>
      <c r="N131" s="23">
        <f t="shared" si="123"/>
        <v>1.80239896538552E-2</v>
      </c>
      <c r="O131" s="23">
        <f t="shared" si="124"/>
        <v>1.7772162560539057E-2</v>
      </c>
      <c r="P131" s="325">
        <v>6082610356.5200005</v>
      </c>
      <c r="Q131" s="325">
        <v>251.81</v>
      </c>
      <c r="R131" s="23">
        <f t="shared" si="125"/>
        <v>4.0422433926232917E-2</v>
      </c>
      <c r="S131" s="23">
        <f t="shared" si="126"/>
        <v>4.1958041958042022E-2</v>
      </c>
      <c r="T131" s="325">
        <v>5930545895.3599997</v>
      </c>
      <c r="U131" s="325">
        <v>245.37</v>
      </c>
      <c r="V131" s="23">
        <f t="shared" si="127"/>
        <v>-2.4999868846933726E-2</v>
      </c>
      <c r="W131" s="23">
        <f t="shared" si="128"/>
        <v>-2.5574838171637335E-2</v>
      </c>
      <c r="X131" s="325">
        <v>6018824048.9399996</v>
      </c>
      <c r="Y131" s="325">
        <v>248.9</v>
      </c>
      <c r="Z131" s="23">
        <f t="shared" si="129"/>
        <v>1.4885333515261702E-2</v>
      </c>
      <c r="AA131" s="23">
        <f t="shared" si="130"/>
        <v>1.4386436809715944E-2</v>
      </c>
      <c r="AB131" s="325">
        <v>6074144231.3900003</v>
      </c>
      <c r="AC131" s="325">
        <v>251.18</v>
      </c>
      <c r="AD131" s="23">
        <f t="shared" si="131"/>
        <v>9.1911944925094514E-3</v>
      </c>
      <c r="AE131" s="23">
        <f t="shared" si="132"/>
        <v>9.1603053435114542E-3</v>
      </c>
      <c r="AF131" s="325">
        <v>6245064348.7700005</v>
      </c>
      <c r="AG131" s="325">
        <v>258.22000000000003</v>
      </c>
      <c r="AH131" s="23">
        <f t="shared" si="133"/>
        <v>2.8138962604265811E-2</v>
      </c>
      <c r="AI131" s="23">
        <f t="shared" si="134"/>
        <v>2.8027709212517002E-2</v>
      </c>
      <c r="AJ131" s="24">
        <f t="shared" si="66"/>
        <v>1.6811220780890587E-2</v>
      </c>
      <c r="AK131" s="24">
        <f t="shared" si="67"/>
        <v>1.6848763495220229E-2</v>
      </c>
      <c r="AL131" s="25">
        <f t="shared" si="68"/>
        <v>9.0152928631763857E-2</v>
      </c>
      <c r="AM131" s="25">
        <f t="shared" si="69"/>
        <v>9.0225881359510374E-2</v>
      </c>
      <c r="AN131" s="384">
        <f t="shared" si="70"/>
        <v>2.2600889985068168E-2</v>
      </c>
      <c r="AO131" s="385">
        <f t="shared" si="71"/>
        <v>2.3012322516360734E-2</v>
      </c>
      <c r="AP131" s="30"/>
      <c r="AQ131" s="53">
        <v>84059843.040000007</v>
      </c>
      <c r="AR131" s="47">
        <v>7.19</v>
      </c>
      <c r="AS131" s="29" t="e">
        <f>(#REF!/AQ131)-1</f>
        <v>#REF!</v>
      </c>
      <c r="AT131" s="29" t="e">
        <f>(#REF!/AR131)-1</f>
        <v>#REF!</v>
      </c>
    </row>
    <row r="132" spans="1:46" s="368" customFormat="1">
      <c r="A132" s="202" t="s">
        <v>264</v>
      </c>
      <c r="B132" s="325">
        <v>2031609807.0799999</v>
      </c>
      <c r="C132" s="325">
        <v>1.4977</v>
      </c>
      <c r="D132" s="325">
        <v>2212901834.29</v>
      </c>
      <c r="E132" s="325">
        <v>1.5541</v>
      </c>
      <c r="F132" s="23">
        <f t="shared" si="119"/>
        <v>8.9235652721409209E-2</v>
      </c>
      <c r="G132" s="23">
        <f t="shared" si="120"/>
        <v>3.765774187086867E-2</v>
      </c>
      <c r="H132" s="325">
        <v>2223045608.6399999</v>
      </c>
      <c r="I132" s="325">
        <v>1.5613999999999999</v>
      </c>
      <c r="J132" s="23">
        <f>((H132-D132)/D132)</f>
        <v>4.5839242359589309E-3</v>
      </c>
      <c r="K132" s="23">
        <f>((I132-E132)/E132)</f>
        <v>4.6972524290585307E-3</v>
      </c>
      <c r="L132" s="325">
        <v>2276133824.9699998</v>
      </c>
      <c r="M132" s="325">
        <v>1.599</v>
      </c>
      <c r="N132" s="23">
        <f>((L132-H132)/H132)</f>
        <v>2.3880848923508089E-2</v>
      </c>
      <c r="O132" s="23">
        <f>((M132-I132)/I132)</f>
        <v>2.4080952990905648E-2</v>
      </c>
      <c r="P132" s="325">
        <v>2318917518.6300001</v>
      </c>
      <c r="Q132" s="325">
        <v>1.6293</v>
      </c>
      <c r="R132" s="23">
        <f>((P132-L132)/L132)</f>
        <v>1.8796651229663189E-2</v>
      </c>
      <c r="S132" s="23">
        <f>((Q132-M132)/M132)</f>
        <v>1.8949343339587237E-2</v>
      </c>
      <c r="T132" s="325">
        <v>2229780457.5700002</v>
      </c>
      <c r="U132" s="325">
        <v>1.5694999999999999</v>
      </c>
      <c r="V132" s="23">
        <f>((T132-P132)/P132)</f>
        <v>-3.8439082176869095E-2</v>
      </c>
      <c r="W132" s="23">
        <f>((U132-Q132)/Q132)</f>
        <v>-3.6702878536794992E-2</v>
      </c>
      <c r="X132" s="325">
        <v>2308579836.4699998</v>
      </c>
      <c r="Y132" s="325">
        <v>1.6348</v>
      </c>
      <c r="Z132" s="23">
        <f>((X132-T132)/T132)</f>
        <v>3.5339523508908434E-2</v>
      </c>
      <c r="AA132" s="23">
        <f>((Y132-U132)/U132)</f>
        <v>4.1605606881172437E-2</v>
      </c>
      <c r="AB132" s="325">
        <v>2291800485.3400002</v>
      </c>
      <c r="AC132" s="325">
        <v>1.6227</v>
      </c>
      <c r="AD132" s="23">
        <f>((AB132-X132)/X132)</f>
        <v>-7.2682568152620556E-3</v>
      </c>
      <c r="AE132" s="23">
        <f>((AC132-Y132)/Y132)</f>
        <v>-7.4015170051382429E-3</v>
      </c>
      <c r="AF132" s="325">
        <v>2269683639.9899998</v>
      </c>
      <c r="AG132" s="325">
        <v>1.6069</v>
      </c>
      <c r="AH132" s="23">
        <f>((AF132-AB132)/AB132)</f>
        <v>-9.6504235388183181E-3</v>
      </c>
      <c r="AI132" s="23">
        <f>((AG132-AC132)/AC132)</f>
        <v>-9.7368583225488602E-3</v>
      </c>
      <c r="AJ132" s="24">
        <f t="shared" si="66"/>
        <v>1.4559854761062301E-2</v>
      </c>
      <c r="AK132" s="24">
        <f t="shared" si="67"/>
        <v>9.1437054558888044E-3</v>
      </c>
      <c r="AL132" s="25">
        <f t="shared" si="68"/>
        <v>2.5659432705119525E-2</v>
      </c>
      <c r="AM132" s="25">
        <f t="shared" si="69"/>
        <v>3.3974647706067791E-2</v>
      </c>
      <c r="AN132" s="384">
        <f t="shared" si="70"/>
        <v>3.7955069955928754E-2</v>
      </c>
      <c r="AO132" s="385">
        <f t="shared" si="71"/>
        <v>2.6559898607387049E-2</v>
      </c>
      <c r="AP132" s="30"/>
      <c r="AQ132" s="53"/>
      <c r="AR132" s="47"/>
      <c r="AS132" s="29"/>
      <c r="AT132" s="29"/>
    </row>
    <row r="133" spans="1:46" s="368" customFormat="1">
      <c r="A133" s="202" t="s">
        <v>255</v>
      </c>
      <c r="B133" s="325">
        <v>142386973.00004962</v>
      </c>
      <c r="C133" s="325">
        <v>97.42</v>
      </c>
      <c r="D133" s="325">
        <v>147775495.79803234</v>
      </c>
      <c r="E133" s="325">
        <v>100.98</v>
      </c>
      <c r="F133" s="23">
        <f t="shared" si="119"/>
        <v>3.784421204024644E-2</v>
      </c>
      <c r="G133" s="23">
        <f t="shared" si="120"/>
        <v>3.6542804352289078E-2</v>
      </c>
      <c r="H133" s="325">
        <v>150219813.0785183</v>
      </c>
      <c r="I133" s="325">
        <v>102.6188722056816</v>
      </c>
      <c r="J133" s="23">
        <f>((H133-D133)/D133)</f>
        <v>1.6540748297178134E-2</v>
      </c>
      <c r="K133" s="23">
        <f>((I133-E133)/E133)</f>
        <v>1.6229671278288706E-2</v>
      </c>
      <c r="L133" s="325">
        <v>151153237.87724182</v>
      </c>
      <c r="M133" s="325">
        <v>103.26813547352647</v>
      </c>
      <c r="N133" s="23">
        <f>((L133-H133)/H133)</f>
        <v>6.2137262694876849E-3</v>
      </c>
      <c r="O133" s="23">
        <f>((M133-I133)/I133)</f>
        <v>6.3269382511195226E-3</v>
      </c>
      <c r="P133" s="325">
        <v>195345782.74260604</v>
      </c>
      <c r="Q133" s="325">
        <v>132.24</v>
      </c>
      <c r="R133" s="23">
        <f>((P133-L133)/L133)</f>
        <v>0.29236915785591661</v>
      </c>
      <c r="S133" s="23">
        <f>((Q133-M133)/M133)</f>
        <v>0.28054989463715729</v>
      </c>
      <c r="T133" s="325">
        <v>148091442.25760648</v>
      </c>
      <c r="U133" s="325">
        <v>101.35</v>
      </c>
      <c r="V133" s="23">
        <f>((T133-P133)/P133)</f>
        <v>-0.24190100150389948</v>
      </c>
      <c r="W133" s="23">
        <f>((U133-Q133)/Q133)</f>
        <v>-0.23359044162129472</v>
      </c>
      <c r="X133" s="325">
        <v>164320105.47</v>
      </c>
      <c r="Y133" s="325">
        <v>107.38</v>
      </c>
      <c r="Z133" s="23">
        <f>((X133-T133)/T133)</f>
        <v>0.10958542212158086</v>
      </c>
      <c r="AA133" s="23">
        <f>((Y133-U133)/U133)</f>
        <v>5.9496793290577221E-2</v>
      </c>
      <c r="AB133" s="325">
        <v>155303384.59191602</v>
      </c>
      <c r="AC133" s="325">
        <v>106.14</v>
      </c>
      <c r="AD133" s="23">
        <f>((AB133-X133)/X133)</f>
        <v>-5.4872900989770608E-2</v>
      </c>
      <c r="AE133" s="23">
        <f>((AC133-Y133)/Y133)</f>
        <v>-1.154777425963862E-2</v>
      </c>
      <c r="AF133" s="325">
        <v>153558114.06464234</v>
      </c>
      <c r="AG133" s="325">
        <v>105.05</v>
      </c>
      <c r="AH133" s="23">
        <f>((AF133-AB133)/AB133)</f>
        <v>-1.1237813856147801E-2</v>
      </c>
      <c r="AI133" s="23">
        <f>((AG133-AC133)/AC133)</f>
        <v>-1.026945543621635E-2</v>
      </c>
      <c r="AJ133" s="24">
        <f t="shared" si="66"/>
        <v>1.9317693779323977E-2</v>
      </c>
      <c r="AK133" s="24">
        <f t="shared" si="67"/>
        <v>1.7967303811535267E-2</v>
      </c>
      <c r="AL133" s="25">
        <f t="shared" si="68"/>
        <v>3.9131103809749448E-2</v>
      </c>
      <c r="AM133" s="25">
        <f t="shared" si="69"/>
        <v>4.0305010893246118E-2</v>
      </c>
      <c r="AN133" s="384">
        <f t="shared" si="70"/>
        <v>0.15019088437649086</v>
      </c>
      <c r="AO133" s="385">
        <f t="shared" si="71"/>
        <v>0.13944155759530721</v>
      </c>
      <c r="AP133" s="30"/>
      <c r="AQ133" s="53"/>
      <c r="AR133" s="47"/>
      <c r="AS133" s="29"/>
      <c r="AT133" s="29"/>
    </row>
    <row r="134" spans="1:46" s="368" customFormat="1">
      <c r="A134" s="202" t="s">
        <v>272</v>
      </c>
      <c r="B134" s="326">
        <v>2424447525.5799999</v>
      </c>
      <c r="C134" s="325">
        <v>3.5</v>
      </c>
      <c r="D134" s="326">
        <v>2539942714.96</v>
      </c>
      <c r="E134" s="325">
        <v>3.66</v>
      </c>
      <c r="F134" s="23">
        <f t="shared" si="119"/>
        <v>4.7637735261921263E-2</v>
      </c>
      <c r="G134" s="23">
        <f t="shared" si="120"/>
        <v>4.5714285714285756E-2</v>
      </c>
      <c r="H134" s="326">
        <v>2532068548.21</v>
      </c>
      <c r="I134" s="325">
        <v>3.65</v>
      </c>
      <c r="J134" s="23">
        <f t="shared" ref="J134:J144" si="135">((H134-D134)/D134)</f>
        <v>-3.1001355674763731E-3</v>
      </c>
      <c r="K134" s="23">
        <f t="shared" ref="K134:K144" si="136">((I134-E134)/E134)</f>
        <v>-2.7322404371585328E-3</v>
      </c>
      <c r="L134" s="326">
        <v>2511585152.25</v>
      </c>
      <c r="M134" s="325">
        <v>3.62</v>
      </c>
      <c r="N134" s="23">
        <f t="shared" ref="N134:N144" si="137">((L134-H134)/H134)</f>
        <v>-8.0895898234984217E-3</v>
      </c>
      <c r="O134" s="23">
        <f t="shared" ref="O134:O144" si="138">((M134-I134)/I134)</f>
        <v>-8.219178082191728E-3</v>
      </c>
      <c r="P134" s="326">
        <v>2589758591.8699999</v>
      </c>
      <c r="Q134" s="325">
        <v>3.73</v>
      </c>
      <c r="R134" s="23">
        <f t="shared" ref="R134:R144" si="139">((P134-L134)/L134)</f>
        <v>3.112514005347114E-2</v>
      </c>
      <c r="S134" s="23">
        <f t="shared" ref="S134:S144" si="140">((Q134-M134)/M134)</f>
        <v>3.0386740331491677E-2</v>
      </c>
      <c r="T134" s="326">
        <v>2573525991.5100002</v>
      </c>
      <c r="U134" s="325">
        <v>3.7</v>
      </c>
      <c r="V134" s="23">
        <f t="shared" ref="V134:V144" si="141">((T134-P134)/P134)</f>
        <v>-6.2679974924915692E-3</v>
      </c>
      <c r="W134" s="23">
        <f t="shared" ref="W134:W144" si="142">((U134-Q134)/Q134)</f>
        <v>-8.0428954423591974E-3</v>
      </c>
      <c r="X134" s="326">
        <v>2530240043.2600002</v>
      </c>
      <c r="Y134" s="325">
        <v>3.63</v>
      </c>
      <c r="Z134" s="23">
        <f t="shared" ref="Z134:Z144" si="143">((X134-T134)/T134)</f>
        <v>-1.6819705102182489E-2</v>
      </c>
      <c r="AA134" s="23">
        <f t="shared" ref="AA134:AA144" si="144">((Y134-U134)/U134)</f>
        <v>-1.8918918918918996E-2</v>
      </c>
      <c r="AB134" s="326">
        <v>2601994669.3099999</v>
      </c>
      <c r="AC134" s="325">
        <v>3.73</v>
      </c>
      <c r="AD134" s="23">
        <f t="shared" ref="AD134:AD144" si="145">((AB134-X134)/X134)</f>
        <v>2.8358821622927896E-2</v>
      </c>
      <c r="AE134" s="23">
        <f t="shared" ref="AE134:AE144" si="146">((AC134-Y134)/Y134)</f>
        <v>2.754820936639121E-2</v>
      </c>
      <c r="AF134" s="326">
        <v>2573022303.79</v>
      </c>
      <c r="AG134" s="325">
        <v>3.68</v>
      </c>
      <c r="AH134" s="23">
        <f t="shared" ref="AH134:AH144" si="147">((AF134-AB134)/AB134)</f>
        <v>-1.1134675201960697E-2</v>
      </c>
      <c r="AI134" s="23">
        <f t="shared" ref="AI134:AI144" si="148">((AG134-AC134)/AC134)</f>
        <v>-1.3404825737265367E-2</v>
      </c>
      <c r="AJ134" s="24">
        <f t="shared" ref="AJ134:AJ171" si="149">AVERAGE(F134,J134,N134,R134,V134,Z134,AD134,AH134)</f>
        <v>7.7136992188388421E-3</v>
      </c>
      <c r="AK134" s="24">
        <f t="shared" ref="AK134:AK171" si="150">AVERAGE(G134,K134,O134,S134,W134,AA134,AE134,AI134)</f>
        <v>6.5413970992843525E-3</v>
      </c>
      <c r="AL134" s="25">
        <f t="shared" ref="AL134:AL171" si="151">((AF134-D134)/D134)</f>
        <v>1.3023753896166463E-2</v>
      </c>
      <c r="AM134" s="25">
        <f t="shared" ref="AM134:AM171" si="152">((AG134-E134)/E134)</f>
        <v>5.4644808743169442E-3</v>
      </c>
      <c r="AN134" s="384">
        <f t="shared" ref="AN134:AN171" si="153">STDEV(F134,J134,N134,R134,V134,Z134,AD134,AH134)</f>
        <v>2.4164806910514123E-2</v>
      </c>
      <c r="AO134" s="385">
        <f t="shared" ref="AO134:AO171" si="154">STDEV(G134,K134,O134,S134,W134,AA134,AE134,AI134)</f>
        <v>2.4222356193366379E-2</v>
      </c>
      <c r="AP134" s="30"/>
      <c r="AQ134" s="53"/>
      <c r="AR134" s="47"/>
      <c r="AS134" s="29"/>
      <c r="AT134" s="29"/>
    </row>
    <row r="135" spans="1:46">
      <c r="A135" s="202" t="s">
        <v>129</v>
      </c>
      <c r="B135" s="326">
        <v>172913596.40000001</v>
      </c>
      <c r="C135" s="325">
        <v>160.64320000000001</v>
      </c>
      <c r="D135" s="326">
        <v>177488889.27000001</v>
      </c>
      <c r="E135" s="325">
        <v>164.869553</v>
      </c>
      <c r="F135" s="23">
        <f t="shared" si="119"/>
        <v>2.6459994848617958E-2</v>
      </c>
      <c r="G135" s="23">
        <f t="shared" si="120"/>
        <v>2.6308944293938298E-2</v>
      </c>
      <c r="H135" s="326">
        <v>177516001.75</v>
      </c>
      <c r="I135" s="325">
        <v>164.988911</v>
      </c>
      <c r="J135" s="23">
        <f t="shared" si="135"/>
        <v>1.527559280555594E-4</v>
      </c>
      <c r="K135" s="23">
        <f t="shared" si="136"/>
        <v>7.2395416757153094E-4</v>
      </c>
      <c r="L135" s="326">
        <v>180186804.28999999</v>
      </c>
      <c r="M135" s="325">
        <v>167.496566</v>
      </c>
      <c r="N135" s="23">
        <f t="shared" si="137"/>
        <v>1.5045418518164612E-2</v>
      </c>
      <c r="O135" s="23">
        <f t="shared" si="138"/>
        <v>1.5198930551156857E-2</v>
      </c>
      <c r="P135" s="326">
        <v>175904632.83000001</v>
      </c>
      <c r="Q135" s="325">
        <v>161.906632</v>
      </c>
      <c r="R135" s="23">
        <f t="shared" si="139"/>
        <v>-2.3765177904526667E-2</v>
      </c>
      <c r="S135" s="23">
        <f t="shared" si="140"/>
        <v>-3.3373424503520863E-2</v>
      </c>
      <c r="T135" s="326">
        <v>175830110.49000001</v>
      </c>
      <c r="U135" s="325">
        <v>163.17549700000001</v>
      </c>
      <c r="V135" s="23">
        <f t="shared" si="141"/>
        <v>-4.2365194594973742E-4</v>
      </c>
      <c r="W135" s="23">
        <f t="shared" si="142"/>
        <v>7.8370168307868027E-3</v>
      </c>
      <c r="X135" s="326">
        <v>177775000.77000001</v>
      </c>
      <c r="Y135" s="325">
        <v>165.026265</v>
      </c>
      <c r="Z135" s="23">
        <f t="shared" si="143"/>
        <v>1.1061190114594241E-2</v>
      </c>
      <c r="AA135" s="23">
        <f t="shared" si="144"/>
        <v>1.1342193123517729E-2</v>
      </c>
      <c r="AB135" s="326">
        <v>179109011.09999999</v>
      </c>
      <c r="AC135" s="325">
        <v>165.58421300000001</v>
      </c>
      <c r="AD135" s="23">
        <f t="shared" si="145"/>
        <v>7.5039253225816947E-3</v>
      </c>
      <c r="AE135" s="23">
        <f t="shared" si="146"/>
        <v>3.3809648421723073E-3</v>
      </c>
      <c r="AF135" s="326">
        <v>182939141.30000001</v>
      </c>
      <c r="AG135" s="325">
        <v>169.067768</v>
      </c>
      <c r="AH135" s="23">
        <f t="shared" si="147"/>
        <v>2.1384352336475034E-2</v>
      </c>
      <c r="AI135" s="23">
        <f t="shared" si="148"/>
        <v>2.1037965738919782E-2</v>
      </c>
      <c r="AJ135" s="24">
        <f t="shared" si="149"/>
        <v>7.1773509022515867E-3</v>
      </c>
      <c r="AK135" s="24">
        <f t="shared" si="150"/>
        <v>6.5570681305678058E-3</v>
      </c>
      <c r="AL135" s="25">
        <f t="shared" si="151"/>
        <v>3.0707567399945568E-2</v>
      </c>
      <c r="AM135" s="25">
        <f t="shared" si="152"/>
        <v>2.5463858690755379E-2</v>
      </c>
      <c r="AN135" s="384">
        <f t="shared" si="153"/>
        <v>1.5653921740529965E-2</v>
      </c>
      <c r="AO135" s="385">
        <f t="shared" si="154"/>
        <v>1.8274133069495102E-2</v>
      </c>
      <c r="AP135" s="30"/>
      <c r="AQ135" s="53">
        <v>82672021.189999998</v>
      </c>
      <c r="AR135" s="47">
        <v>18.53</v>
      </c>
      <c r="AS135" s="29" t="e">
        <f>(#REF!/AQ135)-1</f>
        <v>#REF!</v>
      </c>
      <c r="AT135" s="29" t="e">
        <f>(#REF!/AR135)-1</f>
        <v>#REF!</v>
      </c>
    </row>
    <row r="136" spans="1:46">
      <c r="A136" s="202" t="s">
        <v>27</v>
      </c>
      <c r="B136" s="326">
        <v>1312850544</v>
      </c>
      <c r="C136" s="325">
        <v>552.20000000000005</v>
      </c>
      <c r="D136" s="326">
        <v>1337078750</v>
      </c>
      <c r="E136" s="325">
        <v>552.20000000000005</v>
      </c>
      <c r="F136" s="23">
        <f t="shared" si="119"/>
        <v>1.8454656633024938E-2</v>
      </c>
      <c r="G136" s="23">
        <f t="shared" si="120"/>
        <v>0</v>
      </c>
      <c r="H136" s="326">
        <v>1337078750</v>
      </c>
      <c r="I136" s="325">
        <v>552.20000000000005</v>
      </c>
      <c r="J136" s="23">
        <f t="shared" si="135"/>
        <v>0</v>
      </c>
      <c r="K136" s="23">
        <f t="shared" si="136"/>
        <v>0</v>
      </c>
      <c r="L136" s="326">
        <v>1434795580</v>
      </c>
      <c r="M136" s="325">
        <v>552.20000000000005</v>
      </c>
      <c r="N136" s="23">
        <f t="shared" si="137"/>
        <v>7.3082329668316098E-2</v>
      </c>
      <c r="O136" s="23">
        <f t="shared" si="138"/>
        <v>0</v>
      </c>
      <c r="P136" s="326">
        <v>1485644348</v>
      </c>
      <c r="Q136" s="325">
        <v>552.20000000000005</v>
      </c>
      <c r="R136" s="23">
        <f t="shared" si="139"/>
        <v>3.5439730027604352E-2</v>
      </c>
      <c r="S136" s="23">
        <f t="shared" si="140"/>
        <v>0</v>
      </c>
      <c r="T136" s="326">
        <v>1471050259</v>
      </c>
      <c r="U136" s="325">
        <v>552.20000000000005</v>
      </c>
      <c r="V136" s="23">
        <f t="shared" si="141"/>
        <v>-9.8234069409995836E-3</v>
      </c>
      <c r="W136" s="23">
        <f t="shared" si="142"/>
        <v>0</v>
      </c>
      <c r="X136" s="326">
        <v>1481631294</v>
      </c>
      <c r="Y136" s="325">
        <v>552.20000000000005</v>
      </c>
      <c r="Z136" s="23">
        <f t="shared" si="143"/>
        <v>7.1928439801865396E-3</v>
      </c>
      <c r="AA136" s="23">
        <f t="shared" si="144"/>
        <v>0</v>
      </c>
      <c r="AB136" s="326">
        <v>1487452911</v>
      </c>
      <c r="AC136" s="325">
        <v>552.20000000000005</v>
      </c>
      <c r="AD136" s="23">
        <f t="shared" si="145"/>
        <v>3.929194141332709E-3</v>
      </c>
      <c r="AE136" s="23">
        <f t="shared" si="146"/>
        <v>0</v>
      </c>
      <c r="AF136" s="326">
        <v>1484875628</v>
      </c>
      <c r="AG136" s="325">
        <v>552.20000000000005</v>
      </c>
      <c r="AH136" s="23">
        <f t="shared" si="147"/>
        <v>-1.7326820774899812E-3</v>
      </c>
      <c r="AI136" s="23">
        <f t="shared" si="148"/>
        <v>0</v>
      </c>
      <c r="AJ136" s="24">
        <f t="shared" si="149"/>
        <v>1.5817833178996883E-2</v>
      </c>
      <c r="AK136" s="24">
        <f t="shared" si="150"/>
        <v>0</v>
      </c>
      <c r="AL136" s="25">
        <f t="shared" si="151"/>
        <v>0.11053715272941105</v>
      </c>
      <c r="AM136" s="25">
        <f t="shared" si="152"/>
        <v>0</v>
      </c>
      <c r="AN136" s="384">
        <f t="shared" si="153"/>
        <v>2.6999000076790923E-2</v>
      </c>
      <c r="AO136" s="385">
        <f t="shared" si="154"/>
        <v>0</v>
      </c>
      <c r="AP136" s="30"/>
      <c r="AQ136" s="53">
        <v>541500000</v>
      </c>
      <c r="AR136" s="47">
        <v>3610</v>
      </c>
      <c r="AS136" s="29" t="e">
        <f>(#REF!/AQ136)-1</f>
        <v>#REF!</v>
      </c>
      <c r="AT136" s="29" t="e">
        <f>(#REF!/AR136)-1</f>
        <v>#REF!</v>
      </c>
    </row>
    <row r="137" spans="1:46">
      <c r="A137" s="202" t="s">
        <v>186</v>
      </c>
      <c r="B137" s="326">
        <v>21711853.800000001</v>
      </c>
      <c r="C137" s="325">
        <v>1.34</v>
      </c>
      <c r="D137" s="326">
        <v>22579800.219999999</v>
      </c>
      <c r="E137" s="325">
        <v>1.39</v>
      </c>
      <c r="F137" s="23">
        <f t="shared" si="119"/>
        <v>3.9975693830436441E-2</v>
      </c>
      <c r="G137" s="23">
        <f t="shared" si="120"/>
        <v>3.731343283582076E-2</v>
      </c>
      <c r="H137" s="326">
        <v>22672982.620000001</v>
      </c>
      <c r="I137" s="325">
        <v>1.4</v>
      </c>
      <c r="J137" s="23">
        <f t="shared" si="135"/>
        <v>4.1268035630123148E-3</v>
      </c>
      <c r="K137" s="23">
        <f t="shared" si="136"/>
        <v>7.1942446043165541E-3</v>
      </c>
      <c r="L137" s="326">
        <v>23142714.84</v>
      </c>
      <c r="M137" s="325">
        <v>1.43</v>
      </c>
      <c r="N137" s="23">
        <f t="shared" si="137"/>
        <v>2.0717707408536741E-2</v>
      </c>
      <c r="O137" s="23">
        <f t="shared" si="138"/>
        <v>2.142857142857145E-2</v>
      </c>
      <c r="P137" s="326">
        <v>23676755.789999999</v>
      </c>
      <c r="Q137" s="325">
        <v>1.47</v>
      </c>
      <c r="R137" s="23">
        <f t="shared" si="139"/>
        <v>2.3075985410188776E-2</v>
      </c>
      <c r="S137" s="23">
        <f t="shared" si="140"/>
        <v>2.7972027972028E-2</v>
      </c>
      <c r="T137" s="326">
        <v>22095331.98</v>
      </c>
      <c r="U137" s="325">
        <v>1.47</v>
      </c>
      <c r="V137" s="23">
        <f t="shared" si="141"/>
        <v>-6.6792250763844985E-2</v>
      </c>
      <c r="W137" s="23">
        <f t="shared" si="142"/>
        <v>0</v>
      </c>
      <c r="X137" s="326">
        <v>24053404.91</v>
      </c>
      <c r="Y137" s="325">
        <v>1.49</v>
      </c>
      <c r="Z137" s="23">
        <f t="shared" si="143"/>
        <v>8.8619303469727712E-2</v>
      </c>
      <c r="AA137" s="23">
        <f t="shared" si="144"/>
        <v>1.360544217687076E-2</v>
      </c>
      <c r="AB137" s="326">
        <v>23867902.100000001</v>
      </c>
      <c r="AC137" s="325">
        <v>1.48</v>
      </c>
      <c r="AD137" s="23">
        <f t="shared" si="145"/>
        <v>-7.7121226992224057E-3</v>
      </c>
      <c r="AE137" s="23">
        <f t="shared" si="146"/>
        <v>-6.7114093959731603E-3</v>
      </c>
      <c r="AF137" s="326">
        <v>24351294.280000001</v>
      </c>
      <c r="AG137" s="325">
        <v>1.5</v>
      </c>
      <c r="AH137" s="23">
        <f t="shared" si="147"/>
        <v>2.0252813924521655E-2</v>
      </c>
      <c r="AI137" s="23">
        <f t="shared" si="148"/>
        <v>1.3513513513513526E-2</v>
      </c>
      <c r="AJ137" s="24">
        <f t="shared" si="149"/>
        <v>1.5282991767919533E-2</v>
      </c>
      <c r="AK137" s="24">
        <f t="shared" si="150"/>
        <v>1.4289477891893486E-2</v>
      </c>
      <c r="AL137" s="25">
        <f t="shared" si="151"/>
        <v>7.8454815487291427E-2</v>
      </c>
      <c r="AM137" s="25">
        <f t="shared" si="152"/>
        <v>7.9136690647482091E-2</v>
      </c>
      <c r="AN137" s="384">
        <f t="shared" si="153"/>
        <v>4.3903288888699613E-2</v>
      </c>
      <c r="AO137" s="385">
        <f t="shared" si="154"/>
        <v>1.4466316249246493E-2</v>
      </c>
      <c r="AP137" s="30"/>
      <c r="AQ137" s="28">
        <v>913647681</v>
      </c>
      <c r="AR137" s="32">
        <v>81</v>
      </c>
      <c r="AS137" s="29" t="e">
        <f>(#REF!/AQ137)-1</f>
        <v>#REF!</v>
      </c>
      <c r="AT137" s="29" t="e">
        <f>(#REF!/AR137)-1</f>
        <v>#REF!</v>
      </c>
    </row>
    <row r="138" spans="1:46">
      <c r="A138" s="203" t="s">
        <v>48</v>
      </c>
      <c r="B138" s="325">
        <v>176865661.78</v>
      </c>
      <c r="C138" s="325">
        <v>1.85</v>
      </c>
      <c r="D138" s="325">
        <v>183803993.02000001</v>
      </c>
      <c r="E138" s="325">
        <v>1.9093869999999999</v>
      </c>
      <c r="F138" s="23">
        <f t="shared" si="119"/>
        <v>3.9229385569656106E-2</v>
      </c>
      <c r="G138" s="23">
        <f t="shared" si="120"/>
        <v>3.2101081081081E-2</v>
      </c>
      <c r="H138" s="325">
        <v>185802207.03</v>
      </c>
      <c r="I138" s="325">
        <v>1.94</v>
      </c>
      <c r="J138" s="23">
        <f t="shared" si="135"/>
        <v>1.0871439608945609E-2</v>
      </c>
      <c r="K138" s="23">
        <f t="shared" si="136"/>
        <v>1.6032894326817981E-2</v>
      </c>
      <c r="L138" s="325">
        <v>191251886.52000001</v>
      </c>
      <c r="M138" s="325">
        <v>1.992318</v>
      </c>
      <c r="N138" s="23">
        <f t="shared" si="137"/>
        <v>2.933054228532438E-2</v>
      </c>
      <c r="O138" s="23">
        <f t="shared" si="138"/>
        <v>2.6968041237113449E-2</v>
      </c>
      <c r="P138" s="325">
        <v>196352170.12</v>
      </c>
      <c r="Q138" s="325">
        <v>2.04</v>
      </c>
      <c r="R138" s="23">
        <f t="shared" si="139"/>
        <v>2.6667886486268128E-2</v>
      </c>
      <c r="S138" s="23">
        <f t="shared" si="140"/>
        <v>2.3932926370187891E-2</v>
      </c>
      <c r="T138" s="325">
        <v>189969925.71000001</v>
      </c>
      <c r="U138" s="325">
        <v>2.04</v>
      </c>
      <c r="V138" s="23">
        <f t="shared" si="141"/>
        <v>-3.2504068613550374E-2</v>
      </c>
      <c r="W138" s="23">
        <f t="shared" si="142"/>
        <v>0</v>
      </c>
      <c r="X138" s="325">
        <v>199266374.56999999</v>
      </c>
      <c r="Y138" s="325">
        <v>2.0748419999999999</v>
      </c>
      <c r="Z138" s="23">
        <f t="shared" si="143"/>
        <v>4.8936424148480991E-2</v>
      </c>
      <c r="AA138" s="23">
        <f t="shared" si="144"/>
        <v>1.7079411764705791E-2</v>
      </c>
      <c r="AB138" s="325">
        <v>195540854.25999999</v>
      </c>
      <c r="AC138" s="325">
        <v>2.0378099999999999</v>
      </c>
      <c r="AD138" s="23">
        <f t="shared" si="145"/>
        <v>-1.8696181521038663E-2</v>
      </c>
      <c r="AE138" s="23">
        <f t="shared" si="146"/>
        <v>-1.7848106024458708E-2</v>
      </c>
      <c r="AF138" s="325">
        <v>196215865.47999999</v>
      </c>
      <c r="AG138" s="325">
        <v>2.0453060000000001</v>
      </c>
      <c r="AH138" s="23">
        <f t="shared" si="147"/>
        <v>3.4520214333444267E-3</v>
      </c>
      <c r="AI138" s="23">
        <f t="shared" si="148"/>
        <v>3.678458737566392E-3</v>
      </c>
      <c r="AJ138" s="24">
        <f t="shared" si="149"/>
        <v>1.3410931174678826E-2</v>
      </c>
      <c r="AK138" s="24">
        <f t="shared" si="150"/>
        <v>1.2743088436626724E-2</v>
      </c>
      <c r="AL138" s="25">
        <f t="shared" si="151"/>
        <v>6.752776289604015E-2</v>
      </c>
      <c r="AM138" s="25">
        <f t="shared" si="152"/>
        <v>7.1184626270106646E-2</v>
      </c>
      <c r="AN138" s="384">
        <f t="shared" si="153"/>
        <v>2.8290626696795124E-2</v>
      </c>
      <c r="AO138" s="385">
        <f t="shared" si="154"/>
        <v>1.652830969760535E-2</v>
      </c>
      <c r="AP138" s="30"/>
      <c r="AQ138" s="61">
        <f>SUM(AQ129:AQ137)</f>
        <v>3629819788.79</v>
      </c>
      <c r="AR138" s="62"/>
      <c r="AS138" s="29" t="e">
        <f>(#REF!/AQ138)-1</f>
        <v>#REF!</v>
      </c>
      <c r="AT138" s="29" t="e">
        <f>(#REF!/AR138)-1</f>
        <v>#REF!</v>
      </c>
    </row>
    <row r="139" spans="1:46">
      <c r="A139" s="202" t="s">
        <v>22</v>
      </c>
      <c r="B139" s="326">
        <v>1819324567.46</v>
      </c>
      <c r="C139" s="325">
        <v>4115.17</v>
      </c>
      <c r="D139" s="326">
        <v>1873804276.25</v>
      </c>
      <c r="E139" s="325">
        <v>4252.3500000000004</v>
      </c>
      <c r="F139" s="23">
        <f t="shared" si="119"/>
        <v>2.9945019027616555E-2</v>
      </c>
      <c r="G139" s="23">
        <f t="shared" si="120"/>
        <v>3.3335196358838221E-2</v>
      </c>
      <c r="H139" s="326">
        <v>1891175524.28</v>
      </c>
      <c r="I139" s="325">
        <v>4288.38</v>
      </c>
      <c r="J139" s="23">
        <f t="shared" si="135"/>
        <v>9.2705776425938344E-3</v>
      </c>
      <c r="K139" s="23">
        <f t="shared" si="136"/>
        <v>8.4729620092418873E-3</v>
      </c>
      <c r="L139" s="326">
        <v>1953404536.6199999</v>
      </c>
      <c r="M139" s="325">
        <v>4408.6400000000003</v>
      </c>
      <c r="N139" s="23">
        <f t="shared" si="137"/>
        <v>3.2904937453487541E-2</v>
      </c>
      <c r="O139" s="23">
        <f t="shared" si="138"/>
        <v>2.8043223781474641E-2</v>
      </c>
      <c r="P139" s="326">
        <v>2012077007.03</v>
      </c>
      <c r="Q139" s="325">
        <v>4494.57</v>
      </c>
      <c r="R139" s="23">
        <f t="shared" si="139"/>
        <v>3.0036006014157103E-2</v>
      </c>
      <c r="S139" s="23">
        <f t="shared" si="140"/>
        <v>1.9491271684691735E-2</v>
      </c>
      <c r="T139" s="326">
        <v>2006417954.49</v>
      </c>
      <c r="U139" s="325">
        <v>4468.29</v>
      </c>
      <c r="V139" s="23">
        <f t="shared" si="141"/>
        <v>-2.8125427208937764E-3</v>
      </c>
      <c r="W139" s="23">
        <f t="shared" si="142"/>
        <v>-5.8470554469058772E-3</v>
      </c>
      <c r="X139" s="326">
        <v>2065192636.98</v>
      </c>
      <c r="Y139" s="325">
        <v>4577.3</v>
      </c>
      <c r="Z139" s="23">
        <f t="shared" si="143"/>
        <v>2.9293339584842187E-2</v>
      </c>
      <c r="AA139" s="23">
        <f t="shared" si="144"/>
        <v>2.4396357443227771E-2</v>
      </c>
      <c r="AB139" s="326">
        <v>1944767529.4000001</v>
      </c>
      <c r="AC139" s="325">
        <v>4590.0600000000004</v>
      </c>
      <c r="AD139" s="23">
        <f t="shared" si="145"/>
        <v>-5.8311803665977414E-2</v>
      </c>
      <c r="AE139" s="23">
        <f t="shared" si="146"/>
        <v>2.7876695868744058E-3</v>
      </c>
      <c r="AF139" s="326">
        <v>1978354598.22</v>
      </c>
      <c r="AG139" s="325">
        <v>4633.0600000000004</v>
      </c>
      <c r="AH139" s="23">
        <f t="shared" si="147"/>
        <v>1.7270480050827576E-2</v>
      </c>
      <c r="AI139" s="23">
        <f t="shared" si="148"/>
        <v>9.3680692627111616E-3</v>
      </c>
      <c r="AJ139" s="24">
        <f t="shared" si="149"/>
        <v>1.09495016733317E-2</v>
      </c>
      <c r="AK139" s="24">
        <f t="shared" si="150"/>
        <v>1.5005961835019243E-2</v>
      </c>
      <c r="AL139" s="25">
        <f t="shared" si="151"/>
        <v>5.5795753748216492E-2</v>
      </c>
      <c r="AM139" s="25">
        <f t="shared" si="152"/>
        <v>8.9529319082389744E-2</v>
      </c>
      <c r="AN139" s="384">
        <f t="shared" si="153"/>
        <v>3.0643008323719977E-2</v>
      </c>
      <c r="AO139" s="385">
        <f t="shared" si="154"/>
        <v>1.3484538691287042E-2</v>
      </c>
      <c r="AP139" s="30"/>
      <c r="AQ139" s="79"/>
      <c r="AR139" s="80"/>
      <c r="AS139" s="29"/>
      <c r="AT139" s="29"/>
    </row>
    <row r="140" spans="1:46" s="86" customFormat="1">
      <c r="A140" s="202" t="s">
        <v>247</v>
      </c>
      <c r="B140" s="321">
        <v>71591997.810000002</v>
      </c>
      <c r="C140" s="325">
        <v>114.0872</v>
      </c>
      <c r="D140" s="321">
        <v>76234019.920000002</v>
      </c>
      <c r="E140" s="325">
        <v>118.3126</v>
      </c>
      <c r="F140" s="23">
        <f t="shared" si="119"/>
        <v>6.4839957704764598E-2</v>
      </c>
      <c r="G140" s="23">
        <f t="shared" si="120"/>
        <v>3.7036582543878788E-2</v>
      </c>
      <c r="H140" s="321">
        <v>76175476.219999999</v>
      </c>
      <c r="I140" s="325">
        <v>118.0415</v>
      </c>
      <c r="J140" s="23">
        <f t="shared" si="135"/>
        <v>-7.6794717189830413E-4</v>
      </c>
      <c r="K140" s="23">
        <f t="shared" si="136"/>
        <v>-2.2913873923825876E-3</v>
      </c>
      <c r="L140" s="321">
        <v>82607982.299999997</v>
      </c>
      <c r="M140" s="325">
        <v>120.2045</v>
      </c>
      <c r="N140" s="23">
        <f t="shared" si="137"/>
        <v>8.4443267035475819E-2</v>
      </c>
      <c r="O140" s="23">
        <f t="shared" si="138"/>
        <v>1.8324063994442606E-2</v>
      </c>
      <c r="P140" s="321">
        <v>83674162.739999995</v>
      </c>
      <c r="Q140" s="325">
        <v>121.6142</v>
      </c>
      <c r="R140" s="23">
        <f t="shared" si="139"/>
        <v>1.2906506251757195E-2</v>
      </c>
      <c r="S140" s="23">
        <f t="shared" si="140"/>
        <v>1.1727514360943233E-2</v>
      </c>
      <c r="T140" s="321">
        <v>82131148.260000005</v>
      </c>
      <c r="U140" s="325">
        <v>119.3642</v>
      </c>
      <c r="V140" s="23">
        <f t="shared" si="141"/>
        <v>-1.8440751953438542E-2</v>
      </c>
      <c r="W140" s="23">
        <f t="shared" si="142"/>
        <v>-1.8501128980003979E-2</v>
      </c>
      <c r="X140" s="321">
        <v>85397612.129999995</v>
      </c>
      <c r="Y140" s="325">
        <v>122.8339</v>
      </c>
      <c r="Z140" s="23">
        <f t="shared" si="143"/>
        <v>3.9771316232660565E-2</v>
      </c>
      <c r="AA140" s="23">
        <f t="shared" si="144"/>
        <v>2.9068179571429317E-2</v>
      </c>
      <c r="AB140" s="321">
        <v>84697979.370000005</v>
      </c>
      <c r="AC140" s="325">
        <v>121.6553</v>
      </c>
      <c r="AD140" s="23">
        <f t="shared" si="145"/>
        <v>-8.1926501520317215E-3</v>
      </c>
      <c r="AE140" s="23">
        <f t="shared" si="146"/>
        <v>-9.5950710675147734E-3</v>
      </c>
      <c r="AF140" s="321">
        <v>84110906.269999996</v>
      </c>
      <c r="AG140" s="325">
        <v>120.76900000000001</v>
      </c>
      <c r="AH140" s="23">
        <f t="shared" si="147"/>
        <v>-6.9313707879074858E-3</v>
      </c>
      <c r="AI140" s="23">
        <f t="shared" si="148"/>
        <v>-7.2853381644695419E-3</v>
      </c>
      <c r="AJ140" s="24">
        <f t="shared" si="149"/>
        <v>2.0953540894922761E-2</v>
      </c>
      <c r="AK140" s="24">
        <f t="shared" si="150"/>
        <v>7.3104268582903824E-3</v>
      </c>
      <c r="AL140" s="25">
        <f t="shared" si="151"/>
        <v>0.10332508187638538</v>
      </c>
      <c r="AM140" s="25">
        <f t="shared" si="152"/>
        <v>2.0761947586309507E-2</v>
      </c>
      <c r="AN140" s="384">
        <f t="shared" si="153"/>
        <v>3.7846736877614667E-2</v>
      </c>
      <c r="AO140" s="385">
        <f t="shared" si="154"/>
        <v>1.9839061283811167E-2</v>
      </c>
      <c r="AP140" s="30"/>
      <c r="AQ140" s="79"/>
      <c r="AR140" s="80"/>
      <c r="AS140" s="29"/>
      <c r="AT140" s="29"/>
    </row>
    <row r="141" spans="1:46" s="105" customFormat="1">
      <c r="A141" s="202" t="s">
        <v>74</v>
      </c>
      <c r="B141" s="325">
        <v>1301591854.51</v>
      </c>
      <c r="C141" s="325">
        <v>1.6366000000000001</v>
      </c>
      <c r="D141" s="325">
        <v>1376838813.76</v>
      </c>
      <c r="E141" s="325">
        <v>1.7182999999999999</v>
      </c>
      <c r="F141" s="23">
        <f t="shared" si="119"/>
        <v>5.7811485981008714E-2</v>
      </c>
      <c r="G141" s="23">
        <f t="shared" si="120"/>
        <v>4.9920567029206817E-2</v>
      </c>
      <c r="H141" s="325">
        <v>1452708336.0799999</v>
      </c>
      <c r="I141" s="325">
        <v>1.6106</v>
      </c>
      <c r="J141" s="23">
        <f t="shared" si="135"/>
        <v>5.5104142592267834E-2</v>
      </c>
      <c r="K141" s="23">
        <f t="shared" si="136"/>
        <v>-6.2678228481638773E-2</v>
      </c>
      <c r="L141" s="325">
        <v>1406129443.8900001</v>
      </c>
      <c r="M141" s="325">
        <v>1.6357999999999999</v>
      </c>
      <c r="N141" s="23">
        <f t="shared" si="137"/>
        <v>-3.2063485169837105E-2</v>
      </c>
      <c r="O141" s="23">
        <f t="shared" si="138"/>
        <v>1.564634297777219E-2</v>
      </c>
      <c r="P141" s="325">
        <v>1468915817.79</v>
      </c>
      <c r="Q141" s="325">
        <v>1.6918</v>
      </c>
      <c r="R141" s="23">
        <f t="shared" si="139"/>
        <v>4.4651916061371914E-2</v>
      </c>
      <c r="S141" s="23">
        <f t="shared" si="140"/>
        <v>3.4234013938134279E-2</v>
      </c>
      <c r="T141" s="325">
        <v>1456131764.45</v>
      </c>
      <c r="U141" s="325">
        <v>1.6752</v>
      </c>
      <c r="V141" s="23">
        <f t="shared" si="141"/>
        <v>-8.7030537660311019E-3</v>
      </c>
      <c r="W141" s="23">
        <f t="shared" si="142"/>
        <v>-9.8120345194467121E-3</v>
      </c>
      <c r="X141" s="325">
        <v>1494818900.05</v>
      </c>
      <c r="Y141" s="325">
        <v>1.71</v>
      </c>
      <c r="Z141" s="23">
        <f t="shared" si="143"/>
        <v>2.6568430511927293E-2</v>
      </c>
      <c r="AA141" s="23">
        <f t="shared" si="144"/>
        <v>2.0773638968481341E-2</v>
      </c>
      <c r="AB141" s="325">
        <v>1549045713.01</v>
      </c>
      <c r="AC141" s="325">
        <v>1.7585</v>
      </c>
      <c r="AD141" s="23">
        <f t="shared" si="145"/>
        <v>3.6276510123190317E-2</v>
      </c>
      <c r="AE141" s="23">
        <f t="shared" si="146"/>
        <v>2.8362573099415197E-2</v>
      </c>
      <c r="AF141" s="325">
        <v>1565409293.96</v>
      </c>
      <c r="AG141" s="325">
        <v>1.7450000000000001</v>
      </c>
      <c r="AH141" s="23">
        <f t="shared" si="147"/>
        <v>1.0563652713775278E-2</v>
      </c>
      <c r="AI141" s="23">
        <f t="shared" si="148"/>
        <v>-7.6769974410007651E-3</v>
      </c>
      <c r="AJ141" s="24">
        <f t="shared" si="149"/>
        <v>2.377619988095914E-2</v>
      </c>
      <c r="AK141" s="24">
        <f t="shared" si="150"/>
        <v>8.5962344463654458E-3</v>
      </c>
      <c r="AL141" s="25">
        <f t="shared" si="151"/>
        <v>0.13695900951908391</v>
      </c>
      <c r="AM141" s="25">
        <f t="shared" si="152"/>
        <v>1.5538613746144543E-2</v>
      </c>
      <c r="AN141" s="384">
        <f t="shared" si="153"/>
        <v>3.1819208653201175E-2</v>
      </c>
      <c r="AO141" s="385">
        <f t="shared" si="154"/>
        <v>3.5127175201963103E-2</v>
      </c>
      <c r="AP141" s="30"/>
      <c r="AQ141" s="79"/>
      <c r="AR141" s="80"/>
      <c r="AS141" s="29"/>
      <c r="AT141" s="29"/>
    </row>
    <row r="142" spans="1:46" s="105" customFormat="1">
      <c r="A142" s="202" t="s">
        <v>239</v>
      </c>
      <c r="B142" s="325">
        <v>725087860.13</v>
      </c>
      <c r="C142" s="325">
        <v>1.3177000000000001</v>
      </c>
      <c r="D142" s="325">
        <v>751680875.74000001</v>
      </c>
      <c r="E142" s="325">
        <v>1.3664000000000001</v>
      </c>
      <c r="F142" s="23">
        <f t="shared" si="119"/>
        <v>3.6675576950401828E-2</v>
      </c>
      <c r="G142" s="23">
        <f t="shared" si="120"/>
        <v>3.6958336495408639E-2</v>
      </c>
      <c r="H142" s="325">
        <v>809746131.21000004</v>
      </c>
      <c r="I142" s="325">
        <v>1.25</v>
      </c>
      <c r="J142" s="23">
        <f t="shared" si="135"/>
        <v>7.7247216663370727E-2</v>
      </c>
      <c r="K142" s="23">
        <f t="shared" si="136"/>
        <v>-8.518735362997662E-2</v>
      </c>
      <c r="L142" s="325">
        <v>758100664.39999998</v>
      </c>
      <c r="M142" s="325">
        <v>1.2664</v>
      </c>
      <c r="N142" s="23">
        <f t="shared" si="137"/>
        <v>-6.3779825329732018E-2</v>
      </c>
      <c r="O142" s="23">
        <f t="shared" si="138"/>
        <v>1.3119999999999975E-2</v>
      </c>
      <c r="P142" s="325">
        <v>790796341.29999995</v>
      </c>
      <c r="Q142" s="325">
        <v>1.3205</v>
      </c>
      <c r="R142" s="23">
        <f t="shared" si="139"/>
        <v>4.3128410823748617E-2</v>
      </c>
      <c r="S142" s="23">
        <f t="shared" si="140"/>
        <v>4.2719519898926119E-2</v>
      </c>
      <c r="T142" s="325">
        <v>780261919.25999999</v>
      </c>
      <c r="U142" s="325">
        <v>1.3035000000000001</v>
      </c>
      <c r="V142" s="23">
        <f t="shared" si="141"/>
        <v>-1.3321283230372936E-2</v>
      </c>
      <c r="W142" s="23">
        <f t="shared" si="142"/>
        <v>-1.2873911397197959E-2</v>
      </c>
      <c r="X142" s="325">
        <v>799370732.32000005</v>
      </c>
      <c r="Y142" s="325">
        <v>1.3342000000000001</v>
      </c>
      <c r="Z142" s="23">
        <f t="shared" si="143"/>
        <v>2.4490254603380938E-2</v>
      </c>
      <c r="AA142" s="23">
        <f t="shared" si="144"/>
        <v>2.3551975450709587E-2</v>
      </c>
      <c r="AB142" s="325">
        <v>819811818.97000003</v>
      </c>
      <c r="AC142" s="325">
        <v>1.3646</v>
      </c>
      <c r="AD142" s="23">
        <f t="shared" si="145"/>
        <v>2.5571472438919746E-2</v>
      </c>
      <c r="AE142" s="23">
        <f t="shared" si="146"/>
        <v>2.2785189626742603E-2</v>
      </c>
      <c r="AF142" s="325">
        <v>818123226</v>
      </c>
      <c r="AG142" s="325">
        <v>1.3597999999999999</v>
      </c>
      <c r="AH142" s="23">
        <f t="shared" si="147"/>
        <v>-2.0597324055678448E-3</v>
      </c>
      <c r="AI142" s="23">
        <f t="shared" si="148"/>
        <v>-3.5175142899019035E-3</v>
      </c>
      <c r="AJ142" s="24">
        <f t="shared" si="149"/>
        <v>1.5994011314268634E-2</v>
      </c>
      <c r="AK142" s="24">
        <f t="shared" si="150"/>
        <v>4.6945302693388062E-3</v>
      </c>
      <c r="AL142" s="25">
        <f t="shared" si="151"/>
        <v>8.8391699728412182E-2</v>
      </c>
      <c r="AM142" s="25">
        <f t="shared" si="152"/>
        <v>-4.8302107728338418E-3</v>
      </c>
      <c r="AN142" s="384">
        <f t="shared" si="153"/>
        <v>4.2475305498787579E-2</v>
      </c>
      <c r="AO142" s="385">
        <f t="shared" si="154"/>
        <v>4.0875346455820312E-2</v>
      </c>
      <c r="AP142" s="30"/>
      <c r="AQ142" s="79"/>
      <c r="AR142" s="80"/>
      <c r="AS142" s="29"/>
      <c r="AT142" s="29"/>
    </row>
    <row r="143" spans="1:46" ht="15.75" customHeight="1" thickBot="1">
      <c r="A143" s="202" t="s">
        <v>124</v>
      </c>
      <c r="B143" s="325">
        <v>5015003260.6491985</v>
      </c>
      <c r="C143" s="325">
        <v>226.12626900868591</v>
      </c>
      <c r="D143" s="325">
        <v>5768695636.8900003</v>
      </c>
      <c r="E143" s="325">
        <v>259.8587</v>
      </c>
      <c r="F143" s="23">
        <f t="shared" si="119"/>
        <v>0.1502875146970962</v>
      </c>
      <c r="G143" s="23">
        <f t="shared" si="120"/>
        <v>0.14917519817221397</v>
      </c>
      <c r="H143" s="325">
        <v>6035042270.3100004</v>
      </c>
      <c r="I143" s="325">
        <v>271.95999999999998</v>
      </c>
      <c r="J143" s="23">
        <f t="shared" si="135"/>
        <v>4.6171032445662528E-2</v>
      </c>
      <c r="K143" s="23">
        <f t="shared" si="136"/>
        <v>4.6568769873781328E-2</v>
      </c>
      <c r="L143" s="325">
        <v>6195349084.6000004</v>
      </c>
      <c r="M143" s="325">
        <v>279.22000000000003</v>
      </c>
      <c r="N143" s="23">
        <f t="shared" si="137"/>
        <v>2.6562666359214337E-2</v>
      </c>
      <c r="O143" s="23">
        <f t="shared" si="138"/>
        <v>2.6695102220915017E-2</v>
      </c>
      <c r="P143" s="325">
        <v>6558331118.0200005</v>
      </c>
      <c r="Q143" s="325">
        <v>295.64999999999998</v>
      </c>
      <c r="R143" s="23">
        <f t="shared" si="139"/>
        <v>5.8589439991731447E-2</v>
      </c>
      <c r="S143" s="23">
        <f t="shared" si="140"/>
        <v>5.8842489792994584E-2</v>
      </c>
      <c r="T143" s="325">
        <v>6375096584.0699997</v>
      </c>
      <c r="U143" s="325">
        <v>287.31</v>
      </c>
      <c r="V143" s="23">
        <f t="shared" si="141"/>
        <v>-2.7939201399352395E-2</v>
      </c>
      <c r="W143" s="23">
        <f t="shared" si="142"/>
        <v>-2.8209030948756892E-2</v>
      </c>
      <c r="X143" s="325">
        <v>6610049459.3400002</v>
      </c>
      <c r="Y143" s="325">
        <v>297.98</v>
      </c>
      <c r="Z143" s="23">
        <f t="shared" si="143"/>
        <v>3.685479461708821E-2</v>
      </c>
      <c r="AA143" s="23">
        <f t="shared" si="144"/>
        <v>3.7137586578956584E-2</v>
      </c>
      <c r="AB143" s="325">
        <v>6703756757.4399996</v>
      </c>
      <c r="AC143" s="325">
        <v>302.22000000000003</v>
      </c>
      <c r="AD143" s="23">
        <f t="shared" si="145"/>
        <v>1.4176489703506078E-2</v>
      </c>
      <c r="AE143" s="23">
        <f t="shared" si="146"/>
        <v>1.4229142895496372E-2</v>
      </c>
      <c r="AF143" s="325">
        <v>6597233010.3999996</v>
      </c>
      <c r="AG143" s="325">
        <v>297.44</v>
      </c>
      <c r="AH143" s="23">
        <f t="shared" si="147"/>
        <v>-1.589015695144028E-2</v>
      </c>
      <c r="AI143" s="23">
        <f t="shared" si="148"/>
        <v>-1.5816292766858676E-2</v>
      </c>
      <c r="AJ143" s="24">
        <f t="shared" si="149"/>
        <v>3.6101572432938267E-2</v>
      </c>
      <c r="AK143" s="24">
        <f t="shared" si="150"/>
        <v>3.6077870727342788E-2</v>
      </c>
      <c r="AL143" s="25">
        <f t="shared" si="151"/>
        <v>0.14362646699742987</v>
      </c>
      <c r="AM143" s="25">
        <f t="shared" si="152"/>
        <v>0.14462205806463282</v>
      </c>
      <c r="AN143" s="384">
        <f t="shared" si="153"/>
        <v>5.4801141262744317E-2</v>
      </c>
      <c r="AO143" s="385">
        <f t="shared" si="154"/>
        <v>5.4526046860395451E-2</v>
      </c>
      <c r="AP143" s="30"/>
      <c r="AQ143" s="64" t="e">
        <f>SUM(AQ125,AQ138)</f>
        <v>#REF!</v>
      </c>
      <c r="AR143" s="65"/>
      <c r="AS143" s="29" t="e">
        <f>(#REF!/AQ143)-1</f>
        <v>#REF!</v>
      </c>
      <c r="AT143" s="29" t="e">
        <f>(#REF!/AR143)-1</f>
        <v>#REF!</v>
      </c>
    </row>
    <row r="144" spans="1:46" s="302" customFormat="1" ht="15.75" customHeight="1">
      <c r="A144" s="202" t="s">
        <v>232</v>
      </c>
      <c r="B144" s="326">
        <v>222458699.93000001</v>
      </c>
      <c r="C144" s="325">
        <v>172.81</v>
      </c>
      <c r="D144" s="326">
        <v>239911918.06999999</v>
      </c>
      <c r="E144" s="325">
        <v>186.42</v>
      </c>
      <c r="F144" s="23">
        <f t="shared" si="119"/>
        <v>7.8455992710071143E-2</v>
      </c>
      <c r="G144" s="23">
        <f t="shared" si="120"/>
        <v>7.875701637636702E-2</v>
      </c>
      <c r="H144" s="326">
        <v>237496891</v>
      </c>
      <c r="I144" s="325">
        <v>183.89</v>
      </c>
      <c r="J144" s="23">
        <f t="shared" si="135"/>
        <v>-1.0066307207361626E-2</v>
      </c>
      <c r="K144" s="23">
        <f t="shared" si="136"/>
        <v>-1.3571505203304373E-2</v>
      </c>
      <c r="L144" s="326">
        <v>239665313.34</v>
      </c>
      <c r="M144" s="325">
        <v>185.58</v>
      </c>
      <c r="N144" s="23">
        <f t="shared" si="137"/>
        <v>9.130318846994943E-3</v>
      </c>
      <c r="O144" s="23">
        <f t="shared" si="138"/>
        <v>9.1902767959107408E-3</v>
      </c>
      <c r="P144" s="326">
        <v>241534979.09</v>
      </c>
      <c r="Q144" s="325">
        <v>185.65</v>
      </c>
      <c r="R144" s="23">
        <f t="shared" si="139"/>
        <v>7.8011528825099857E-3</v>
      </c>
      <c r="S144" s="23">
        <f t="shared" si="140"/>
        <v>3.7719581851488942E-4</v>
      </c>
      <c r="T144" s="326">
        <v>252853655.27000001</v>
      </c>
      <c r="U144" s="325">
        <v>196.73</v>
      </c>
      <c r="V144" s="23">
        <f t="shared" si="141"/>
        <v>4.686143689267664E-2</v>
      </c>
      <c r="W144" s="23">
        <f t="shared" si="142"/>
        <v>5.968219768381354E-2</v>
      </c>
      <c r="X144" s="326">
        <v>239150193.15000001</v>
      </c>
      <c r="Y144" s="325">
        <v>186.02</v>
      </c>
      <c r="Z144" s="23">
        <f t="shared" si="143"/>
        <v>-5.4195230459956341E-2</v>
      </c>
      <c r="AA144" s="23">
        <f t="shared" si="144"/>
        <v>-5.4440095562445889E-2</v>
      </c>
      <c r="AB144" s="326">
        <v>251741701.46000001</v>
      </c>
      <c r="AC144" s="325">
        <v>195.86</v>
      </c>
      <c r="AD144" s="23">
        <f t="shared" si="145"/>
        <v>5.2651048047041904E-2</v>
      </c>
      <c r="AE144" s="23">
        <f t="shared" si="146"/>
        <v>5.2897537899150644E-2</v>
      </c>
      <c r="AF144" s="326">
        <v>248249424.53</v>
      </c>
      <c r="AG144" s="325">
        <v>195.86</v>
      </c>
      <c r="AH144" s="23">
        <f t="shared" si="147"/>
        <v>-1.3872460977844409E-2</v>
      </c>
      <c r="AI144" s="23">
        <f t="shared" si="148"/>
        <v>0</v>
      </c>
      <c r="AJ144" s="24">
        <f t="shared" si="149"/>
        <v>1.4595743841766531E-2</v>
      </c>
      <c r="AK144" s="24">
        <f t="shared" si="150"/>
        <v>1.6611577976000821E-2</v>
      </c>
      <c r="AL144" s="25">
        <f t="shared" si="151"/>
        <v>3.4752364647292526E-2</v>
      </c>
      <c r="AM144" s="25">
        <f t="shared" si="152"/>
        <v>5.0638343525372956E-2</v>
      </c>
      <c r="AN144" s="384">
        <f t="shared" si="153"/>
        <v>4.2752282213755065E-2</v>
      </c>
      <c r="AO144" s="385">
        <f t="shared" si="154"/>
        <v>4.4057979501771614E-2</v>
      </c>
      <c r="AP144" s="30"/>
      <c r="AQ144" s="336"/>
      <c r="AR144" s="337"/>
      <c r="AS144" s="29"/>
      <c r="AT144" s="29"/>
    </row>
    <row r="145" spans="1:41">
      <c r="A145" s="204" t="s">
        <v>42</v>
      </c>
      <c r="B145" s="216">
        <f>SUM(B121:B144)</f>
        <v>33719080186.031113</v>
      </c>
      <c r="C145" s="85"/>
      <c r="D145" s="216">
        <f>SUM(D121:D144)</f>
        <v>35744115521.98378</v>
      </c>
      <c r="E145" s="85"/>
      <c r="F145" s="23">
        <f>((D145-B145)/B145)</f>
        <v>6.0056066914648036E-2</v>
      </c>
      <c r="G145" s="23"/>
      <c r="H145" s="216">
        <f>SUM(H121:H144)</f>
        <v>36228102075.464104</v>
      </c>
      <c r="I145" s="85"/>
      <c r="J145" s="23">
        <f>((H145-D145)/D145)</f>
        <v>1.354031415835864E-2</v>
      </c>
      <c r="K145" s="23"/>
      <c r="L145" s="216">
        <f>SUM(L121:L144)</f>
        <v>36851874319.96862</v>
      </c>
      <c r="M145" s="85"/>
      <c r="N145" s="23">
        <f>((L145-H145)/H145)</f>
        <v>1.7217911200680135E-2</v>
      </c>
      <c r="O145" s="23"/>
      <c r="P145" s="216">
        <f>SUM(P121:P144)</f>
        <v>38388002959.524063</v>
      </c>
      <c r="Q145" s="85"/>
      <c r="R145" s="23">
        <f>((P145-L145)/L145)</f>
        <v>4.1683867317518594E-2</v>
      </c>
      <c r="S145" s="23"/>
      <c r="T145" s="216">
        <f>SUM(T121:T144)</f>
        <v>37664855902.908386</v>
      </c>
      <c r="U145" s="85"/>
      <c r="V145" s="23">
        <f>((T145-P145)/P145)</f>
        <v>-1.8837839972507976E-2</v>
      </c>
      <c r="W145" s="23"/>
      <c r="X145" s="216">
        <f>SUM(X121:X144)</f>
        <v>38533905044.200745</v>
      </c>
      <c r="Y145" s="85"/>
      <c r="Z145" s="23">
        <f>((X145-T145)/T145)</f>
        <v>2.3073210303328217E-2</v>
      </c>
      <c r="AA145" s="23"/>
      <c r="AB145" s="216">
        <f>SUM(AB121:AB144)</f>
        <v>38690467865.717575</v>
      </c>
      <c r="AC145" s="85"/>
      <c r="AD145" s="23">
        <f>((AB145-X145)/X145)</f>
        <v>4.0629887196027325E-3</v>
      </c>
      <c r="AE145" s="23"/>
      <c r="AF145" s="216">
        <f>SUM(AF121:AF144)</f>
        <v>38884096485.686134</v>
      </c>
      <c r="AG145" s="85"/>
      <c r="AH145" s="23">
        <f>((AF145-AB145)/AB145)</f>
        <v>5.0045561775211196E-3</v>
      </c>
      <c r="AI145" s="23"/>
      <c r="AJ145" s="24">
        <f t="shared" si="149"/>
        <v>1.8225134352393691E-2</v>
      </c>
      <c r="AK145" s="24"/>
      <c r="AL145" s="25">
        <f t="shared" si="151"/>
        <v>8.7846094884377973E-2</v>
      </c>
      <c r="AM145" s="25"/>
      <c r="AN145" s="384">
        <f t="shared" si="153"/>
        <v>2.4188601425705045E-2</v>
      </c>
      <c r="AO145" s="385"/>
    </row>
    <row r="146" spans="1:41" s="108" customFormat="1" ht="8.25" customHeight="1">
      <c r="A146" s="204"/>
      <c r="B146" s="85"/>
      <c r="C146" s="85"/>
      <c r="D146" s="85"/>
      <c r="E146" s="85"/>
      <c r="F146" s="23"/>
      <c r="G146" s="23"/>
      <c r="H146" s="85"/>
      <c r="I146" s="85"/>
      <c r="J146" s="23"/>
      <c r="K146" s="23"/>
      <c r="L146" s="85"/>
      <c r="M146" s="85"/>
      <c r="N146" s="23"/>
      <c r="O146" s="23"/>
      <c r="P146" s="85"/>
      <c r="Q146" s="85"/>
      <c r="R146" s="23"/>
      <c r="S146" s="23"/>
      <c r="T146" s="85"/>
      <c r="U146" s="85"/>
      <c r="V146" s="23"/>
      <c r="W146" s="23"/>
      <c r="X146" s="85"/>
      <c r="Y146" s="85"/>
      <c r="Z146" s="23"/>
      <c r="AA146" s="23"/>
      <c r="AB146" s="85"/>
      <c r="AC146" s="85"/>
      <c r="AD146" s="23"/>
      <c r="AE146" s="23"/>
      <c r="AF146" s="85"/>
      <c r="AG146" s="85"/>
      <c r="AH146" s="23"/>
      <c r="AI146" s="23"/>
      <c r="AJ146" s="24"/>
      <c r="AK146" s="24"/>
      <c r="AL146" s="25"/>
      <c r="AM146" s="25"/>
      <c r="AN146" s="384"/>
      <c r="AO146" s="385"/>
    </row>
    <row r="147" spans="1:41" s="108" customFormat="1">
      <c r="A147" s="206" t="s">
        <v>66</v>
      </c>
      <c r="B147" s="85"/>
      <c r="C147" s="85"/>
      <c r="D147" s="85"/>
      <c r="E147" s="85"/>
      <c r="F147" s="23"/>
      <c r="G147" s="23"/>
      <c r="H147" s="85"/>
      <c r="I147" s="85"/>
      <c r="J147" s="23"/>
      <c r="K147" s="23"/>
      <c r="L147" s="85"/>
      <c r="M147" s="85"/>
      <c r="N147" s="23"/>
      <c r="O147" s="23"/>
      <c r="P147" s="85"/>
      <c r="Q147" s="85"/>
      <c r="R147" s="23"/>
      <c r="S147" s="23"/>
      <c r="T147" s="85"/>
      <c r="U147" s="85"/>
      <c r="V147" s="23"/>
      <c r="W147" s="23"/>
      <c r="X147" s="85"/>
      <c r="Y147" s="85"/>
      <c r="Z147" s="23"/>
      <c r="AA147" s="23"/>
      <c r="AB147" s="85"/>
      <c r="AC147" s="85"/>
      <c r="AD147" s="23"/>
      <c r="AE147" s="23"/>
      <c r="AF147" s="85"/>
      <c r="AG147" s="85"/>
      <c r="AH147" s="23"/>
      <c r="AI147" s="23"/>
      <c r="AJ147" s="24"/>
      <c r="AK147" s="24"/>
      <c r="AL147" s="25"/>
      <c r="AM147" s="25"/>
      <c r="AN147" s="384"/>
      <c r="AO147" s="385"/>
    </row>
    <row r="148" spans="1:41" s="108" customFormat="1">
      <c r="A148" s="203" t="s">
        <v>26</v>
      </c>
      <c r="B148" s="322">
        <v>553697096.74000001</v>
      </c>
      <c r="C148" s="322">
        <v>49.293700000000001</v>
      </c>
      <c r="D148" s="322">
        <v>570051962.25</v>
      </c>
      <c r="E148" s="322">
        <v>50.7348</v>
      </c>
      <c r="F148" s="23">
        <f t="shared" ref="F148:G150" si="155">((D148-B148)/B148)</f>
        <v>2.9537567753727553E-2</v>
      </c>
      <c r="G148" s="23">
        <f t="shared" si="155"/>
        <v>2.9234973231873417E-2</v>
      </c>
      <c r="H148" s="322">
        <v>560142407.38999999</v>
      </c>
      <c r="I148" s="322">
        <v>49.010100000000001</v>
      </c>
      <c r="J148" s="23">
        <f t="shared" ref="J148:J150" si="156">((H148-D148)/D148)</f>
        <v>-1.7383599243982806E-2</v>
      </c>
      <c r="K148" s="23">
        <f t="shared" ref="K148:K150" si="157">((I148-E148)/E148)</f>
        <v>-3.3994418032592982E-2</v>
      </c>
      <c r="L148" s="322">
        <v>564012366.02999997</v>
      </c>
      <c r="M148" s="322">
        <v>49.540300000000002</v>
      </c>
      <c r="N148" s="23">
        <f t="shared" ref="N148:N150" si="158">((L148-H148)/H148)</f>
        <v>6.9088835070213158E-3</v>
      </c>
      <c r="O148" s="23">
        <f t="shared" ref="O148:O150" si="159">((M148-I148)/I148)</f>
        <v>1.0818178293861891E-2</v>
      </c>
      <c r="P148" s="322">
        <v>633499516.47000003</v>
      </c>
      <c r="Q148" s="322">
        <v>49.963999999999999</v>
      </c>
      <c r="R148" s="23">
        <f t="shared" ref="R148:R150" si="160">((P148-L148)/L148)</f>
        <v>0.1232014661825766</v>
      </c>
      <c r="S148" s="23">
        <f t="shared" ref="S148:S150" si="161">((Q148-M148)/M148)</f>
        <v>8.5526329069463974E-3</v>
      </c>
      <c r="T148" s="322">
        <v>672688341.98000002</v>
      </c>
      <c r="U148" s="322">
        <v>49.786200000000001</v>
      </c>
      <c r="V148" s="23">
        <f t="shared" ref="V148:V150" si="162">((T148-P148)/P148)</f>
        <v>6.186086096540188E-2</v>
      </c>
      <c r="W148" s="23">
        <f t="shared" ref="W148:W150" si="163">((U148-Q148)/Q148)</f>
        <v>-3.5585621647585808E-3</v>
      </c>
      <c r="X148" s="322">
        <v>720685392.17999995</v>
      </c>
      <c r="Y148" s="322">
        <v>50.488</v>
      </c>
      <c r="Z148" s="23">
        <f t="shared" ref="Z148:Z150" si="164">((X148-T148)/T148)</f>
        <v>7.1351095603537237E-2</v>
      </c>
      <c r="AA148" s="23">
        <f t="shared" ref="AA148:AA150" si="165">((Y148-U148)/U148)</f>
        <v>1.4096275674785354E-2</v>
      </c>
      <c r="AB148" s="322">
        <v>650621759.97000003</v>
      </c>
      <c r="AC148" s="322">
        <v>50.564999999999998</v>
      </c>
      <c r="AD148" s="23">
        <f t="shared" ref="AD148:AD150" si="166">((AB148-X148)/X148)</f>
        <v>-9.7218055160053357E-2</v>
      </c>
      <c r="AE148" s="23">
        <f t="shared" ref="AE148:AE150" si="167">((AC148-Y148)/Y148)</f>
        <v>1.5251148787830411E-3</v>
      </c>
      <c r="AF148" s="322">
        <v>651519337.62</v>
      </c>
      <c r="AG148" s="322">
        <v>50.603000000000002</v>
      </c>
      <c r="AH148" s="23">
        <f t="shared" ref="AH148:AH150" si="168">((AF148-AB148)/AB148)</f>
        <v>1.3795690602806817E-3</v>
      </c>
      <c r="AI148" s="23">
        <f t="shared" ref="AI148:AI150" si="169">((AG148-AC148)/AC148)</f>
        <v>7.5150796005149436E-4</v>
      </c>
      <c r="AJ148" s="24">
        <f t="shared" si="149"/>
        <v>2.2454723583563641E-2</v>
      </c>
      <c r="AK148" s="24">
        <f t="shared" si="150"/>
        <v>3.4282128436187538E-3</v>
      </c>
      <c r="AL148" s="25">
        <f t="shared" si="151"/>
        <v>0.14291219180870385</v>
      </c>
      <c r="AM148" s="25">
        <f t="shared" si="152"/>
        <v>-2.5978224019804624E-3</v>
      </c>
      <c r="AN148" s="384">
        <f t="shared" si="153"/>
        <v>6.6265993116183725E-2</v>
      </c>
      <c r="AO148" s="385">
        <f t="shared" si="154"/>
        <v>1.820801461782337E-2</v>
      </c>
    </row>
    <row r="149" spans="1:41">
      <c r="A149" s="203" t="s">
        <v>188</v>
      </c>
      <c r="B149" s="321">
        <v>644464660.75</v>
      </c>
      <c r="C149" s="322">
        <v>18.047000000000001</v>
      </c>
      <c r="D149" s="321">
        <v>666894621.00999999</v>
      </c>
      <c r="E149" s="322">
        <v>18.789100000000001</v>
      </c>
      <c r="F149" s="23">
        <f t="shared" si="155"/>
        <v>3.4804018941701126E-2</v>
      </c>
      <c r="G149" s="23">
        <f t="shared" si="155"/>
        <v>4.1120407824015104E-2</v>
      </c>
      <c r="H149" s="321">
        <v>670148774.55999994</v>
      </c>
      <c r="I149" s="322">
        <v>18.596599999999999</v>
      </c>
      <c r="J149" s="23">
        <f t="shared" si="156"/>
        <v>4.8795618490243553E-3</v>
      </c>
      <c r="K149" s="23">
        <f t="shared" si="157"/>
        <v>-1.0245301797318794E-2</v>
      </c>
      <c r="L149" s="321">
        <v>700102294.53999996</v>
      </c>
      <c r="M149" s="322">
        <v>18.632400000000001</v>
      </c>
      <c r="N149" s="23">
        <f t="shared" si="158"/>
        <v>4.4696821238935522E-2</v>
      </c>
      <c r="O149" s="23">
        <f t="shared" si="159"/>
        <v>1.92508307970284E-3</v>
      </c>
      <c r="P149" s="321">
        <v>734771784.5</v>
      </c>
      <c r="Q149" s="322">
        <v>18.632400000000001</v>
      </c>
      <c r="R149" s="23">
        <f t="shared" si="160"/>
        <v>4.952060610339739E-2</v>
      </c>
      <c r="S149" s="23">
        <f t="shared" si="161"/>
        <v>0</v>
      </c>
      <c r="T149" s="321">
        <v>733076612.84000003</v>
      </c>
      <c r="U149" s="322">
        <v>20.182600000000001</v>
      </c>
      <c r="V149" s="23">
        <f t="shared" si="162"/>
        <v>-2.3070723396836786E-3</v>
      </c>
      <c r="W149" s="23">
        <f t="shared" si="163"/>
        <v>8.3199158455164138E-2</v>
      </c>
      <c r="X149" s="321">
        <v>746764257.67999995</v>
      </c>
      <c r="Y149" s="322">
        <v>19.510999999999999</v>
      </c>
      <c r="Z149" s="23">
        <f t="shared" si="164"/>
        <v>1.8671506634174065E-2</v>
      </c>
      <c r="AA149" s="23">
        <f t="shared" si="165"/>
        <v>-3.327618839990891E-2</v>
      </c>
      <c r="AB149" s="321">
        <v>745488424.90999997</v>
      </c>
      <c r="AC149" s="322">
        <v>19.7241</v>
      </c>
      <c r="AD149" s="23">
        <f t="shared" si="166"/>
        <v>-1.7084813003285101E-3</v>
      </c>
      <c r="AE149" s="23">
        <f t="shared" si="167"/>
        <v>1.0922043975193519E-2</v>
      </c>
      <c r="AF149" s="321">
        <v>758135505.74000001</v>
      </c>
      <c r="AG149" s="322">
        <v>19.709900000000001</v>
      </c>
      <c r="AH149" s="23">
        <f t="shared" si="168"/>
        <v>1.6964825217141204E-2</v>
      </c>
      <c r="AI149" s="23">
        <f t="shared" si="169"/>
        <v>-7.1993145441357929E-4</v>
      </c>
      <c r="AJ149" s="24">
        <f t="shared" si="149"/>
        <v>2.0690223293045179E-2</v>
      </c>
      <c r="AK149" s="24">
        <f t="shared" si="150"/>
        <v>1.161565896030429E-2</v>
      </c>
      <c r="AL149" s="25">
        <f t="shared" si="151"/>
        <v>0.13681454589004982</v>
      </c>
      <c r="AM149" s="25">
        <f t="shared" si="152"/>
        <v>4.900713711673256E-2</v>
      </c>
      <c r="AN149" s="384">
        <f t="shared" si="153"/>
        <v>2.0372303826833308E-2</v>
      </c>
      <c r="AO149" s="385">
        <f t="shared" si="154"/>
        <v>3.5595717753498915E-2</v>
      </c>
    </row>
    <row r="150" spans="1:41">
      <c r="A150" s="203" t="s">
        <v>25</v>
      </c>
      <c r="B150" s="321">
        <v>2028082306.55</v>
      </c>
      <c r="C150" s="322">
        <v>1.65</v>
      </c>
      <c r="D150" s="321">
        <v>2157448391.9299998</v>
      </c>
      <c r="E150" s="322">
        <v>1.75</v>
      </c>
      <c r="F150" s="23">
        <f t="shared" si="155"/>
        <v>6.3787394112256909E-2</v>
      </c>
      <c r="G150" s="23">
        <f t="shared" si="155"/>
        <v>6.0606060606060663E-2</v>
      </c>
      <c r="H150" s="321">
        <v>2148127307.8800001</v>
      </c>
      <c r="I150" s="322">
        <v>1.76</v>
      </c>
      <c r="J150" s="23">
        <f t="shared" si="156"/>
        <v>-4.3204204025762598E-3</v>
      </c>
      <c r="K150" s="23">
        <f t="shared" si="157"/>
        <v>5.7142857142857195E-3</v>
      </c>
      <c r="L150" s="321">
        <v>2217566508.8699999</v>
      </c>
      <c r="M150" s="322">
        <v>1.82</v>
      </c>
      <c r="N150" s="23">
        <f t="shared" si="158"/>
        <v>3.2325458894021386E-2</v>
      </c>
      <c r="O150" s="23">
        <f t="shared" si="159"/>
        <v>3.4090909090909123E-2</v>
      </c>
      <c r="P150" s="321">
        <v>2316194969.7800002</v>
      </c>
      <c r="Q150" s="322">
        <v>1.89</v>
      </c>
      <c r="R150" s="23">
        <f t="shared" si="160"/>
        <v>4.4475987762034791E-2</v>
      </c>
      <c r="S150" s="23">
        <f t="shared" si="161"/>
        <v>3.8461538461538373E-2</v>
      </c>
      <c r="T150" s="321">
        <v>2293789056.5500002</v>
      </c>
      <c r="U150" s="322">
        <v>1.84</v>
      </c>
      <c r="V150" s="23">
        <f t="shared" si="162"/>
        <v>-9.6735868622183415E-3</v>
      </c>
      <c r="W150" s="23">
        <f t="shared" si="163"/>
        <v>-2.6455026455026363E-2</v>
      </c>
      <c r="X150" s="321">
        <v>2377214485.8499999</v>
      </c>
      <c r="Y150" s="322">
        <v>1.93</v>
      </c>
      <c r="Z150" s="23">
        <f t="shared" si="164"/>
        <v>3.6370140079697078E-2</v>
      </c>
      <c r="AA150" s="23">
        <f t="shared" si="165"/>
        <v>4.8913043478260788E-2</v>
      </c>
      <c r="AB150" s="321">
        <v>2369773198.2399998</v>
      </c>
      <c r="AC150" s="322">
        <v>1.93</v>
      </c>
      <c r="AD150" s="23">
        <f t="shared" si="166"/>
        <v>-3.1302550334827766E-3</v>
      </c>
      <c r="AE150" s="23">
        <f t="shared" si="167"/>
        <v>0</v>
      </c>
      <c r="AF150" s="321">
        <v>2387231872.0700002</v>
      </c>
      <c r="AG150" s="322">
        <v>1.95</v>
      </c>
      <c r="AH150" s="23">
        <f t="shared" si="168"/>
        <v>7.3672340639883739E-3</v>
      </c>
      <c r="AI150" s="23">
        <f t="shared" si="169"/>
        <v>1.0362694300518144E-2</v>
      </c>
      <c r="AJ150" s="24">
        <f t="shared" si="149"/>
        <v>2.0900244076715147E-2</v>
      </c>
      <c r="AK150" s="24">
        <f t="shared" si="150"/>
        <v>2.1461688149568305E-2</v>
      </c>
      <c r="AL150" s="25">
        <f t="shared" si="151"/>
        <v>0.10650705759614566</v>
      </c>
      <c r="AM150" s="25">
        <f t="shared" si="152"/>
        <v>0.11428571428571425</v>
      </c>
      <c r="AN150" s="384">
        <f t="shared" si="153"/>
        <v>2.6982599808556239E-2</v>
      </c>
      <c r="AO150" s="385">
        <f t="shared" si="154"/>
        <v>2.8938691058504096E-2</v>
      </c>
    </row>
    <row r="151" spans="1:41">
      <c r="A151" s="204" t="s">
        <v>42</v>
      </c>
      <c r="B151" s="216">
        <f>SUM(B148:B150)</f>
        <v>3226244064.04</v>
      </c>
      <c r="C151" s="85"/>
      <c r="D151" s="216">
        <f>SUM(D148:D150)</f>
        <v>3394394975.1899996</v>
      </c>
      <c r="E151" s="85"/>
      <c r="F151" s="23">
        <f>((D151-B151)/B151)</f>
        <v>5.2119711904075848E-2</v>
      </c>
      <c r="G151" s="23"/>
      <c r="H151" s="216">
        <f>SUM(H148:H150)</f>
        <v>3378418489.8299999</v>
      </c>
      <c r="I151" s="85"/>
      <c r="J151" s="23">
        <f>((H151-D151)/D151)</f>
        <v>-4.7067254921049316E-3</v>
      </c>
      <c r="K151" s="23"/>
      <c r="L151" s="216">
        <f>SUM(L148:L150)</f>
        <v>3481681169.4399996</v>
      </c>
      <c r="M151" s="85"/>
      <c r="N151" s="23">
        <f>((L151-H151)/H151)</f>
        <v>3.0565390261996752E-2</v>
      </c>
      <c r="O151" s="23"/>
      <c r="P151" s="216">
        <f>SUM(P148:P150)</f>
        <v>3684466270.75</v>
      </c>
      <c r="Q151" s="85"/>
      <c r="R151" s="23">
        <f>((P151-L151)/L151)</f>
        <v>5.824344373916833E-2</v>
      </c>
      <c r="S151" s="23"/>
      <c r="T151" s="216">
        <f>SUM(T148:T150)</f>
        <v>3699554011.3700004</v>
      </c>
      <c r="U151" s="85"/>
      <c r="V151" s="23">
        <f>((T151-P151)/P151)</f>
        <v>4.0949596254355571E-3</v>
      </c>
      <c r="W151" s="23"/>
      <c r="X151" s="216">
        <f>SUM(X148:X150)</f>
        <v>3844664135.71</v>
      </c>
      <c r="Y151" s="85"/>
      <c r="Z151" s="23">
        <f>((X151-T151)/T151)</f>
        <v>3.9223680447434045E-2</v>
      </c>
      <c r="AA151" s="23"/>
      <c r="AB151" s="216">
        <f>SUM(AB148:AB150)</f>
        <v>3765883383.1199999</v>
      </c>
      <c r="AC151" s="85"/>
      <c r="AD151" s="23">
        <f>((AB151-X151)/X151)</f>
        <v>-2.0490932317928361E-2</v>
      </c>
      <c r="AE151" s="23"/>
      <c r="AF151" s="216">
        <f>SUM(AF148:AF150)</f>
        <v>3796886715.4300003</v>
      </c>
      <c r="AG151" s="85"/>
      <c r="AH151" s="23">
        <f>((AF151-AB151)/AB151)</f>
        <v>8.2326851779234971E-3</v>
      </c>
      <c r="AI151" s="23"/>
      <c r="AJ151" s="24">
        <f t="shared" si="149"/>
        <v>2.0910276668250093E-2</v>
      </c>
      <c r="AK151" s="24"/>
      <c r="AL151" s="25">
        <f t="shared" si="151"/>
        <v>0.11857539949883748</v>
      </c>
      <c r="AM151" s="25"/>
      <c r="AN151" s="384">
        <f t="shared" si="153"/>
        <v>2.8309925836857756E-2</v>
      </c>
      <c r="AO151" s="385"/>
    </row>
    <row r="152" spans="1:41" ht="8.25" customHeight="1">
      <c r="A152" s="204"/>
      <c r="B152" s="85"/>
      <c r="C152" s="85"/>
      <c r="D152" s="85"/>
      <c r="E152" s="85"/>
      <c r="F152" s="23"/>
      <c r="G152" s="23"/>
      <c r="H152" s="85"/>
      <c r="I152" s="85"/>
      <c r="J152" s="23"/>
      <c r="K152" s="23"/>
      <c r="L152" s="85"/>
      <c r="M152" s="85"/>
      <c r="N152" s="23"/>
      <c r="O152" s="23"/>
      <c r="P152" s="85"/>
      <c r="Q152" s="85"/>
      <c r="R152" s="23"/>
      <c r="S152" s="23"/>
      <c r="T152" s="85"/>
      <c r="U152" s="85"/>
      <c r="V152" s="23"/>
      <c r="W152" s="23"/>
      <c r="X152" s="85"/>
      <c r="Y152" s="85"/>
      <c r="Z152" s="23"/>
      <c r="AA152" s="23"/>
      <c r="AB152" s="85"/>
      <c r="AC152" s="85"/>
      <c r="AD152" s="23"/>
      <c r="AE152" s="23"/>
      <c r="AF152" s="85"/>
      <c r="AG152" s="85"/>
      <c r="AH152" s="23"/>
      <c r="AI152" s="23"/>
      <c r="AJ152" s="24"/>
      <c r="AK152" s="24"/>
      <c r="AL152" s="25"/>
      <c r="AM152" s="25"/>
      <c r="AN152" s="384"/>
      <c r="AO152" s="385"/>
    </row>
    <row r="153" spans="1:41">
      <c r="A153" s="207" t="s">
        <v>197</v>
      </c>
      <c r="B153" s="85"/>
      <c r="C153" s="85"/>
      <c r="D153" s="85"/>
      <c r="E153" s="85"/>
      <c r="F153" s="23"/>
      <c r="G153" s="23"/>
      <c r="H153" s="85"/>
      <c r="I153" s="85"/>
      <c r="J153" s="23"/>
      <c r="K153" s="23"/>
      <c r="L153" s="85"/>
      <c r="M153" s="85"/>
      <c r="N153" s="23"/>
      <c r="O153" s="23"/>
      <c r="P153" s="85"/>
      <c r="Q153" s="85"/>
      <c r="R153" s="23"/>
      <c r="S153" s="23"/>
      <c r="T153" s="85"/>
      <c r="U153" s="85"/>
      <c r="V153" s="23"/>
      <c r="W153" s="23"/>
      <c r="X153" s="85"/>
      <c r="Y153" s="85"/>
      <c r="Z153" s="23"/>
      <c r="AA153" s="23"/>
      <c r="AB153" s="85"/>
      <c r="AC153" s="85"/>
      <c r="AD153" s="23"/>
      <c r="AE153" s="23"/>
      <c r="AF153" s="85"/>
      <c r="AG153" s="85"/>
      <c r="AH153" s="23"/>
      <c r="AI153" s="23"/>
      <c r="AJ153" s="24"/>
      <c r="AK153" s="24"/>
      <c r="AL153" s="25"/>
      <c r="AM153" s="25"/>
      <c r="AN153" s="384"/>
      <c r="AO153" s="385"/>
    </row>
    <row r="154" spans="1:41">
      <c r="A154" s="208" t="s">
        <v>198</v>
      </c>
      <c r="B154" s="85"/>
      <c r="C154" s="85"/>
      <c r="D154" s="85"/>
      <c r="E154" s="85"/>
      <c r="F154" s="23"/>
      <c r="G154" s="23"/>
      <c r="H154" s="85"/>
      <c r="I154" s="85"/>
      <c r="J154" s="23"/>
      <c r="K154" s="23"/>
      <c r="L154" s="85"/>
      <c r="M154" s="85"/>
      <c r="N154" s="23"/>
      <c r="O154" s="23"/>
      <c r="P154" s="85"/>
      <c r="Q154" s="85"/>
      <c r="R154" s="23"/>
      <c r="S154" s="23"/>
      <c r="T154" s="85"/>
      <c r="U154" s="85"/>
      <c r="V154" s="23"/>
      <c r="W154" s="23"/>
      <c r="X154" s="85"/>
      <c r="Y154" s="85"/>
      <c r="Z154" s="23"/>
      <c r="AA154" s="23"/>
      <c r="AB154" s="85"/>
      <c r="AC154" s="85"/>
      <c r="AD154" s="23"/>
      <c r="AE154" s="23"/>
      <c r="AF154" s="85"/>
      <c r="AG154" s="85"/>
      <c r="AH154" s="23"/>
      <c r="AI154" s="23"/>
      <c r="AJ154" s="24"/>
      <c r="AK154" s="24"/>
      <c r="AL154" s="25"/>
      <c r="AM154" s="25"/>
      <c r="AN154" s="384"/>
      <c r="AO154" s="385"/>
    </row>
    <row r="155" spans="1:41">
      <c r="A155" s="203" t="s">
        <v>24</v>
      </c>
      <c r="B155" s="316">
        <v>3541879598.8800001</v>
      </c>
      <c r="C155" s="317">
        <v>1.76</v>
      </c>
      <c r="D155" s="316">
        <v>3589462168.4200001</v>
      </c>
      <c r="E155" s="317">
        <v>1.79</v>
      </c>
      <c r="F155" s="23">
        <f>((D148-B155)/B155)</f>
        <v>-0.83905382824693997</v>
      </c>
      <c r="G155" s="23">
        <f>((E155-C155)/C155)</f>
        <v>1.7045454545454562E-2</v>
      </c>
      <c r="H155" s="316">
        <v>3568165804.0900002</v>
      </c>
      <c r="I155" s="317">
        <v>1.78</v>
      </c>
      <c r="J155" s="23">
        <f>((H148-D155)/D155)</f>
        <v>-0.84394809553416694</v>
      </c>
      <c r="K155" s="23">
        <f>((I155-E155)/E155)</f>
        <v>-5.5865921787709542E-3</v>
      </c>
      <c r="L155" s="316">
        <v>3601471717.8099999</v>
      </c>
      <c r="M155" s="317">
        <v>1.8</v>
      </c>
      <c r="N155" s="23">
        <f>((L148-H155)/H155)</f>
        <v>-0.84193213068083828</v>
      </c>
      <c r="O155" s="23">
        <f>((M155-I155)/I155)</f>
        <v>1.1235955056179785E-2</v>
      </c>
      <c r="P155" s="316">
        <v>3571567897.8600001</v>
      </c>
      <c r="Q155" s="317">
        <v>1.78</v>
      </c>
      <c r="R155" s="23">
        <f>((P148-L155)/L155)</f>
        <v>-0.82409982193190146</v>
      </c>
      <c r="S155" s="23">
        <f>((Q155-M155)/M155)</f>
        <v>-1.111111111111112E-2</v>
      </c>
      <c r="T155" s="316">
        <v>3597174843.0900002</v>
      </c>
      <c r="U155" s="317">
        <v>1.8</v>
      </c>
      <c r="V155" s="23">
        <f>((T148-P155)/P155)</f>
        <v>-0.81165461186302545</v>
      </c>
      <c r="W155" s="23">
        <f>((U155-Q155)/Q155)</f>
        <v>1.1235955056179785E-2</v>
      </c>
      <c r="X155" s="316">
        <v>3607027457.1700001</v>
      </c>
      <c r="Y155" s="317">
        <v>1.8</v>
      </c>
      <c r="Z155" s="23">
        <f>((X148-T155)/T155)</f>
        <v>-0.79965238732712651</v>
      </c>
      <c r="AA155" s="23">
        <f>((Y155-U155)/U155)</f>
        <v>0</v>
      </c>
      <c r="AB155" s="316">
        <v>3619190135.3400002</v>
      </c>
      <c r="AC155" s="317">
        <v>1.8</v>
      </c>
      <c r="AD155" s="23">
        <f>((AB148-X155)/X155)</f>
        <v>-0.81962384049040071</v>
      </c>
      <c r="AE155" s="23">
        <f>((AC155-Y155)/Y155)</f>
        <v>0</v>
      </c>
      <c r="AF155" s="316">
        <v>3620233880.8099999</v>
      </c>
      <c r="AG155" s="317">
        <v>1.77</v>
      </c>
      <c r="AH155" s="23">
        <f>((AF148-AB155)/AB155)</f>
        <v>-0.81998200888697059</v>
      </c>
      <c r="AI155" s="23">
        <f>((AG155-AC155)/AC155)</f>
        <v>-1.666666666666668E-2</v>
      </c>
      <c r="AJ155" s="24">
        <f t="shared" si="149"/>
        <v>-0.82499334062017127</v>
      </c>
      <c r="AK155" s="24">
        <f t="shared" si="150"/>
        <v>7.6912433765817219E-4</v>
      </c>
      <c r="AL155" s="25">
        <f t="shared" si="151"/>
        <v>8.5727919521561297E-3</v>
      </c>
      <c r="AM155" s="25">
        <f t="shared" si="152"/>
        <v>-1.1173184357541908E-2</v>
      </c>
      <c r="AN155" s="384">
        <f t="shared" si="153"/>
        <v>1.5669495417888372E-2</v>
      </c>
      <c r="AO155" s="385">
        <f t="shared" si="154"/>
        <v>1.1776205154032654E-2</v>
      </c>
    </row>
    <row r="156" spans="1:41">
      <c r="A156" s="202" t="s">
        <v>65</v>
      </c>
      <c r="B156" s="316">
        <v>360997946.67000002</v>
      </c>
      <c r="C156" s="317">
        <v>301.24</v>
      </c>
      <c r="D156" s="316">
        <v>378637696.44</v>
      </c>
      <c r="E156" s="317">
        <v>315.91000000000003</v>
      </c>
      <c r="F156" s="23">
        <f>((D149-B156)/B156)</f>
        <v>0.84736402841545821</v>
      </c>
      <c r="G156" s="23">
        <f>((E156-C156)/C156)</f>
        <v>4.8698711990439569E-2</v>
      </c>
      <c r="H156" s="316">
        <v>371936594.10000002</v>
      </c>
      <c r="I156" s="317">
        <v>315.75</v>
      </c>
      <c r="J156" s="23">
        <f>((H149-D156)/D156)</f>
        <v>0.76989449508283081</v>
      </c>
      <c r="K156" s="23">
        <f>((I156-E156)/E156)</f>
        <v>-5.0647336266666136E-4</v>
      </c>
      <c r="L156" s="316">
        <v>378617686.86000001</v>
      </c>
      <c r="M156" s="317">
        <v>321.64999999999998</v>
      </c>
      <c r="N156" s="23">
        <f>((L149-H156)/H156)</f>
        <v>0.88231624864470393</v>
      </c>
      <c r="O156" s="23">
        <f>((M156-I156)/I156)</f>
        <v>1.8685669041963508E-2</v>
      </c>
      <c r="P156" s="316">
        <v>404814304.69999999</v>
      </c>
      <c r="Q156" s="317">
        <v>331.03</v>
      </c>
      <c r="R156" s="23">
        <f>((P149-L156)/L156)</f>
        <v>0.94066946685375974</v>
      </c>
      <c r="S156" s="23">
        <f>((Q156-M156)/M156)</f>
        <v>2.916213275299237E-2</v>
      </c>
      <c r="T156" s="316">
        <v>418305013.39999998</v>
      </c>
      <c r="U156" s="317">
        <v>335.29</v>
      </c>
      <c r="V156" s="23">
        <f>((T149-P156)/P156)</f>
        <v>0.81089601906056374</v>
      </c>
      <c r="W156" s="23">
        <f>((U156-Q156)/Q156)</f>
        <v>1.2868924266682923E-2</v>
      </c>
      <c r="X156" s="316">
        <v>427209944.68000001</v>
      </c>
      <c r="Y156" s="317">
        <v>338.82</v>
      </c>
      <c r="Z156" s="23">
        <f>((X149-T156)/T156)</f>
        <v>0.78521469683155365</v>
      </c>
      <c r="AA156" s="23">
        <f>((Y156-U156)/U156)</f>
        <v>1.0528199469116206E-2</v>
      </c>
      <c r="AB156" s="316">
        <v>418488752.76999998</v>
      </c>
      <c r="AC156" s="317">
        <v>338.82</v>
      </c>
      <c r="AD156" s="23">
        <f>((AB149-X156)/X156)</f>
        <v>0.74501655261888922</v>
      </c>
      <c r="AE156" s="23">
        <f>((AC156-Y156)/Y156)</f>
        <v>0</v>
      </c>
      <c r="AF156" s="316">
        <v>450866416.00999999</v>
      </c>
      <c r="AG156" s="317">
        <v>353.18</v>
      </c>
      <c r="AH156" s="23">
        <f>((AF149-AB156)/AB156)</f>
        <v>0.8116030615443296</v>
      </c>
      <c r="AI156" s="23">
        <f>((AG156-AC156)/AC156)</f>
        <v>4.238238592763123E-2</v>
      </c>
      <c r="AJ156" s="24">
        <f t="shared" si="149"/>
        <v>0.824121821131511</v>
      </c>
      <c r="AK156" s="24">
        <f t="shared" si="150"/>
        <v>2.0227443760769896E-2</v>
      </c>
      <c r="AL156" s="25">
        <f t="shared" si="151"/>
        <v>0.19075945223918178</v>
      </c>
      <c r="AM156" s="25">
        <f t="shared" si="152"/>
        <v>0.11797663891614693</v>
      </c>
      <c r="AN156" s="384">
        <f t="shared" si="153"/>
        <v>6.3867941003934892E-2</v>
      </c>
      <c r="AO156" s="385">
        <f t="shared" si="154"/>
        <v>1.8403913648401521E-2</v>
      </c>
    </row>
    <row r="157" spans="1:41" ht="8.25" customHeight="1">
      <c r="A157" s="204"/>
      <c r="B157" s="85"/>
      <c r="C157" s="85"/>
      <c r="D157" s="85"/>
      <c r="E157" s="85"/>
      <c r="F157" s="23"/>
      <c r="G157" s="23"/>
      <c r="H157" s="85"/>
      <c r="I157" s="85"/>
      <c r="J157" s="23"/>
      <c r="K157" s="23"/>
      <c r="L157" s="85"/>
      <c r="M157" s="85"/>
      <c r="N157" s="23"/>
      <c r="O157" s="23"/>
      <c r="P157" s="85"/>
      <c r="Q157" s="85"/>
      <c r="R157" s="23"/>
      <c r="S157" s="23"/>
      <c r="T157" s="85"/>
      <c r="U157" s="85"/>
      <c r="V157" s="23"/>
      <c r="W157" s="23"/>
      <c r="X157" s="85"/>
      <c r="Y157" s="85"/>
      <c r="Z157" s="23"/>
      <c r="AA157" s="23"/>
      <c r="AB157" s="85"/>
      <c r="AC157" s="85"/>
      <c r="AD157" s="23"/>
      <c r="AE157" s="23"/>
      <c r="AF157" s="85"/>
      <c r="AG157" s="85"/>
      <c r="AH157" s="23"/>
      <c r="AI157" s="23"/>
      <c r="AJ157" s="24"/>
      <c r="AK157" s="24"/>
      <c r="AL157" s="25"/>
      <c r="AM157" s="25"/>
      <c r="AN157" s="384"/>
      <c r="AO157" s="385"/>
    </row>
    <row r="158" spans="1:41">
      <c r="A158" s="208" t="s">
        <v>199</v>
      </c>
      <c r="B158" s="85"/>
      <c r="C158" s="85"/>
      <c r="D158" s="85"/>
      <c r="E158" s="85"/>
      <c r="F158" s="23"/>
      <c r="G158" s="23"/>
      <c r="H158" s="85"/>
      <c r="I158" s="85"/>
      <c r="J158" s="23"/>
      <c r="K158" s="23"/>
      <c r="L158" s="85"/>
      <c r="M158" s="85"/>
      <c r="N158" s="23"/>
      <c r="O158" s="23"/>
      <c r="P158" s="85"/>
      <c r="Q158" s="85"/>
      <c r="R158" s="23"/>
      <c r="S158" s="23"/>
      <c r="T158" s="85"/>
      <c r="U158" s="85"/>
      <c r="V158" s="23"/>
      <c r="W158" s="23"/>
      <c r="X158" s="85"/>
      <c r="Y158" s="85"/>
      <c r="Z158" s="23"/>
      <c r="AA158" s="23"/>
      <c r="AB158" s="85"/>
      <c r="AC158" s="85"/>
      <c r="AD158" s="23"/>
      <c r="AE158" s="23"/>
      <c r="AF158" s="85"/>
      <c r="AG158" s="85"/>
      <c r="AH158" s="23"/>
      <c r="AI158" s="23"/>
      <c r="AJ158" s="24"/>
      <c r="AK158" s="24"/>
      <c r="AL158" s="25"/>
      <c r="AM158" s="25"/>
      <c r="AN158" s="384"/>
      <c r="AO158" s="385"/>
    </row>
    <row r="159" spans="1:41">
      <c r="A159" s="202" t="s">
        <v>227</v>
      </c>
      <c r="B159" s="326">
        <v>482005458.32999998</v>
      </c>
      <c r="C159" s="326">
        <v>1049.06</v>
      </c>
      <c r="D159" s="326">
        <v>483001369.13</v>
      </c>
      <c r="E159" s="326">
        <v>1051.23</v>
      </c>
      <c r="F159" s="23">
        <f t="shared" ref="F159:G165" si="170">((D159-B159)/B159)</f>
        <v>2.0661815811184696E-3</v>
      </c>
      <c r="G159" s="23">
        <f t="shared" si="170"/>
        <v>2.0685184832136129E-3</v>
      </c>
      <c r="H159" s="326">
        <v>481327602.69</v>
      </c>
      <c r="I159" s="326">
        <v>1047.54</v>
      </c>
      <c r="J159" s="23">
        <f t="shared" ref="J159:J167" si="171">((H159-D159)/D159)</f>
        <v>-3.4653451252422904E-3</v>
      </c>
      <c r="K159" s="23">
        <f t="shared" ref="K159:K161" si="172">((I159-E159)/E159)</f>
        <v>-3.5101737964099715E-3</v>
      </c>
      <c r="L159" s="326">
        <v>475808601.37</v>
      </c>
      <c r="M159" s="326">
        <v>1046.3900000000001</v>
      </c>
      <c r="N159" s="23">
        <f t="shared" ref="N159:N167" si="173">((L159-H159)/H159)</f>
        <v>-1.1466205738370082E-2</v>
      </c>
      <c r="O159" s="23">
        <f t="shared" ref="O159:O161" si="174">((M159-I159)/I159)</f>
        <v>-1.0978101074897986E-3</v>
      </c>
      <c r="P159" s="326">
        <v>472322105.30000001</v>
      </c>
      <c r="Q159" s="326">
        <v>1035.0899999999999</v>
      </c>
      <c r="R159" s="23">
        <f t="shared" ref="R159:R167" si="175">((P159-L159)/L159)</f>
        <v>-7.3275179556680841E-3</v>
      </c>
      <c r="S159" s="23">
        <f t="shared" ref="S159:S161" si="176">((Q159-M159)/M159)</f>
        <v>-1.0799032865375415E-2</v>
      </c>
      <c r="T159" s="326">
        <v>473314335.79000002</v>
      </c>
      <c r="U159" s="326">
        <v>1040.9100000000001</v>
      </c>
      <c r="V159" s="23">
        <f t="shared" ref="V159:V167" si="177">((T159-P159)/P159)</f>
        <v>2.1007496343407104E-3</v>
      </c>
      <c r="W159" s="23">
        <f t="shared" ref="W159:W161" si="178">((U159-Q159)/Q159)</f>
        <v>5.6226994754080941E-3</v>
      </c>
      <c r="X159" s="326">
        <v>474698025.01999998</v>
      </c>
      <c r="Y159" s="326">
        <v>1044.21</v>
      </c>
      <c r="Z159" s="23">
        <f t="shared" ref="Z159:Z167" si="179">((X159-T159)/T159)</f>
        <v>2.9234044383854756E-3</v>
      </c>
      <c r="AA159" s="23">
        <f t="shared" ref="AA159:AA161" si="180">((Y159-U159)/U159)</f>
        <v>3.170302908032351E-3</v>
      </c>
      <c r="AB159" s="326">
        <v>470757767.75</v>
      </c>
      <c r="AC159" s="326">
        <v>1025.0999999999999</v>
      </c>
      <c r="AD159" s="23">
        <f t="shared" ref="AD159:AD167" si="181">((AB159-X159)/X159)</f>
        <v>-8.3005554317062309E-3</v>
      </c>
      <c r="AE159" s="23">
        <f t="shared" ref="AE159:AE161" si="182">((AC159-Y159)/Y159)</f>
        <v>-1.8300916482316895E-2</v>
      </c>
      <c r="AF159" s="326">
        <v>471694103.19</v>
      </c>
      <c r="AG159" s="326">
        <v>1027.1400000000001</v>
      </c>
      <c r="AH159" s="23">
        <f t="shared" ref="AH159:AH167" si="183">((AF159-AB159)/AB159)</f>
        <v>1.9889962612305669E-3</v>
      </c>
      <c r="AI159" s="23">
        <f t="shared" ref="AI159:AI161" si="184">((AG159-AC159)/AC159)</f>
        <v>1.9900497512439675E-3</v>
      </c>
      <c r="AJ159" s="24">
        <f t="shared" si="149"/>
        <v>-2.6850365419889329E-3</v>
      </c>
      <c r="AK159" s="24">
        <f t="shared" si="150"/>
        <v>-2.6070453292117569E-3</v>
      </c>
      <c r="AL159" s="25">
        <f t="shared" si="151"/>
        <v>-2.3410422128548134E-2</v>
      </c>
      <c r="AM159" s="25">
        <f t="shared" si="152"/>
        <v>-2.2916012670871188E-2</v>
      </c>
      <c r="AN159" s="384">
        <f t="shared" si="153"/>
        <v>5.7269228320839024E-3</v>
      </c>
      <c r="AO159" s="385">
        <f t="shared" si="154"/>
        <v>8.1117226978882073E-3</v>
      </c>
    </row>
    <row r="160" spans="1:41">
      <c r="A160" s="202" t="s">
        <v>230</v>
      </c>
      <c r="B160" s="326">
        <v>61998775.670000002</v>
      </c>
      <c r="C160" s="326">
        <v>103.67</v>
      </c>
      <c r="D160" s="326">
        <v>62119720.93</v>
      </c>
      <c r="E160" s="326">
        <v>103.78</v>
      </c>
      <c r="F160" s="23">
        <f t="shared" si="170"/>
        <v>1.9507685223294009E-3</v>
      </c>
      <c r="G160" s="23">
        <f t="shared" si="170"/>
        <v>1.0610591299315079E-3</v>
      </c>
      <c r="H160" s="326">
        <v>61962424.829999998</v>
      </c>
      <c r="I160" s="326">
        <v>103.78</v>
      </c>
      <c r="J160" s="23">
        <f t="shared" si="171"/>
        <v>-2.5321443439395293E-3</v>
      </c>
      <c r="K160" s="23">
        <f t="shared" si="172"/>
        <v>0</v>
      </c>
      <c r="L160" s="326">
        <v>62083981.990000002</v>
      </c>
      <c r="M160" s="326">
        <v>103.89</v>
      </c>
      <c r="N160" s="23">
        <f t="shared" si="173"/>
        <v>1.9617882988522137E-3</v>
      </c>
      <c r="O160" s="23">
        <f t="shared" si="174"/>
        <v>1.0599344767777937E-3</v>
      </c>
      <c r="P160" s="326">
        <v>62216341.759999998</v>
      </c>
      <c r="Q160" s="326">
        <v>103.99</v>
      </c>
      <c r="R160" s="23">
        <f t="shared" si="175"/>
        <v>2.1319471747368798E-3</v>
      </c>
      <c r="S160" s="23">
        <f t="shared" si="176"/>
        <v>9.6255655019726941E-4</v>
      </c>
      <c r="T160" s="326">
        <v>55587448.630000003</v>
      </c>
      <c r="U160" s="326">
        <v>104.09</v>
      </c>
      <c r="V160" s="23">
        <f t="shared" si="177"/>
        <v>-0.10654585182090905</v>
      </c>
      <c r="W160" s="23">
        <f t="shared" si="178"/>
        <v>9.6163092605066388E-4</v>
      </c>
      <c r="X160" s="326">
        <v>55697201.939999998</v>
      </c>
      <c r="Y160" s="326">
        <v>104.2</v>
      </c>
      <c r="Z160" s="23">
        <f t="shared" si="179"/>
        <v>1.9744261106591273E-3</v>
      </c>
      <c r="AA160" s="23">
        <f t="shared" si="180"/>
        <v>1.0567777884522955E-3</v>
      </c>
      <c r="AB160" s="326">
        <v>48815841.909999996</v>
      </c>
      <c r="AC160" s="326">
        <v>104.34</v>
      </c>
      <c r="AD160" s="23">
        <f t="shared" si="181"/>
        <v>-0.12354947448550414</v>
      </c>
      <c r="AE160" s="23">
        <f t="shared" si="182"/>
        <v>1.3435700575815794E-3</v>
      </c>
      <c r="AF160" s="326">
        <v>48776640.25</v>
      </c>
      <c r="AG160" s="322">
        <v>104.48</v>
      </c>
      <c r="AH160" s="23">
        <f t="shared" si="183"/>
        <v>-8.0305201070322841E-4</v>
      </c>
      <c r="AI160" s="23">
        <f t="shared" si="184"/>
        <v>1.3417672992141131E-3</v>
      </c>
      <c r="AJ160" s="24">
        <f t="shared" si="149"/>
        <v>-2.817644906930979E-2</v>
      </c>
      <c r="AK160" s="24">
        <f t="shared" si="150"/>
        <v>9.7341202852565297E-4</v>
      </c>
      <c r="AL160" s="25">
        <f t="shared" si="151"/>
        <v>-0.21479621093333201</v>
      </c>
      <c r="AM160" s="25">
        <f t="shared" si="152"/>
        <v>6.7450375794951131E-3</v>
      </c>
      <c r="AN160" s="384">
        <f t="shared" si="153"/>
        <v>5.383618969287967E-2</v>
      </c>
      <c r="AO160" s="385">
        <f t="shared" si="154"/>
        <v>4.2132582968983019E-4</v>
      </c>
    </row>
    <row r="161" spans="1:41">
      <c r="A161" s="202" t="s">
        <v>234</v>
      </c>
      <c r="B161" s="321">
        <v>52366482.539999999</v>
      </c>
      <c r="C161" s="322">
        <v>105.04</v>
      </c>
      <c r="D161" s="321">
        <v>52435558.130000003</v>
      </c>
      <c r="E161" s="322">
        <v>105.29</v>
      </c>
      <c r="F161" s="23">
        <f t="shared" si="170"/>
        <v>1.3190801949938182E-3</v>
      </c>
      <c r="G161" s="23">
        <f t="shared" si="170"/>
        <v>2.3800456968773799E-3</v>
      </c>
      <c r="H161" s="321">
        <v>52504594.890000001</v>
      </c>
      <c r="I161" s="322">
        <v>105.55</v>
      </c>
      <c r="J161" s="23">
        <f t="shared" si="171"/>
        <v>1.3166019865534691E-3</v>
      </c>
      <c r="K161" s="23">
        <f t="shared" si="172"/>
        <v>2.4693703105707178E-3</v>
      </c>
      <c r="L161" s="321">
        <v>52573938.920000002</v>
      </c>
      <c r="M161" s="322">
        <v>105.8</v>
      </c>
      <c r="N161" s="23">
        <f t="shared" si="173"/>
        <v>1.3207230747190933E-3</v>
      </c>
      <c r="O161" s="23">
        <f t="shared" si="174"/>
        <v>2.3685457129322598E-3</v>
      </c>
      <c r="P161" s="321">
        <v>52643503.560000002</v>
      </c>
      <c r="Q161" s="322">
        <v>105.8</v>
      </c>
      <c r="R161" s="23">
        <f t="shared" si="175"/>
        <v>1.3231772514868017E-3</v>
      </c>
      <c r="S161" s="23">
        <f t="shared" si="176"/>
        <v>0</v>
      </c>
      <c r="T161" s="321">
        <v>52753022.439999998</v>
      </c>
      <c r="U161" s="322">
        <v>106.3</v>
      </c>
      <c r="V161" s="23">
        <f t="shared" si="177"/>
        <v>2.0803873715428529E-3</v>
      </c>
      <c r="W161" s="23">
        <f t="shared" si="178"/>
        <v>4.725897920604915E-3</v>
      </c>
      <c r="X161" s="321">
        <v>52822177.859999999</v>
      </c>
      <c r="Y161" s="322">
        <v>106.56</v>
      </c>
      <c r="Z161" s="23">
        <f t="shared" si="179"/>
        <v>1.3109281099231325E-3</v>
      </c>
      <c r="AA161" s="23">
        <f t="shared" si="180"/>
        <v>2.4459078080903587E-3</v>
      </c>
      <c r="AB161" s="321">
        <v>52891054.869999997</v>
      </c>
      <c r="AC161" s="322">
        <v>106.81</v>
      </c>
      <c r="AD161" s="23">
        <f t="shared" si="181"/>
        <v>1.3039411245509352E-3</v>
      </c>
      <c r="AE161" s="23">
        <f t="shared" si="182"/>
        <v>2.3460960960960961E-3</v>
      </c>
      <c r="AF161" s="321">
        <v>52952923.119999997</v>
      </c>
      <c r="AG161" s="322">
        <v>107.06</v>
      </c>
      <c r="AH161" s="23">
        <f t="shared" si="183"/>
        <v>1.1697299316881635E-3</v>
      </c>
      <c r="AI161" s="23">
        <f t="shared" si="184"/>
        <v>2.340604812283494E-3</v>
      </c>
      <c r="AJ161" s="24">
        <f t="shared" si="149"/>
        <v>1.3930711306822832E-3</v>
      </c>
      <c r="AK161" s="24">
        <f t="shared" si="150"/>
        <v>2.3845585446819026E-3</v>
      </c>
      <c r="AL161" s="25">
        <f t="shared" si="151"/>
        <v>9.8666822372201306E-3</v>
      </c>
      <c r="AM161" s="25">
        <f t="shared" si="152"/>
        <v>1.6810713268116593E-2</v>
      </c>
      <c r="AN161" s="384">
        <f t="shared" si="153"/>
        <v>2.824429459680413E-4</v>
      </c>
      <c r="AO161" s="385">
        <f t="shared" si="154"/>
        <v>1.2639300591599141E-3</v>
      </c>
    </row>
    <row r="162" spans="1:41" s="288" customFormat="1">
      <c r="A162" s="202" t="s">
        <v>185</v>
      </c>
      <c r="B162" s="326">
        <v>9175697526.1100006</v>
      </c>
      <c r="C162" s="322">
        <v>129.4</v>
      </c>
      <c r="D162" s="326">
        <v>9137554462.4300003</v>
      </c>
      <c r="E162" s="322">
        <v>129.30000000000001</v>
      </c>
      <c r="F162" s="23">
        <f t="shared" si="170"/>
        <v>-4.1569661130897041E-3</v>
      </c>
      <c r="G162" s="23">
        <f t="shared" si="170"/>
        <v>-7.7279752704786952E-4</v>
      </c>
      <c r="H162" s="326">
        <v>9193583412.5200005</v>
      </c>
      <c r="I162" s="322">
        <v>130</v>
      </c>
      <c r="J162" s="23">
        <f t="shared" si="171"/>
        <v>6.131722696742216E-3</v>
      </c>
      <c r="K162" s="23">
        <f>((I162-E162)/E162)</f>
        <v>5.4137664346480168E-3</v>
      </c>
      <c r="L162" s="326">
        <v>9208704373.3500004</v>
      </c>
      <c r="M162" s="322">
        <v>130.29</v>
      </c>
      <c r="N162" s="23">
        <f t="shared" si="173"/>
        <v>1.6447298242171714E-3</v>
      </c>
      <c r="O162" s="23">
        <f>((M162-I162)/I162)</f>
        <v>2.2307692307691695E-3</v>
      </c>
      <c r="P162" s="326">
        <v>9267051719.9599991</v>
      </c>
      <c r="Q162" s="322">
        <v>130.59</v>
      </c>
      <c r="R162" s="23">
        <f t="shared" si="175"/>
        <v>6.336108126009125E-3</v>
      </c>
      <c r="S162" s="23">
        <f>((Q162-M162)/M162)</f>
        <v>2.302555836979134E-3</v>
      </c>
      <c r="T162" s="326">
        <v>9886200568.7700005</v>
      </c>
      <c r="U162" s="322">
        <v>130.9</v>
      </c>
      <c r="V162" s="23">
        <f t="shared" si="177"/>
        <v>6.6811847772084515E-2</v>
      </c>
      <c r="W162" s="23">
        <f>((U162-Q162)/Q162)</f>
        <v>2.3738417949307165E-3</v>
      </c>
      <c r="X162" s="326">
        <v>9810385719.7700005</v>
      </c>
      <c r="Y162" s="322">
        <v>131.22</v>
      </c>
      <c r="Z162" s="23">
        <f t="shared" si="179"/>
        <v>-7.6687548945239097E-3</v>
      </c>
      <c r="AA162" s="23">
        <f>((Y162-U162)/U162)</f>
        <v>2.4446142093200395E-3</v>
      </c>
      <c r="AB162" s="326">
        <v>9961497947.2000008</v>
      </c>
      <c r="AC162" s="322">
        <v>131.54</v>
      </c>
      <c r="AD162" s="23">
        <f t="shared" si="181"/>
        <v>1.5403291139254314E-2</v>
      </c>
      <c r="AE162" s="23">
        <f>((AC162-Y162)/Y162)</f>
        <v>2.4386526444139093E-3</v>
      </c>
      <c r="AF162" s="326">
        <v>10434192000.98</v>
      </c>
      <c r="AG162" s="322">
        <v>131.85</v>
      </c>
      <c r="AH162" s="23">
        <f t="shared" si="183"/>
        <v>4.7452105726013286E-2</v>
      </c>
      <c r="AI162" s="23">
        <f>((AG162-AC162)/AC162)</f>
        <v>2.3566975824844327E-3</v>
      </c>
      <c r="AJ162" s="24">
        <f t="shared" si="149"/>
        <v>1.6494260534588377E-2</v>
      </c>
      <c r="AK162" s="24">
        <f t="shared" si="150"/>
        <v>2.3485125258121938E-3</v>
      </c>
      <c r="AL162" s="25">
        <f t="shared" si="151"/>
        <v>0.14190203121428807</v>
      </c>
      <c r="AM162" s="25">
        <f t="shared" si="152"/>
        <v>1.9721577726217965E-2</v>
      </c>
      <c r="AN162" s="384">
        <f t="shared" si="153"/>
        <v>2.6546028135289529E-2</v>
      </c>
      <c r="AO162" s="385">
        <f t="shared" si="154"/>
        <v>1.654966672693184E-3</v>
      </c>
    </row>
    <row r="163" spans="1:41" s="302" customFormat="1">
      <c r="A163" s="202" t="s">
        <v>172</v>
      </c>
      <c r="B163" s="326">
        <v>485865024.06</v>
      </c>
      <c r="C163" s="327">
        <v>103.057169968998</v>
      </c>
      <c r="D163" s="326">
        <v>485543074.88999999</v>
      </c>
      <c r="E163" s="327">
        <v>103.02</v>
      </c>
      <c r="F163" s="23">
        <f t="shared" si="170"/>
        <v>-6.6263088318178431E-4</v>
      </c>
      <c r="G163" s="23">
        <f t="shared" si="170"/>
        <v>-3.6067329433926926E-4</v>
      </c>
      <c r="H163" s="326">
        <v>500101506.67000002</v>
      </c>
      <c r="I163" s="327">
        <v>103.54</v>
      </c>
      <c r="J163" s="23">
        <f t="shared" si="171"/>
        <v>2.9983810979691657E-2</v>
      </c>
      <c r="K163" s="23">
        <f>((I163-E163)/E163)</f>
        <v>5.0475635798874997E-3</v>
      </c>
      <c r="L163" s="326">
        <v>513138395.72000003</v>
      </c>
      <c r="M163" s="327">
        <v>103.66</v>
      </c>
      <c r="N163" s="23">
        <f t="shared" si="173"/>
        <v>2.606848584961895E-2</v>
      </c>
      <c r="O163" s="23">
        <f>((M163-I163)/I163)</f>
        <v>1.1589723778249019E-3</v>
      </c>
      <c r="P163" s="326">
        <v>526813156.19999999</v>
      </c>
      <c r="Q163" s="327">
        <v>101.73</v>
      </c>
      <c r="R163" s="23">
        <f t="shared" si="175"/>
        <v>2.6649263812762419E-2</v>
      </c>
      <c r="S163" s="23">
        <f>((Q163-M163)/M163)</f>
        <v>-1.8618560679143283E-2</v>
      </c>
      <c r="T163" s="326">
        <v>570372899.35000002</v>
      </c>
      <c r="U163" s="327">
        <v>101.92</v>
      </c>
      <c r="V163" s="23">
        <f t="shared" si="177"/>
        <v>8.2685374572276177E-2</v>
      </c>
      <c r="W163" s="23">
        <f>((U163-Q163)/Q163)</f>
        <v>1.8676889806349918E-3</v>
      </c>
      <c r="X163" s="326">
        <v>636590031.21000004</v>
      </c>
      <c r="Y163" s="327">
        <v>102.15</v>
      </c>
      <c r="Z163" s="23">
        <f t="shared" si="179"/>
        <v>0.11609445668870559</v>
      </c>
      <c r="AA163" s="23">
        <f>((Y163-U163)/U163)</f>
        <v>2.2566718995290815E-3</v>
      </c>
      <c r="AB163" s="326">
        <v>669676938.19000006</v>
      </c>
      <c r="AC163" s="327">
        <v>102.35</v>
      </c>
      <c r="AD163" s="23">
        <f t="shared" si="181"/>
        <v>5.1975220091194332E-2</v>
      </c>
      <c r="AE163" s="23">
        <f>((AC163-Y163)/Y163)</f>
        <v>1.9579050416053709E-3</v>
      </c>
      <c r="AF163" s="326">
        <v>660121858.90999997</v>
      </c>
      <c r="AG163" s="327">
        <v>102.55</v>
      </c>
      <c r="AH163" s="23">
        <f t="shared" si="183"/>
        <v>-1.4268192220902092E-2</v>
      </c>
      <c r="AI163" s="23">
        <f>((AG163-AC163)/AC163)</f>
        <v>1.954079140205206E-3</v>
      </c>
      <c r="AJ163" s="24">
        <f t="shared" si="149"/>
        <v>3.9815723611270656E-2</v>
      </c>
      <c r="AK163" s="24">
        <f t="shared" si="150"/>
        <v>-5.9204411922443752E-4</v>
      </c>
      <c r="AL163" s="25">
        <f t="shared" si="151"/>
        <v>0.35955364837517428</v>
      </c>
      <c r="AM163" s="25">
        <f t="shared" si="152"/>
        <v>-4.56222092797514E-3</v>
      </c>
      <c r="AN163" s="384">
        <f t="shared" si="153"/>
        <v>4.2806343485313529E-2</v>
      </c>
      <c r="AO163" s="385">
        <f t="shared" si="154"/>
        <v>7.4357295709829331E-3</v>
      </c>
    </row>
    <row r="164" spans="1:41" s="302" customFormat="1">
      <c r="A164" s="202" t="s">
        <v>130</v>
      </c>
      <c r="B164" s="326">
        <v>8389248771.9499998</v>
      </c>
      <c r="C164" s="327">
        <v>124.21</v>
      </c>
      <c r="D164" s="326">
        <v>8383714282.5500002</v>
      </c>
      <c r="E164" s="327">
        <v>124.35</v>
      </c>
      <c r="F164" s="23">
        <f t="shared" si="170"/>
        <v>-6.5971215664798789E-4</v>
      </c>
      <c r="G164" s="23">
        <f t="shared" si="170"/>
        <v>1.1271234200144961E-3</v>
      </c>
      <c r="H164" s="326">
        <v>8384285564.25</v>
      </c>
      <c r="I164" s="327">
        <v>124.47</v>
      </c>
      <c r="J164" s="23">
        <f t="shared" si="171"/>
        <v>6.8141837942746247E-5</v>
      </c>
      <c r="K164" s="23">
        <f>((I164-E164)/E164)</f>
        <v>9.650180940893008E-4</v>
      </c>
      <c r="L164" s="326">
        <v>8375626518.8999996</v>
      </c>
      <c r="M164" s="327">
        <v>124.58</v>
      </c>
      <c r="N164" s="23">
        <f t="shared" si="173"/>
        <v>-1.0327708048163266E-3</v>
      </c>
      <c r="O164" s="23">
        <f>((M164-I164)/I164)</f>
        <v>8.8374708765163838E-4</v>
      </c>
      <c r="P164" s="326">
        <v>8371419868.3999996</v>
      </c>
      <c r="Q164" s="327">
        <v>124.68</v>
      </c>
      <c r="R164" s="23">
        <f t="shared" si="175"/>
        <v>-5.0224905450445918E-4</v>
      </c>
      <c r="S164" s="23">
        <f>((Q164-M164)/M164)</f>
        <v>8.0269706212882108E-4</v>
      </c>
      <c r="T164" s="326">
        <v>8371419868.3999996</v>
      </c>
      <c r="U164" s="327">
        <v>124.68</v>
      </c>
      <c r="V164" s="23">
        <f t="shared" si="177"/>
        <v>0</v>
      </c>
      <c r="W164" s="23">
        <f>((U164-Q164)/Q164)</f>
        <v>0</v>
      </c>
      <c r="X164" s="326">
        <v>8322909925.29</v>
      </c>
      <c r="Y164" s="327">
        <v>124.89</v>
      </c>
      <c r="Z164" s="23">
        <f t="shared" si="179"/>
        <v>-5.7947091261199872E-3</v>
      </c>
      <c r="AA164" s="23">
        <f>((Y164-U164)/U164)</f>
        <v>1.6843118383060133E-3</v>
      </c>
      <c r="AB164" s="326">
        <v>8326870609.3299999</v>
      </c>
      <c r="AC164" s="327">
        <v>125.05</v>
      </c>
      <c r="AD164" s="23">
        <f t="shared" si="181"/>
        <v>4.75877316413701E-4</v>
      </c>
      <c r="AE164" s="23">
        <f>((AC164-Y164)/Y164)</f>
        <v>1.2811273921050251E-3</v>
      </c>
      <c r="AF164" s="326">
        <v>8495673660.0200005</v>
      </c>
      <c r="AG164" s="327">
        <v>125.15</v>
      </c>
      <c r="AH164" s="23">
        <f t="shared" si="183"/>
        <v>2.0272087631680258E-2</v>
      </c>
      <c r="AI164" s="23">
        <f>((AG164-AC164)/AC164)</f>
        <v>7.9968012794888867E-4</v>
      </c>
      <c r="AJ164" s="24">
        <f t="shared" si="149"/>
        <v>1.6033332054934931E-3</v>
      </c>
      <c r="AK164" s="24">
        <f t="shared" si="150"/>
        <v>9.4296312778052304E-4</v>
      </c>
      <c r="AL164" s="25">
        <f t="shared" si="151"/>
        <v>1.3354388484234767E-2</v>
      </c>
      <c r="AM164" s="25">
        <f t="shared" si="152"/>
        <v>6.4334539605951863E-3</v>
      </c>
      <c r="AN164" s="384">
        <f t="shared" si="153"/>
        <v>7.8006956115480378E-3</v>
      </c>
      <c r="AO164" s="385">
        <f t="shared" si="154"/>
        <v>4.8273698872971859E-4</v>
      </c>
    </row>
    <row r="165" spans="1:41">
      <c r="A165" s="202" t="s">
        <v>163</v>
      </c>
      <c r="B165" s="326">
        <v>3226329725.4699998</v>
      </c>
      <c r="C165" s="327">
        <v>1.1648000000000001</v>
      </c>
      <c r="D165" s="326">
        <v>3238342114.6500001</v>
      </c>
      <c r="E165" s="327">
        <v>1.1676</v>
      </c>
      <c r="F165" s="23">
        <f t="shared" si="170"/>
        <v>3.7232366813501633E-3</v>
      </c>
      <c r="G165" s="23">
        <f t="shared" si="170"/>
        <v>2.4038461538460798E-3</v>
      </c>
      <c r="H165" s="326">
        <v>3468443330.0799999</v>
      </c>
      <c r="I165" s="327">
        <v>1.1212</v>
      </c>
      <c r="J165" s="23">
        <f t="shared" si="171"/>
        <v>7.1055252127019061E-2</v>
      </c>
      <c r="K165" s="23">
        <f>((I165-E165)/E165)</f>
        <v>-3.9739636861939015E-2</v>
      </c>
      <c r="L165" s="326">
        <v>3342276402.1599998</v>
      </c>
      <c r="M165" s="327">
        <v>1.1232</v>
      </c>
      <c r="N165" s="23">
        <f t="shared" si="173"/>
        <v>-3.6375663637292305E-2</v>
      </c>
      <c r="O165" s="23">
        <f>((M165-I165)/I165)</f>
        <v>1.7838030681412789E-3</v>
      </c>
      <c r="P165" s="326">
        <v>3606710096.7399998</v>
      </c>
      <c r="Q165" s="327">
        <v>1.1251</v>
      </c>
      <c r="R165" s="23">
        <f t="shared" si="175"/>
        <v>7.9117841483458823E-2</v>
      </c>
      <c r="S165" s="23">
        <f>((Q165-M165)/M165)</f>
        <v>1.6915954415954531E-3</v>
      </c>
      <c r="T165" s="326">
        <v>3744387243.9099998</v>
      </c>
      <c r="U165" s="327">
        <v>1.1268</v>
      </c>
      <c r="V165" s="23">
        <f t="shared" si="177"/>
        <v>3.8172501664173797E-2</v>
      </c>
      <c r="W165" s="23">
        <f>((U165-Q165)/Q165)</f>
        <v>1.5109768020620698E-3</v>
      </c>
      <c r="X165" s="326">
        <v>3726855539.23</v>
      </c>
      <c r="Y165" s="327">
        <v>1.1282000000000001</v>
      </c>
      <c r="Z165" s="23">
        <f t="shared" si="179"/>
        <v>-4.6821291543800644E-3</v>
      </c>
      <c r="AA165" s="23">
        <f>((Y165-U165)/U165)</f>
        <v>1.2424565140220693E-3</v>
      </c>
      <c r="AB165" s="326">
        <v>3747523395.4499998</v>
      </c>
      <c r="AC165" s="327">
        <v>1.1295999999999999</v>
      </c>
      <c r="AD165" s="23">
        <f t="shared" si="181"/>
        <v>5.545655312486286E-3</v>
      </c>
      <c r="AE165" s="23">
        <f>((AC165-Y165)/Y165)</f>
        <v>1.2409147314304605E-3</v>
      </c>
      <c r="AF165" s="326">
        <v>3728038722.7800002</v>
      </c>
      <c r="AG165" s="327">
        <v>1.131</v>
      </c>
      <c r="AH165" s="23">
        <f t="shared" si="183"/>
        <v>-5.1993465053898338E-3</v>
      </c>
      <c r="AI165" s="23">
        <f>((AG165-AC165)/AC165)</f>
        <v>1.2393767705383037E-3</v>
      </c>
      <c r="AJ165" s="24">
        <f t="shared" si="149"/>
        <v>1.8919668496428243E-2</v>
      </c>
      <c r="AK165" s="24">
        <f t="shared" si="150"/>
        <v>-3.5783334225379126E-3</v>
      </c>
      <c r="AL165" s="25">
        <f t="shared" si="151"/>
        <v>0.15121830578512749</v>
      </c>
      <c r="AM165" s="25">
        <f t="shared" si="152"/>
        <v>-3.1346351490236353E-2</v>
      </c>
      <c r="AN165" s="384">
        <f t="shared" si="153"/>
        <v>4.0211497925352668E-2</v>
      </c>
      <c r="AO165" s="385">
        <f t="shared" si="154"/>
        <v>1.4616661605104249E-2</v>
      </c>
    </row>
    <row r="166" spans="1:41">
      <c r="A166" s="204" t="s">
        <v>42</v>
      </c>
      <c r="B166" s="76">
        <f>SUM(B155:B165)</f>
        <v>25776389309.68</v>
      </c>
      <c r="C166" s="85"/>
      <c r="D166" s="76">
        <f>SUM(D155:D165)</f>
        <v>25810810447.57</v>
      </c>
      <c r="E166" s="85"/>
      <c r="F166" s="23">
        <f>((D166-B166)/B166)</f>
        <v>1.3353746902430963E-3</v>
      </c>
      <c r="G166" s="23"/>
      <c r="H166" s="76">
        <f>SUM(H155:H165)</f>
        <v>26082310834.120003</v>
      </c>
      <c r="I166" s="85"/>
      <c r="J166" s="23">
        <f t="shared" si="171"/>
        <v>1.051886329185622E-2</v>
      </c>
      <c r="K166" s="23"/>
      <c r="L166" s="76">
        <f>SUM(L155:L165)</f>
        <v>26010301617.079998</v>
      </c>
      <c r="M166" s="85"/>
      <c r="N166" s="23">
        <f t="shared" si="173"/>
        <v>-2.760844984095684E-3</v>
      </c>
      <c r="O166" s="23"/>
      <c r="P166" s="76">
        <f>SUM(P155:P165)</f>
        <v>26335558994.479996</v>
      </c>
      <c r="Q166" s="85"/>
      <c r="R166" s="23">
        <f t="shared" si="175"/>
        <v>1.2504944471171118E-2</v>
      </c>
      <c r="S166" s="23"/>
      <c r="T166" s="76">
        <f>SUM(T155:T165)</f>
        <v>27169515243.780003</v>
      </c>
      <c r="U166" s="85"/>
      <c r="V166" s="23">
        <f t="shared" si="177"/>
        <v>3.1666548239010474E-2</v>
      </c>
      <c r="W166" s="23"/>
      <c r="X166" s="76">
        <f>SUM(X155:X165)</f>
        <v>27114196022.169998</v>
      </c>
      <c r="Y166" s="85"/>
      <c r="Z166" s="23">
        <f t="shared" si="179"/>
        <v>-2.036076871951877E-3</v>
      </c>
      <c r="AA166" s="23"/>
      <c r="AB166" s="76">
        <f>SUM(AB155:AB165)</f>
        <v>27315712442.810001</v>
      </c>
      <c r="AC166" s="85"/>
      <c r="AD166" s="23">
        <f t="shared" si="181"/>
        <v>7.4321370427222972E-3</v>
      </c>
      <c r="AE166" s="23"/>
      <c r="AF166" s="76">
        <f>SUM(AF155:AF165)</f>
        <v>27962550206.07</v>
      </c>
      <c r="AG166" s="85"/>
      <c r="AH166" s="23">
        <f t="shared" si="183"/>
        <v>2.3680061964858543E-2</v>
      </c>
      <c r="AI166" s="23"/>
      <c r="AJ166" s="24">
        <f t="shared" si="149"/>
        <v>1.0292625980476772E-2</v>
      </c>
      <c r="AK166" s="24"/>
      <c r="AL166" s="25">
        <f t="shared" si="151"/>
        <v>8.3365834748617085E-2</v>
      </c>
      <c r="AM166" s="25"/>
      <c r="AN166" s="384">
        <f t="shared" si="153"/>
        <v>1.2258048651867869E-2</v>
      </c>
      <c r="AO166" s="385"/>
    </row>
    <row r="167" spans="1:41">
      <c r="A167" s="204" t="s">
        <v>28</v>
      </c>
      <c r="B167" s="303">
        <f>SUM(B21,B53,B86,B111,B118,B145,B151,B166)</f>
        <v>1644224849788.0632</v>
      </c>
      <c r="C167" s="85"/>
      <c r="D167" s="303">
        <f>SUM(D21,D53,D86,D111,D118,D145,D151,D166)</f>
        <v>1783352855386.8538</v>
      </c>
      <c r="E167" s="85"/>
      <c r="F167" s="23">
        <f>((D167-B167)/B167)</f>
        <v>8.4616167683345622E-2</v>
      </c>
      <c r="G167" s="23"/>
      <c r="H167" s="303">
        <f>SUM(H21,H53,H86,H111,H118,H145,H151,H166)</f>
        <v>1875033373373.3662</v>
      </c>
      <c r="I167" s="85"/>
      <c r="J167" s="23">
        <f t="shared" si="171"/>
        <v>5.1409073481772996E-2</v>
      </c>
      <c r="K167" s="23"/>
      <c r="L167" s="303">
        <f>SUM(L21,L53,L86,L111,L118,L145,L151,L166)</f>
        <v>1877975298694.9844</v>
      </c>
      <c r="M167" s="85"/>
      <c r="N167" s="23">
        <f t="shared" si="173"/>
        <v>1.5689989113768978E-3</v>
      </c>
      <c r="O167" s="23"/>
      <c r="P167" s="303">
        <f>SUM(P21,P53,P86,P111,P118,P145,P151,P166)</f>
        <v>1901850384231.1636</v>
      </c>
      <c r="Q167" s="85"/>
      <c r="R167" s="23">
        <f t="shared" si="175"/>
        <v>1.2713205308275424E-2</v>
      </c>
      <c r="S167" s="23"/>
      <c r="T167" s="303">
        <f>SUM(T21,T53,T86,T111,T118,T145,T151,T166)</f>
        <v>1922447870685.2344</v>
      </c>
      <c r="U167" s="85"/>
      <c r="V167" s="23">
        <f t="shared" si="177"/>
        <v>1.0830234925339556E-2</v>
      </c>
      <c r="W167" s="23"/>
      <c r="X167" s="303">
        <f>SUM(X21,X53,X86,X111,X118,X145,X151,X166)</f>
        <v>1920923279532.677</v>
      </c>
      <c r="Y167" s="85"/>
      <c r="Z167" s="23">
        <f t="shared" si="179"/>
        <v>-7.9304681068618522E-4</v>
      </c>
      <c r="AA167" s="23"/>
      <c r="AB167" s="303">
        <f>SUM(AB21,AB53,AB86,AB111,AB118,AB145,AB151,AB166)</f>
        <v>1925391614328.5334</v>
      </c>
      <c r="AC167" s="85"/>
      <c r="AD167" s="23">
        <f t="shared" si="181"/>
        <v>2.326139124589871E-3</v>
      </c>
      <c r="AE167" s="23"/>
      <c r="AF167" s="303">
        <f>SUM(AF21,AF53,AF86,AF111,AF118,AF145,AF151,AF166)</f>
        <v>1916191660933.4709</v>
      </c>
      <c r="AG167" s="85"/>
      <c r="AH167" s="23">
        <f t="shared" si="183"/>
        <v>-4.7782245059122264E-3</v>
      </c>
      <c r="AI167" s="23"/>
      <c r="AJ167" s="24">
        <f t="shared" si="149"/>
        <v>1.9736568514762742E-2</v>
      </c>
      <c r="AK167" s="24"/>
      <c r="AL167" s="25">
        <f t="shared" si="151"/>
        <v>7.448823442055226E-2</v>
      </c>
      <c r="AM167" s="25"/>
      <c r="AN167" s="384">
        <f t="shared" si="153"/>
        <v>3.1615511986092033E-2</v>
      </c>
      <c r="AO167" s="385"/>
    </row>
    <row r="168" spans="1:41" s="108" customFormat="1" ht="6" customHeight="1">
      <c r="A168" s="204"/>
      <c r="B168" s="85"/>
      <c r="C168" s="85"/>
      <c r="D168" s="85"/>
      <c r="E168" s="85"/>
      <c r="F168" s="23"/>
      <c r="G168" s="23"/>
      <c r="H168" s="85"/>
      <c r="I168" s="85"/>
      <c r="J168" s="23"/>
      <c r="K168" s="23"/>
      <c r="L168" s="85"/>
      <c r="M168" s="85"/>
      <c r="N168" s="23"/>
      <c r="O168" s="23"/>
      <c r="P168" s="85"/>
      <c r="Q168" s="85"/>
      <c r="R168" s="23"/>
      <c r="S168" s="23"/>
      <c r="T168" s="85"/>
      <c r="U168" s="85"/>
      <c r="V168" s="23"/>
      <c r="W168" s="23"/>
      <c r="X168" s="85"/>
      <c r="Y168" s="85"/>
      <c r="Z168" s="23"/>
      <c r="AA168" s="23"/>
      <c r="AB168" s="85"/>
      <c r="AC168" s="85"/>
      <c r="AD168" s="23"/>
      <c r="AE168" s="23"/>
      <c r="AF168" s="85"/>
      <c r="AG168" s="85"/>
      <c r="AH168" s="23"/>
      <c r="AI168" s="23"/>
      <c r="AJ168" s="24"/>
      <c r="AK168" s="24"/>
      <c r="AL168" s="25"/>
      <c r="AM168" s="25"/>
      <c r="AN168" s="384"/>
      <c r="AO168" s="385"/>
    </row>
    <row r="169" spans="1:41" s="108" customFormat="1">
      <c r="A169" s="208" t="s">
        <v>200</v>
      </c>
      <c r="B169" s="85"/>
      <c r="C169" s="85"/>
      <c r="D169" s="85"/>
      <c r="E169" s="85"/>
      <c r="F169" s="23"/>
      <c r="G169" s="23"/>
      <c r="H169" s="85"/>
      <c r="I169" s="85"/>
      <c r="J169" s="23"/>
      <c r="K169" s="23"/>
      <c r="L169" s="85"/>
      <c r="M169" s="85"/>
      <c r="N169" s="23"/>
      <c r="O169" s="23"/>
      <c r="P169" s="85"/>
      <c r="Q169" s="85"/>
      <c r="R169" s="23"/>
      <c r="S169" s="23"/>
      <c r="T169" s="85"/>
      <c r="U169" s="85"/>
      <c r="V169" s="23"/>
      <c r="W169" s="23"/>
      <c r="X169" s="85"/>
      <c r="Y169" s="85"/>
      <c r="Z169" s="23"/>
      <c r="AA169" s="23"/>
      <c r="AB169" s="85"/>
      <c r="AC169" s="85"/>
      <c r="AD169" s="23"/>
      <c r="AE169" s="23"/>
      <c r="AF169" s="85"/>
      <c r="AG169" s="85"/>
      <c r="AH169" s="23"/>
      <c r="AI169" s="23"/>
      <c r="AJ169" s="24"/>
      <c r="AK169" s="24"/>
      <c r="AL169" s="25"/>
      <c r="AM169" s="25"/>
      <c r="AN169" s="384"/>
      <c r="AO169" s="385"/>
    </row>
    <row r="170" spans="1:41" s="108" customFormat="1">
      <c r="A170" s="209" t="s">
        <v>118</v>
      </c>
      <c r="B170" s="326">
        <v>91842597312</v>
      </c>
      <c r="C170" s="327">
        <v>107.58</v>
      </c>
      <c r="D170" s="326">
        <v>91842597312</v>
      </c>
      <c r="E170" s="327">
        <v>107.58</v>
      </c>
      <c r="F170" s="23">
        <f>((D170-B170)/B170)</f>
        <v>0</v>
      </c>
      <c r="G170" s="23">
        <f>((E170-C170)/C170)</f>
        <v>0</v>
      </c>
      <c r="H170" s="326">
        <v>91842597312</v>
      </c>
      <c r="I170" s="327">
        <v>107.58</v>
      </c>
      <c r="J170" s="23">
        <f>((H170-D170)/D170)</f>
        <v>0</v>
      </c>
      <c r="K170" s="23">
        <f>((I170-E170)/E170)</f>
        <v>0</v>
      </c>
      <c r="L170" s="326">
        <v>91842597312</v>
      </c>
      <c r="M170" s="327">
        <v>107.58</v>
      </c>
      <c r="N170" s="23">
        <f>((L170-H170)/H170)</f>
        <v>0</v>
      </c>
      <c r="O170" s="23">
        <f>((M170-I170)/I170)</f>
        <v>0</v>
      </c>
      <c r="P170" s="326">
        <v>91842597312</v>
      </c>
      <c r="Q170" s="327">
        <v>107.58</v>
      </c>
      <c r="R170" s="23">
        <f>((P170-L170)/L170)</f>
        <v>0</v>
      </c>
      <c r="S170" s="23">
        <f>((Q170-M170)/M170)</f>
        <v>0</v>
      </c>
      <c r="T170" s="326">
        <v>91842597312</v>
      </c>
      <c r="U170" s="327">
        <v>107.58</v>
      </c>
      <c r="V170" s="23">
        <f>((T170-P170)/P170)</f>
        <v>0</v>
      </c>
      <c r="W170" s="23">
        <f>((U170-Q170)/Q170)</f>
        <v>0</v>
      </c>
      <c r="X170" s="326">
        <v>92548651821</v>
      </c>
      <c r="Y170" s="327">
        <v>108.39</v>
      </c>
      <c r="Z170" s="23">
        <f>((X170-T170)/T170)</f>
        <v>7.6876583379001202E-3</v>
      </c>
      <c r="AA170" s="23">
        <f>((Y170-U170)/U170)</f>
        <v>7.5292805354155263E-3</v>
      </c>
      <c r="AB170" s="326">
        <v>92548651821</v>
      </c>
      <c r="AC170" s="327">
        <v>108.39</v>
      </c>
      <c r="AD170" s="23">
        <f>((AB170-X170)/X170)</f>
        <v>0</v>
      </c>
      <c r="AE170" s="23">
        <f>((AC170-Y170)/Y170)</f>
        <v>0</v>
      </c>
      <c r="AF170" s="326">
        <v>92548651821</v>
      </c>
      <c r="AG170" s="327">
        <v>108.39</v>
      </c>
      <c r="AH170" s="23">
        <f>((AF170-AB170)/AB170)</f>
        <v>0</v>
      </c>
      <c r="AI170" s="23">
        <f>((AG170-AC170)/AC170)</f>
        <v>0</v>
      </c>
      <c r="AJ170" s="24">
        <f t="shared" si="149"/>
        <v>9.6095729223751503E-4</v>
      </c>
      <c r="AK170" s="24">
        <f t="shared" si="150"/>
        <v>9.4116006692694079E-4</v>
      </c>
      <c r="AL170" s="25">
        <f t="shared" si="151"/>
        <v>7.6876583379001202E-3</v>
      </c>
      <c r="AM170" s="25">
        <f t="shared" si="152"/>
        <v>7.5292805354155263E-3</v>
      </c>
      <c r="AN170" s="384">
        <f t="shared" si="153"/>
        <v>2.7179976710872389E-3</v>
      </c>
      <c r="AO170" s="385">
        <f t="shared" si="154"/>
        <v>2.6620026620240989E-3</v>
      </c>
    </row>
    <row r="171" spans="1:41" s="108" customFormat="1">
      <c r="A171" s="209" t="s">
        <v>243</v>
      </c>
      <c r="B171" s="326">
        <v>2263541561.02</v>
      </c>
      <c r="C171" s="328">
        <v>1000000</v>
      </c>
      <c r="D171" s="326">
        <v>2268643938.46</v>
      </c>
      <c r="E171" s="328">
        <v>1000000</v>
      </c>
      <c r="F171" s="23">
        <f>((D171-B171)/B171)</f>
        <v>2.2541567284944473E-3</v>
      </c>
      <c r="G171" s="23">
        <f>((E171-C171)/C171)</f>
        <v>0</v>
      </c>
      <c r="H171" s="326">
        <v>2274596712.1500001</v>
      </c>
      <c r="I171" s="328">
        <v>1000000</v>
      </c>
      <c r="J171" s="23">
        <f>((H171-D171)/D171)</f>
        <v>2.6239347607985219E-3</v>
      </c>
      <c r="K171" s="23">
        <f>((I171-E171)/E171)</f>
        <v>0</v>
      </c>
      <c r="L171" s="326">
        <v>2280549485.8299999</v>
      </c>
      <c r="M171" s="328">
        <v>1000000</v>
      </c>
      <c r="N171" s="23">
        <f>((L171-H171)/H171)</f>
        <v>2.6170677413725496E-3</v>
      </c>
      <c r="O171" s="23">
        <f>((M171-I171)/I171)</f>
        <v>0</v>
      </c>
      <c r="P171" s="326">
        <v>2286502259.52</v>
      </c>
      <c r="Q171" s="328">
        <v>1000000</v>
      </c>
      <c r="R171" s="23">
        <f>((P171-L171)/L171)</f>
        <v>2.6102365798186403E-3</v>
      </c>
      <c r="S171" s="23">
        <f>((Q171-M171)/M171)</f>
        <v>0</v>
      </c>
      <c r="T171" s="326">
        <v>2292455033.1999998</v>
      </c>
      <c r="U171" s="328">
        <v>1000000</v>
      </c>
      <c r="V171" s="23">
        <f>((T171-P171)/P171)</f>
        <v>2.6034409785580005E-3</v>
      </c>
      <c r="W171" s="23">
        <f>((U171-Q171)/Q171)</f>
        <v>0</v>
      </c>
      <c r="X171" s="326">
        <v>1908752165.51</v>
      </c>
      <c r="Y171" s="328">
        <v>1000000</v>
      </c>
      <c r="Z171" s="23">
        <f>((X171-T171)/T171)</f>
        <v>-0.16737639872237553</v>
      </c>
      <c r="AA171" s="23">
        <f>((Y171-U171)/U171)</f>
        <v>0</v>
      </c>
      <c r="AB171" s="326">
        <v>1936599109.53</v>
      </c>
      <c r="AC171" s="328">
        <v>1000000</v>
      </c>
      <c r="AD171" s="23">
        <f>((AB171-X171)/X171)</f>
        <v>1.4589083131470632E-2</v>
      </c>
      <c r="AE171" s="23">
        <f>((AC171-Y171)/Y171)</f>
        <v>0</v>
      </c>
      <c r="AF171" s="326">
        <v>1944452686.1800001</v>
      </c>
      <c r="AG171" s="328">
        <v>1000000</v>
      </c>
      <c r="AH171" s="23">
        <f>((AF171-AB171)/AB171)</f>
        <v>4.0553445529085816E-3</v>
      </c>
      <c r="AI171" s="23">
        <f>((AG171-AC171)/AC171)</f>
        <v>0</v>
      </c>
      <c r="AJ171" s="24">
        <f t="shared" si="149"/>
        <v>-1.7002891781119269E-2</v>
      </c>
      <c r="AK171" s="24">
        <f t="shared" si="150"/>
        <v>0</v>
      </c>
      <c r="AL171" s="25">
        <f t="shared" si="151"/>
        <v>-0.14290089633901182</v>
      </c>
      <c r="AM171" s="25">
        <f t="shared" si="152"/>
        <v>0</v>
      </c>
      <c r="AN171" s="384">
        <f t="shared" si="153"/>
        <v>6.0902458223490115E-2</v>
      </c>
      <c r="AO171" s="385">
        <f t="shared" si="154"/>
        <v>0</v>
      </c>
    </row>
    <row r="172" spans="1:41" s="108" customFormat="1">
      <c r="A172" s="204" t="s">
        <v>42</v>
      </c>
      <c r="B172" s="70">
        <f>SUM(B170:B171)</f>
        <v>94106138873.020004</v>
      </c>
      <c r="C172" s="85"/>
      <c r="D172" s="70">
        <f>SUM(D170:D171)</f>
        <v>94111241250.460007</v>
      </c>
      <c r="E172" s="85"/>
      <c r="F172" s="23"/>
      <c r="G172" s="23"/>
      <c r="H172" s="77">
        <f>SUM(H170:H171)</f>
        <v>94117194024.149994</v>
      </c>
      <c r="I172" s="85"/>
      <c r="J172" s="23"/>
      <c r="K172" s="23"/>
      <c r="L172" s="77">
        <f>SUM(L170:L171)</f>
        <v>94123146797.830002</v>
      </c>
      <c r="M172" s="85"/>
      <c r="N172" s="23"/>
      <c r="O172" s="23"/>
      <c r="P172" s="77">
        <f>SUM(P170:P171)</f>
        <v>94129099571.520004</v>
      </c>
      <c r="Q172" s="85"/>
      <c r="R172" s="23"/>
      <c r="S172" s="23"/>
      <c r="T172" s="77">
        <f>SUM(T170:T171)</f>
        <v>94135052345.199997</v>
      </c>
      <c r="U172" s="85"/>
      <c r="V172" s="23"/>
      <c r="W172" s="23"/>
      <c r="X172" s="77">
        <f>SUM(X170:X171)</f>
        <v>94457403986.509995</v>
      </c>
      <c r="Y172" s="85"/>
      <c r="Z172" s="23"/>
      <c r="AA172" s="23"/>
      <c r="AB172" s="77">
        <f>SUM(AB170:AB171)</f>
        <v>94485250930.529999</v>
      </c>
      <c r="AC172" s="85"/>
      <c r="AD172" s="23"/>
      <c r="AE172" s="23"/>
      <c r="AF172" s="77">
        <f>SUM(AF170:AF171)</f>
        <v>94493104507.179993</v>
      </c>
      <c r="AG172" s="85"/>
      <c r="AH172" s="23"/>
      <c r="AI172" s="23"/>
      <c r="AJ172" s="24"/>
      <c r="AK172" s="24"/>
      <c r="AL172" s="25"/>
      <c r="AM172" s="25"/>
      <c r="AN172" s="384"/>
      <c r="AO172" s="385"/>
    </row>
    <row r="173" spans="1:41" ht="6" customHeight="1">
      <c r="A173" s="203"/>
      <c r="B173" s="85"/>
      <c r="C173" s="85"/>
      <c r="D173" s="85"/>
      <c r="E173" s="85"/>
      <c r="F173" s="23"/>
      <c r="G173" s="23"/>
      <c r="H173" s="85"/>
      <c r="I173" s="85"/>
      <c r="J173" s="23"/>
      <c r="K173" s="23"/>
      <c r="L173" s="85"/>
      <c r="M173" s="85"/>
      <c r="N173" s="23"/>
      <c r="O173" s="23"/>
      <c r="P173" s="85"/>
      <c r="Q173" s="85"/>
      <c r="R173" s="23"/>
      <c r="S173" s="23"/>
      <c r="T173" s="85"/>
      <c r="U173" s="85"/>
      <c r="V173" s="23"/>
      <c r="W173" s="23"/>
      <c r="X173" s="85"/>
      <c r="Y173" s="85"/>
      <c r="Z173" s="23"/>
      <c r="AA173" s="23"/>
      <c r="AB173" s="85"/>
      <c r="AC173" s="85"/>
      <c r="AD173" s="23"/>
      <c r="AE173" s="23"/>
      <c r="AF173" s="85"/>
      <c r="AG173" s="85"/>
      <c r="AH173" s="23"/>
      <c r="AI173" s="23"/>
      <c r="AJ173" s="24"/>
      <c r="AK173" s="24"/>
      <c r="AL173" s="25"/>
      <c r="AM173" s="25"/>
      <c r="AN173" s="26"/>
      <c r="AO173" s="78"/>
    </row>
    <row r="174" spans="1:41" ht="26.25" customHeight="1">
      <c r="A174" s="199" t="s">
        <v>46</v>
      </c>
      <c r="B174" s="458" t="s">
        <v>267</v>
      </c>
      <c r="C174" s="458"/>
      <c r="D174" s="458" t="s">
        <v>273</v>
      </c>
      <c r="E174" s="458"/>
      <c r="F174" s="380" t="s">
        <v>58</v>
      </c>
      <c r="G174" s="380" t="s">
        <v>3</v>
      </c>
      <c r="H174" s="458" t="s">
        <v>274</v>
      </c>
      <c r="I174" s="458"/>
      <c r="J174" s="383" t="s">
        <v>58</v>
      </c>
      <c r="K174" s="383" t="s">
        <v>3</v>
      </c>
      <c r="L174" s="458" t="s">
        <v>275</v>
      </c>
      <c r="M174" s="458"/>
      <c r="N174" s="386" t="s">
        <v>58</v>
      </c>
      <c r="O174" s="386" t="s">
        <v>3</v>
      </c>
      <c r="P174" s="458" t="s">
        <v>276</v>
      </c>
      <c r="Q174" s="458"/>
      <c r="R174" s="387" t="s">
        <v>58</v>
      </c>
      <c r="S174" s="387" t="s">
        <v>3</v>
      </c>
      <c r="T174" s="458" t="s">
        <v>277</v>
      </c>
      <c r="U174" s="458"/>
      <c r="V174" s="388" t="s">
        <v>58</v>
      </c>
      <c r="W174" s="388" t="s">
        <v>3</v>
      </c>
      <c r="X174" s="458" t="s">
        <v>278</v>
      </c>
      <c r="Y174" s="458"/>
      <c r="Z174" s="389" t="s">
        <v>58</v>
      </c>
      <c r="AA174" s="389" t="s">
        <v>3</v>
      </c>
      <c r="AB174" s="458" t="s">
        <v>280</v>
      </c>
      <c r="AC174" s="458"/>
      <c r="AD174" s="391" t="s">
        <v>58</v>
      </c>
      <c r="AE174" s="391" t="s">
        <v>3</v>
      </c>
      <c r="AF174" s="458" t="s">
        <v>283</v>
      </c>
      <c r="AG174" s="458"/>
      <c r="AH174" s="405" t="s">
        <v>58</v>
      </c>
      <c r="AI174" s="405" t="s">
        <v>3</v>
      </c>
      <c r="AJ174" s="305" t="s">
        <v>77</v>
      </c>
      <c r="AK174" s="305" t="s">
        <v>77</v>
      </c>
      <c r="AL174" s="305" t="s">
        <v>77</v>
      </c>
      <c r="AM174" s="305" t="s">
        <v>77</v>
      </c>
      <c r="AN174" s="15" t="s">
        <v>77</v>
      </c>
      <c r="AO174" s="16" t="s">
        <v>77</v>
      </c>
    </row>
    <row r="175" spans="1:41">
      <c r="A175" s="203" t="s">
        <v>140</v>
      </c>
      <c r="B175" s="324">
        <v>569226791.08032751</v>
      </c>
      <c r="C175" s="328">
        <v>133.87</v>
      </c>
      <c r="D175" s="324">
        <v>600047009.96603644</v>
      </c>
      <c r="E175" s="328">
        <v>141.12</v>
      </c>
      <c r="F175" s="23">
        <f t="shared" ref="F175:F186" si="185">((D175-B175)/B175)</f>
        <v>5.4144006165303057E-2</v>
      </c>
      <c r="G175" s="23">
        <f t="shared" ref="G175:G186" si="186">((E175-C175)/C175)</f>
        <v>5.4157018002539775E-2</v>
      </c>
      <c r="H175" s="324">
        <v>601039980.77340233</v>
      </c>
      <c r="I175" s="328">
        <v>141.34869580983082</v>
      </c>
      <c r="J175" s="23">
        <f t="shared" ref="J175:J186" si="187">((H175-D175)/D175)</f>
        <v>1.6548216904240518E-3</v>
      </c>
      <c r="K175" s="23">
        <f t="shared" ref="K175:K186" si="188">((I175-E175)/E175)</f>
        <v>1.6205768837217298E-3</v>
      </c>
      <c r="L175" s="324">
        <v>617211849.94737208</v>
      </c>
      <c r="M175" s="328">
        <v>145.07259860020719</v>
      </c>
      <c r="N175" s="23">
        <f t="shared" ref="N175:N186" si="189">((L175-H175)/H175)</f>
        <v>2.690647825650502E-2</v>
      </c>
      <c r="O175" s="23">
        <f t="shared" ref="O175:O186" si="190">((M175-I175)/I175)</f>
        <v>2.6345505128582684E-2</v>
      </c>
      <c r="P175" s="324">
        <v>649885509.48000002</v>
      </c>
      <c r="Q175" s="328">
        <v>149.62254160930124</v>
      </c>
      <c r="R175" s="23">
        <f t="shared" ref="R175:R186" si="191">((P175-L175)/L175)</f>
        <v>5.2937511707550546E-2</v>
      </c>
      <c r="S175" s="23">
        <f t="shared" ref="S175:S186" si="192">((Q175-M175)/M175)</f>
        <v>3.1363214369881376E-2</v>
      </c>
      <c r="T175" s="324">
        <v>645539221.20000291</v>
      </c>
      <c r="U175" s="328">
        <v>151.6</v>
      </c>
      <c r="V175" s="23">
        <f t="shared" ref="V175:V186" si="193">((T175-P175)/P175)</f>
        <v>-6.6877753336503122E-3</v>
      </c>
      <c r="W175" s="23">
        <f t="shared" ref="W175:W186" si="194">((U175-Q175)/Q175)</f>
        <v>1.3216313327054386E-2</v>
      </c>
      <c r="X175" s="324">
        <v>682684240.78999996</v>
      </c>
      <c r="Y175" s="328">
        <v>157.16999999999999</v>
      </c>
      <c r="Z175" s="23">
        <f t="shared" ref="Z175:Z186" si="195">((X175-T175)/T175)</f>
        <v>5.7541073214649296E-2</v>
      </c>
      <c r="AA175" s="23">
        <f t="shared" ref="AA175:AA186" si="196">((Y175-U175)/U175)</f>
        <v>3.6741424802110775E-2</v>
      </c>
      <c r="AB175" s="324">
        <v>650895364.13663208</v>
      </c>
      <c r="AC175" s="328">
        <v>152.83000000000001</v>
      </c>
      <c r="AD175" s="23">
        <f t="shared" ref="AD175:AD186" si="197">((AB175-X175)/X175)</f>
        <v>-4.6564538558238715E-2</v>
      </c>
      <c r="AE175" s="23">
        <f t="shared" ref="AE175:AE186" si="198">((AC175-Y175)/Y175)</f>
        <v>-2.7613412228796687E-2</v>
      </c>
      <c r="AF175" s="324">
        <v>652364003.98888946</v>
      </c>
      <c r="AG175" s="328">
        <v>152.83000000000001</v>
      </c>
      <c r="AH175" s="23">
        <f t="shared" ref="AH175:AH186" si="199">((AF175-AB175)/AB175)</f>
        <v>2.2563378588591129E-3</v>
      </c>
      <c r="AI175" s="23">
        <f t="shared" ref="AI175:AI186" si="200">((AG175-AC175)/AC175)</f>
        <v>0</v>
      </c>
      <c r="AJ175" s="24">
        <f t="shared" ref="AJ175" si="201">AVERAGE(F175,J175,N175,R175,V175,Z175,AD175,AH175)</f>
        <v>1.7773489375175259E-2</v>
      </c>
      <c r="AK175" s="24">
        <f t="shared" ref="AK175" si="202">AVERAGE(G175,K175,O175,S175,W175,AA175,AE175,AI175)</f>
        <v>1.6978830035636754E-2</v>
      </c>
      <c r="AL175" s="25">
        <f t="shared" ref="AL175" si="203">((AF175-D175)/D175)</f>
        <v>8.7188158850777769E-2</v>
      </c>
      <c r="AM175" s="25">
        <f t="shared" ref="AM175" si="204">((AG175-E175)/E175)</f>
        <v>8.2979024943310706E-2</v>
      </c>
      <c r="AN175" s="384">
        <f t="shared" ref="AN175" si="205">STDEV(F175,J175,N175,R175,V175,Z175,AD175,AH175)</f>
        <v>3.6766685069768164E-2</v>
      </c>
      <c r="AO175" s="385">
        <f t="shared" ref="AO175" si="206">STDEV(G175,K175,O175,S175,W175,AA175,AE175,AI175)</f>
        <v>2.5618643152394059E-2</v>
      </c>
    </row>
    <row r="176" spans="1:41">
      <c r="A176" s="203" t="s">
        <v>47</v>
      </c>
      <c r="B176" s="324">
        <v>632300744.70000005</v>
      </c>
      <c r="C176" s="328">
        <v>18.93</v>
      </c>
      <c r="D176" s="324">
        <v>671920271.25</v>
      </c>
      <c r="E176" s="328">
        <v>20.12</v>
      </c>
      <c r="F176" s="23">
        <f t="shared" si="185"/>
        <v>6.265930711310129E-2</v>
      </c>
      <c r="G176" s="23">
        <f t="shared" si="186"/>
        <v>6.2863180137348193E-2</v>
      </c>
      <c r="H176" s="324">
        <v>663747720.25</v>
      </c>
      <c r="I176" s="328">
        <v>19.87</v>
      </c>
      <c r="J176" s="23">
        <f t="shared" si="187"/>
        <v>-1.2162977290142294E-2</v>
      </c>
      <c r="K176" s="23">
        <f t="shared" si="188"/>
        <v>-1.2425447316103379E-2</v>
      </c>
      <c r="L176" s="324">
        <v>676825315.63999999</v>
      </c>
      <c r="M176" s="328">
        <v>20.260000000000002</v>
      </c>
      <c r="N176" s="23">
        <f t="shared" si="189"/>
        <v>1.9702659596441734E-2</v>
      </c>
      <c r="O176" s="23">
        <f t="shared" si="190"/>
        <v>1.9627579265223984E-2</v>
      </c>
      <c r="P176" s="324">
        <v>681334958.57000005</v>
      </c>
      <c r="Q176" s="328">
        <v>20.260000000000002</v>
      </c>
      <c r="R176" s="23">
        <f t="shared" si="191"/>
        <v>6.6629347717819757E-3</v>
      </c>
      <c r="S176" s="23">
        <f t="shared" si="192"/>
        <v>0</v>
      </c>
      <c r="T176" s="324">
        <v>684264794.10000002</v>
      </c>
      <c r="U176" s="328">
        <v>20.399999999999999</v>
      </c>
      <c r="V176" s="23">
        <f t="shared" si="193"/>
        <v>4.3001397376543999E-3</v>
      </c>
      <c r="W176" s="23">
        <f t="shared" si="194"/>
        <v>6.9101678183611549E-3</v>
      </c>
      <c r="X176" s="324">
        <v>693707418.95000005</v>
      </c>
      <c r="Y176" s="328">
        <v>20.49</v>
      </c>
      <c r="Z176" s="23">
        <f t="shared" si="195"/>
        <v>1.3799664883270404E-2</v>
      </c>
      <c r="AA176" s="23">
        <f t="shared" si="196"/>
        <v>4.4117647058823459E-3</v>
      </c>
      <c r="AB176" s="324">
        <v>701848406</v>
      </c>
      <c r="AC176" s="328">
        <v>21.01</v>
      </c>
      <c r="AD176" s="23">
        <f t="shared" si="197"/>
        <v>1.1735476409236334E-2</v>
      </c>
      <c r="AE176" s="23">
        <f t="shared" si="198"/>
        <v>2.5378233284529192E-2</v>
      </c>
      <c r="AF176" s="324">
        <v>692410486.17999995</v>
      </c>
      <c r="AG176" s="328">
        <v>21.01</v>
      </c>
      <c r="AH176" s="23">
        <f t="shared" si="199"/>
        <v>-1.3447234102573501E-2</v>
      </c>
      <c r="AI176" s="23">
        <f t="shared" si="200"/>
        <v>0</v>
      </c>
      <c r="AJ176" s="24">
        <f t="shared" ref="AJ176:AJ188" si="207">AVERAGE(F176,J176,N176,R176,V176,Z176,AD176,AH176)</f>
        <v>1.1656246389846293E-2</v>
      </c>
      <c r="AK176" s="24">
        <f t="shared" ref="AK176:AK188" si="208">AVERAGE(G176,K176,O176,S176,W176,AA176,AE176,AI176)</f>
        <v>1.3345684736905186E-2</v>
      </c>
      <c r="AL176" s="25">
        <f t="shared" ref="AL176:AL188" si="209">((AF176-D176)/D176)</f>
        <v>3.0495009313949089E-2</v>
      </c>
      <c r="AM176" s="25">
        <f t="shared" ref="AM176:AM188" si="210">((AG176-E176)/E176)</f>
        <v>4.4234592445328055E-2</v>
      </c>
      <c r="AN176" s="384">
        <f t="shared" ref="AN176:AN188" si="211">STDEV(F176,J176,N176,R176,V176,Z176,AD176,AH176)</f>
        <v>2.3746407561112969E-2</v>
      </c>
      <c r="AO176" s="385">
        <f t="shared" ref="AO176:AO188" si="212">STDEV(G176,K176,O176,S176,W176,AA176,AE176,AI176)</f>
        <v>2.3231208777251273E-2</v>
      </c>
    </row>
    <row r="177" spans="1:41">
      <c r="A177" s="203" t="s">
        <v>183</v>
      </c>
      <c r="B177" s="324">
        <v>220748538.19999999</v>
      </c>
      <c r="C177" s="328">
        <v>17.5</v>
      </c>
      <c r="D177" s="324">
        <v>237232187.46000001</v>
      </c>
      <c r="E177" s="328">
        <v>17.5</v>
      </c>
      <c r="F177" s="23">
        <f t="shared" si="185"/>
        <v>7.4671612298812598E-2</v>
      </c>
      <c r="G177" s="23">
        <f t="shared" si="186"/>
        <v>0</v>
      </c>
      <c r="H177" s="324">
        <v>240319338.08000001</v>
      </c>
      <c r="I177" s="328">
        <v>17.5</v>
      </c>
      <c r="J177" s="23">
        <f t="shared" si="187"/>
        <v>1.3013203027184212E-2</v>
      </c>
      <c r="K177" s="23">
        <f t="shared" si="188"/>
        <v>0</v>
      </c>
      <c r="L177" s="324">
        <v>246391525.16</v>
      </c>
      <c r="M177" s="328">
        <v>17.5</v>
      </c>
      <c r="N177" s="23">
        <f t="shared" si="189"/>
        <v>2.5267159640638699E-2</v>
      </c>
      <c r="O177" s="23">
        <f t="shared" si="190"/>
        <v>0</v>
      </c>
      <c r="P177" s="324">
        <v>269798324.99000001</v>
      </c>
      <c r="Q177" s="328">
        <v>19.25</v>
      </c>
      <c r="R177" s="23">
        <f t="shared" si="191"/>
        <v>9.4998396616118475E-2</v>
      </c>
      <c r="S177" s="23">
        <f t="shared" si="192"/>
        <v>0.1</v>
      </c>
      <c r="T177" s="324">
        <v>254765088.81</v>
      </c>
      <c r="U177" s="328">
        <v>19.25</v>
      </c>
      <c r="V177" s="23">
        <f t="shared" si="193"/>
        <v>-5.5720272468545565E-2</v>
      </c>
      <c r="W177" s="23">
        <f t="shared" si="194"/>
        <v>0</v>
      </c>
      <c r="X177" s="324">
        <v>263432307.55000001</v>
      </c>
      <c r="Y177" s="328">
        <v>19.25</v>
      </c>
      <c r="Z177" s="23">
        <f t="shared" si="195"/>
        <v>3.4020433413715849E-2</v>
      </c>
      <c r="AA177" s="23">
        <f t="shared" si="196"/>
        <v>0</v>
      </c>
      <c r="AB177" s="324">
        <v>268120408.99000001</v>
      </c>
      <c r="AC177" s="328">
        <v>19.25</v>
      </c>
      <c r="AD177" s="23">
        <f t="shared" si="197"/>
        <v>1.7796228122513736E-2</v>
      </c>
      <c r="AE177" s="23">
        <f t="shared" si="198"/>
        <v>0</v>
      </c>
      <c r="AF177" s="324">
        <v>261176003.83000001</v>
      </c>
      <c r="AG177" s="328">
        <v>19.25</v>
      </c>
      <c r="AH177" s="23">
        <f t="shared" si="199"/>
        <v>-2.5900322866727388E-2</v>
      </c>
      <c r="AI177" s="23">
        <f t="shared" si="200"/>
        <v>0</v>
      </c>
      <c r="AJ177" s="24">
        <f t="shared" si="207"/>
        <v>2.226830472296383E-2</v>
      </c>
      <c r="AK177" s="24">
        <f t="shared" si="208"/>
        <v>1.2500000000000001E-2</v>
      </c>
      <c r="AL177" s="25">
        <f t="shared" si="209"/>
        <v>0.10092988066401065</v>
      </c>
      <c r="AM177" s="25">
        <f t="shared" si="210"/>
        <v>0.1</v>
      </c>
      <c r="AN177" s="384">
        <f t="shared" si="211"/>
        <v>4.8830566837947613E-2</v>
      </c>
      <c r="AO177" s="385">
        <f t="shared" si="212"/>
        <v>3.5355339059327376E-2</v>
      </c>
    </row>
    <row r="178" spans="1:41">
      <c r="A178" s="203" t="s">
        <v>182</v>
      </c>
      <c r="B178" s="324">
        <v>299628645.58999997</v>
      </c>
      <c r="C178" s="328">
        <v>16.5</v>
      </c>
      <c r="D178" s="324">
        <v>319540355.49000001</v>
      </c>
      <c r="E178" s="328">
        <v>16.5</v>
      </c>
      <c r="F178" s="23">
        <f t="shared" si="185"/>
        <v>6.6454627062748989E-2</v>
      </c>
      <c r="G178" s="23">
        <f t="shared" si="186"/>
        <v>0</v>
      </c>
      <c r="H178" s="324">
        <v>327220966.83999997</v>
      </c>
      <c r="I178" s="328">
        <v>16.5</v>
      </c>
      <c r="J178" s="23">
        <f t="shared" si="187"/>
        <v>2.4036436143478997E-2</v>
      </c>
      <c r="K178" s="23">
        <f t="shared" si="188"/>
        <v>0</v>
      </c>
      <c r="L178" s="324">
        <v>347333512.25</v>
      </c>
      <c r="M178" s="328">
        <v>16.5</v>
      </c>
      <c r="N178" s="23">
        <f t="shared" si="189"/>
        <v>6.1464720932245101E-2</v>
      </c>
      <c r="O178" s="23">
        <f t="shared" si="190"/>
        <v>0</v>
      </c>
      <c r="P178" s="324">
        <v>378558374.58999997</v>
      </c>
      <c r="Q178" s="328">
        <v>26.55</v>
      </c>
      <c r="R178" s="23">
        <f t="shared" si="191"/>
        <v>8.989878960347851E-2</v>
      </c>
      <c r="S178" s="23">
        <f t="shared" si="192"/>
        <v>0.60909090909090913</v>
      </c>
      <c r="T178" s="324">
        <v>333878788.29000002</v>
      </c>
      <c r="U178" s="328">
        <v>27.77</v>
      </c>
      <c r="V178" s="23">
        <f t="shared" si="193"/>
        <v>-0.11802561850174484</v>
      </c>
      <c r="W178" s="23">
        <f t="shared" si="194"/>
        <v>4.5951035781544212E-2</v>
      </c>
      <c r="X178" s="324">
        <v>375529786.19</v>
      </c>
      <c r="Y178" s="328">
        <v>27.77</v>
      </c>
      <c r="Z178" s="23">
        <f t="shared" si="195"/>
        <v>0.12474885904947877</v>
      </c>
      <c r="AA178" s="23">
        <f t="shared" si="196"/>
        <v>0</v>
      </c>
      <c r="AB178" s="324">
        <v>373153756.23000002</v>
      </c>
      <c r="AC178" s="328">
        <v>27.77</v>
      </c>
      <c r="AD178" s="23">
        <f t="shared" si="197"/>
        <v>-6.3271411413363138E-3</v>
      </c>
      <c r="AE178" s="23">
        <f t="shared" si="198"/>
        <v>0</v>
      </c>
      <c r="AF178" s="324">
        <v>370231469.66000003</v>
      </c>
      <c r="AG178" s="328">
        <v>27.8</v>
      </c>
      <c r="AH178" s="23">
        <f t="shared" si="199"/>
        <v>-7.8313202566257668E-3</v>
      </c>
      <c r="AI178" s="23">
        <f t="shared" si="200"/>
        <v>1.0803024846957558E-3</v>
      </c>
      <c r="AJ178" s="24">
        <f t="shared" si="207"/>
        <v>2.9302419111465434E-2</v>
      </c>
      <c r="AK178" s="24">
        <f t="shared" si="208"/>
        <v>8.2015280919643635E-2</v>
      </c>
      <c r="AL178" s="25">
        <f t="shared" si="209"/>
        <v>0.15863759709557684</v>
      </c>
      <c r="AM178" s="25">
        <f t="shared" si="210"/>
        <v>0.68484848484848493</v>
      </c>
      <c r="AN178" s="384">
        <f t="shared" si="211"/>
        <v>7.5193374171015542E-2</v>
      </c>
      <c r="AO178" s="385">
        <f t="shared" si="212"/>
        <v>0.21357245336199168</v>
      </c>
    </row>
    <row r="179" spans="1:41">
      <c r="A179" s="203" t="s">
        <v>32</v>
      </c>
      <c r="B179" s="324">
        <v>906696972.03999996</v>
      </c>
      <c r="C179" s="328">
        <v>16979.98</v>
      </c>
      <c r="D179" s="324">
        <v>750326200</v>
      </c>
      <c r="E179" s="328">
        <v>16900</v>
      </c>
      <c r="F179" s="23">
        <f t="shared" si="185"/>
        <v>-0.17246199872949558</v>
      </c>
      <c r="G179" s="23">
        <f t="shared" si="186"/>
        <v>-4.7102528978243538E-3</v>
      </c>
      <c r="H179" s="324">
        <v>679289400</v>
      </c>
      <c r="I179" s="328">
        <v>15300</v>
      </c>
      <c r="J179" s="23">
        <f t="shared" si="187"/>
        <v>-9.4674556213017749E-2</v>
      </c>
      <c r="K179" s="23">
        <f t="shared" si="188"/>
        <v>-9.4674556213017749E-2</v>
      </c>
      <c r="L179" s="324">
        <v>750326200</v>
      </c>
      <c r="M179" s="328">
        <v>16900</v>
      </c>
      <c r="N179" s="23">
        <f t="shared" si="189"/>
        <v>0.10457516339869281</v>
      </c>
      <c r="O179" s="23">
        <f t="shared" si="190"/>
        <v>0.10457516339869281</v>
      </c>
      <c r="P179" s="324">
        <v>750326200</v>
      </c>
      <c r="Q179" s="328">
        <v>16900</v>
      </c>
      <c r="R179" s="23">
        <f t="shared" si="191"/>
        <v>0</v>
      </c>
      <c r="S179" s="23">
        <f t="shared" si="192"/>
        <v>0</v>
      </c>
      <c r="T179" s="324">
        <v>621572000</v>
      </c>
      <c r="U179" s="328">
        <v>14000</v>
      </c>
      <c r="V179" s="23">
        <f t="shared" si="193"/>
        <v>-0.17159763313609466</v>
      </c>
      <c r="W179" s="23">
        <f t="shared" si="194"/>
        <v>-0.17159763313609466</v>
      </c>
      <c r="X179" s="324">
        <v>628231700</v>
      </c>
      <c r="Y179" s="328">
        <v>14150</v>
      </c>
      <c r="Z179" s="23">
        <f t="shared" si="195"/>
        <v>1.0714285714285714E-2</v>
      </c>
      <c r="AA179" s="23">
        <f t="shared" si="196"/>
        <v>1.0714285714285714E-2</v>
      </c>
      <c r="AB179" s="324">
        <v>701395164.20000005</v>
      </c>
      <c r="AC179" s="328">
        <v>15797.9</v>
      </c>
      <c r="AD179" s="23">
        <f t="shared" si="197"/>
        <v>0.11645936395759725</v>
      </c>
      <c r="AE179" s="23">
        <f t="shared" si="198"/>
        <v>0.11645936395759715</v>
      </c>
      <c r="AF179" s="324">
        <v>696249436</v>
      </c>
      <c r="AG179" s="328">
        <v>15682</v>
      </c>
      <c r="AH179" s="23">
        <f t="shared" si="199"/>
        <v>-7.3364181315238777E-3</v>
      </c>
      <c r="AI179" s="23">
        <f t="shared" si="200"/>
        <v>-7.3364181315237875E-3</v>
      </c>
      <c r="AJ179" s="24">
        <f t="shared" si="207"/>
        <v>-2.6790224142444505E-2</v>
      </c>
      <c r="AK179" s="24">
        <f t="shared" si="208"/>
        <v>-5.8212559134856127E-3</v>
      </c>
      <c r="AL179" s="25">
        <f t="shared" si="209"/>
        <v>-7.2071005917159758E-2</v>
      </c>
      <c r="AM179" s="25">
        <f t="shared" si="210"/>
        <v>-7.2071005917159758E-2</v>
      </c>
      <c r="AN179" s="384">
        <f t="shared" si="211"/>
        <v>0.11153333814452975</v>
      </c>
      <c r="AO179" s="385">
        <f t="shared" si="212"/>
        <v>9.4738344035227601E-2</v>
      </c>
    </row>
    <row r="180" spans="1:41">
      <c r="A180" s="203" t="s">
        <v>94</v>
      </c>
      <c r="B180" s="324">
        <v>744520289.48000002</v>
      </c>
      <c r="C180" s="328">
        <v>80</v>
      </c>
      <c r="D180" s="324">
        <v>806990931.40999997</v>
      </c>
      <c r="E180" s="328">
        <v>80</v>
      </c>
      <c r="F180" s="23">
        <f t="shared" si="185"/>
        <v>8.3907239080927815E-2</v>
      </c>
      <c r="G180" s="23">
        <f t="shared" si="186"/>
        <v>0</v>
      </c>
      <c r="H180" s="324">
        <v>812581911.92999995</v>
      </c>
      <c r="I180" s="328">
        <v>83</v>
      </c>
      <c r="J180" s="23">
        <f t="shared" si="187"/>
        <v>6.9281825884105587E-3</v>
      </c>
      <c r="K180" s="23">
        <f t="shared" si="188"/>
        <v>3.7499999999999999E-2</v>
      </c>
      <c r="L180" s="324">
        <v>848051631.63</v>
      </c>
      <c r="M180" s="328">
        <v>80</v>
      </c>
      <c r="N180" s="23">
        <f t="shared" si="189"/>
        <v>4.3650639005431854E-2</v>
      </c>
      <c r="O180" s="23">
        <f t="shared" si="190"/>
        <v>-3.614457831325301E-2</v>
      </c>
      <c r="P180" s="324">
        <v>891484499.08000004</v>
      </c>
      <c r="Q180" s="328">
        <v>80</v>
      </c>
      <c r="R180" s="23">
        <f t="shared" si="191"/>
        <v>5.1214885780621382E-2</v>
      </c>
      <c r="S180" s="23">
        <f t="shared" si="192"/>
        <v>0</v>
      </c>
      <c r="T180" s="324">
        <v>864910028.80999994</v>
      </c>
      <c r="U180" s="328">
        <v>88</v>
      </c>
      <c r="V180" s="23">
        <f t="shared" si="193"/>
        <v>-2.9809234257493645E-2</v>
      </c>
      <c r="W180" s="23">
        <f t="shared" si="194"/>
        <v>0.1</v>
      </c>
      <c r="X180" s="324">
        <v>904521541.37</v>
      </c>
      <c r="Y180" s="328">
        <v>85</v>
      </c>
      <c r="Z180" s="23">
        <f t="shared" si="195"/>
        <v>4.5798419766851568E-2</v>
      </c>
      <c r="AA180" s="23">
        <f t="shared" si="196"/>
        <v>-3.4090909090909088E-2</v>
      </c>
      <c r="AB180" s="324">
        <v>913584473.54999995</v>
      </c>
      <c r="AC180" s="328">
        <v>85</v>
      </c>
      <c r="AD180" s="23">
        <f t="shared" si="197"/>
        <v>1.0019586892616304E-2</v>
      </c>
      <c r="AE180" s="23">
        <f t="shared" si="198"/>
        <v>0</v>
      </c>
      <c r="AF180" s="324">
        <v>904419756.62</v>
      </c>
      <c r="AG180" s="328">
        <v>93.5</v>
      </c>
      <c r="AH180" s="23">
        <f t="shared" si="199"/>
        <v>-1.0031603201822987E-2</v>
      </c>
      <c r="AI180" s="23">
        <f t="shared" si="200"/>
        <v>0.1</v>
      </c>
      <c r="AJ180" s="24">
        <f t="shared" si="207"/>
        <v>2.5209764456942858E-2</v>
      </c>
      <c r="AK180" s="24">
        <f t="shared" si="208"/>
        <v>2.0908064074479739E-2</v>
      </c>
      <c r="AL180" s="25">
        <f t="shared" si="209"/>
        <v>0.12073100380418071</v>
      </c>
      <c r="AM180" s="25">
        <f t="shared" si="210"/>
        <v>0.16875000000000001</v>
      </c>
      <c r="AN180" s="384">
        <f t="shared" si="211"/>
        <v>3.7262812538444948E-2</v>
      </c>
      <c r="AO180" s="385">
        <f t="shared" si="212"/>
        <v>5.3954601918580071E-2</v>
      </c>
    </row>
    <row r="181" spans="1:41">
      <c r="A181" s="203" t="s">
        <v>40</v>
      </c>
      <c r="B181" s="324">
        <v>511325499.58999997</v>
      </c>
      <c r="C181" s="328">
        <v>260</v>
      </c>
      <c r="D181" s="324">
        <v>539342500.90999997</v>
      </c>
      <c r="E181" s="328">
        <v>252</v>
      </c>
      <c r="F181" s="23">
        <f t="shared" si="185"/>
        <v>5.4792888957161494E-2</v>
      </c>
      <c r="G181" s="23">
        <f t="shared" si="186"/>
        <v>-3.0769230769230771E-2</v>
      </c>
      <c r="H181" s="324">
        <v>534563252.25999999</v>
      </c>
      <c r="I181" s="328">
        <v>245</v>
      </c>
      <c r="J181" s="23">
        <f t="shared" si="187"/>
        <v>-8.8612498401966083E-3</v>
      </c>
      <c r="K181" s="23">
        <f t="shared" si="188"/>
        <v>-2.7777777777777776E-2</v>
      </c>
      <c r="L181" s="324">
        <v>549661896.79999995</v>
      </c>
      <c r="M181" s="328">
        <v>242.55</v>
      </c>
      <c r="N181" s="23">
        <f t="shared" si="189"/>
        <v>2.8244823182601238E-2</v>
      </c>
      <c r="O181" s="23">
        <f t="shared" si="190"/>
        <v>-9.9999999999999534E-3</v>
      </c>
      <c r="P181" s="324">
        <v>569847707.58000004</v>
      </c>
      <c r="Q181" s="328">
        <v>241</v>
      </c>
      <c r="R181" s="23">
        <f t="shared" si="191"/>
        <v>3.6724049633996919E-2</v>
      </c>
      <c r="S181" s="23">
        <f t="shared" si="192"/>
        <v>-6.3904349618635796E-3</v>
      </c>
      <c r="T181" s="324">
        <v>565315933.38</v>
      </c>
      <c r="U181" s="328">
        <v>260.98</v>
      </c>
      <c r="V181" s="23">
        <f t="shared" si="193"/>
        <v>-7.9526058273452632E-3</v>
      </c>
      <c r="W181" s="23">
        <f t="shared" si="194"/>
        <v>8.2904564315352772E-2</v>
      </c>
      <c r="X181" s="324">
        <v>585239895.66999996</v>
      </c>
      <c r="Y181" s="328">
        <v>260</v>
      </c>
      <c r="Z181" s="23">
        <f t="shared" si="195"/>
        <v>3.52439425700872E-2</v>
      </c>
      <c r="AA181" s="23">
        <f t="shared" si="196"/>
        <v>-3.7550770173960385E-3</v>
      </c>
      <c r="AB181" s="324">
        <v>585327326.66999996</v>
      </c>
      <c r="AC181" s="328">
        <v>220.5</v>
      </c>
      <c r="AD181" s="23">
        <f t="shared" si="197"/>
        <v>1.4939343788226603E-4</v>
      </c>
      <c r="AE181" s="23">
        <f t="shared" si="198"/>
        <v>-0.15192307692307691</v>
      </c>
      <c r="AF181" s="324">
        <v>577083235.82000005</v>
      </c>
      <c r="AG181" s="328">
        <v>237.6</v>
      </c>
      <c r="AH181" s="23">
        <f t="shared" si="199"/>
        <v>-1.4084582206167554E-2</v>
      </c>
      <c r="AI181" s="23">
        <f t="shared" si="200"/>
        <v>7.7551020408163238E-2</v>
      </c>
      <c r="AJ181" s="24">
        <f t="shared" si="207"/>
        <v>1.5532082488502458E-2</v>
      </c>
      <c r="AK181" s="24">
        <f t="shared" si="208"/>
        <v>-8.770001590728627E-3</v>
      </c>
      <c r="AL181" s="25">
        <f t="shared" si="209"/>
        <v>6.9975451306586126E-2</v>
      </c>
      <c r="AM181" s="25">
        <f t="shared" si="210"/>
        <v>-5.7142857142857169E-2</v>
      </c>
      <c r="AN181" s="384">
        <f t="shared" si="211"/>
        <v>2.6188931133351624E-2</v>
      </c>
      <c r="AO181" s="385">
        <f t="shared" si="212"/>
        <v>7.2924554156078777E-2</v>
      </c>
    </row>
    <row r="182" spans="1:41">
      <c r="A182" s="203" t="s">
        <v>50</v>
      </c>
      <c r="B182" s="324">
        <v>189347894.22</v>
      </c>
      <c r="C182" s="328">
        <v>8.5299999999999994</v>
      </c>
      <c r="D182" s="324">
        <v>197356308</v>
      </c>
      <c r="E182" s="328">
        <v>8.8800000000000008</v>
      </c>
      <c r="F182" s="23">
        <f t="shared" si="185"/>
        <v>4.2294707384995606E-2</v>
      </c>
      <c r="G182" s="23">
        <f t="shared" si="186"/>
        <v>4.103165298944917E-2</v>
      </c>
      <c r="H182" s="324">
        <v>197698435.84999999</v>
      </c>
      <c r="I182" s="328">
        <v>8.9</v>
      </c>
      <c r="J182" s="23">
        <f t="shared" si="187"/>
        <v>1.7335541664064472E-3</v>
      </c>
      <c r="K182" s="23">
        <f t="shared" si="188"/>
        <v>2.2522522522522041E-3</v>
      </c>
      <c r="L182" s="324">
        <v>199877902</v>
      </c>
      <c r="M182" s="328">
        <v>9</v>
      </c>
      <c r="N182" s="23">
        <f t="shared" si="189"/>
        <v>1.1024195212417539E-2</v>
      </c>
      <c r="O182" s="23">
        <f t="shared" si="190"/>
        <v>1.1235955056179735E-2</v>
      </c>
      <c r="P182" s="324">
        <v>199295437.72999999</v>
      </c>
      <c r="Q182" s="328">
        <v>8.98</v>
      </c>
      <c r="R182" s="23">
        <f t="shared" si="191"/>
        <v>-2.9141003791405152E-3</v>
      </c>
      <c r="S182" s="23">
        <f t="shared" si="192"/>
        <v>-2.2222222222221749E-3</v>
      </c>
      <c r="T182" s="324">
        <v>194388024.37</v>
      </c>
      <c r="U182" s="328">
        <v>8.77</v>
      </c>
      <c r="V182" s="23">
        <f t="shared" si="193"/>
        <v>-2.4623811843843681E-2</v>
      </c>
      <c r="W182" s="23">
        <f t="shared" si="194"/>
        <v>-2.3385300668151542E-2</v>
      </c>
      <c r="X182" s="324">
        <v>197699420.80000001</v>
      </c>
      <c r="Y182" s="328">
        <v>8.92</v>
      </c>
      <c r="Z182" s="23">
        <f t="shared" si="195"/>
        <v>1.703498165965751E-2</v>
      </c>
      <c r="AA182" s="23">
        <f t="shared" si="196"/>
        <v>1.7103762827822163E-2</v>
      </c>
      <c r="AB182" s="324">
        <v>192688040.13999999</v>
      </c>
      <c r="AC182" s="328">
        <v>8.7100000000000009</v>
      </c>
      <c r="AD182" s="23">
        <f t="shared" si="197"/>
        <v>-2.5348484278412343E-2</v>
      </c>
      <c r="AE182" s="23">
        <f t="shared" si="198"/>
        <v>-2.3542600896860885E-2</v>
      </c>
      <c r="AF182" s="324">
        <v>197155230.56</v>
      </c>
      <c r="AG182" s="328">
        <v>8.91</v>
      </c>
      <c r="AH182" s="23">
        <f t="shared" si="199"/>
        <v>2.3183537581026419E-2</v>
      </c>
      <c r="AI182" s="23">
        <f t="shared" si="200"/>
        <v>2.2962112514351235E-2</v>
      </c>
      <c r="AJ182" s="24">
        <f t="shared" si="207"/>
        <v>5.2980724378883723E-3</v>
      </c>
      <c r="AK182" s="24">
        <f t="shared" si="208"/>
        <v>5.6794514816024873E-3</v>
      </c>
      <c r="AL182" s="25">
        <f t="shared" si="209"/>
        <v>-1.0188548926442099E-3</v>
      </c>
      <c r="AM182" s="25">
        <f t="shared" si="210"/>
        <v>3.3783783783783061E-3</v>
      </c>
      <c r="AN182" s="384">
        <f t="shared" si="211"/>
        <v>2.3219020993647893E-2</v>
      </c>
      <c r="AO182" s="385">
        <f t="shared" si="212"/>
        <v>2.2305439599695356E-2</v>
      </c>
    </row>
    <row r="183" spans="1:41">
      <c r="A183" s="203" t="s">
        <v>59</v>
      </c>
      <c r="B183" s="75">
        <v>442102801.16000003</v>
      </c>
      <c r="C183" s="328">
        <v>5.31</v>
      </c>
      <c r="D183" s="75">
        <v>498465018.32999998</v>
      </c>
      <c r="E183" s="328">
        <v>5.97</v>
      </c>
      <c r="F183" s="23">
        <f t="shared" si="185"/>
        <v>0.12748667735674918</v>
      </c>
      <c r="G183" s="23">
        <f t="shared" si="186"/>
        <v>0.1242937853107345</v>
      </c>
      <c r="H183" s="75">
        <v>502621024</v>
      </c>
      <c r="I183" s="328">
        <v>6.04</v>
      </c>
      <c r="J183" s="23">
        <f t="shared" si="187"/>
        <v>8.3376074893356036E-3</v>
      </c>
      <c r="K183" s="23">
        <f t="shared" si="188"/>
        <v>1.1725293132328356E-2</v>
      </c>
      <c r="L183" s="75">
        <v>541984872</v>
      </c>
      <c r="M183" s="328">
        <v>6.5</v>
      </c>
      <c r="N183" s="23">
        <f t="shared" si="189"/>
        <v>7.8317153720971283E-2</v>
      </c>
      <c r="O183" s="23">
        <f t="shared" si="190"/>
        <v>7.6158940397350994E-2</v>
      </c>
      <c r="P183" s="75">
        <v>591889585.74000001</v>
      </c>
      <c r="Q183" s="328">
        <v>7.14</v>
      </c>
      <c r="R183" s="23">
        <f t="shared" si="191"/>
        <v>9.2077687622247897E-2</v>
      </c>
      <c r="S183" s="23">
        <f t="shared" si="192"/>
        <v>9.8461538461538406E-2</v>
      </c>
      <c r="T183" s="75">
        <v>513071241.13999999</v>
      </c>
      <c r="U183" s="328">
        <v>6.12</v>
      </c>
      <c r="V183" s="23">
        <f t="shared" si="193"/>
        <v>-0.13316393208956145</v>
      </c>
      <c r="W183" s="23">
        <f t="shared" si="194"/>
        <v>-0.14285714285714279</v>
      </c>
      <c r="X183" s="75">
        <v>588818916.37</v>
      </c>
      <c r="Y183" s="328">
        <v>7.08</v>
      </c>
      <c r="Z183" s="23">
        <f t="shared" si="195"/>
        <v>0.14763578457778148</v>
      </c>
      <c r="AA183" s="23">
        <f t="shared" si="196"/>
        <v>0.15686274509803921</v>
      </c>
      <c r="AB183" s="75">
        <v>576424197.48000002</v>
      </c>
      <c r="AC183" s="328">
        <v>6.93</v>
      </c>
      <c r="AD183" s="23">
        <f t="shared" si="197"/>
        <v>-2.1050137054719611E-2</v>
      </c>
      <c r="AE183" s="23">
        <f t="shared" si="198"/>
        <v>-2.1186440677966153E-2</v>
      </c>
      <c r="AF183" s="75">
        <v>564654288.44000006</v>
      </c>
      <c r="AG183" s="328">
        <v>6.78</v>
      </c>
      <c r="AH183" s="23">
        <f t="shared" si="199"/>
        <v>-2.0418832331216174E-2</v>
      </c>
      <c r="AI183" s="23">
        <f t="shared" si="200"/>
        <v>-2.1645021645021568E-2</v>
      </c>
      <c r="AJ183" s="24">
        <f t="shared" si="207"/>
        <v>3.4902751161448531E-2</v>
      </c>
      <c r="AK183" s="24">
        <f t="shared" si="208"/>
        <v>3.5226712152482617E-2</v>
      </c>
      <c r="AL183" s="25">
        <f t="shared" si="209"/>
        <v>0.13278618895214153</v>
      </c>
      <c r="AM183" s="25">
        <f t="shared" si="210"/>
        <v>0.13567839195979908</v>
      </c>
      <c r="AN183" s="384">
        <f t="shared" si="211"/>
        <v>9.379127594144035E-2</v>
      </c>
      <c r="AO183" s="385">
        <f t="shared" si="212"/>
        <v>9.7895988993853128E-2</v>
      </c>
    </row>
    <row r="184" spans="1:41">
      <c r="A184" s="203" t="s">
        <v>92</v>
      </c>
      <c r="B184" s="324">
        <v>486923907.07999998</v>
      </c>
      <c r="C184" s="328">
        <v>139.32</v>
      </c>
      <c r="D184" s="324">
        <v>488170026.68000001</v>
      </c>
      <c r="E184" s="328">
        <v>139.66999999999999</v>
      </c>
      <c r="F184" s="23">
        <f t="shared" si="185"/>
        <v>2.5591670112744959E-3</v>
      </c>
      <c r="G184" s="23">
        <f t="shared" si="186"/>
        <v>2.5122021246051845E-3</v>
      </c>
      <c r="H184" s="324">
        <v>492336350.33999997</v>
      </c>
      <c r="I184" s="328">
        <v>140.85</v>
      </c>
      <c r="J184" s="23">
        <f t="shared" si="187"/>
        <v>8.5345749068920836E-3</v>
      </c>
      <c r="K184" s="23">
        <f t="shared" si="188"/>
        <v>8.4484857163314026E-3</v>
      </c>
      <c r="L184" s="324">
        <v>507791644.63</v>
      </c>
      <c r="M184" s="328">
        <v>145.24</v>
      </c>
      <c r="N184" s="23">
        <f t="shared" si="189"/>
        <v>3.1391739162316232E-2</v>
      </c>
      <c r="O184" s="23">
        <f t="shared" si="190"/>
        <v>3.1167909123180796E-2</v>
      </c>
      <c r="P184" s="324">
        <v>506953261.63999999</v>
      </c>
      <c r="Q184" s="328">
        <v>145.01</v>
      </c>
      <c r="R184" s="23">
        <f t="shared" si="191"/>
        <v>-1.6510373868220958E-3</v>
      </c>
      <c r="S184" s="23">
        <f t="shared" si="192"/>
        <v>-1.5835857890389574E-3</v>
      </c>
      <c r="T184" s="324">
        <v>512094657.22000003</v>
      </c>
      <c r="U184" s="328">
        <v>146.47</v>
      </c>
      <c r="V184" s="23">
        <f t="shared" si="193"/>
        <v>1.0141754613369219E-2</v>
      </c>
      <c r="W184" s="23">
        <f t="shared" si="194"/>
        <v>1.0068271153713592E-2</v>
      </c>
      <c r="X184" s="324">
        <v>511990968.25999999</v>
      </c>
      <c r="Y184" s="328">
        <v>146.44</v>
      </c>
      <c r="Z184" s="23">
        <f t="shared" si="195"/>
        <v>-2.0248006601539787E-4</v>
      </c>
      <c r="AA184" s="23">
        <f t="shared" si="196"/>
        <v>-2.0482009967912293E-4</v>
      </c>
      <c r="AB184" s="324">
        <v>507339964.98000002</v>
      </c>
      <c r="AC184" s="328">
        <v>145.12</v>
      </c>
      <c r="AD184" s="23">
        <f t="shared" si="197"/>
        <v>-9.0841510267386048E-3</v>
      </c>
      <c r="AE184" s="23">
        <f t="shared" si="198"/>
        <v>-9.0139306200491213E-3</v>
      </c>
      <c r="AF184" s="324">
        <v>506037376.98000002</v>
      </c>
      <c r="AG184" s="328">
        <v>144.75</v>
      </c>
      <c r="AH184" s="23">
        <f t="shared" si="199"/>
        <v>-2.56748549279249E-3</v>
      </c>
      <c r="AI184" s="23">
        <f t="shared" si="200"/>
        <v>-2.549614112458686E-3</v>
      </c>
      <c r="AJ184" s="24">
        <f t="shared" si="207"/>
        <v>4.8902602151854307E-3</v>
      </c>
      <c r="AK184" s="24">
        <f t="shared" si="208"/>
        <v>4.8556146870756371E-3</v>
      </c>
      <c r="AL184" s="25">
        <f t="shared" si="209"/>
        <v>3.6600670511285252E-2</v>
      </c>
      <c r="AM184" s="25">
        <f t="shared" si="210"/>
        <v>3.6371446982172359E-2</v>
      </c>
      <c r="AN184" s="384">
        <f t="shared" si="211"/>
        <v>1.235341666671297E-2</v>
      </c>
      <c r="AO184" s="385">
        <f t="shared" si="212"/>
        <v>1.2260167408579202E-2</v>
      </c>
    </row>
    <row r="185" spans="1:41">
      <c r="A185" s="203" t="s">
        <v>30</v>
      </c>
      <c r="B185" s="324">
        <v>2972993050.9299998</v>
      </c>
      <c r="C185" s="328">
        <v>20.66</v>
      </c>
      <c r="D185" s="324">
        <v>3138143313.6799998</v>
      </c>
      <c r="E185" s="328">
        <v>21.81</v>
      </c>
      <c r="F185" s="23">
        <f t="shared" si="185"/>
        <v>5.5550167767239936E-2</v>
      </c>
      <c r="G185" s="23">
        <f t="shared" si="186"/>
        <v>5.5663117134559466E-2</v>
      </c>
      <c r="H185" s="324">
        <v>3149429292.5500002</v>
      </c>
      <c r="I185" s="328">
        <v>21.85</v>
      </c>
      <c r="J185" s="23">
        <f t="shared" si="187"/>
        <v>3.5963873354036397E-3</v>
      </c>
      <c r="K185" s="23">
        <f t="shared" si="188"/>
        <v>1.8340210912426733E-3</v>
      </c>
      <c r="L185" s="324">
        <v>3235566487.0500002</v>
      </c>
      <c r="M185" s="328">
        <v>22.45</v>
      </c>
      <c r="N185" s="23">
        <f t="shared" si="189"/>
        <v>2.7350096318643574E-2</v>
      </c>
      <c r="O185" s="23">
        <f t="shared" si="190"/>
        <v>2.7459954233409512E-2</v>
      </c>
      <c r="P185" s="324">
        <v>3337665609.6100001</v>
      </c>
      <c r="Q185" s="328">
        <v>23.32</v>
      </c>
      <c r="R185" s="23">
        <f t="shared" si="191"/>
        <v>3.1555254070234837E-2</v>
      </c>
      <c r="S185" s="23">
        <f t="shared" si="192"/>
        <v>3.8752783964365302E-2</v>
      </c>
      <c r="T185" s="324">
        <v>3320048323.1700001</v>
      </c>
      <c r="U185" s="328">
        <v>23.22</v>
      </c>
      <c r="V185" s="23">
        <f t="shared" si="193"/>
        <v>-5.2783257823298254E-3</v>
      </c>
      <c r="W185" s="23">
        <f t="shared" si="194"/>
        <v>-4.288164665523217E-3</v>
      </c>
      <c r="X185" s="324">
        <v>3451333698.3099999</v>
      </c>
      <c r="Y185" s="328">
        <v>24.12</v>
      </c>
      <c r="Z185" s="23">
        <f t="shared" si="195"/>
        <v>3.9543212134529382E-2</v>
      </c>
      <c r="AA185" s="23">
        <f t="shared" si="196"/>
        <v>3.8759689922480717E-2</v>
      </c>
      <c r="AB185" s="324">
        <v>3453776496.79</v>
      </c>
      <c r="AC185" s="328">
        <v>24.14</v>
      </c>
      <c r="AD185" s="23">
        <f t="shared" si="197"/>
        <v>7.0778391588045342E-4</v>
      </c>
      <c r="AE185" s="23">
        <f t="shared" si="198"/>
        <v>8.291873963515577E-4</v>
      </c>
      <c r="AF185" s="324">
        <v>3458506493.6799998</v>
      </c>
      <c r="AG185" s="328">
        <v>24.18</v>
      </c>
      <c r="AH185" s="23">
        <f t="shared" si="199"/>
        <v>1.3695144704343226E-3</v>
      </c>
      <c r="AI185" s="23">
        <f t="shared" si="200"/>
        <v>1.6570008285003788E-3</v>
      </c>
      <c r="AJ185" s="24">
        <f t="shared" si="207"/>
        <v>1.9299261278754538E-2</v>
      </c>
      <c r="AK185" s="24">
        <f t="shared" si="208"/>
        <v>2.0083448738173297E-2</v>
      </c>
      <c r="AL185" s="25">
        <f t="shared" si="209"/>
        <v>0.10208685454340209</v>
      </c>
      <c r="AM185" s="25">
        <f t="shared" si="210"/>
        <v>0.10866574965612109</v>
      </c>
      <c r="AN185" s="384">
        <f t="shared" si="211"/>
        <v>2.2222022405722221E-2</v>
      </c>
      <c r="AO185" s="385">
        <f t="shared" si="212"/>
        <v>2.2850287309251125E-2</v>
      </c>
    </row>
    <row r="186" spans="1:41">
      <c r="A186" s="203" t="s">
        <v>51</v>
      </c>
      <c r="B186" s="75">
        <v>258746211.59</v>
      </c>
      <c r="C186" s="328">
        <v>24.64</v>
      </c>
      <c r="D186" s="75">
        <v>253866320.47999999</v>
      </c>
      <c r="E186" s="328">
        <v>24.24</v>
      </c>
      <c r="F186" s="23">
        <f t="shared" si="185"/>
        <v>-1.8859758680187036E-2</v>
      </c>
      <c r="G186" s="23">
        <f t="shared" si="186"/>
        <v>-1.6233766233766319E-2</v>
      </c>
      <c r="H186" s="75">
        <v>260046065.88</v>
      </c>
      <c r="I186" s="328">
        <v>24.86</v>
      </c>
      <c r="J186" s="23">
        <f t="shared" si="187"/>
        <v>2.4342517701109772E-2</v>
      </c>
      <c r="K186" s="23">
        <f t="shared" si="188"/>
        <v>2.557755775577562E-2</v>
      </c>
      <c r="L186" s="75">
        <v>261535641.59</v>
      </c>
      <c r="M186" s="328">
        <v>25.01</v>
      </c>
      <c r="N186" s="23">
        <f t="shared" si="189"/>
        <v>5.728122457685567E-3</v>
      </c>
      <c r="O186" s="23">
        <f t="shared" si="190"/>
        <v>6.0337892196300133E-3</v>
      </c>
      <c r="P186" s="75">
        <v>266995843.63</v>
      </c>
      <c r="Q186" s="328">
        <v>25.57</v>
      </c>
      <c r="R186" s="23">
        <f t="shared" si="191"/>
        <v>2.0877468198234158E-2</v>
      </c>
      <c r="S186" s="23">
        <f t="shared" si="192"/>
        <v>2.2391043582566921E-2</v>
      </c>
      <c r="T186" s="75">
        <v>290312817.91000003</v>
      </c>
      <c r="U186" s="328">
        <v>27.86</v>
      </c>
      <c r="V186" s="23">
        <f t="shared" si="193"/>
        <v>8.7330851158538808E-2</v>
      </c>
      <c r="W186" s="23">
        <f t="shared" si="194"/>
        <v>8.9558075870160306E-2</v>
      </c>
      <c r="X186" s="75">
        <v>298047576.13999999</v>
      </c>
      <c r="Y186" s="328">
        <v>28.64</v>
      </c>
      <c r="Z186" s="23">
        <f t="shared" si="195"/>
        <v>2.6642840938555509E-2</v>
      </c>
      <c r="AA186" s="23">
        <f t="shared" si="196"/>
        <v>2.7997128499641102E-2</v>
      </c>
      <c r="AB186" s="75">
        <v>296989283.70999998</v>
      </c>
      <c r="AC186" s="328">
        <v>28.55</v>
      </c>
      <c r="AD186" s="23">
        <f t="shared" si="197"/>
        <v>-3.5507499967149612E-3</v>
      </c>
      <c r="AE186" s="23">
        <f t="shared" si="198"/>
        <v>-3.1424581005586542E-3</v>
      </c>
      <c r="AF186" s="75">
        <v>297502295.94999999</v>
      </c>
      <c r="AG186" s="328">
        <v>28.55</v>
      </c>
      <c r="AH186" s="23">
        <f t="shared" si="199"/>
        <v>1.7273762662121798E-3</v>
      </c>
      <c r="AI186" s="23">
        <f t="shared" si="200"/>
        <v>0</v>
      </c>
      <c r="AJ186" s="24">
        <f t="shared" si="207"/>
        <v>1.8029833505429249E-2</v>
      </c>
      <c r="AK186" s="24">
        <f t="shared" si="208"/>
        <v>1.9022671324181121E-2</v>
      </c>
      <c r="AL186" s="25">
        <f t="shared" si="209"/>
        <v>0.17188564196895001</v>
      </c>
      <c r="AM186" s="25">
        <f t="shared" si="210"/>
        <v>0.17780528052805292</v>
      </c>
      <c r="AN186" s="384">
        <f t="shared" si="211"/>
        <v>3.2000981575460045E-2</v>
      </c>
      <c r="AO186" s="385">
        <f t="shared" si="212"/>
        <v>3.2458719009553251E-2</v>
      </c>
    </row>
    <row r="187" spans="1:41" ht="15.75" thickBot="1">
      <c r="A187" s="204" t="s">
        <v>33</v>
      </c>
      <c r="B187" s="70">
        <f>SUM(B175:B186)</f>
        <v>8234561345.6603279</v>
      </c>
      <c r="C187" s="307"/>
      <c r="D187" s="70">
        <f>SUM(D175:D186)</f>
        <v>8501400443.6560364</v>
      </c>
      <c r="E187" s="307"/>
      <c r="F187" s="23">
        <f>((D187-B187)/B187)</f>
        <v>3.2404773830039479E-2</v>
      </c>
      <c r="G187" s="210"/>
      <c r="H187" s="77">
        <f>SUM(H175:H186)</f>
        <v>8460893738.7534027</v>
      </c>
      <c r="I187" s="307"/>
      <c r="J187" s="23">
        <f>((H187-D187)/D187)</f>
        <v>-4.7647096700239328E-3</v>
      </c>
      <c r="K187" s="210"/>
      <c r="L187" s="77">
        <f>SUM(L175:L186)</f>
        <v>8782558478.6973724</v>
      </c>
      <c r="M187" s="307"/>
      <c r="N187" s="23">
        <f>((L187-H187)/H187)</f>
        <v>3.8017820560805514E-2</v>
      </c>
      <c r="O187" s="210"/>
      <c r="P187" s="77">
        <f>SUM(P175:P186)</f>
        <v>9094035312.6399994</v>
      </c>
      <c r="Q187" s="307"/>
      <c r="R187" s="23">
        <f>((P187-L187)/L187)</f>
        <v>3.546538684577312E-2</v>
      </c>
      <c r="S187" s="210"/>
      <c r="T187" s="77">
        <f>SUM(T175:T186)</f>
        <v>8800160918.4000034</v>
      </c>
      <c r="U187" s="307"/>
      <c r="V187" s="23">
        <f>((T187-P187)/P187)</f>
        <v>-3.2315070718004962E-2</v>
      </c>
      <c r="W187" s="210"/>
      <c r="X187" s="77">
        <f>SUM(X175:X186)</f>
        <v>9181237470.3999996</v>
      </c>
      <c r="Y187" s="307"/>
      <c r="Z187" s="23">
        <f>((X187-T187)/T187)</f>
        <v>4.3303361783216282E-2</v>
      </c>
      <c r="AA187" s="210"/>
      <c r="AB187" s="77">
        <f>SUM(AB175:AB186)</f>
        <v>9221542882.8766327</v>
      </c>
      <c r="AC187" s="307"/>
      <c r="AD187" s="23">
        <f>((AB187-X187)/X187)</f>
        <v>4.389976036081886E-3</v>
      </c>
      <c r="AE187" s="210"/>
      <c r="AF187" s="77">
        <f>SUM(AF175:AF186)</f>
        <v>9177790077.7088909</v>
      </c>
      <c r="AG187" s="307"/>
      <c r="AH187" s="23">
        <f>((AF187-AB187)/AB187)</f>
        <v>-4.7446295835142527E-3</v>
      </c>
      <c r="AI187" s="210"/>
      <c r="AJ187" s="24">
        <f t="shared" si="207"/>
        <v>1.3969613635546644E-2</v>
      </c>
      <c r="AK187" s="24"/>
      <c r="AL187" s="25">
        <f t="shared" si="209"/>
        <v>7.9562142559417237E-2</v>
      </c>
      <c r="AM187" s="25"/>
      <c r="AN187" s="384">
        <f t="shared" si="211"/>
        <v>2.7192298450737534E-2</v>
      </c>
      <c r="AO187" s="385"/>
    </row>
    <row r="188" spans="1:41" ht="15.75" thickBot="1">
      <c r="A188" s="63" t="s">
        <v>43</v>
      </c>
      <c r="B188" s="223">
        <f>SUM(B167,B172,B187)</f>
        <v>1746565550006.7437</v>
      </c>
      <c r="C188" s="308"/>
      <c r="D188" s="223">
        <f>SUM(D167,D172,D187)</f>
        <v>1885965497080.9697</v>
      </c>
      <c r="E188" s="308"/>
      <c r="F188" s="210">
        <f>((D188-B188)/B188)</f>
        <v>7.9813750519519777E-2</v>
      </c>
      <c r="G188" s="306"/>
      <c r="H188" s="223">
        <f>SUM(H167,H172,H187)</f>
        <v>1977611461136.2695</v>
      </c>
      <c r="I188" s="308"/>
      <c r="J188" s="210">
        <f>((H188-D188)/D188)</f>
        <v>4.8593658896276822E-2</v>
      </c>
      <c r="K188" s="306"/>
      <c r="L188" s="223">
        <f>SUM(L167,L172,L187)</f>
        <v>1980881003971.5117</v>
      </c>
      <c r="M188" s="308"/>
      <c r="N188" s="210">
        <f>((L188-H188)/H188)</f>
        <v>1.653278664436753E-3</v>
      </c>
      <c r="O188" s="306"/>
      <c r="P188" s="223">
        <f>SUM(P167,P172,P187)</f>
        <v>2005073519115.3235</v>
      </c>
      <c r="Q188" s="308"/>
      <c r="R188" s="210">
        <f>((P188-L188)/L188)</f>
        <v>1.2213007795676602E-2</v>
      </c>
      <c r="S188" s="306"/>
      <c r="T188" s="223">
        <f>SUM(T167,T172,T187)</f>
        <v>2025383083948.8342</v>
      </c>
      <c r="U188" s="308"/>
      <c r="V188" s="210">
        <f>((T188-P188)/P188)</f>
        <v>1.0129087357590612E-2</v>
      </c>
      <c r="W188" s="306"/>
      <c r="X188" s="223">
        <f>SUM(X167,X172,X187)</f>
        <v>2024561920989.5869</v>
      </c>
      <c r="Y188" s="308"/>
      <c r="Z188" s="210">
        <f>((X188-T188)/T188)</f>
        <v>-4.0543587322074175E-4</v>
      </c>
      <c r="AA188" s="306"/>
      <c r="AB188" s="223">
        <f>SUM(AB167,AB172,AB187)</f>
        <v>2029098408141.9402</v>
      </c>
      <c r="AC188" s="308"/>
      <c r="AD188" s="210">
        <f>((AB188-X188)/X188)</f>
        <v>2.2407253170779184E-3</v>
      </c>
      <c r="AE188" s="306"/>
      <c r="AF188" s="223">
        <f>SUM(AF167,AF172,AF187)</f>
        <v>2019862555518.3599</v>
      </c>
      <c r="AG188" s="308"/>
      <c r="AH188" s="210">
        <f>((AF188-AB188)/AB188)</f>
        <v>-4.551702660906258E-3</v>
      </c>
      <c r="AI188" s="306"/>
      <c r="AJ188" s="24">
        <f t="shared" si="207"/>
        <v>1.8710796252056433E-2</v>
      </c>
      <c r="AK188" s="24"/>
      <c r="AL188" s="25">
        <f t="shared" si="209"/>
        <v>7.0996557807993438E-2</v>
      </c>
      <c r="AM188" s="25"/>
      <c r="AN188" s="384">
        <f t="shared" si="211"/>
        <v>2.9787868603550021E-2</v>
      </c>
      <c r="AO188" s="385"/>
    </row>
  </sheetData>
  <protectedRanges>
    <protectedRange password="CADF" sqref="B19" name="Fund Name_1_1_1_3_1_1_4"/>
    <protectedRange password="CADF" sqref="B46" name="Yield_2_1_2_3_1_3"/>
    <protectedRange password="CADF" sqref="B51" name="Yield_2_1_2_4_1_3"/>
    <protectedRange password="CADF" sqref="B76" name="Yield_2_1_2_1_1_2"/>
    <protectedRange password="CADF" sqref="C76" name="Fund Name_2_2_1_1_3"/>
    <protectedRange password="CADF" sqref="C75" name="BidOffer Prices_2_1_1_1_1_1_1_1_1_1"/>
    <protectedRange password="CADF" sqref="B93:B94" name="Yield_2_1_2_6_3"/>
    <protectedRange password="CADF" sqref="B134 B143:B144" name="Fund Name_1_1_1_2"/>
    <protectedRange password="CADF" sqref="C134 C143:C144" name="Fund Name_1_1_1_1_2_4"/>
    <protectedRange password="CADF" sqref="D19" name="Fund Name_1_1_1_3_1_1"/>
    <protectedRange password="CADF" sqref="D15" name="Yield_2_1_2_5"/>
    <protectedRange password="CADF" sqref="E19" name="Fund Name_1_1_1_1_1_1_4"/>
    <protectedRange password="CADF" sqref="D76" name="Yield_2_1_2_1_1_3"/>
    <protectedRange password="CADF" sqref="E76" name="Fund Name_2_2_1_1_4"/>
    <protectedRange password="CADF" sqref="E75" name="BidOffer Prices_2_1_1_1_1_1_1_1_1_1_3"/>
    <protectedRange password="CADF" sqref="D93:D94" name="Yield_2_1_2_6_3_1"/>
    <protectedRange password="CADF" sqref="D134 D143:D144" name="Fund Name_1_1_1_2_4"/>
    <protectedRange password="CADF" sqref="E134 E143:E144" name="Fund Name_1_1_1_1_2_5"/>
    <protectedRange password="CADF" sqref="C19" name="Fund Name_1_1_1_1_1_1_9"/>
    <protectedRange password="CADF" sqref="D46" name="Yield_2_1_2_3_1_9"/>
    <protectedRange password="CADF" sqref="D51" name="Yield_2_1_2_4_1_9"/>
    <protectedRange password="CADF" sqref="H19" name="Fund Name_1_1_1_3_1_1_9"/>
    <protectedRange password="CADF" sqref="H15" name="Yield_2_1_2_5_1"/>
    <protectedRange password="CADF" sqref="I19" name="Fund Name_1_1_1_1_1_1"/>
    <protectedRange password="CADF" sqref="H46" name="Yield_2_1_2_3_1_4"/>
    <protectedRange password="CADF" sqref="H51" name="Yield_2_1_2_4_1_4"/>
    <protectedRange password="CADF" sqref="H76" name="Yield_2_1_2_1_1_9"/>
    <protectedRange password="CADF" sqref="I76" name="Fund Name_2_2_1_1_5"/>
    <protectedRange password="CADF" sqref="I75" name="BidOffer Prices_2_1_1_1_1_1_1_1_1_1_4"/>
    <protectedRange password="CADF" sqref="H93:H94" name="Yield_2_1_2_6_3_9"/>
    <protectedRange password="CADF" sqref="H134 H143:H144" name="Fund Name_1_1_1_2_9"/>
    <protectedRange password="CADF" sqref="I134 I143:I144" name="Fund Name_1_1_1_1_2_9"/>
    <protectedRange password="CADF" sqref="L19" name="Fund Name_1_1_1_3_1_1_5"/>
    <protectedRange password="CADF" sqref="L15" name="Yield_2_1_2_5_2"/>
    <protectedRange password="CADF" sqref="M19" name="Fund Name_1_1_1_1_1_1_5"/>
    <protectedRange password="CADF" sqref="L46" name="Yield_2_1_2_3_1_5"/>
    <protectedRange password="CADF" sqref="L51" name="Yield_2_1_2_4_1_5"/>
    <protectedRange password="CADF" sqref="L76" name="Yield_2_1_2_1_1_4"/>
    <protectedRange password="CADF" sqref="M76" name="Fund Name_2_2_1_1_6"/>
    <protectedRange password="CADF" sqref="M75" name="BidOffer Prices_2_1_1_1_1_1_1_1_1_1_5"/>
    <protectedRange password="CADF" sqref="L93:L94" name="Yield_2_1_2_6_3_2"/>
    <protectedRange password="CADF" sqref="L134 L143:L144" name="Fund Name_1_1_1_2_5"/>
    <protectedRange password="CADF" sqref="M134 M143:M144" name="Fund Name_1_1_1_1_2_6"/>
    <protectedRange password="CADF" sqref="P19" name="Fund Name_1_1_1_3_1_1_6"/>
    <protectedRange password="CADF" sqref="P15" name="Yield_2_1_2_5_3"/>
    <protectedRange password="CADF" sqref="Q19" name="Fund Name_1_1_1_1_1_1_6"/>
    <protectedRange password="CADF" sqref="P46" name="Yield_2_1_2_3_1_6"/>
    <protectedRange password="CADF" sqref="P51" name="Yield_2_1_2_4_1_6"/>
    <protectedRange password="CADF" sqref="P76" name="Yield_2_1_2_1_1_5"/>
    <protectedRange password="CADF" sqref="Q76" name="Fund Name_2_2_1_1_7"/>
    <protectedRange password="CADF" sqref="Q75" name="BidOffer Prices_2_1_1_1_1_1_1_1_1_1_6"/>
    <protectedRange password="CADF" sqref="P93:P94" name="Yield_2_1_2_6_3_3"/>
    <protectedRange password="CADF" sqref="P134 P143:P144" name="Fund Name_1_1_1_2_6"/>
    <protectedRange password="CADF" sqref="Q134 Q143:Q144" name="Fund Name_1_1_1_1_2_7"/>
    <protectedRange password="CADF" sqref="T19" name="Fund Name_1_1_1_3_1_1_1"/>
    <protectedRange password="CADF" sqref="T15" name="Yield_2_1_2_5_4"/>
    <protectedRange password="CADF" sqref="U19" name="Fund Name_1_1_1_1_1_1_1"/>
    <protectedRange password="CADF" sqref="T46" name="Yield_2_1_2_3_1_1"/>
    <protectedRange password="CADF" sqref="T51" name="Yield_2_1_2_4_1_1"/>
    <protectedRange password="CADF" sqref="T76" name="Yield_2_1_2_1_1_1"/>
    <protectedRange password="CADF" sqref="U76" name="Fund Name_2_2_1_1"/>
    <protectedRange password="CADF" sqref="U75" name="BidOffer Prices_2_1_1_1_1_1_1_1_1_1_1"/>
    <protectedRange password="CADF" sqref="T93:T94" name="Yield_2_1_2_6_3_4"/>
    <protectedRange password="CADF" sqref="T134 T143:T144" name="Fund Name_1_1_1_2_1"/>
    <protectedRange password="CADF" sqref="U134 U143:U144" name="Fund Name_1_1_1_1_2"/>
    <protectedRange password="CADF" sqref="X19" name="Fund Name_1_1_1_3_1_1_7"/>
    <protectedRange password="CADF" sqref="X15" name="Yield_2_1_2_5_5"/>
    <protectedRange password="CADF" sqref="Y19" name="Fund Name_1_1_1_1_1_1_8"/>
    <protectedRange password="CADF" sqref="X46" name="Yield_2_1_2_3_1_7"/>
    <protectedRange password="CADF" sqref="X51" name="Yield_2_1_2_4_1_7"/>
    <protectedRange password="CADF" sqref="X76" name="Yield_2_1_2_1_1"/>
    <protectedRange password="CADF" sqref="Y76" name="Fund Name_2_2_1_1_1"/>
    <protectedRange password="CADF" sqref="Y75" name="BidOffer Prices_2_1_1_1_1_1_1_1_1_1_2"/>
    <protectedRange password="CADF" sqref="X93:X94" name="Yield_2_1_2_6_3_5"/>
    <protectedRange password="CADF" sqref="X134 X143:X144" name="Fund Name_1_1_1_2_2"/>
    <protectedRange password="CADF" sqref="Y134 Y143:Y144" name="Fund Name_1_1_1_1_2_1"/>
    <protectedRange password="CADF" sqref="AB19" name="Fund Name_1_1_1_3_1_1_2"/>
    <protectedRange password="CADF" sqref="AB15" name="Yield_2_1_2_5_6"/>
    <protectedRange password="CADF" sqref="AC19" name="Fund Name_1_1_1_1_1_1_2"/>
    <protectedRange password="CADF" sqref="AB46" name="Yield_2_1_2_3_1"/>
    <protectedRange password="CADF" sqref="AB51" name="Yield_2_1_2_4_1"/>
    <protectedRange password="CADF" sqref="AB76" name="Yield_2_1_2_1_1_6"/>
    <protectedRange password="CADF" sqref="AC76" name="Fund Name_2_2_1_1_2"/>
    <protectedRange password="CADF" sqref="AC75" name="BidOffer Prices_2_1_1_1_1_1_1_1_1_1_7"/>
    <protectedRange password="CADF" sqref="AB93:AB94" name="Yield_2_1_2_6_3_6"/>
    <protectedRange password="CADF" sqref="AB134 AB143:AB144" name="Fund Name_1_1_1_2_8"/>
    <protectedRange password="CADF" sqref="AC134 AC143:AC144" name="Fund Name_1_1_1_1_2_2"/>
    <protectedRange password="CADF" sqref="AF19" name="Fund Name_1_1_1_3_1_1_3"/>
    <protectedRange password="CADF" sqref="AF15" name="Yield_2_1_2_5_7"/>
    <protectedRange password="CADF" sqref="AG19" name="Fund Name_1_1_1_1_1_1_3"/>
    <protectedRange password="CADF" sqref="AF46" name="Yield_2_1_2_3_1_2"/>
    <protectedRange password="CADF" sqref="AF51" name="Yield_2_1_2_4_1_2"/>
    <protectedRange password="CADF" sqref="AF93:AF94" name="Yield_2_1_2_6_3_7"/>
    <protectedRange password="CADF" sqref="AF134 AF143:AF144" name="Fund Name_1_1_1_2_3"/>
    <protectedRange password="CADF" sqref="AG134 AG143:AG144" name="Fund Name_1_1_1_1_2_3"/>
    <protectedRange password="CADF" sqref="AF76" name="Yield_2_1_2_1_1_7"/>
    <protectedRange password="CADF" sqref="AG76" name="Fund Name_2_2_1_1_8"/>
    <protectedRange password="CADF" sqref="AG75" name="BidOffer Prices_2_1_1_1_1_1_1_1_1_1_8"/>
  </protectedRanges>
  <sortState ref="A174:AO185">
    <sortCondition ref="A174:A185"/>
  </sortState>
  <mergeCells count="32">
    <mergeCell ref="X174:Y174"/>
    <mergeCell ref="P174:Q174"/>
    <mergeCell ref="A1:AO1"/>
    <mergeCell ref="AN2:AO2"/>
    <mergeCell ref="AL2:AM2"/>
    <mergeCell ref="AJ2:AK2"/>
    <mergeCell ref="H2:I2"/>
    <mergeCell ref="J2:K2"/>
    <mergeCell ref="P2:Q2"/>
    <mergeCell ref="R2:S2"/>
    <mergeCell ref="T2:U2"/>
    <mergeCell ref="V2:W2"/>
    <mergeCell ref="X2:Y2"/>
    <mergeCell ref="Z2:AA2"/>
    <mergeCell ref="H174:I174"/>
    <mergeCell ref="L2:M2"/>
    <mergeCell ref="N2:O2"/>
    <mergeCell ref="L174:M174"/>
    <mergeCell ref="T174:U174"/>
    <mergeCell ref="B2:C2"/>
    <mergeCell ref="D2:E2"/>
    <mergeCell ref="F2:G2"/>
    <mergeCell ref="D174:E174"/>
    <mergeCell ref="B174:C174"/>
    <mergeCell ref="AB2:AC2"/>
    <mergeCell ref="AD2:AE2"/>
    <mergeCell ref="AB174:AC174"/>
    <mergeCell ref="AQ2:AR2"/>
    <mergeCell ref="AQ127:AR127"/>
    <mergeCell ref="AF2:AG2"/>
    <mergeCell ref="AH2:AI2"/>
    <mergeCell ref="AF174:AG17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Market Share</vt:lpstr>
      <vt:lpstr>NAV Trend</vt:lpstr>
      <vt:lpstr>Volatility Measure</vt:lpstr>
      <vt:lpstr>NAV COMPARISON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2023-08-14T13:00:42Z</dcterms:modified>
</cp:coreProperties>
</file>