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525" windowWidth="28755" windowHeight="16380" tabRatio="599"/>
  </bookViews>
  <sheets>
    <sheet name="Data" sheetId="9" r:id="rId1"/>
    <sheet name="NAV COMPARISON" sheetId="13" r:id="rId2"/>
    <sheet name="Market Share" sheetId="12" r:id="rId3"/>
    <sheet name="Total NAV" sheetId="8" r:id="rId4"/>
    <sheet name="Sector Trend" sheetId="4" r:id="rId5"/>
    <sheet name="NAV Trend" sheetId="1" state="hidden" r:id="rId6"/>
    <sheet name="Volatility Measure" sheetId="11" r:id="rId7"/>
  </sheets>
  <definedNames>
    <definedName name="_GoBack" localSheetId="0">Data!#REF!</definedName>
    <definedName name="OLE_LINK6" localSheetId="0">Data!$K$65</definedName>
    <definedName name="_xlnm.Print_Area" localSheetId="0">Data!$A$1:$AQ$193</definedName>
    <definedName name="_xlnm.Print_Area" localSheetId="5">'NAV Trend'!$B$1:$J$10</definedName>
  </definedNames>
  <calcPr calcId="162913"/>
</workbook>
</file>

<file path=xl/calcChain.xml><?xml version="1.0" encoding="utf-8"?>
<calcChain xmlns="http://schemas.openxmlformats.org/spreadsheetml/2006/main">
  <c r="AJ176" i="11" l="1"/>
  <c r="AK176" i="11"/>
  <c r="AL176" i="11"/>
  <c r="AM176" i="11"/>
  <c r="AN176" i="11"/>
  <c r="AO176" i="11"/>
  <c r="AJ177" i="11"/>
  <c r="AK177" i="11"/>
  <c r="AL177" i="11"/>
  <c r="AM177" i="11"/>
  <c r="AN177" i="11"/>
  <c r="AO177" i="11"/>
  <c r="AJ178" i="11"/>
  <c r="AK178" i="11"/>
  <c r="AL178" i="11"/>
  <c r="AM178" i="11"/>
  <c r="AN178" i="11"/>
  <c r="AO178" i="11"/>
  <c r="AJ179" i="11"/>
  <c r="AK179" i="11"/>
  <c r="AL179" i="11"/>
  <c r="AM179" i="11"/>
  <c r="AN179" i="11"/>
  <c r="AO179" i="11"/>
  <c r="AJ180" i="11"/>
  <c r="AK180" i="11"/>
  <c r="AL180" i="11"/>
  <c r="AM180" i="11"/>
  <c r="AN180" i="11"/>
  <c r="AO180" i="11"/>
  <c r="AJ181" i="11"/>
  <c r="AK181" i="11"/>
  <c r="AL181" i="11"/>
  <c r="AM181" i="11"/>
  <c r="AN181" i="11"/>
  <c r="AO181" i="11"/>
  <c r="AJ182" i="11"/>
  <c r="AK182" i="11"/>
  <c r="AL182" i="11"/>
  <c r="AM182" i="11"/>
  <c r="AN182" i="11"/>
  <c r="AO182" i="11"/>
  <c r="AJ183" i="11"/>
  <c r="AK183" i="11"/>
  <c r="AL183" i="11"/>
  <c r="AM183" i="11"/>
  <c r="AN183" i="11"/>
  <c r="AO183" i="11"/>
  <c r="AJ184" i="11"/>
  <c r="AK184" i="11"/>
  <c r="AL184" i="11"/>
  <c r="AM184" i="11"/>
  <c r="AN184" i="11"/>
  <c r="AO184" i="11"/>
  <c r="AJ185" i="11"/>
  <c r="AK185" i="11"/>
  <c r="AL185" i="11"/>
  <c r="AM185" i="11"/>
  <c r="AN185" i="11"/>
  <c r="AO185" i="11"/>
  <c r="AJ186" i="11"/>
  <c r="AK186" i="11"/>
  <c r="AL186" i="11"/>
  <c r="AM186" i="11"/>
  <c r="AN186" i="11"/>
  <c r="AO186" i="11"/>
  <c r="AJ187" i="11"/>
  <c r="AL187" i="11"/>
  <c r="AN187" i="11"/>
  <c r="AJ188" i="11"/>
  <c r="AL188" i="11"/>
  <c r="AN188" i="11"/>
  <c r="AO175" i="11"/>
  <c r="AN175" i="11"/>
  <c r="AM175" i="11"/>
  <c r="AL175" i="11"/>
  <c r="AK175" i="11"/>
  <c r="AJ175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K19" i="11"/>
  <c r="AL19" i="11"/>
  <c r="AM19" i="11"/>
  <c r="AN19" i="11"/>
  <c r="AO19" i="11"/>
  <c r="AJ20" i="11"/>
  <c r="AK20" i="11"/>
  <c r="AL20" i="11"/>
  <c r="AM20" i="11"/>
  <c r="AN20" i="11"/>
  <c r="AO20" i="11"/>
  <c r="AJ21" i="11"/>
  <c r="AL21" i="11"/>
  <c r="AN21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L53" i="11"/>
  <c r="AN53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K83" i="11"/>
  <c r="AL83" i="11"/>
  <c r="AM83" i="11"/>
  <c r="AN83" i="11"/>
  <c r="AO83" i="11"/>
  <c r="AJ84" i="11"/>
  <c r="AK84" i="11"/>
  <c r="AL84" i="11"/>
  <c r="AM84" i="11"/>
  <c r="AN84" i="11"/>
  <c r="AO84" i="11"/>
  <c r="AJ85" i="11"/>
  <c r="AK85" i="11"/>
  <c r="AL85" i="11"/>
  <c r="AM85" i="11"/>
  <c r="AN85" i="11"/>
  <c r="AO85" i="11"/>
  <c r="AJ86" i="11"/>
  <c r="AL86" i="11"/>
  <c r="AN86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5" i="11"/>
  <c r="AK95" i="11"/>
  <c r="AL95" i="11"/>
  <c r="AM95" i="11"/>
  <c r="AN95" i="11"/>
  <c r="AO95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L111" i="11"/>
  <c r="AN111" i="11"/>
  <c r="AJ114" i="11"/>
  <c r="AK114" i="11"/>
  <c r="AL114" i="11"/>
  <c r="AM114" i="11"/>
  <c r="AN114" i="11"/>
  <c r="AO114" i="11"/>
  <c r="AJ115" i="11"/>
  <c r="AK115" i="11"/>
  <c r="AL115" i="11"/>
  <c r="AM115" i="11"/>
  <c r="AN115" i="11"/>
  <c r="AO115" i="1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L118" i="11"/>
  <c r="AN118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K134" i="11"/>
  <c r="AL134" i="11"/>
  <c r="AM134" i="11"/>
  <c r="AN134" i="11"/>
  <c r="AO134" i="11"/>
  <c r="AJ135" i="11"/>
  <c r="AK135" i="11"/>
  <c r="AL135" i="11"/>
  <c r="AM135" i="11"/>
  <c r="AN135" i="11"/>
  <c r="AO135" i="11"/>
  <c r="AJ136" i="11"/>
  <c r="AK136" i="11"/>
  <c r="AL136" i="11"/>
  <c r="AM136" i="11"/>
  <c r="AN136" i="11"/>
  <c r="AO136" i="11"/>
  <c r="AJ137" i="11"/>
  <c r="AK137" i="11"/>
  <c r="AL137" i="11"/>
  <c r="AM137" i="11"/>
  <c r="AN137" i="11"/>
  <c r="AO137" i="11"/>
  <c r="AJ138" i="11"/>
  <c r="AK138" i="11"/>
  <c r="AL138" i="11"/>
  <c r="AM138" i="11"/>
  <c r="AN138" i="11"/>
  <c r="AO138" i="11"/>
  <c r="AJ139" i="11"/>
  <c r="AK139" i="11"/>
  <c r="AL139" i="11"/>
  <c r="AM139" i="11"/>
  <c r="AN139" i="11"/>
  <c r="AO139" i="11"/>
  <c r="AJ140" i="11"/>
  <c r="AK140" i="11"/>
  <c r="AL140" i="11"/>
  <c r="AM140" i="11"/>
  <c r="AN140" i="11"/>
  <c r="AO140" i="11"/>
  <c r="AJ141" i="11"/>
  <c r="AK141" i="11"/>
  <c r="AL141" i="11"/>
  <c r="AM141" i="11"/>
  <c r="AN141" i="11"/>
  <c r="AO141" i="11"/>
  <c r="AJ142" i="11"/>
  <c r="AK142" i="11"/>
  <c r="AL142" i="11"/>
  <c r="AM142" i="11"/>
  <c r="AN142" i="11"/>
  <c r="AO142" i="11"/>
  <c r="AJ143" i="11"/>
  <c r="AK143" i="11"/>
  <c r="AL143" i="11"/>
  <c r="AM143" i="11"/>
  <c r="AN143" i="11"/>
  <c r="AO143" i="11"/>
  <c r="AJ144" i="11"/>
  <c r="AK144" i="11"/>
  <c r="AL144" i="11"/>
  <c r="AM144" i="11"/>
  <c r="AN144" i="11"/>
  <c r="AO144" i="11"/>
  <c r="AJ145" i="11"/>
  <c r="AL145" i="11"/>
  <c r="AN145" i="11"/>
  <c r="AJ148" i="11"/>
  <c r="AK148" i="11"/>
  <c r="AL148" i="11"/>
  <c r="AM148" i="11"/>
  <c r="AN148" i="11"/>
  <c r="AO148" i="11"/>
  <c r="AJ149" i="11"/>
  <c r="AK149" i="11"/>
  <c r="AL149" i="11"/>
  <c r="AM149" i="11"/>
  <c r="AN149" i="11"/>
  <c r="AO149" i="11"/>
  <c r="AJ150" i="11"/>
  <c r="AK150" i="11"/>
  <c r="AL150" i="11"/>
  <c r="AM150" i="11"/>
  <c r="AN150" i="11"/>
  <c r="AO150" i="11"/>
  <c r="AJ151" i="11"/>
  <c r="AL151" i="11"/>
  <c r="AN151" i="11"/>
  <c r="AJ155" i="11"/>
  <c r="AK155" i="11"/>
  <c r="AL155" i="11"/>
  <c r="AM155" i="11"/>
  <c r="AN155" i="11"/>
  <c r="AO155" i="11"/>
  <c r="AJ156" i="11"/>
  <c r="AK156" i="11"/>
  <c r="AL156" i="11"/>
  <c r="AM156" i="11"/>
  <c r="AN156" i="11"/>
  <c r="AO156" i="11"/>
  <c r="AJ159" i="11"/>
  <c r="AK159" i="11"/>
  <c r="AL159" i="11"/>
  <c r="AM159" i="11"/>
  <c r="AN159" i="11"/>
  <c r="AO159" i="11"/>
  <c r="AJ160" i="11"/>
  <c r="AK160" i="11"/>
  <c r="AL160" i="11"/>
  <c r="AM160" i="11"/>
  <c r="AN160" i="11"/>
  <c r="AO160" i="11"/>
  <c r="AJ161" i="11"/>
  <c r="AK161" i="11"/>
  <c r="AL161" i="11"/>
  <c r="AM161" i="11"/>
  <c r="AN161" i="11"/>
  <c r="AO161" i="11"/>
  <c r="AJ162" i="11"/>
  <c r="AK162" i="11"/>
  <c r="AL162" i="11"/>
  <c r="AM162" i="11"/>
  <c r="AN162" i="11"/>
  <c r="AO162" i="11"/>
  <c r="AJ163" i="11"/>
  <c r="AK163" i="11"/>
  <c r="AL163" i="11"/>
  <c r="AM163" i="11"/>
  <c r="AN163" i="11"/>
  <c r="AO163" i="11"/>
  <c r="AJ164" i="11"/>
  <c r="AK164" i="11"/>
  <c r="AL164" i="11"/>
  <c r="AM164" i="11"/>
  <c r="AN164" i="11"/>
  <c r="AO164" i="11"/>
  <c r="AJ165" i="11"/>
  <c r="AK165" i="11"/>
  <c r="AL165" i="11"/>
  <c r="AM165" i="11"/>
  <c r="AN165" i="11"/>
  <c r="AO165" i="11"/>
  <c r="AJ166" i="11"/>
  <c r="AL166" i="11"/>
  <c r="AN166" i="11"/>
  <c r="AJ167" i="11"/>
  <c r="AL167" i="11"/>
  <c r="AN167" i="11"/>
  <c r="AJ170" i="11"/>
  <c r="AK170" i="11"/>
  <c r="AL170" i="11"/>
  <c r="AM170" i="11"/>
  <c r="AN170" i="11"/>
  <c r="AO170" i="11"/>
  <c r="AJ171" i="11"/>
  <c r="AK171" i="11"/>
  <c r="AL171" i="11"/>
  <c r="AM171" i="11"/>
  <c r="AN171" i="11"/>
  <c r="AO171" i="11"/>
  <c r="AO5" i="11"/>
  <c r="AN5" i="11"/>
  <c r="AM5" i="11"/>
  <c r="AL5" i="11"/>
  <c r="AK5" i="11"/>
  <c r="AJ5" i="11"/>
  <c r="AF188" i="11"/>
  <c r="AF187" i="11"/>
  <c r="AH187" i="11" s="1"/>
  <c r="AF172" i="11"/>
  <c r="AF166" i="11"/>
  <c r="AH166" i="11" s="1"/>
  <c r="AF151" i="11"/>
  <c r="AH151" i="11" s="1"/>
  <c r="AF145" i="11"/>
  <c r="AF118" i="11"/>
  <c r="AH118" i="11" s="1"/>
  <c r="AG106" i="11"/>
  <c r="AG103" i="11"/>
  <c r="AI103" i="11" s="1"/>
  <c r="AF103" i="11"/>
  <c r="AH90" i="11" s="1"/>
  <c r="AG98" i="11"/>
  <c r="AI98" i="11" s="1"/>
  <c r="AG97" i="11"/>
  <c r="AI97" i="11" s="1"/>
  <c r="AG95" i="11"/>
  <c r="AI95" i="11" s="1"/>
  <c r="AG91" i="11"/>
  <c r="AG90" i="11"/>
  <c r="AF98" i="11"/>
  <c r="AF97" i="11"/>
  <c r="AF95" i="11"/>
  <c r="AF91" i="11"/>
  <c r="AF86" i="11"/>
  <c r="AF53" i="11"/>
  <c r="AF21" i="11"/>
  <c r="AI186" i="11"/>
  <c r="AH186" i="11"/>
  <c r="AI185" i="11"/>
  <c r="AH185" i="11"/>
  <c r="AI184" i="11"/>
  <c r="AH184" i="11"/>
  <c r="AI183" i="11"/>
  <c r="AH183" i="11"/>
  <c r="AI182" i="11"/>
  <c r="AH182" i="11"/>
  <c r="AI181" i="11"/>
  <c r="AH181" i="11"/>
  <c r="AI180" i="11"/>
  <c r="AH180" i="11"/>
  <c r="AI179" i="11"/>
  <c r="AH179" i="11"/>
  <c r="AI178" i="11"/>
  <c r="AH178" i="11"/>
  <c r="AI177" i="11"/>
  <c r="AH177" i="11"/>
  <c r="AI176" i="11"/>
  <c r="AH176" i="11"/>
  <c r="AI175" i="11"/>
  <c r="AH175" i="11"/>
  <c r="AI171" i="11"/>
  <c r="AH171" i="11"/>
  <c r="AI170" i="11"/>
  <c r="AH170" i="11"/>
  <c r="AI165" i="11"/>
  <c r="AH165" i="11"/>
  <c r="AI164" i="11"/>
  <c r="AH164" i="11"/>
  <c r="AI163" i="11"/>
  <c r="AH163" i="11"/>
  <c r="AI162" i="11"/>
  <c r="AH162" i="11"/>
  <c r="AI161" i="11"/>
  <c r="AH161" i="11"/>
  <c r="AI160" i="11"/>
  <c r="AH160" i="11"/>
  <c r="AI159" i="11"/>
  <c r="AH159" i="11"/>
  <c r="AI156" i="11"/>
  <c r="AH156" i="11"/>
  <c r="AI155" i="11"/>
  <c r="AH155" i="11"/>
  <c r="AI150" i="11"/>
  <c r="AH150" i="11"/>
  <c r="AI149" i="11"/>
  <c r="AH149" i="11"/>
  <c r="AI148" i="11"/>
  <c r="AH148" i="11"/>
  <c r="AH145" i="11"/>
  <c r="AI144" i="11"/>
  <c r="AH144" i="11"/>
  <c r="AI143" i="11"/>
  <c r="AH143" i="11"/>
  <c r="AI142" i="11"/>
  <c r="AH142" i="11"/>
  <c r="AI141" i="11"/>
  <c r="AH141" i="11"/>
  <c r="AI140" i="11"/>
  <c r="AH140" i="11"/>
  <c r="AI139" i="11"/>
  <c r="AH139" i="11"/>
  <c r="AI138" i="11"/>
  <c r="AH138" i="11"/>
  <c r="AI137" i="11"/>
  <c r="AH137" i="11"/>
  <c r="AI136" i="11"/>
  <c r="AH136" i="11"/>
  <c r="AI135" i="11"/>
  <c r="AH135" i="11"/>
  <c r="AI134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5" i="11"/>
  <c r="AH125" i="11"/>
  <c r="AI124" i="11"/>
  <c r="AH124" i="11"/>
  <c r="AI123" i="11"/>
  <c r="AH123" i="11"/>
  <c r="AI122" i="11"/>
  <c r="AH122" i="11"/>
  <c r="AI121" i="11"/>
  <c r="AH121" i="11"/>
  <c r="AI117" i="11"/>
  <c r="AH117" i="11"/>
  <c r="AI116" i="11"/>
  <c r="AH116" i="11"/>
  <c r="AI115" i="11"/>
  <c r="AH115" i="11"/>
  <c r="AI114" i="11"/>
  <c r="AH114" i="11"/>
  <c r="AI110" i="11"/>
  <c r="AH110" i="11"/>
  <c r="AI109" i="11"/>
  <c r="AH109" i="11"/>
  <c r="AI108" i="11"/>
  <c r="AH108" i="11"/>
  <c r="AI107" i="11"/>
  <c r="AH107" i="11"/>
  <c r="AI106" i="11"/>
  <c r="AH106" i="11"/>
  <c r="AI105" i="11"/>
  <c r="AH105" i="11"/>
  <c r="AI104" i="11"/>
  <c r="AH104" i="11"/>
  <c r="AI102" i="11"/>
  <c r="AH102" i="11"/>
  <c r="AI99" i="11"/>
  <c r="AH98" i="11"/>
  <c r="AH97" i="11"/>
  <c r="AI96" i="11"/>
  <c r="AH96" i="11"/>
  <c r="AH95" i="11"/>
  <c r="AI94" i="11"/>
  <c r="AH94" i="11"/>
  <c r="AI93" i="11"/>
  <c r="AH93" i="11"/>
  <c r="AI92" i="11"/>
  <c r="AH92" i="11"/>
  <c r="AI91" i="11"/>
  <c r="AH91" i="11"/>
  <c r="AI90" i="11"/>
  <c r="AH86" i="11"/>
  <c r="AI85" i="11"/>
  <c r="AH85" i="11"/>
  <c r="AI84" i="11"/>
  <c r="AH84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H53" i="11"/>
  <c r="AI52" i="11"/>
  <c r="AH52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H21" i="11"/>
  <c r="AI20" i="11"/>
  <c r="AH20" i="11"/>
  <c r="AI19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M96" i="9"/>
  <c r="L96" i="9"/>
  <c r="J96" i="9"/>
  <c r="AH188" i="11" l="1"/>
  <c r="AF167" i="11"/>
  <c r="AH167" i="11" s="1"/>
  <c r="AF111" i="11"/>
  <c r="AH99" i="11" s="1"/>
  <c r="AH103" i="11"/>
  <c r="M107" i="9"/>
  <c r="L107" i="9"/>
  <c r="M104" i="9" l="1"/>
  <c r="L104" i="9"/>
  <c r="J104" i="9"/>
  <c r="M92" i="9" l="1"/>
  <c r="L92" i="9"/>
  <c r="J92" i="9"/>
  <c r="M91" i="9" l="1"/>
  <c r="L91" i="9"/>
  <c r="M99" i="9" l="1"/>
  <c r="L99" i="9"/>
  <c r="J99" i="9"/>
  <c r="M98" i="9" l="1"/>
  <c r="L98" i="9"/>
  <c r="J98" i="9"/>
  <c r="D193" i="9" l="1"/>
  <c r="D192" i="9"/>
  <c r="D175" i="9"/>
  <c r="D168" i="9"/>
  <c r="D167" i="9"/>
  <c r="D152" i="9"/>
  <c r="D146" i="9"/>
  <c r="D119" i="9"/>
  <c r="G107" i="9"/>
  <c r="F107" i="9"/>
  <c r="G104" i="9"/>
  <c r="F104" i="9"/>
  <c r="D104" i="9"/>
  <c r="D112" i="9" s="1"/>
  <c r="G99" i="9"/>
  <c r="F99" i="9"/>
  <c r="G98" i="9"/>
  <c r="F98" i="9"/>
  <c r="G96" i="9"/>
  <c r="F96" i="9"/>
  <c r="G92" i="9"/>
  <c r="F92" i="9"/>
  <c r="G91" i="9"/>
  <c r="F91" i="9"/>
  <c r="D99" i="9"/>
  <c r="D98" i="9"/>
  <c r="D96" i="9"/>
  <c r="D92" i="9"/>
  <c r="D87" i="9"/>
  <c r="D54" i="9"/>
  <c r="D22" i="9"/>
  <c r="AE182" i="11" l="1"/>
  <c r="AB187" i="11"/>
  <c r="AB172" i="11"/>
  <c r="AB166" i="11"/>
  <c r="AB151" i="11"/>
  <c r="AB145" i="11"/>
  <c r="AB118" i="11"/>
  <c r="AC106" i="11"/>
  <c r="AC103" i="11"/>
  <c r="AB103" i="11"/>
  <c r="AC98" i="11"/>
  <c r="AC97" i="11"/>
  <c r="AC95" i="11"/>
  <c r="AC91" i="11"/>
  <c r="AC90" i="11"/>
  <c r="AB98" i="11"/>
  <c r="AB97" i="11"/>
  <c r="AB95" i="11"/>
  <c r="AB91" i="11"/>
  <c r="AB86" i="11"/>
  <c r="AB53" i="11"/>
  <c r="AB21" i="11"/>
  <c r="AE186" i="11"/>
  <c r="AD186" i="11"/>
  <c r="AE185" i="11"/>
  <c r="AD185" i="11"/>
  <c r="AE184" i="11"/>
  <c r="AD184" i="11"/>
  <c r="AE183" i="11"/>
  <c r="AD183" i="11"/>
  <c r="AD182" i="11"/>
  <c r="AE181" i="11"/>
  <c r="AD181" i="11"/>
  <c r="AE180" i="11"/>
  <c r="AD180" i="11"/>
  <c r="AE179" i="11"/>
  <c r="AD179" i="11"/>
  <c r="AE178" i="11"/>
  <c r="AD178" i="11"/>
  <c r="AE177" i="11"/>
  <c r="AD177" i="11"/>
  <c r="AE176" i="11"/>
  <c r="AD176" i="11"/>
  <c r="AE175" i="11"/>
  <c r="AD175" i="11"/>
  <c r="AE171" i="11"/>
  <c r="AD171" i="11"/>
  <c r="AE170" i="11"/>
  <c r="AD170" i="11"/>
  <c r="AE165" i="11"/>
  <c r="AD165" i="11"/>
  <c r="AE164" i="11"/>
  <c r="AD164" i="11"/>
  <c r="AE163" i="11"/>
  <c r="AD163" i="11"/>
  <c r="AE162" i="11"/>
  <c r="AD162" i="11"/>
  <c r="AE161" i="11"/>
  <c r="AD161" i="11"/>
  <c r="AE160" i="11"/>
  <c r="AD160" i="11"/>
  <c r="AE159" i="11"/>
  <c r="AD159" i="11"/>
  <c r="AE156" i="11"/>
  <c r="AD156" i="11"/>
  <c r="AE155" i="11"/>
  <c r="AD155" i="11"/>
  <c r="AE150" i="11"/>
  <c r="AD150" i="11"/>
  <c r="AE149" i="11"/>
  <c r="AD149" i="11"/>
  <c r="AE148" i="11"/>
  <c r="AD148" i="11"/>
  <c r="AE144" i="11"/>
  <c r="AD144" i="11"/>
  <c r="AE143" i="11"/>
  <c r="AD143" i="11"/>
  <c r="AE142" i="11"/>
  <c r="AD142" i="11"/>
  <c r="AE141" i="11"/>
  <c r="AD141" i="11"/>
  <c r="AE140" i="11"/>
  <c r="AD140" i="11"/>
  <c r="AE139" i="11"/>
  <c r="AD139" i="11"/>
  <c r="AE138" i="11"/>
  <c r="AD138" i="11"/>
  <c r="AE137" i="11"/>
  <c r="AD137" i="11"/>
  <c r="AE136" i="11"/>
  <c r="AD136" i="11"/>
  <c r="AE135" i="11"/>
  <c r="AD135" i="11"/>
  <c r="AE134" i="11"/>
  <c r="AD134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21" i="11"/>
  <c r="AD121" i="11"/>
  <c r="AE117" i="11"/>
  <c r="AD117" i="11"/>
  <c r="AE116" i="11"/>
  <c r="AD116" i="11"/>
  <c r="AE115" i="11"/>
  <c r="AD115" i="11"/>
  <c r="AE114" i="11"/>
  <c r="AD114" i="11"/>
  <c r="AE110" i="11"/>
  <c r="AD110" i="11"/>
  <c r="AE109" i="11"/>
  <c r="AD109" i="11"/>
  <c r="AE108" i="11"/>
  <c r="AD108" i="11"/>
  <c r="AE107" i="11"/>
  <c r="AD107" i="11"/>
  <c r="AD106" i="11"/>
  <c r="AE105" i="11"/>
  <c r="AD105" i="11"/>
  <c r="AE104" i="11"/>
  <c r="AD104" i="11"/>
  <c r="AE102" i="11"/>
  <c r="AD102" i="11"/>
  <c r="AE99" i="11"/>
  <c r="AE96" i="11"/>
  <c r="AD96" i="11"/>
  <c r="AE94" i="11"/>
  <c r="AD94" i="11"/>
  <c r="AE93" i="11"/>
  <c r="AD93" i="11"/>
  <c r="AE92" i="11"/>
  <c r="AD92" i="11"/>
  <c r="AE85" i="11"/>
  <c r="AD85" i="11"/>
  <c r="AE84" i="11"/>
  <c r="AD84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2" i="11"/>
  <c r="AD52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0" i="11"/>
  <c r="AD20" i="11"/>
  <c r="AE19" i="11"/>
  <c r="AD19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11" i="11" l="1"/>
  <c r="AB167" i="11" s="1"/>
  <c r="AD90" i="11"/>
  <c r="AD99" i="11" l="1"/>
  <c r="AB188" i="11"/>
  <c r="E122" i="9"/>
  <c r="E129" i="9" l="1"/>
  <c r="E144" i="9"/>
  <c r="E127" i="9"/>
  <c r="E142" i="9"/>
  <c r="E134" i="9"/>
  <c r="E126" i="9"/>
  <c r="E145" i="9"/>
  <c r="E136" i="9"/>
  <c r="E135" i="9"/>
  <c r="E141" i="9"/>
  <c r="E133" i="9"/>
  <c r="E125" i="9"/>
  <c r="E137" i="9"/>
  <c r="E143" i="9"/>
  <c r="E140" i="9"/>
  <c r="E132" i="9"/>
  <c r="E124" i="9"/>
  <c r="E128" i="9"/>
  <c r="E139" i="9"/>
  <c r="E131" i="9"/>
  <c r="E123" i="9"/>
  <c r="E138" i="9"/>
  <c r="E130" i="9"/>
  <c r="X187" i="11" l="1"/>
  <c r="AD187" i="11" s="1"/>
  <c r="X172" i="11"/>
  <c r="X166" i="11"/>
  <c r="AD166" i="11" s="1"/>
  <c r="X151" i="11"/>
  <c r="AD151" i="11" s="1"/>
  <c r="X145" i="11"/>
  <c r="AD145" i="11" s="1"/>
  <c r="X118" i="11"/>
  <c r="AD118" i="11" s="1"/>
  <c r="Y106" i="11"/>
  <c r="AE106" i="11" s="1"/>
  <c r="Y103" i="11"/>
  <c r="AE103" i="11" s="1"/>
  <c r="X103" i="11"/>
  <c r="AD103" i="11" s="1"/>
  <c r="Y98" i="11"/>
  <c r="AE98" i="11" s="1"/>
  <c r="Y97" i="11"/>
  <c r="AE97" i="11" s="1"/>
  <c r="Y95" i="11"/>
  <c r="AE95" i="11" s="1"/>
  <c r="Y91" i="11"/>
  <c r="AE91" i="11" s="1"/>
  <c r="Y90" i="11"/>
  <c r="AE90" i="11" s="1"/>
  <c r="X98" i="11"/>
  <c r="AD98" i="11" s="1"/>
  <c r="X97" i="11"/>
  <c r="AD97" i="11" s="1"/>
  <c r="X95" i="11"/>
  <c r="AD95" i="11" s="1"/>
  <c r="X91" i="11"/>
  <c r="AD91" i="11" s="1"/>
  <c r="X86" i="11"/>
  <c r="AD86" i="11" s="1"/>
  <c r="X53" i="11"/>
  <c r="AD53" i="11" s="1"/>
  <c r="X21" i="11"/>
  <c r="AD21" i="11" s="1"/>
  <c r="AA186" i="11"/>
  <c r="Z186" i="11"/>
  <c r="AA185" i="11"/>
  <c r="Z185" i="11"/>
  <c r="AA184" i="11"/>
  <c r="Z184" i="11"/>
  <c r="AA183" i="11"/>
  <c r="Z183" i="11"/>
  <c r="AA182" i="11"/>
  <c r="Z182" i="11"/>
  <c r="AA181" i="11"/>
  <c r="Z181" i="11"/>
  <c r="AA180" i="11"/>
  <c r="Z180" i="11"/>
  <c r="AA179" i="11"/>
  <c r="Z179" i="11"/>
  <c r="AA178" i="11"/>
  <c r="Z178" i="11"/>
  <c r="AA177" i="11"/>
  <c r="Z177" i="11"/>
  <c r="AA176" i="11"/>
  <c r="Z176" i="11"/>
  <c r="AA175" i="11"/>
  <c r="Z175" i="11"/>
  <c r="AA171" i="11"/>
  <c r="Z171" i="11"/>
  <c r="AA170" i="11"/>
  <c r="Z170" i="11"/>
  <c r="AA165" i="11"/>
  <c r="Z165" i="11"/>
  <c r="AA164" i="11"/>
  <c r="Z164" i="11"/>
  <c r="AA163" i="11"/>
  <c r="Z163" i="11"/>
  <c r="AA162" i="11"/>
  <c r="Z162" i="11"/>
  <c r="AA161" i="11"/>
  <c r="Z161" i="11"/>
  <c r="AA160" i="11"/>
  <c r="Z160" i="11"/>
  <c r="AA159" i="11"/>
  <c r="Z159" i="11"/>
  <c r="AA156" i="11"/>
  <c r="Z156" i="11"/>
  <c r="AA155" i="11"/>
  <c r="Z155" i="11"/>
  <c r="AA150" i="11"/>
  <c r="Z150" i="11"/>
  <c r="AA149" i="11"/>
  <c r="Z149" i="11"/>
  <c r="AA148" i="11"/>
  <c r="Z148" i="11"/>
  <c r="AA144" i="11"/>
  <c r="Z144" i="11"/>
  <c r="AA143" i="11"/>
  <c r="Z143" i="11"/>
  <c r="AA142" i="11"/>
  <c r="Z142" i="11"/>
  <c r="AA141" i="11"/>
  <c r="Z141" i="11"/>
  <c r="AA140" i="11"/>
  <c r="Z140" i="11"/>
  <c r="AA139" i="11"/>
  <c r="Z139" i="11"/>
  <c r="AA138" i="11"/>
  <c r="Z138" i="11"/>
  <c r="AA137" i="11"/>
  <c r="Z137" i="11"/>
  <c r="AA136" i="11"/>
  <c r="Z136" i="11"/>
  <c r="AA135" i="11"/>
  <c r="Z135" i="11"/>
  <c r="AA134" i="11"/>
  <c r="Z134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5" i="11"/>
  <c r="Z125" i="11"/>
  <c r="AA124" i="11"/>
  <c r="Z124" i="11"/>
  <c r="AA123" i="11"/>
  <c r="Z123" i="11"/>
  <c r="AA122" i="11"/>
  <c r="Z122" i="11"/>
  <c r="AA121" i="11"/>
  <c r="Z121" i="11"/>
  <c r="AA117" i="11"/>
  <c r="Z117" i="11"/>
  <c r="AA116" i="11"/>
  <c r="Z116" i="11"/>
  <c r="AA115" i="11"/>
  <c r="Z115" i="11"/>
  <c r="AA114" i="11"/>
  <c r="Z114" i="11"/>
  <c r="AA110" i="11"/>
  <c r="Z110" i="11"/>
  <c r="AA109" i="11"/>
  <c r="Z109" i="11"/>
  <c r="AA108" i="11"/>
  <c r="Z108" i="11"/>
  <c r="AA107" i="11"/>
  <c r="Z107" i="11"/>
  <c r="Z106" i="11"/>
  <c r="AA105" i="11"/>
  <c r="Z105" i="11"/>
  <c r="AA104" i="11"/>
  <c r="Z104" i="11"/>
  <c r="AA102" i="11"/>
  <c r="Z102" i="11"/>
  <c r="AA99" i="11"/>
  <c r="AA96" i="11"/>
  <c r="Z96" i="11"/>
  <c r="AA94" i="11"/>
  <c r="Z94" i="11"/>
  <c r="AA93" i="11"/>
  <c r="Z93" i="11"/>
  <c r="AA92" i="11"/>
  <c r="Z92" i="11"/>
  <c r="AA85" i="11"/>
  <c r="Z85" i="11"/>
  <c r="AA84" i="11"/>
  <c r="Z84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2" i="11"/>
  <c r="Z52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0" i="11"/>
  <c r="Z20" i="11"/>
  <c r="AA19" i="11"/>
  <c r="Z19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Z90" i="11" l="1"/>
  <c r="X111" i="11"/>
  <c r="P110" i="9"/>
  <c r="Q110" i="9"/>
  <c r="R110" i="9"/>
  <c r="S110" i="9"/>
  <c r="Z99" i="11" l="1"/>
  <c r="X167" i="11"/>
  <c r="AD167" i="11" s="1"/>
  <c r="T187" i="11"/>
  <c r="Z187" i="11" s="1"/>
  <c r="T172" i="11"/>
  <c r="T166" i="11"/>
  <c r="Z166" i="11" s="1"/>
  <c r="T151" i="11"/>
  <c r="Z151" i="11" s="1"/>
  <c r="T145" i="11"/>
  <c r="Z145" i="11" s="1"/>
  <c r="T118" i="11"/>
  <c r="Z118" i="11" s="1"/>
  <c r="U106" i="11"/>
  <c r="AA106" i="11" s="1"/>
  <c r="U103" i="11"/>
  <c r="AA103" i="11" s="1"/>
  <c r="T103" i="11"/>
  <c r="U98" i="11"/>
  <c r="AA98" i="11" s="1"/>
  <c r="U97" i="11"/>
  <c r="AA97" i="11" s="1"/>
  <c r="U95" i="11"/>
  <c r="AA95" i="11" s="1"/>
  <c r="U91" i="11"/>
  <c r="AA91" i="11" s="1"/>
  <c r="U90" i="11"/>
  <c r="AA90" i="11" s="1"/>
  <c r="T98" i="11"/>
  <c r="Z98" i="11" s="1"/>
  <c r="T97" i="11"/>
  <c r="Z97" i="11" s="1"/>
  <c r="T95" i="11"/>
  <c r="Z95" i="11" s="1"/>
  <c r="T91" i="11"/>
  <c r="Z91" i="11" s="1"/>
  <c r="T86" i="11"/>
  <c r="Z86" i="11" s="1"/>
  <c r="T53" i="11"/>
  <c r="Z53" i="11" s="1"/>
  <c r="T21" i="11"/>
  <c r="Z21" i="11" s="1"/>
  <c r="W186" i="11"/>
  <c r="V186" i="11"/>
  <c r="W185" i="11"/>
  <c r="V185" i="11"/>
  <c r="W184" i="11"/>
  <c r="V184" i="11"/>
  <c r="W183" i="11"/>
  <c r="V183" i="11"/>
  <c r="W182" i="11"/>
  <c r="V182" i="11"/>
  <c r="W181" i="11"/>
  <c r="V181" i="11"/>
  <c r="W180" i="11"/>
  <c r="V180" i="11"/>
  <c r="W179" i="11"/>
  <c r="V179" i="11"/>
  <c r="W178" i="11"/>
  <c r="V178" i="11"/>
  <c r="W177" i="11"/>
  <c r="V177" i="11"/>
  <c r="W176" i="11"/>
  <c r="V176" i="11"/>
  <c r="W175" i="11"/>
  <c r="V175" i="11"/>
  <c r="W171" i="11"/>
  <c r="V171" i="11"/>
  <c r="W170" i="11"/>
  <c r="V170" i="11"/>
  <c r="W165" i="11"/>
  <c r="V165" i="11"/>
  <c r="W164" i="11"/>
  <c r="V164" i="11"/>
  <c r="W163" i="11"/>
  <c r="V163" i="11"/>
  <c r="W162" i="11"/>
  <c r="V162" i="11"/>
  <c r="W161" i="11"/>
  <c r="V161" i="11"/>
  <c r="W160" i="11"/>
  <c r="V160" i="11"/>
  <c r="W159" i="11"/>
  <c r="V159" i="11"/>
  <c r="W156" i="11"/>
  <c r="V156" i="11"/>
  <c r="W155" i="11"/>
  <c r="V155" i="11"/>
  <c r="W150" i="11"/>
  <c r="V150" i="11"/>
  <c r="W149" i="11"/>
  <c r="V149" i="11"/>
  <c r="W148" i="11"/>
  <c r="V148" i="11"/>
  <c r="W144" i="11"/>
  <c r="V144" i="11"/>
  <c r="W143" i="11"/>
  <c r="V143" i="11"/>
  <c r="W142" i="11"/>
  <c r="V142" i="11"/>
  <c r="W141" i="11"/>
  <c r="V141" i="11"/>
  <c r="W140" i="11"/>
  <c r="V140" i="11"/>
  <c r="W139" i="11"/>
  <c r="V139" i="11"/>
  <c r="W138" i="11"/>
  <c r="V138" i="11"/>
  <c r="W137" i="11"/>
  <c r="V137" i="11"/>
  <c r="W136" i="11"/>
  <c r="V136" i="11"/>
  <c r="W135" i="11"/>
  <c r="V135" i="11"/>
  <c r="W134" i="11"/>
  <c r="V134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5" i="11"/>
  <c r="V125" i="11"/>
  <c r="W124" i="11"/>
  <c r="V124" i="11"/>
  <c r="W123" i="11"/>
  <c r="V123" i="11"/>
  <c r="W122" i="11"/>
  <c r="V122" i="11"/>
  <c r="W121" i="11"/>
  <c r="V121" i="11"/>
  <c r="W117" i="11"/>
  <c r="V117" i="11"/>
  <c r="W116" i="11"/>
  <c r="V116" i="11"/>
  <c r="W115" i="11"/>
  <c r="V115" i="11"/>
  <c r="W114" i="11"/>
  <c r="V114" i="11"/>
  <c r="W110" i="11"/>
  <c r="V110" i="11"/>
  <c r="W109" i="11"/>
  <c r="V109" i="11"/>
  <c r="W108" i="11"/>
  <c r="V108" i="11"/>
  <c r="W107" i="11"/>
  <c r="V107" i="11"/>
  <c r="V106" i="11"/>
  <c r="W105" i="11"/>
  <c r="V105" i="11"/>
  <c r="W104" i="11"/>
  <c r="V104" i="11"/>
  <c r="W102" i="11"/>
  <c r="V102" i="11"/>
  <c r="W99" i="11"/>
  <c r="W96" i="11"/>
  <c r="V96" i="11"/>
  <c r="W94" i="11"/>
  <c r="V94" i="11"/>
  <c r="W93" i="11"/>
  <c r="V93" i="11"/>
  <c r="W92" i="11"/>
  <c r="V92" i="11"/>
  <c r="W85" i="11"/>
  <c r="V85" i="11"/>
  <c r="W84" i="11"/>
  <c r="V84" i="11"/>
  <c r="W83" i="11"/>
  <c r="V83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2" i="11"/>
  <c r="V52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0" i="11"/>
  <c r="V20" i="11"/>
  <c r="W19" i="11"/>
  <c r="V19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V90" i="11" l="1"/>
  <c r="Z103" i="11"/>
  <c r="X188" i="11"/>
  <c r="AD188" i="11" s="1"/>
  <c r="T111" i="11"/>
  <c r="V99" i="11" l="1"/>
  <c r="T167" i="11"/>
  <c r="Z167" i="11" s="1"/>
  <c r="P53" i="11"/>
  <c r="V53" i="11" s="1"/>
  <c r="P145" i="11"/>
  <c r="V145" i="11" s="1"/>
  <c r="Q98" i="11"/>
  <c r="W98" i="11" s="1"/>
  <c r="Q97" i="11"/>
  <c r="W97" i="11" s="1"/>
  <c r="Q95" i="11"/>
  <c r="W95" i="11" s="1"/>
  <c r="Q91" i="11"/>
  <c r="W91" i="11" s="1"/>
  <c r="Q90" i="11"/>
  <c r="W90" i="11" s="1"/>
  <c r="P98" i="11"/>
  <c r="V98" i="11" s="1"/>
  <c r="P97" i="11"/>
  <c r="V97" i="11" s="1"/>
  <c r="P95" i="11"/>
  <c r="V95" i="11" s="1"/>
  <c r="P91" i="11"/>
  <c r="V91" i="11" s="1"/>
  <c r="P86" i="11"/>
  <c r="V86" i="11" s="1"/>
  <c r="P21" i="11"/>
  <c r="V21" i="11" s="1"/>
  <c r="T188" i="11" l="1"/>
  <c r="Z188" i="11" s="1"/>
  <c r="Q106" i="11"/>
  <c r="W106" i="11" s="1"/>
  <c r="Q103" i="11"/>
  <c r="W103" i="11" s="1"/>
  <c r="P103" i="11"/>
  <c r="V103" i="11" s="1"/>
  <c r="P118" i="11"/>
  <c r="V118" i="11" s="1"/>
  <c r="P151" i="11"/>
  <c r="V151" i="11" s="1"/>
  <c r="P166" i="11"/>
  <c r="V166" i="11" s="1"/>
  <c r="P172" i="11"/>
  <c r="P187" i="11"/>
  <c r="V187" i="11" s="1"/>
  <c r="S134" i="11"/>
  <c r="R134" i="11"/>
  <c r="O134" i="11"/>
  <c r="N134" i="11"/>
  <c r="K134" i="11"/>
  <c r="J134" i="11"/>
  <c r="G134" i="11"/>
  <c r="F134" i="11"/>
  <c r="S41" i="11"/>
  <c r="R41" i="11"/>
  <c r="O41" i="11"/>
  <c r="N41" i="11"/>
  <c r="K41" i="11"/>
  <c r="J41" i="11"/>
  <c r="G41" i="11"/>
  <c r="F41" i="11"/>
  <c r="S12" i="11"/>
  <c r="R12" i="11"/>
  <c r="O12" i="11"/>
  <c r="N12" i="11"/>
  <c r="K12" i="11"/>
  <c r="J12" i="11"/>
  <c r="G12" i="11"/>
  <c r="F12" i="11"/>
  <c r="S186" i="11"/>
  <c r="R186" i="11"/>
  <c r="S185" i="11"/>
  <c r="R185" i="11"/>
  <c r="S184" i="11"/>
  <c r="R184" i="11"/>
  <c r="S183" i="11"/>
  <c r="R183" i="11"/>
  <c r="S182" i="11"/>
  <c r="R182" i="11"/>
  <c r="S181" i="11"/>
  <c r="R181" i="11"/>
  <c r="S180" i="11"/>
  <c r="R180" i="11"/>
  <c r="S179" i="11"/>
  <c r="R179" i="11"/>
  <c r="S178" i="11"/>
  <c r="R178" i="11"/>
  <c r="S177" i="11"/>
  <c r="R177" i="11"/>
  <c r="S176" i="11"/>
  <c r="R176" i="11"/>
  <c r="S175" i="11"/>
  <c r="R175" i="11"/>
  <c r="S171" i="11"/>
  <c r="R171" i="11"/>
  <c r="S170" i="11"/>
  <c r="R170" i="11"/>
  <c r="S165" i="11"/>
  <c r="R165" i="11"/>
  <c r="S164" i="11"/>
  <c r="R164" i="11"/>
  <c r="S163" i="11"/>
  <c r="R163" i="11"/>
  <c r="S162" i="11"/>
  <c r="R162" i="11"/>
  <c r="S161" i="11"/>
  <c r="R161" i="11"/>
  <c r="S160" i="11"/>
  <c r="R160" i="11"/>
  <c r="S159" i="11"/>
  <c r="R159" i="11"/>
  <c r="S156" i="11"/>
  <c r="R156" i="11"/>
  <c r="S155" i="11"/>
  <c r="R155" i="11"/>
  <c r="S150" i="11"/>
  <c r="R150" i="11"/>
  <c r="S149" i="11"/>
  <c r="R149" i="11"/>
  <c r="S148" i="11"/>
  <c r="R148" i="11"/>
  <c r="S144" i="11"/>
  <c r="R144" i="11"/>
  <c r="S143" i="11"/>
  <c r="R143" i="11"/>
  <c r="S142" i="11"/>
  <c r="R142" i="11"/>
  <c r="S141" i="11"/>
  <c r="R141" i="11"/>
  <c r="S140" i="11"/>
  <c r="R140" i="11"/>
  <c r="S139" i="11"/>
  <c r="R139" i="11"/>
  <c r="S138" i="11"/>
  <c r="R138" i="11"/>
  <c r="S137" i="11"/>
  <c r="R137" i="11"/>
  <c r="S136" i="11"/>
  <c r="R136" i="11"/>
  <c r="S135" i="11"/>
  <c r="R135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5" i="11"/>
  <c r="R125" i="11"/>
  <c r="S124" i="11"/>
  <c r="R124" i="11"/>
  <c r="S123" i="11"/>
  <c r="R123" i="11"/>
  <c r="S122" i="11"/>
  <c r="R122" i="11"/>
  <c r="S121" i="11"/>
  <c r="R121" i="11"/>
  <c r="S117" i="11"/>
  <c r="R117" i="11"/>
  <c r="S116" i="11"/>
  <c r="R116" i="11"/>
  <c r="S115" i="11"/>
  <c r="R115" i="11"/>
  <c r="S114" i="11"/>
  <c r="R114" i="11"/>
  <c r="S110" i="11"/>
  <c r="R110" i="11"/>
  <c r="S109" i="11"/>
  <c r="R109" i="11"/>
  <c r="S108" i="11"/>
  <c r="R108" i="11"/>
  <c r="S107" i="11"/>
  <c r="R107" i="11"/>
  <c r="R106" i="11"/>
  <c r="S105" i="11"/>
  <c r="R105" i="11"/>
  <c r="S104" i="11"/>
  <c r="R104" i="11"/>
  <c r="S102" i="11"/>
  <c r="R102" i="11"/>
  <c r="S99" i="11"/>
  <c r="S96" i="11"/>
  <c r="R96" i="11"/>
  <c r="S94" i="11"/>
  <c r="R94" i="11"/>
  <c r="S93" i="11"/>
  <c r="R93" i="11"/>
  <c r="S92" i="11"/>
  <c r="R92" i="11"/>
  <c r="S85" i="11"/>
  <c r="R85" i="11"/>
  <c r="S84" i="11"/>
  <c r="R84" i="11"/>
  <c r="S83" i="11"/>
  <c r="R83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2" i="11"/>
  <c r="R52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0" i="11"/>
  <c r="R20" i="11"/>
  <c r="S19" i="11"/>
  <c r="R19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11" i="11" l="1"/>
  <c r="P167" i="11" s="1"/>
  <c r="V167" i="11" s="1"/>
  <c r="R90" i="11"/>
  <c r="R99" i="11" l="1"/>
  <c r="P188" i="11"/>
  <c r="V188" i="11" s="1"/>
  <c r="S135" i="9"/>
  <c r="R135" i="9"/>
  <c r="Q135" i="9"/>
  <c r="P135" i="9"/>
  <c r="S42" i="9"/>
  <c r="R42" i="9"/>
  <c r="Q42" i="9"/>
  <c r="P42" i="9"/>
  <c r="S13" i="9"/>
  <c r="R13" i="9"/>
  <c r="Q13" i="9"/>
  <c r="P13" i="9"/>
  <c r="E13" i="9" l="1"/>
  <c r="L187" i="11" l="1"/>
  <c r="R187" i="11" s="1"/>
  <c r="L172" i="11"/>
  <c r="L166" i="11"/>
  <c r="R166" i="11" s="1"/>
  <c r="L151" i="11"/>
  <c r="R151" i="11" s="1"/>
  <c r="L145" i="11"/>
  <c r="R145" i="11" s="1"/>
  <c r="L118" i="11"/>
  <c r="R118" i="11" s="1"/>
  <c r="M106" i="11"/>
  <c r="S106" i="11" s="1"/>
  <c r="M103" i="11"/>
  <c r="S103" i="11" s="1"/>
  <c r="L103" i="11"/>
  <c r="R103" i="11" s="1"/>
  <c r="M98" i="11"/>
  <c r="S98" i="11" s="1"/>
  <c r="M97" i="11"/>
  <c r="S97" i="11" s="1"/>
  <c r="M95" i="11"/>
  <c r="S95" i="11" s="1"/>
  <c r="M91" i="11"/>
  <c r="S91" i="11" s="1"/>
  <c r="M90" i="11"/>
  <c r="S90" i="11" s="1"/>
  <c r="L98" i="11"/>
  <c r="R98" i="11" s="1"/>
  <c r="L97" i="11"/>
  <c r="R97" i="11" s="1"/>
  <c r="L95" i="11"/>
  <c r="R95" i="11" s="1"/>
  <c r="L91" i="11"/>
  <c r="R91" i="11" s="1"/>
  <c r="L86" i="11"/>
  <c r="R86" i="11" s="1"/>
  <c r="L53" i="11"/>
  <c r="R53" i="11" s="1"/>
  <c r="L21" i="11"/>
  <c r="R21" i="11" s="1"/>
  <c r="L111" i="11" l="1"/>
  <c r="L167" i="11" s="1"/>
  <c r="O186" i="11"/>
  <c r="N186" i="11"/>
  <c r="O185" i="11"/>
  <c r="N185" i="11"/>
  <c r="O184" i="11"/>
  <c r="N184" i="11"/>
  <c r="O183" i="11"/>
  <c r="N183" i="11"/>
  <c r="O182" i="11"/>
  <c r="N182" i="11"/>
  <c r="O181" i="11"/>
  <c r="N181" i="11"/>
  <c r="O180" i="11"/>
  <c r="N180" i="11"/>
  <c r="O179" i="11"/>
  <c r="N179" i="11"/>
  <c r="O178" i="11"/>
  <c r="N178" i="11"/>
  <c r="O177" i="11"/>
  <c r="N177" i="11"/>
  <c r="O176" i="11"/>
  <c r="N176" i="11"/>
  <c r="O175" i="11"/>
  <c r="N175" i="11"/>
  <c r="O171" i="11"/>
  <c r="N171" i="11"/>
  <c r="O170" i="11"/>
  <c r="N170" i="11"/>
  <c r="O165" i="11"/>
  <c r="N165" i="11"/>
  <c r="O164" i="11"/>
  <c r="N164" i="11"/>
  <c r="O163" i="11"/>
  <c r="N163" i="11"/>
  <c r="O162" i="11"/>
  <c r="N162" i="11"/>
  <c r="O161" i="11"/>
  <c r="N161" i="11"/>
  <c r="O160" i="11"/>
  <c r="N160" i="11"/>
  <c r="O159" i="11"/>
  <c r="N159" i="11"/>
  <c r="O156" i="11"/>
  <c r="N156" i="11"/>
  <c r="O155" i="11"/>
  <c r="N155" i="11"/>
  <c r="O150" i="11"/>
  <c r="N150" i="11"/>
  <c r="O149" i="11"/>
  <c r="N149" i="11"/>
  <c r="O148" i="11"/>
  <c r="N148" i="11"/>
  <c r="O144" i="11"/>
  <c r="N144" i="11"/>
  <c r="O143" i="11"/>
  <c r="N143" i="11"/>
  <c r="O142" i="11"/>
  <c r="N142" i="11"/>
  <c r="O141" i="11"/>
  <c r="N141" i="11"/>
  <c r="O140" i="11"/>
  <c r="N140" i="11"/>
  <c r="O139" i="11"/>
  <c r="N139" i="11"/>
  <c r="O138" i="11"/>
  <c r="N138" i="11"/>
  <c r="O137" i="11"/>
  <c r="N137" i="11"/>
  <c r="O136" i="11"/>
  <c r="N136" i="11"/>
  <c r="O135" i="11"/>
  <c r="N135" i="11"/>
  <c r="O133" i="11"/>
  <c r="N133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5" i="11"/>
  <c r="N125" i="11"/>
  <c r="O124" i="11"/>
  <c r="N124" i="11"/>
  <c r="O123" i="11"/>
  <c r="N123" i="11"/>
  <c r="O122" i="11"/>
  <c r="N122" i="11"/>
  <c r="O121" i="11"/>
  <c r="N121" i="11"/>
  <c r="O117" i="11"/>
  <c r="N117" i="11"/>
  <c r="O116" i="11"/>
  <c r="N116" i="11"/>
  <c r="O115" i="11"/>
  <c r="N115" i="11"/>
  <c r="O114" i="11"/>
  <c r="N114" i="11"/>
  <c r="O110" i="11"/>
  <c r="N110" i="11"/>
  <c r="O109" i="11"/>
  <c r="N109" i="11"/>
  <c r="O108" i="11"/>
  <c r="N108" i="11"/>
  <c r="O107" i="11"/>
  <c r="N107" i="11"/>
  <c r="N106" i="11"/>
  <c r="O105" i="11"/>
  <c r="N105" i="11"/>
  <c r="O104" i="11"/>
  <c r="N104" i="11"/>
  <c r="O102" i="11"/>
  <c r="N102" i="11"/>
  <c r="O99" i="11"/>
  <c r="O96" i="11"/>
  <c r="N96" i="11"/>
  <c r="O94" i="11"/>
  <c r="N94" i="11"/>
  <c r="O93" i="11"/>
  <c r="N93" i="11"/>
  <c r="O92" i="11"/>
  <c r="N92" i="11"/>
  <c r="N90" i="11"/>
  <c r="O85" i="11"/>
  <c r="N85" i="11"/>
  <c r="O84" i="11"/>
  <c r="N84" i="11"/>
  <c r="O83" i="11"/>
  <c r="N83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2" i="11"/>
  <c r="N52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0" i="11"/>
  <c r="N20" i="11"/>
  <c r="O19" i="11"/>
  <c r="N19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N99" i="11" l="1"/>
  <c r="L188" i="11"/>
  <c r="R188" i="11" s="1"/>
  <c r="R167" i="11"/>
  <c r="H187" i="11"/>
  <c r="N187" i="11" s="1"/>
  <c r="H172" i="11"/>
  <c r="H166" i="11"/>
  <c r="N166" i="11" s="1"/>
  <c r="H151" i="11"/>
  <c r="N151" i="11" s="1"/>
  <c r="H145" i="11"/>
  <c r="N145" i="11" s="1"/>
  <c r="H118" i="11"/>
  <c r="N118" i="11" s="1"/>
  <c r="I106" i="11"/>
  <c r="O106" i="11" s="1"/>
  <c r="I103" i="11"/>
  <c r="O103" i="11" s="1"/>
  <c r="H103" i="11"/>
  <c r="I98" i="11"/>
  <c r="O98" i="11" s="1"/>
  <c r="I97" i="11"/>
  <c r="O97" i="11" s="1"/>
  <c r="I95" i="11"/>
  <c r="O95" i="11" s="1"/>
  <c r="I91" i="11"/>
  <c r="O91" i="11" s="1"/>
  <c r="I90" i="11"/>
  <c r="O90" i="11" s="1"/>
  <c r="H98" i="11"/>
  <c r="N98" i="11" s="1"/>
  <c r="H97" i="11"/>
  <c r="N97" i="11" s="1"/>
  <c r="H95" i="11"/>
  <c r="N95" i="11" s="1"/>
  <c r="H91" i="11"/>
  <c r="N91" i="11" s="1"/>
  <c r="H86" i="11"/>
  <c r="N86" i="11" s="1"/>
  <c r="H53" i="11"/>
  <c r="N53" i="11" s="1"/>
  <c r="H21" i="11"/>
  <c r="N21" i="11" s="1"/>
  <c r="K186" i="11"/>
  <c r="J186" i="11"/>
  <c r="K185" i="11"/>
  <c r="J185" i="11"/>
  <c r="K184" i="11"/>
  <c r="J184" i="11"/>
  <c r="K183" i="11"/>
  <c r="J183" i="11"/>
  <c r="K182" i="11"/>
  <c r="J182" i="11"/>
  <c r="K181" i="11"/>
  <c r="J181" i="11"/>
  <c r="K180" i="11"/>
  <c r="J180" i="11"/>
  <c r="K179" i="11"/>
  <c r="J179" i="11"/>
  <c r="K178" i="11"/>
  <c r="J178" i="11"/>
  <c r="K177" i="11"/>
  <c r="J177" i="11"/>
  <c r="K176" i="11"/>
  <c r="J176" i="11"/>
  <c r="K175" i="11"/>
  <c r="J175" i="11"/>
  <c r="K171" i="11"/>
  <c r="J171" i="11"/>
  <c r="K170" i="11"/>
  <c r="J170" i="11"/>
  <c r="K165" i="11"/>
  <c r="J165" i="11"/>
  <c r="K164" i="11"/>
  <c r="J164" i="11"/>
  <c r="K163" i="11"/>
  <c r="J163" i="11"/>
  <c r="K162" i="11"/>
  <c r="J162" i="11"/>
  <c r="K161" i="11"/>
  <c r="J161" i="11"/>
  <c r="K160" i="11"/>
  <c r="J160" i="11"/>
  <c r="K159" i="11"/>
  <c r="J159" i="11"/>
  <c r="K156" i="11"/>
  <c r="J156" i="11"/>
  <c r="K155" i="11"/>
  <c r="J155" i="11"/>
  <c r="K150" i="11"/>
  <c r="J150" i="11"/>
  <c r="K149" i="11"/>
  <c r="J149" i="11"/>
  <c r="K148" i="11"/>
  <c r="J148" i="11"/>
  <c r="K144" i="11"/>
  <c r="J144" i="11"/>
  <c r="K143" i="11"/>
  <c r="J143" i="11"/>
  <c r="K142" i="11"/>
  <c r="J142" i="11"/>
  <c r="K141" i="11"/>
  <c r="J141" i="11"/>
  <c r="K140" i="11"/>
  <c r="J140" i="11"/>
  <c r="K139" i="11"/>
  <c r="J139" i="11"/>
  <c r="K138" i="11"/>
  <c r="J138" i="11"/>
  <c r="K137" i="11"/>
  <c r="J137" i="11"/>
  <c r="K136" i="11"/>
  <c r="J136" i="11"/>
  <c r="K135" i="11"/>
  <c r="J135" i="11"/>
  <c r="K133" i="11"/>
  <c r="J133" i="1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6" i="11"/>
  <c r="J126" i="11"/>
  <c r="K125" i="11"/>
  <c r="J125" i="11"/>
  <c r="K124" i="11"/>
  <c r="J124" i="11"/>
  <c r="K123" i="11"/>
  <c r="J123" i="11"/>
  <c r="K122" i="11"/>
  <c r="J122" i="11"/>
  <c r="K121" i="11"/>
  <c r="J121" i="11"/>
  <c r="K117" i="11"/>
  <c r="J117" i="11"/>
  <c r="K116" i="11"/>
  <c r="J116" i="11"/>
  <c r="K115" i="11"/>
  <c r="J115" i="11"/>
  <c r="K114" i="11"/>
  <c r="J114" i="11"/>
  <c r="K110" i="11"/>
  <c r="J110" i="11"/>
  <c r="K109" i="11"/>
  <c r="J109" i="11"/>
  <c r="K108" i="11"/>
  <c r="J108" i="11"/>
  <c r="K107" i="11"/>
  <c r="J107" i="11"/>
  <c r="J106" i="11"/>
  <c r="K105" i="11"/>
  <c r="J105" i="11"/>
  <c r="K104" i="11"/>
  <c r="J104" i="11"/>
  <c r="K102" i="11"/>
  <c r="J102" i="11"/>
  <c r="K99" i="11"/>
  <c r="K96" i="11"/>
  <c r="J96" i="11"/>
  <c r="K94" i="11"/>
  <c r="J94" i="11"/>
  <c r="K93" i="11"/>
  <c r="J93" i="11"/>
  <c r="K92" i="11"/>
  <c r="J92" i="11"/>
  <c r="K85" i="11"/>
  <c r="J85" i="11"/>
  <c r="K84" i="11"/>
  <c r="J84" i="11"/>
  <c r="K83" i="11"/>
  <c r="J83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2" i="11"/>
  <c r="J52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0" i="11"/>
  <c r="J20" i="11"/>
  <c r="K19" i="11"/>
  <c r="J19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J90" i="11" l="1"/>
  <c r="N103" i="11"/>
  <c r="H111" i="11"/>
  <c r="H167" i="11" s="1"/>
  <c r="N167" i="11" s="1"/>
  <c r="J99" i="11" l="1"/>
  <c r="H188" i="11"/>
  <c r="N188" i="11" s="1"/>
  <c r="D187" i="11" l="1"/>
  <c r="J187" i="11" s="1"/>
  <c r="D172" i="11"/>
  <c r="D166" i="11"/>
  <c r="J166" i="11" s="1"/>
  <c r="D151" i="11"/>
  <c r="J151" i="11" s="1"/>
  <c r="D145" i="11"/>
  <c r="J145" i="11" s="1"/>
  <c r="D118" i="11"/>
  <c r="J118" i="11" s="1"/>
  <c r="E106" i="11"/>
  <c r="K106" i="11" s="1"/>
  <c r="E103" i="11"/>
  <c r="K103" i="11" s="1"/>
  <c r="D103" i="11"/>
  <c r="J103" i="11" s="1"/>
  <c r="E98" i="11"/>
  <c r="K98" i="11" s="1"/>
  <c r="E97" i="11"/>
  <c r="K97" i="11" s="1"/>
  <c r="E95" i="11"/>
  <c r="K95" i="11" s="1"/>
  <c r="E91" i="11"/>
  <c r="K91" i="11" s="1"/>
  <c r="E90" i="11"/>
  <c r="K90" i="11" s="1"/>
  <c r="D98" i="11"/>
  <c r="J98" i="11" s="1"/>
  <c r="D97" i="11"/>
  <c r="J97" i="11" s="1"/>
  <c r="D95" i="11"/>
  <c r="J95" i="11" s="1"/>
  <c r="D91" i="11"/>
  <c r="J91" i="11" s="1"/>
  <c r="D86" i="11"/>
  <c r="J86" i="11" s="1"/>
  <c r="D53" i="11"/>
  <c r="J53" i="11" s="1"/>
  <c r="D21" i="11"/>
  <c r="J21" i="11" s="1"/>
  <c r="J10" i="1"/>
  <c r="I10" i="1"/>
  <c r="H10" i="1"/>
  <c r="G10" i="1"/>
  <c r="F10" i="1"/>
  <c r="E10" i="1"/>
  <c r="D10" i="1"/>
  <c r="C10" i="1"/>
  <c r="D111" i="11" l="1"/>
  <c r="D167" i="11" s="1"/>
  <c r="J167" i="11" s="1"/>
  <c r="G186" i="11"/>
  <c r="F186" i="11"/>
  <c r="G185" i="11"/>
  <c r="F185" i="11"/>
  <c r="G184" i="11"/>
  <c r="F184" i="11"/>
  <c r="G183" i="11"/>
  <c r="F183" i="11"/>
  <c r="G182" i="11"/>
  <c r="F182" i="11"/>
  <c r="G181" i="11"/>
  <c r="F181" i="11"/>
  <c r="G180" i="11"/>
  <c r="F180" i="11"/>
  <c r="G179" i="11"/>
  <c r="F179" i="11"/>
  <c r="G178" i="11"/>
  <c r="F178" i="11"/>
  <c r="G177" i="11"/>
  <c r="F177" i="11"/>
  <c r="G176" i="11"/>
  <c r="F176" i="11"/>
  <c r="G175" i="11"/>
  <c r="F175" i="11"/>
  <c r="G171" i="11"/>
  <c r="F171" i="11"/>
  <c r="G170" i="11"/>
  <c r="F170" i="11"/>
  <c r="G165" i="11"/>
  <c r="F165" i="11"/>
  <c r="G164" i="11"/>
  <c r="F164" i="11"/>
  <c r="G163" i="11"/>
  <c r="F163" i="11"/>
  <c r="G162" i="11"/>
  <c r="F162" i="11"/>
  <c r="G161" i="11"/>
  <c r="F161" i="11"/>
  <c r="G160" i="11"/>
  <c r="F160" i="11"/>
  <c r="G159" i="11"/>
  <c r="F159" i="11"/>
  <c r="G156" i="11"/>
  <c r="F156" i="11"/>
  <c r="G155" i="11"/>
  <c r="F155" i="11"/>
  <c r="G150" i="11"/>
  <c r="F150" i="11"/>
  <c r="G149" i="11"/>
  <c r="F149" i="11"/>
  <c r="G148" i="11"/>
  <c r="F148" i="11"/>
  <c r="G144" i="11"/>
  <c r="F144" i="11"/>
  <c r="G143" i="11"/>
  <c r="F143" i="11"/>
  <c r="G142" i="11"/>
  <c r="F142" i="11"/>
  <c r="G141" i="11"/>
  <c r="F141" i="11"/>
  <c r="G140" i="11"/>
  <c r="F140" i="11"/>
  <c r="G139" i="11"/>
  <c r="F139" i="11"/>
  <c r="G138" i="11"/>
  <c r="F138" i="11"/>
  <c r="G137" i="11"/>
  <c r="F137" i="11"/>
  <c r="G136" i="11"/>
  <c r="F136" i="11"/>
  <c r="G135" i="11"/>
  <c r="F135" i="11"/>
  <c r="G133" i="11"/>
  <c r="F133" i="1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6" i="11"/>
  <c r="F126" i="11"/>
  <c r="G125" i="11"/>
  <c r="F125" i="11"/>
  <c r="G124" i="11"/>
  <c r="F124" i="11"/>
  <c r="G123" i="11"/>
  <c r="F123" i="11"/>
  <c r="G122" i="11"/>
  <c r="F122" i="11"/>
  <c r="G121" i="11"/>
  <c r="F121" i="11"/>
  <c r="G117" i="11"/>
  <c r="F117" i="11"/>
  <c r="G116" i="11"/>
  <c r="F116" i="11"/>
  <c r="G115" i="11"/>
  <c r="F115" i="11"/>
  <c r="G114" i="11"/>
  <c r="F114" i="11"/>
  <c r="G110" i="11"/>
  <c r="F110" i="11"/>
  <c r="G109" i="11"/>
  <c r="F109" i="11"/>
  <c r="G108" i="11"/>
  <c r="F108" i="11"/>
  <c r="G107" i="11"/>
  <c r="F107" i="11"/>
  <c r="F106" i="11"/>
  <c r="G105" i="11"/>
  <c r="F105" i="11"/>
  <c r="G104" i="11"/>
  <c r="F104" i="11"/>
  <c r="G102" i="11"/>
  <c r="F102" i="11"/>
  <c r="G99" i="11"/>
  <c r="G96" i="11"/>
  <c r="F96" i="11"/>
  <c r="G94" i="11"/>
  <c r="F94" i="11"/>
  <c r="G93" i="11"/>
  <c r="F93" i="11"/>
  <c r="G92" i="11"/>
  <c r="F92" i="11"/>
  <c r="F90" i="11"/>
  <c r="G85" i="11"/>
  <c r="F85" i="11"/>
  <c r="G84" i="11"/>
  <c r="F84" i="11"/>
  <c r="G83" i="11"/>
  <c r="F83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2" i="11"/>
  <c r="F52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0" i="11"/>
  <c r="F20" i="11"/>
  <c r="G19" i="11"/>
  <c r="F19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F99" i="11" l="1"/>
  <c r="D188" i="11"/>
  <c r="J188" i="11" s="1"/>
  <c r="B187" i="11" l="1"/>
  <c r="B172" i="11"/>
  <c r="B166" i="11"/>
  <c r="B151" i="11"/>
  <c r="B145" i="11"/>
  <c r="B118" i="11"/>
  <c r="C106" i="11"/>
  <c r="C103" i="11"/>
  <c r="B103" i="11"/>
  <c r="C98" i="11"/>
  <c r="C97" i="11"/>
  <c r="C95" i="11"/>
  <c r="C91" i="11"/>
  <c r="C90" i="11"/>
  <c r="B98" i="11"/>
  <c r="B97" i="11"/>
  <c r="B95" i="11"/>
  <c r="B91" i="11"/>
  <c r="B86" i="11"/>
  <c r="B53" i="11"/>
  <c r="B21" i="11"/>
  <c r="F97" i="11" l="1"/>
  <c r="G103" i="11"/>
  <c r="G90" i="11"/>
  <c r="F118" i="11"/>
  <c r="G106" i="11"/>
  <c r="F21" i="11"/>
  <c r="G91" i="11"/>
  <c r="F145" i="11"/>
  <c r="F98" i="11"/>
  <c r="F53" i="11"/>
  <c r="G95" i="11"/>
  <c r="F151" i="11"/>
  <c r="F86" i="11"/>
  <c r="G97" i="11"/>
  <c r="F166" i="11"/>
  <c r="F91" i="11"/>
  <c r="G98" i="11"/>
  <c r="F95" i="11"/>
  <c r="F103" i="11"/>
  <c r="F187" i="11"/>
  <c r="B111" i="11"/>
  <c r="B167" i="11" l="1"/>
  <c r="B188" i="11" s="1"/>
  <c r="F188" i="11" l="1"/>
  <c r="F167" i="11"/>
  <c r="Q95" i="9" l="1"/>
  <c r="P95" i="9" l="1"/>
  <c r="S95" i="9"/>
  <c r="R95" i="9"/>
  <c r="P94" i="9"/>
  <c r="E95" i="9" l="1"/>
  <c r="J152" i="9" l="1"/>
  <c r="K150" i="9" s="1"/>
  <c r="K149" i="9" l="1"/>
  <c r="K151" i="9"/>
  <c r="P47" i="9" l="1"/>
  <c r="S190" i="9" l="1"/>
  <c r="S188" i="9"/>
  <c r="S187" i="9"/>
  <c r="S191" i="9"/>
  <c r="S189" i="9"/>
  <c r="S184" i="9"/>
  <c r="S181" i="9"/>
  <c r="S186" i="9"/>
  <c r="S185" i="9"/>
  <c r="S180" i="9"/>
  <c r="S183" i="9"/>
  <c r="S182" i="9"/>
  <c r="S192" i="9"/>
  <c r="S179" i="9"/>
  <c r="S174" i="9"/>
  <c r="S175" i="9"/>
  <c r="S173" i="9"/>
  <c r="S163" i="9"/>
  <c r="S166" i="9"/>
  <c r="S164" i="9"/>
  <c r="S160" i="9"/>
  <c r="S161" i="9"/>
  <c r="S162" i="9"/>
  <c r="S167" i="9"/>
  <c r="S165" i="9"/>
  <c r="S157" i="9"/>
  <c r="S156" i="9"/>
  <c r="S151" i="9"/>
  <c r="S149" i="9"/>
  <c r="S152" i="9"/>
  <c r="S150" i="9"/>
  <c r="S145" i="9"/>
  <c r="S142" i="9"/>
  <c r="S123" i="9"/>
  <c r="S124" i="9"/>
  <c r="S132" i="9"/>
  <c r="S144" i="9"/>
  <c r="S126" i="9"/>
  <c r="S133" i="9"/>
  <c r="S137" i="9"/>
  <c r="S139" i="9"/>
  <c r="S143" i="9"/>
  <c r="S129" i="9"/>
  <c r="S134" i="9"/>
  <c r="S122" i="9"/>
  <c r="S127" i="9"/>
  <c r="S136" i="9"/>
  <c r="S125" i="9"/>
  <c r="S138" i="9"/>
  <c r="S131" i="9"/>
  <c r="S128" i="9"/>
  <c r="S130" i="9"/>
  <c r="S141" i="9"/>
  <c r="S146" i="9"/>
  <c r="S140" i="9"/>
  <c r="S117" i="9"/>
  <c r="S118" i="9"/>
  <c r="S115" i="9"/>
  <c r="S119" i="9"/>
  <c r="S116" i="9"/>
  <c r="S111" i="9"/>
  <c r="S105" i="9"/>
  <c r="S103" i="9"/>
  <c r="S106" i="9"/>
  <c r="S108" i="9"/>
  <c r="S107" i="9"/>
  <c r="S104" i="9"/>
  <c r="S112" i="9"/>
  <c r="S109" i="9"/>
  <c r="S100" i="9"/>
  <c r="S97" i="9"/>
  <c r="S99" i="9"/>
  <c r="S91" i="9"/>
  <c r="S92" i="9"/>
  <c r="S93" i="9"/>
  <c r="S96" i="9"/>
  <c r="S98" i="9"/>
  <c r="S94" i="9"/>
  <c r="S75" i="9"/>
  <c r="S69" i="9"/>
  <c r="S68" i="9"/>
  <c r="S63" i="9"/>
  <c r="S84" i="9"/>
  <c r="S85" i="9"/>
  <c r="S86" i="9"/>
  <c r="S62" i="9"/>
  <c r="S82" i="9"/>
  <c r="S77" i="9"/>
  <c r="S72" i="9"/>
  <c r="S78" i="9"/>
  <c r="S80" i="9"/>
  <c r="S76" i="9"/>
  <c r="S73" i="9"/>
  <c r="S70" i="9"/>
  <c r="S67" i="9"/>
  <c r="S71" i="9"/>
  <c r="S65" i="9"/>
  <c r="S57" i="9"/>
  <c r="S58" i="9"/>
  <c r="S81" i="9"/>
  <c r="S60" i="9"/>
  <c r="S61" i="9"/>
  <c r="S74" i="9"/>
  <c r="S64" i="9"/>
  <c r="S59" i="9"/>
  <c r="S66" i="9"/>
  <c r="S83" i="9"/>
  <c r="S87" i="9"/>
  <c r="S79" i="9"/>
  <c r="S39" i="9"/>
  <c r="S50" i="9"/>
  <c r="S26" i="9"/>
  <c r="S28" i="9"/>
  <c r="S44" i="9"/>
  <c r="S29" i="9"/>
  <c r="S41" i="9"/>
  <c r="S32" i="9"/>
  <c r="S47" i="9"/>
  <c r="S30" i="9"/>
  <c r="S35" i="9"/>
  <c r="S36" i="9"/>
  <c r="S34" i="9"/>
  <c r="S53" i="9"/>
  <c r="S25" i="9"/>
  <c r="S43" i="9"/>
  <c r="S40" i="9"/>
  <c r="S52" i="9"/>
  <c r="S31" i="9"/>
  <c r="S38" i="9"/>
  <c r="S27" i="9"/>
  <c r="S49" i="9"/>
  <c r="S51" i="9"/>
  <c r="S46" i="9"/>
  <c r="S37" i="9"/>
  <c r="S33" i="9"/>
  <c r="S45" i="9"/>
  <c r="S54" i="9"/>
  <c r="S48" i="9"/>
  <c r="S14" i="9"/>
  <c r="S11" i="9"/>
  <c r="S17" i="9"/>
  <c r="S6" i="9"/>
  <c r="S21" i="9"/>
  <c r="S8" i="9"/>
  <c r="S10" i="9"/>
  <c r="S15" i="9"/>
  <c r="S18" i="9"/>
  <c r="S9" i="9"/>
  <c r="S16" i="9"/>
  <c r="S7" i="9"/>
  <c r="S12" i="9"/>
  <c r="S20" i="9"/>
  <c r="S22" i="9"/>
  <c r="S19" i="9"/>
  <c r="P16" i="9" l="1"/>
  <c r="K10" i="1" l="1"/>
  <c r="K12" i="1" l="1"/>
  <c r="R104" i="9" l="1"/>
  <c r="Q104" i="9"/>
  <c r="P104" i="9"/>
  <c r="R98" i="9"/>
  <c r="Q98" i="9"/>
  <c r="P98" i="9"/>
  <c r="E110" i="9" l="1"/>
  <c r="E98" i="9"/>
  <c r="J22" i="9" l="1"/>
  <c r="K13" i="9" l="1"/>
  <c r="K15" i="9"/>
  <c r="R96" i="9"/>
  <c r="P96" i="9"/>
  <c r="Q96" i="9"/>
  <c r="E96" i="9" l="1"/>
  <c r="R192" i="9" l="1"/>
  <c r="Q99" i="9"/>
  <c r="Q19" i="9"/>
  <c r="R130" i="9" l="1"/>
  <c r="Q130" i="9"/>
  <c r="P130" i="9"/>
  <c r="R66" i="9"/>
  <c r="Q66" i="9"/>
  <c r="P66" i="9"/>
  <c r="R12" i="9"/>
  <c r="Q12" i="9"/>
  <c r="P12" i="9"/>
  <c r="E66" i="9" l="1"/>
  <c r="E12" i="9"/>
  <c r="R59" i="9" l="1"/>
  <c r="Q59" i="9"/>
  <c r="P59" i="9"/>
  <c r="E59" i="9" l="1"/>
  <c r="J146" i="9" l="1"/>
  <c r="J119" i="9"/>
  <c r="J112" i="9"/>
  <c r="J87" i="9"/>
  <c r="K76" i="9" s="1"/>
  <c r="J54" i="9"/>
  <c r="K95" i="9" l="1"/>
  <c r="K103" i="9"/>
  <c r="K122" i="9"/>
  <c r="K129" i="9"/>
  <c r="K145" i="9"/>
  <c r="K135" i="9"/>
  <c r="K25" i="9"/>
  <c r="K42" i="9"/>
  <c r="K138" i="9"/>
  <c r="K142" i="9"/>
  <c r="K110" i="9"/>
  <c r="K128" i="9"/>
  <c r="K82" i="9"/>
  <c r="K80" i="9"/>
  <c r="K104" i="9"/>
  <c r="E104" i="9"/>
  <c r="K96" i="9"/>
  <c r="K98" i="9"/>
  <c r="K52" i="9"/>
  <c r="K44" i="9"/>
  <c r="K66" i="9"/>
  <c r="K60" i="9"/>
  <c r="K130" i="9"/>
  <c r="K124" i="9"/>
  <c r="K43" i="9"/>
  <c r="K46" i="9"/>
  <c r="K27" i="9"/>
  <c r="K40" i="9"/>
  <c r="K37" i="9"/>
  <c r="K51" i="9"/>
  <c r="K33" i="9"/>
  <c r="K38" i="9"/>
  <c r="K49" i="9"/>
  <c r="K31" i="9"/>
  <c r="K45" i="9"/>
  <c r="K137" i="9"/>
  <c r="K125" i="9"/>
  <c r="K59" i="9"/>
  <c r="K73" i="9"/>
  <c r="R93" i="9"/>
  <c r="Q93" i="9"/>
  <c r="P93" i="9"/>
  <c r="K93" i="9"/>
  <c r="R161" i="9"/>
  <c r="Q161" i="9"/>
  <c r="P161" i="9"/>
  <c r="R128" i="9"/>
  <c r="Q128" i="9"/>
  <c r="P128" i="9"/>
  <c r="E93" i="9"/>
  <c r="E161" i="9" l="1"/>
  <c r="J192" i="9" l="1"/>
  <c r="J175" i="9"/>
  <c r="J167" i="9"/>
  <c r="K156" i="9" s="1"/>
  <c r="K183" i="9" l="1"/>
  <c r="K190" i="9"/>
  <c r="K161" i="9"/>
  <c r="J168" i="9"/>
  <c r="J193" i="9" l="1"/>
  <c r="K167" i="9"/>
  <c r="R182" i="9"/>
  <c r="Q182" i="9"/>
  <c r="P182" i="9"/>
  <c r="E182" i="9"/>
  <c r="R183" i="9"/>
  <c r="Q183" i="9"/>
  <c r="P183" i="9"/>
  <c r="E183" i="9"/>
  <c r="R180" i="9"/>
  <c r="Q180" i="9"/>
  <c r="P180" i="9"/>
  <c r="E180" i="9"/>
  <c r="R185" i="9"/>
  <c r="Q185" i="9"/>
  <c r="P185" i="9"/>
  <c r="E185" i="9"/>
  <c r="R186" i="9"/>
  <c r="Q186" i="9"/>
  <c r="P186" i="9"/>
  <c r="E186" i="9"/>
  <c r="R181" i="9"/>
  <c r="Q181" i="9"/>
  <c r="P181" i="9"/>
  <c r="E181" i="9"/>
  <c r="R184" i="9"/>
  <c r="Q184" i="9"/>
  <c r="P184" i="9"/>
  <c r="E184" i="9"/>
  <c r="R189" i="9"/>
  <c r="Q189" i="9"/>
  <c r="P189" i="9"/>
  <c r="E189" i="9"/>
  <c r="R191" i="9"/>
  <c r="Q191" i="9"/>
  <c r="P191" i="9"/>
  <c r="E191" i="9"/>
  <c r="R187" i="9"/>
  <c r="Q187" i="9"/>
  <c r="P187" i="9"/>
  <c r="E187" i="9"/>
  <c r="R188" i="9"/>
  <c r="Q188" i="9"/>
  <c r="P188" i="9"/>
  <c r="E188" i="9"/>
  <c r="R190" i="9"/>
  <c r="Q190" i="9"/>
  <c r="P190" i="9"/>
  <c r="E190" i="9"/>
  <c r="R175" i="9"/>
  <c r="P175" i="9"/>
  <c r="R174" i="9"/>
  <c r="Q174" i="9"/>
  <c r="P174" i="9"/>
  <c r="K174" i="9"/>
  <c r="E174" i="9"/>
  <c r="R173" i="9"/>
  <c r="Q173" i="9"/>
  <c r="P173" i="9"/>
  <c r="K173" i="9"/>
  <c r="E173" i="9"/>
  <c r="R167" i="9"/>
  <c r="K165" i="9"/>
  <c r="E157" i="9"/>
  <c r="R162" i="9"/>
  <c r="Q162" i="9"/>
  <c r="P162" i="9"/>
  <c r="R160" i="9"/>
  <c r="Q160" i="9"/>
  <c r="P160" i="9"/>
  <c r="R164" i="9"/>
  <c r="Q164" i="9"/>
  <c r="P164" i="9"/>
  <c r="R166" i="9"/>
  <c r="Q166" i="9"/>
  <c r="P166" i="9"/>
  <c r="R163" i="9"/>
  <c r="Q163" i="9"/>
  <c r="P163" i="9"/>
  <c r="E163" i="9"/>
  <c r="R165" i="9"/>
  <c r="Q165" i="9"/>
  <c r="P165" i="9"/>
  <c r="R157" i="9"/>
  <c r="Q157" i="9"/>
  <c r="P157" i="9"/>
  <c r="K157" i="9"/>
  <c r="R156" i="9"/>
  <c r="Q156" i="9"/>
  <c r="P156" i="9"/>
  <c r="R152" i="9"/>
  <c r="P152" i="9"/>
  <c r="R149" i="9"/>
  <c r="Q149" i="9"/>
  <c r="P149" i="9"/>
  <c r="E149" i="9"/>
  <c r="R151" i="9"/>
  <c r="Q151" i="9"/>
  <c r="P151" i="9"/>
  <c r="E151" i="9"/>
  <c r="R150" i="9"/>
  <c r="Q150" i="9"/>
  <c r="P150" i="9"/>
  <c r="E150" i="9"/>
  <c r="R146" i="9"/>
  <c r="R141" i="9"/>
  <c r="Q141" i="9"/>
  <c r="P141" i="9"/>
  <c r="R131" i="9"/>
  <c r="Q131" i="9"/>
  <c r="P131" i="9"/>
  <c r="R138" i="9"/>
  <c r="Q138" i="9"/>
  <c r="P138" i="9"/>
  <c r="R125" i="9"/>
  <c r="Q125" i="9"/>
  <c r="P125" i="9"/>
  <c r="R136" i="9"/>
  <c r="Q136" i="9"/>
  <c r="P136" i="9"/>
  <c r="R127" i="9"/>
  <c r="Q127" i="9"/>
  <c r="P127" i="9"/>
  <c r="R122" i="9"/>
  <c r="Q122" i="9"/>
  <c r="P122" i="9"/>
  <c r="R134" i="9"/>
  <c r="Q134" i="9"/>
  <c r="P134" i="9"/>
  <c r="R129" i="9"/>
  <c r="Q129" i="9"/>
  <c r="P129" i="9"/>
  <c r="R143" i="9"/>
  <c r="Q143" i="9"/>
  <c r="P143" i="9"/>
  <c r="R139" i="9"/>
  <c r="Q139" i="9"/>
  <c r="P139" i="9"/>
  <c r="R137" i="9"/>
  <c r="Q137" i="9"/>
  <c r="P137" i="9"/>
  <c r="R133" i="9"/>
  <c r="Q133" i="9"/>
  <c r="P133" i="9"/>
  <c r="R126" i="9"/>
  <c r="Q126" i="9"/>
  <c r="P126" i="9"/>
  <c r="R144" i="9"/>
  <c r="Q144" i="9"/>
  <c r="P144" i="9"/>
  <c r="R132" i="9"/>
  <c r="Q132" i="9"/>
  <c r="P132" i="9"/>
  <c r="R124" i="9"/>
  <c r="Q124" i="9"/>
  <c r="P124" i="9"/>
  <c r="R123" i="9"/>
  <c r="Q123" i="9"/>
  <c r="P123" i="9"/>
  <c r="R142" i="9"/>
  <c r="Q142" i="9"/>
  <c r="P142" i="9"/>
  <c r="R145" i="9"/>
  <c r="Q145" i="9"/>
  <c r="P145" i="9"/>
  <c r="R140" i="9"/>
  <c r="Q140" i="9"/>
  <c r="P140" i="9"/>
  <c r="R119" i="9"/>
  <c r="P119" i="9"/>
  <c r="E115" i="9"/>
  <c r="R115" i="9"/>
  <c r="Q115" i="9"/>
  <c r="P115" i="9"/>
  <c r="R118" i="9"/>
  <c r="Q118" i="9"/>
  <c r="P118" i="9"/>
  <c r="E118" i="9"/>
  <c r="R117" i="9"/>
  <c r="Q117" i="9"/>
  <c r="P117" i="9"/>
  <c r="R116" i="9"/>
  <c r="Q116" i="9"/>
  <c r="P116" i="9"/>
  <c r="E116" i="9"/>
  <c r="R112" i="9"/>
  <c r="R107" i="9"/>
  <c r="Q107" i="9"/>
  <c r="P107" i="9"/>
  <c r="R108" i="9"/>
  <c r="Q108" i="9"/>
  <c r="P108" i="9"/>
  <c r="R106" i="9"/>
  <c r="Q106" i="9"/>
  <c r="P106" i="9"/>
  <c r="R103" i="9"/>
  <c r="Q103" i="9"/>
  <c r="P103" i="9"/>
  <c r="R105" i="9"/>
  <c r="Q105" i="9"/>
  <c r="P105" i="9"/>
  <c r="R111" i="9"/>
  <c r="Q111" i="9"/>
  <c r="P111" i="9"/>
  <c r="R109" i="9"/>
  <c r="Q109" i="9"/>
  <c r="P109" i="9"/>
  <c r="R92" i="9"/>
  <c r="Q92" i="9"/>
  <c r="R91" i="9"/>
  <c r="P91" i="9"/>
  <c r="Q91" i="9"/>
  <c r="R99" i="9"/>
  <c r="P99" i="9"/>
  <c r="R97" i="9"/>
  <c r="Q97" i="9"/>
  <c r="P97" i="9"/>
  <c r="R100" i="9"/>
  <c r="Q100" i="9"/>
  <c r="P100" i="9"/>
  <c r="R94" i="9"/>
  <c r="Q94" i="9"/>
  <c r="R87" i="9"/>
  <c r="P87" i="9"/>
  <c r="E83" i="9"/>
  <c r="R83" i="9"/>
  <c r="Q83" i="9"/>
  <c r="P83" i="9"/>
  <c r="R64" i="9"/>
  <c r="Q64" i="9"/>
  <c r="P64" i="9"/>
  <c r="E64" i="9"/>
  <c r="R74" i="9"/>
  <c r="Q74" i="9"/>
  <c r="P74" i="9"/>
  <c r="R61" i="9"/>
  <c r="Q61" i="9"/>
  <c r="P61" i="9"/>
  <c r="R60" i="9"/>
  <c r="Q60" i="9"/>
  <c r="P60" i="9"/>
  <c r="E60" i="9"/>
  <c r="R81" i="9"/>
  <c r="Q81" i="9"/>
  <c r="P81" i="9"/>
  <c r="E81" i="9"/>
  <c r="R58" i="9"/>
  <c r="Q58" i="9"/>
  <c r="P58" i="9"/>
  <c r="E58" i="9"/>
  <c r="R57" i="9"/>
  <c r="Q57" i="9"/>
  <c r="E57" i="9"/>
  <c r="R65" i="9"/>
  <c r="Q65" i="9"/>
  <c r="P65" i="9"/>
  <c r="E65" i="9"/>
  <c r="R71" i="9"/>
  <c r="Q71" i="9"/>
  <c r="P71" i="9"/>
  <c r="E71" i="9"/>
  <c r="R67" i="9"/>
  <c r="Q67" i="9"/>
  <c r="P67" i="9"/>
  <c r="E67" i="9"/>
  <c r="R70" i="9"/>
  <c r="Q70" i="9"/>
  <c r="P70" i="9"/>
  <c r="E70" i="9"/>
  <c r="R73" i="9"/>
  <c r="Q73" i="9"/>
  <c r="P73" i="9"/>
  <c r="E73" i="9"/>
  <c r="R76" i="9"/>
  <c r="Q76" i="9"/>
  <c r="P76" i="9"/>
  <c r="E76" i="9"/>
  <c r="R80" i="9"/>
  <c r="Q80" i="9"/>
  <c r="P80" i="9"/>
  <c r="E80" i="9"/>
  <c r="R78" i="9"/>
  <c r="Q78" i="9"/>
  <c r="P78" i="9"/>
  <c r="E78" i="9"/>
  <c r="R72" i="9"/>
  <c r="Q72" i="9"/>
  <c r="P72" i="9"/>
  <c r="E72" i="9"/>
  <c r="R77" i="9"/>
  <c r="Q77" i="9"/>
  <c r="P77" i="9"/>
  <c r="E77" i="9"/>
  <c r="R82" i="9"/>
  <c r="Q82" i="9"/>
  <c r="P82" i="9"/>
  <c r="E82" i="9"/>
  <c r="R62" i="9"/>
  <c r="Q62" i="9"/>
  <c r="P62" i="9"/>
  <c r="E62" i="9"/>
  <c r="R86" i="9"/>
  <c r="Q86" i="9"/>
  <c r="P86" i="9"/>
  <c r="E86" i="9"/>
  <c r="R85" i="9"/>
  <c r="Q85" i="9"/>
  <c r="P85" i="9"/>
  <c r="E85" i="9"/>
  <c r="R84" i="9"/>
  <c r="Q84" i="9"/>
  <c r="P84" i="9"/>
  <c r="E84" i="9"/>
  <c r="R63" i="9"/>
  <c r="Q63" i="9"/>
  <c r="P63" i="9"/>
  <c r="E63" i="9"/>
  <c r="R68" i="9"/>
  <c r="Q68" i="9"/>
  <c r="E68" i="9"/>
  <c r="R69" i="9"/>
  <c r="Q69" i="9"/>
  <c r="P69" i="9"/>
  <c r="E69" i="9"/>
  <c r="R75" i="9"/>
  <c r="Q75" i="9"/>
  <c r="P75" i="9"/>
  <c r="E75" i="9"/>
  <c r="R79" i="9"/>
  <c r="Q79" i="9"/>
  <c r="P79" i="9"/>
  <c r="E79" i="9"/>
  <c r="R54" i="9"/>
  <c r="E38" i="9"/>
  <c r="R45" i="9"/>
  <c r="Q45" i="9"/>
  <c r="P45" i="9"/>
  <c r="R33" i="9"/>
  <c r="Q33" i="9"/>
  <c r="P33" i="9"/>
  <c r="R37" i="9"/>
  <c r="Q37" i="9"/>
  <c r="P37" i="9"/>
  <c r="R46" i="9"/>
  <c r="Q46" i="9"/>
  <c r="P46" i="9"/>
  <c r="R51" i="9"/>
  <c r="Q51" i="9"/>
  <c r="P51" i="9"/>
  <c r="R49" i="9"/>
  <c r="Q49" i="9"/>
  <c r="P49" i="9"/>
  <c r="R27" i="9"/>
  <c r="Q27" i="9"/>
  <c r="P27" i="9"/>
  <c r="R38" i="9"/>
  <c r="Q38" i="9"/>
  <c r="P38" i="9"/>
  <c r="R31" i="9"/>
  <c r="Q31" i="9"/>
  <c r="P31" i="9"/>
  <c r="R52" i="9"/>
  <c r="Q52" i="9"/>
  <c r="P52" i="9"/>
  <c r="R40" i="9"/>
  <c r="Q40" i="9"/>
  <c r="P40" i="9"/>
  <c r="R43" i="9"/>
  <c r="Q43" i="9"/>
  <c r="P43" i="9"/>
  <c r="R25" i="9"/>
  <c r="Q25" i="9"/>
  <c r="P25" i="9"/>
  <c r="R53" i="9"/>
  <c r="Q53" i="9"/>
  <c r="P53" i="9"/>
  <c r="R34" i="9"/>
  <c r="Q34" i="9"/>
  <c r="P34" i="9"/>
  <c r="R36" i="9"/>
  <c r="Q36" i="9"/>
  <c r="P36" i="9"/>
  <c r="R35" i="9"/>
  <c r="Q35" i="9"/>
  <c r="P35" i="9"/>
  <c r="R30" i="9"/>
  <c r="Q30" i="9"/>
  <c r="P30" i="9"/>
  <c r="R47" i="9"/>
  <c r="Q47" i="9"/>
  <c r="R32" i="9"/>
  <c r="Q32" i="9"/>
  <c r="P32" i="9"/>
  <c r="R41" i="9"/>
  <c r="Q41" i="9"/>
  <c r="P41" i="9"/>
  <c r="R29" i="9"/>
  <c r="Q29" i="9"/>
  <c r="P29" i="9"/>
  <c r="R44" i="9"/>
  <c r="Q44" i="9"/>
  <c r="P44" i="9"/>
  <c r="R28" i="9"/>
  <c r="Q28" i="9"/>
  <c r="P28" i="9"/>
  <c r="R26" i="9"/>
  <c r="Q26" i="9"/>
  <c r="P26" i="9"/>
  <c r="R50" i="9"/>
  <c r="Q50" i="9"/>
  <c r="P50" i="9"/>
  <c r="R39" i="9"/>
  <c r="Q39" i="9"/>
  <c r="P39" i="9"/>
  <c r="R48" i="9"/>
  <c r="Q48" i="9"/>
  <c r="P48" i="9"/>
  <c r="R22" i="9"/>
  <c r="P22" i="9"/>
  <c r="E8" i="9"/>
  <c r="R20" i="9"/>
  <c r="Q20" i="9"/>
  <c r="P20" i="9"/>
  <c r="R7" i="9"/>
  <c r="Q7" i="9"/>
  <c r="R16" i="9"/>
  <c r="Q16" i="9"/>
  <c r="R9" i="9"/>
  <c r="Q9" i="9"/>
  <c r="P9" i="9"/>
  <c r="R18" i="9"/>
  <c r="Q18" i="9"/>
  <c r="P18" i="9"/>
  <c r="R15" i="9"/>
  <c r="Q15" i="9"/>
  <c r="P15" i="9"/>
  <c r="E15" i="9"/>
  <c r="R10" i="9"/>
  <c r="Q10" i="9"/>
  <c r="P10" i="9"/>
  <c r="R8" i="9"/>
  <c r="Q8" i="9"/>
  <c r="P8" i="9"/>
  <c r="R21" i="9"/>
  <c r="Q21" i="9"/>
  <c r="P21" i="9"/>
  <c r="E21" i="9"/>
  <c r="R6" i="9"/>
  <c r="Q6" i="9"/>
  <c r="P6" i="9"/>
  <c r="R17" i="9"/>
  <c r="Q17" i="9"/>
  <c r="P17" i="9"/>
  <c r="E17" i="9"/>
  <c r="R11" i="9"/>
  <c r="Q11" i="9"/>
  <c r="P11" i="9"/>
  <c r="R14" i="9"/>
  <c r="Q14" i="9"/>
  <c r="P14" i="9"/>
  <c r="R19" i="9"/>
  <c r="P19" i="9"/>
  <c r="E19" i="9"/>
  <c r="K180" i="9" l="1"/>
  <c r="K187" i="9"/>
  <c r="K189" i="9"/>
  <c r="K181" i="9"/>
  <c r="K188" i="9"/>
  <c r="K185" i="9"/>
  <c r="P192" i="9"/>
  <c r="K186" i="9"/>
  <c r="K182" i="9"/>
  <c r="K184" i="9"/>
  <c r="K166" i="9"/>
  <c r="K163" i="9"/>
  <c r="K164" i="9"/>
  <c r="K160" i="9"/>
  <c r="K162" i="9"/>
  <c r="K123" i="9"/>
  <c r="K67" i="9"/>
  <c r="K75" i="9"/>
  <c r="K85" i="9"/>
  <c r="K78" i="9"/>
  <c r="K64" i="9"/>
  <c r="K84" i="9"/>
  <c r="K63" i="9"/>
  <c r="K65" i="9"/>
  <c r="K58" i="9"/>
  <c r="K61" i="9"/>
  <c r="K34" i="9"/>
  <c r="K29" i="9"/>
  <c r="K28" i="9"/>
  <c r="K50" i="9"/>
  <c r="K35" i="9"/>
  <c r="K32" i="9"/>
  <c r="K48" i="9"/>
  <c r="K30" i="9"/>
  <c r="P54" i="9"/>
  <c r="K14" i="9"/>
  <c r="K17" i="9"/>
  <c r="K21" i="9"/>
  <c r="K16" i="9"/>
  <c r="K19" i="9"/>
  <c r="K18" i="9"/>
  <c r="K10" i="9"/>
  <c r="K11" i="9"/>
  <c r="K144" i="9"/>
  <c r="K139" i="9"/>
  <c r="K134" i="9"/>
  <c r="K117" i="9"/>
  <c r="K118" i="9"/>
  <c r="K116" i="9"/>
  <c r="K7" i="9"/>
  <c r="K6" i="9"/>
  <c r="K8" i="9"/>
  <c r="K9" i="9"/>
  <c r="E156" i="9"/>
  <c r="E160" i="9"/>
  <c r="P167" i="9"/>
  <c r="E7" i="9"/>
  <c r="K68" i="9"/>
  <c r="K72" i="9"/>
  <c r="K71" i="9"/>
  <c r="K132" i="9"/>
  <c r="K141" i="9"/>
  <c r="P146" i="9"/>
  <c r="E164" i="9"/>
  <c r="E11" i="9"/>
  <c r="E9" i="9"/>
  <c r="E10" i="9"/>
  <c r="K39" i="9"/>
  <c r="K26" i="9"/>
  <c r="K41" i="9"/>
  <c r="K47" i="9"/>
  <c r="K36" i="9"/>
  <c r="K53" i="9"/>
  <c r="K79" i="9"/>
  <c r="K62" i="9"/>
  <c r="K70" i="9"/>
  <c r="E74" i="9"/>
  <c r="E117" i="9"/>
  <c r="E165" i="9"/>
  <c r="P92" i="9"/>
  <c r="K133" i="9"/>
  <c r="K127" i="9"/>
  <c r="K57" i="9"/>
  <c r="K74" i="9"/>
  <c r="K126" i="9"/>
  <c r="E162" i="9"/>
  <c r="K140" i="9"/>
  <c r="E14" i="9"/>
  <c r="E18" i="9"/>
  <c r="E20" i="9"/>
  <c r="K69" i="9"/>
  <c r="K77" i="9"/>
  <c r="K81" i="9"/>
  <c r="K143" i="9"/>
  <c r="K131" i="9"/>
  <c r="E166" i="9"/>
  <c r="E92" i="9"/>
  <c r="E6" i="9"/>
  <c r="E16" i="9"/>
  <c r="K86" i="9"/>
  <c r="E61" i="9"/>
  <c r="K83" i="9"/>
  <c r="K115" i="9"/>
  <c r="E109" i="9" l="1"/>
  <c r="E103" i="9"/>
  <c r="E107" i="9"/>
  <c r="E111" i="9"/>
  <c r="E97" i="9"/>
  <c r="E106" i="9"/>
  <c r="E99" i="9"/>
  <c r="E108" i="9"/>
  <c r="E94" i="9"/>
  <c r="E91" i="9"/>
  <c r="E105" i="9"/>
  <c r="E100" i="9"/>
  <c r="E146" i="9" l="1"/>
  <c r="E119" i="9"/>
  <c r="E152" i="9"/>
  <c r="E167" i="9"/>
  <c r="E54" i="9"/>
  <c r="E22" i="9"/>
  <c r="E87" i="9"/>
  <c r="E112" i="9"/>
  <c r="AT143" i="11" l="1"/>
  <c r="AT138" i="11"/>
  <c r="AQ138" i="11"/>
  <c r="AS138" i="11" s="1"/>
  <c r="AT137" i="11"/>
  <c r="AS137" i="11"/>
  <c r="AT136" i="11"/>
  <c r="AS136" i="11"/>
  <c r="AT135" i="11"/>
  <c r="AS135" i="11"/>
  <c r="AT131" i="11"/>
  <c r="AS131" i="11"/>
  <c r="AT130" i="11"/>
  <c r="AS130" i="11"/>
  <c r="AT129" i="11"/>
  <c r="AS129" i="11"/>
  <c r="AT128" i="11"/>
  <c r="AS128" i="11"/>
  <c r="AT127" i="11"/>
  <c r="AS127" i="11"/>
  <c r="AT126" i="11"/>
  <c r="AS126" i="11"/>
  <c r="AT125" i="11"/>
  <c r="AQ125" i="11"/>
  <c r="AQ143" i="11" s="1"/>
  <c r="AS143" i="11" s="1"/>
  <c r="AT124" i="11"/>
  <c r="AQ124" i="11"/>
  <c r="AS124" i="11" s="1"/>
  <c r="AT120" i="11"/>
  <c r="AS120" i="11"/>
  <c r="AT118" i="11"/>
  <c r="AS118" i="11"/>
  <c r="AT117" i="11"/>
  <c r="AS117" i="11"/>
  <c r="AT116" i="11"/>
  <c r="AS116" i="11"/>
  <c r="AT115" i="11"/>
  <c r="AS115" i="11"/>
  <c r="AT114" i="11"/>
  <c r="AS114" i="11"/>
  <c r="AT113" i="11"/>
  <c r="AQ113" i="11"/>
  <c r="AS113" i="11" s="1"/>
  <c r="AT104" i="11"/>
  <c r="AS104" i="11"/>
  <c r="AT103" i="11"/>
  <c r="AS103" i="11"/>
  <c r="AT102" i="11"/>
  <c r="AS102" i="11"/>
  <c r="AT101" i="11"/>
  <c r="AS101" i="11"/>
  <c r="AT100" i="11"/>
  <c r="AS100" i="11"/>
  <c r="AT99" i="11"/>
  <c r="AS99" i="11"/>
  <c r="AT96" i="11"/>
  <c r="AS96" i="11"/>
  <c r="AT95" i="11"/>
  <c r="AS95" i="11"/>
  <c r="AT93" i="11"/>
  <c r="AS93" i="11"/>
  <c r="AT92" i="11"/>
  <c r="AS92" i="11"/>
  <c r="AT91" i="11"/>
  <c r="AQ91" i="11"/>
  <c r="AS91" i="11" s="1"/>
  <c r="AT90" i="11"/>
  <c r="AS90" i="11"/>
  <c r="AT86" i="11"/>
  <c r="AS86" i="11"/>
  <c r="AT70" i="11"/>
  <c r="AS70" i="11"/>
  <c r="AT68" i="11"/>
  <c r="AS68" i="11"/>
  <c r="AT67" i="11"/>
  <c r="AS67" i="11"/>
  <c r="AT66" i="11"/>
  <c r="AS66" i="11"/>
  <c r="AT65" i="11"/>
  <c r="AS65" i="11"/>
  <c r="AT64" i="11"/>
  <c r="AS64" i="11"/>
  <c r="AT63" i="11"/>
  <c r="AS63" i="11"/>
  <c r="AT62" i="11"/>
  <c r="AS62" i="11"/>
  <c r="AT61" i="11"/>
  <c r="AS61" i="11"/>
  <c r="AT60" i="11"/>
  <c r="AS60" i="11"/>
  <c r="AT58" i="11"/>
  <c r="AS58" i="11"/>
  <c r="AT57" i="11"/>
  <c r="AS57" i="11"/>
  <c r="AT56" i="11"/>
  <c r="AS56" i="11"/>
  <c r="AT55" i="11"/>
  <c r="AS55" i="11"/>
  <c r="AT53" i="11"/>
  <c r="AQ53" i="11"/>
  <c r="AS53" i="11" s="1"/>
  <c r="AT52" i="11"/>
  <c r="AS52" i="11"/>
  <c r="AT28" i="11"/>
  <c r="AS28" i="11"/>
  <c r="AT27" i="11"/>
  <c r="AS27" i="11"/>
  <c r="AT26" i="11"/>
  <c r="AS26" i="11"/>
  <c r="AT25" i="11"/>
  <c r="AS25" i="11"/>
  <c r="AT24" i="11"/>
  <c r="AS24" i="11"/>
  <c r="AT23" i="11"/>
  <c r="AS23" i="11"/>
  <c r="AT21" i="11"/>
  <c r="AQ21" i="11"/>
  <c r="AS21" i="11" s="1"/>
  <c r="AT15" i="11"/>
  <c r="AS15" i="11"/>
  <c r="AT14" i="11"/>
  <c r="AS14" i="11"/>
  <c r="AT13" i="11"/>
  <c r="AS13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I12" i="1"/>
  <c r="H12" i="1"/>
  <c r="G12" i="1"/>
  <c r="F12" i="1"/>
  <c r="E12" i="1"/>
  <c r="D12" i="1"/>
  <c r="J12" i="1"/>
  <c r="F14" i="12"/>
  <c r="F13" i="12"/>
  <c r="F12" i="12"/>
  <c r="F11" i="12"/>
  <c r="F10" i="12"/>
  <c r="F9" i="12"/>
  <c r="F8" i="12"/>
  <c r="F7" i="12"/>
  <c r="AS125" i="11" l="1"/>
  <c r="T175" i="9"/>
  <c r="T193" i="9"/>
  <c r="K106" i="9"/>
  <c r="P168" i="9" l="1"/>
  <c r="K99" i="9"/>
  <c r="K92" i="9"/>
  <c r="K107" i="9"/>
  <c r="K109" i="9"/>
  <c r="K105" i="9"/>
  <c r="K108" i="9"/>
  <c r="K97" i="9"/>
  <c r="P112" i="9"/>
  <c r="K100" i="9"/>
  <c r="K94" i="9"/>
  <c r="K91" i="9"/>
  <c r="K111" i="9"/>
  <c r="K54" i="9" l="1"/>
  <c r="K87" i="9"/>
  <c r="T168" i="9"/>
  <c r="K152" i="9"/>
  <c r="K22" i="9"/>
  <c r="K112" i="9"/>
  <c r="K146" i="9"/>
  <c r="K119" i="9"/>
</calcChain>
</file>

<file path=xl/sharedStrings.xml><?xml version="1.0" encoding="utf-8"?>
<sst xmlns="http://schemas.openxmlformats.org/spreadsheetml/2006/main" count="724" uniqueCount="288">
  <si>
    <t>EQUITY BASED FUNDS</t>
  </si>
  <si>
    <t>S/N</t>
  </si>
  <si>
    <t>FUND</t>
  </si>
  <si>
    <t>Unit Price</t>
  </si>
  <si>
    <t>N</t>
  </si>
  <si>
    <t>Stanbic IBTC Asset Mgt. Limited</t>
  </si>
  <si>
    <t>Asset &amp; Resources Mgt. Co. Ltd</t>
  </si>
  <si>
    <t>FSDH Asset Management Ltd</t>
  </si>
  <si>
    <t>Frontier Fund</t>
  </si>
  <si>
    <t>Chapel Hill Denham Mgt. Limited</t>
  </si>
  <si>
    <t>Paramount Equity Fund</t>
  </si>
  <si>
    <t>ARM Aggressive Growth Fund</t>
  </si>
  <si>
    <t>Zenith Asset Management Ltd</t>
  </si>
  <si>
    <t>Afrinvest Equity Fund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</si>
  <si>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</si>
  <si>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</si>
  <si>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</si>
  <si>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</si>
  <si>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</si>
  <si>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</si>
  <si>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SFS Capital Nigeria Ltd</t>
  </si>
  <si>
    <t>Union Homes REITS</t>
  </si>
  <si>
    <t>Stanbic IBTC Balanced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</si>
  <si>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</si>
  <si>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</si>
  <si>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</si>
  <si>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</si>
  <si>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</si>
  <si>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</si>
  <si>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</si>
  <si>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</si>
  <si>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</si>
  <si>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</si>
  <si>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</si>
  <si>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</si>
  <si>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</si>
  <si>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</si>
  <si>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</si>
  <si>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</si>
  <si>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</si>
  <si>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</si>
  <si>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</si>
  <si>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</si>
  <si>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</si>
  <si>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MONEY MARKET FUNDS</t>
  </si>
  <si>
    <t>Legacy Equity Fund</t>
  </si>
  <si>
    <t>EXCHANGE TRADED FUNDS</t>
  </si>
  <si>
    <t>Lotus Halal ETF</t>
  </si>
  <si>
    <t>PACAM Balanced Fund</t>
  </si>
  <si>
    <t>Vantage Guaranteed Income Fund</t>
  </si>
  <si>
    <t>VCG ETF</t>
  </si>
  <si>
    <t>VI ETF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</si>
  <si>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</si>
  <si>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</si>
  <si>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</si>
  <si>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</si>
  <si>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</si>
  <si>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Ltd.</t>
  </si>
  <si>
    <t>NAV</t>
  </si>
  <si>
    <t>VETBANK ETF</t>
  </si>
  <si>
    <t>MIXED FUNDS</t>
  </si>
  <si>
    <t>% on Total</t>
  </si>
  <si>
    <t>% Change (Current from Previous)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</si>
  <si>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</si>
  <si>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</si>
  <si>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</si>
  <si>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</si>
  <si>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</si>
  <si>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</si>
  <si>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</si>
  <si>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</si>
  <si>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</si>
  <si>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</si>
  <si>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</si>
  <si>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</si>
  <si>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</si>
  <si>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</si>
  <si>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</si>
  <si>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</si>
  <si>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</si>
  <si>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</si>
  <si>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</si>
  <si>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</si>
  <si>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</si>
  <si>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</si>
  <si>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</si>
  <si>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</si>
  <si>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</si>
  <si>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</si>
  <si>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</si>
  <si>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</si>
  <si>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</si>
  <si>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</si>
  <si>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</si>
  <si>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</si>
  <si>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</si>
  <si>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</si>
  <si>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</si>
  <si>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EDC Fund Management Limited</t>
  </si>
  <si>
    <t>EDC Money Market Fund Class B</t>
  </si>
  <si>
    <t>EDC Money Market Fund Class A</t>
  </si>
  <si>
    <t>EDC Fixed Income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</si>
  <si>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</si>
  <si>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</si>
  <si>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</si>
  <si>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</si>
  <si>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</si>
  <si>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</si>
  <si>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</si>
  <si>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</si>
  <si>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</si>
  <si>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</si>
  <si>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</si>
  <si>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</si>
  <si>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</si>
  <si>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</si>
  <si>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</si>
  <si>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Chapel Hill Denham Management Limited</t>
  </si>
  <si>
    <t>Chapel Hill Denham Nig. Infra Debt Fund (NIDF)</t>
  </si>
  <si>
    <t>Unit Price (%)</t>
  </si>
  <si>
    <t>Legacy USD Bond Fund</t>
  </si>
  <si>
    <t>Legacy Money Market Fund</t>
  </si>
  <si>
    <t>GDL Money Market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</si>
  <si>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</si>
  <si>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</si>
  <si>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</si>
  <si>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</si>
  <si>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</si>
  <si>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</si>
  <si>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</si>
  <si>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</si>
  <si>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</si>
  <si>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</si>
  <si>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</si>
  <si>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</si>
  <si>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</si>
  <si>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</si>
  <si>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</si>
  <si>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</si>
  <si>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</si>
  <si>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</si>
  <si>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</si>
  <si>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</si>
  <si>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</si>
  <si>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</si>
  <si>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</si>
  <si>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</si>
  <si>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</si>
  <si>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</si>
  <si>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</si>
  <si>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</si>
  <si>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</si>
  <si>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</si>
  <si>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</si>
  <si>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</si>
  <si>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</si>
  <si>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</si>
  <si>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</si>
  <si>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</si>
  <si>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</si>
  <si>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 xml:space="preserve">Novambl Asset Management 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</si>
  <si>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</si>
  <si>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</si>
  <si>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</si>
  <si>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</si>
  <si>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</si>
  <si>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</si>
  <si>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</si>
  <si>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</si>
  <si>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</si>
  <si>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</si>
  <si>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</si>
  <si>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</si>
  <si>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</si>
  <si>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</si>
  <si>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</si>
  <si>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</si>
  <si>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</si>
  <si>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</si>
  <si>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</si>
  <si>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</si>
  <si>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GDL Canary Growth Fund</t>
  </si>
  <si>
    <t>UPDC Real Estate Investment Trust</t>
  </si>
  <si>
    <t>Meristem Value ETF</t>
  </si>
  <si>
    <t>Meristem Growth ETF</t>
  </si>
  <si>
    <t>FBNQuest Asset Management Limited</t>
  </si>
  <si>
    <t>FBN Halal Fund</t>
  </si>
  <si>
    <t>Nova Hybrid Balanced Fund</t>
  </si>
  <si>
    <t>Norrenberger Money Market Fund</t>
  </si>
  <si>
    <t>ESG Impact Fund (Zenith Ethical Fund)</t>
  </si>
  <si>
    <t>Zenith Asset Management Ltd.</t>
  </si>
  <si>
    <t>FBN Balanced Fund</t>
  </si>
  <si>
    <t>Nigeria Dollar Income Fund</t>
  </si>
  <si>
    <t>BONDS/FIXED INCOME FUNDS</t>
  </si>
  <si>
    <t>FUND MANAGER</t>
  </si>
  <si>
    <t>DOLLAR FUNDS</t>
  </si>
  <si>
    <t>DOLLAR FUNDS (EUROBONDS)</t>
  </si>
  <si>
    <t>DOLLAR FUNDS (FIXED INCOME)</t>
  </si>
  <si>
    <t>SHARI'AH COMPLIANT FUNDS</t>
  </si>
  <si>
    <t>SHARI'AH COMPLIANT FUNDS (EQUITIES)</t>
  </si>
  <si>
    <t>SHARI'AH COMPLIANT FUNDS (FIXED INCOME)</t>
  </si>
  <si>
    <t>INFRASTRUCTURE FUNDS</t>
  </si>
  <si>
    <t>Infrastructure Funds Total</t>
  </si>
  <si>
    <t>NAV (N)</t>
  </si>
  <si>
    <t>NAV (%)</t>
  </si>
  <si>
    <t>Net Asset Value (N)</t>
  </si>
  <si>
    <t>NAV/Unit (N)</t>
  </si>
  <si>
    <t>NAV/Unit (%)</t>
  </si>
  <si>
    <t>SHARI'AH COMPLAINT FUNDS</t>
  </si>
  <si>
    <t>% Change in Total NAV of Infra Funds</t>
  </si>
  <si>
    <t>FBN Bond Fund (Fixed Income)</t>
  </si>
  <si>
    <t>REAL ESTATE INVESTMENT TRUSTS</t>
  </si>
  <si>
    <t>REAL ESTATE INVESTMENT TRUST</t>
  </si>
  <si>
    <t>Bid Price (N)</t>
  </si>
  <si>
    <t>Offer Price (N)</t>
  </si>
  <si>
    <t>Yield (%)</t>
  </si>
  <si>
    <t>Difference</t>
  </si>
  <si>
    <t>Futureview Equity Fund</t>
  </si>
  <si>
    <t>Futureview Asset Management Limited</t>
  </si>
  <si>
    <t>Nigeria Infrastructure Debt Fund (NIDF)</t>
  </si>
  <si>
    <t>Nigerian Bond Fund</t>
  </si>
  <si>
    <t>BALANCED FUNDS</t>
  </si>
  <si>
    <t>Cordros Fixed Income Fund</t>
  </si>
  <si>
    <t>Greenwich ALPHA ETF</t>
  </si>
  <si>
    <t>Nigeria Real Estate Investment Trust</t>
  </si>
  <si>
    <t>Stanbic IBTC Nigerian Equity Fund</t>
  </si>
  <si>
    <t>ARM Short Term Bond Fund</t>
  </si>
  <si>
    <t>AXA Mansard Dollar Bond Fund</t>
  </si>
  <si>
    <t>CapitalTrust Halal Fixed Income Fund</t>
  </si>
  <si>
    <t>CapitalTrust Investments &amp; Asset Management Ltd.</t>
  </si>
  <si>
    <t>Coral Money Market Fund</t>
  </si>
  <si>
    <t>Cordros Halal Fixed Income Fund</t>
  </si>
  <si>
    <t>Nigeria Bond Fund</t>
  </si>
  <si>
    <t>Women's Balanced Fund</t>
  </si>
  <si>
    <t>EDC Balanced Fund</t>
  </si>
  <si>
    <t>EDC Halal Fund</t>
  </si>
  <si>
    <t>Futureview Dollar Fund</t>
  </si>
  <si>
    <t>DLM Asset Management Limited</t>
  </si>
  <si>
    <t>DLM Fixed Income Fund</t>
  </si>
  <si>
    <t>FBN Dollar Fund (Retail)</t>
  </si>
  <si>
    <t>United Capital Wealth for Women Fund</t>
  </si>
  <si>
    <t>Balanced Strategy Fund</t>
  </si>
  <si>
    <t>ESG Impact Fund</t>
  </si>
  <si>
    <t>Guaranty Trust Fund Managers</t>
  </si>
  <si>
    <t>United Capital Infrastructure Fund</t>
  </si>
  <si>
    <t>UBA Nom-Cowry Equity Fund</t>
  </si>
  <si>
    <t>Cowry Treasurers Limited</t>
  </si>
  <si>
    <t>UBA Nom-Cowry Fixed Income Fund</t>
  </si>
  <si>
    <t>UBA Nom-Cowry Balanced Fund</t>
  </si>
  <si>
    <t>TOTAL</t>
  </si>
  <si>
    <t>Norrenberger Dollar Fund</t>
  </si>
  <si>
    <t>FBN Bond Fund</t>
  </si>
  <si>
    <t>United Capital Nigerian Eurobond Fund</t>
  </si>
  <si>
    <t>United Capital Global Fixed Income Fund</t>
  </si>
  <si>
    <t>Yield (WTD)</t>
  </si>
  <si>
    <t>Yield  (YTD)</t>
  </si>
  <si>
    <t>Greenwich Balanced Fund</t>
  </si>
  <si>
    <t>Yield (%) WYD</t>
  </si>
  <si>
    <t>Yield (%) YTD</t>
  </si>
  <si>
    <t>Coronation Asset Management Ltd</t>
  </si>
  <si>
    <t>% Change in Total NAV of ETFs</t>
  </si>
  <si>
    <t>% Change in Total NAV of CIS</t>
  </si>
  <si>
    <t>First Ally Money Market Fund</t>
  </si>
  <si>
    <t>BOND/FIXED INCOME FUNDS</t>
  </si>
  <si>
    <t>Emerging Africa Balanced-Diversity Fund</t>
  </si>
  <si>
    <t>GDL CanaryGrowth Fund</t>
  </si>
  <si>
    <t>Coral Balanced Fund</t>
  </si>
  <si>
    <t>FBN Specialized Dollar Fund</t>
  </si>
  <si>
    <t>NAV and Unit Price as at Week Ended May 19, 2023</t>
  </si>
  <si>
    <t>NAV and Unit Price as at Week Ended May 26, 2023</t>
  </si>
  <si>
    <t>NAV and Unit Price as at Week Ended June 2, 2023</t>
  </si>
  <si>
    <t>NAV and Unit Price as at Week Ended June 9, 2023</t>
  </si>
  <si>
    <t>Guaranty Trust Equity Income Fund (GTEIF)</t>
  </si>
  <si>
    <t>Guaranty Trust Money Market Fund (GTMMF)</t>
  </si>
  <si>
    <t>Vantage Guaranteed Income Fund (VGIF)</t>
  </si>
  <si>
    <t>Vantage Dollar Fund (VDF)</t>
  </si>
  <si>
    <t>Guaranty Trust Balanced Fund (GTBF)</t>
  </si>
  <si>
    <t>NAV and Unit Price as at Week Ended June 16, 2023</t>
  </si>
  <si>
    <t>NAV and Unit Price as at Week Ended June 23, 2023</t>
  </si>
  <si>
    <t>NAV and Unit Price as at Week Ended June 30, 2023</t>
  </si>
  <si>
    <t>NAV, Unit Price and Yield as at Week Ended July 7, 2023</t>
  </si>
  <si>
    <t>8..98</t>
  </si>
  <si>
    <t>NAV and Unit Price as at Week Ended July 7, 2023</t>
  </si>
  <si>
    <t>NET ASSET VALUES AND UNIT PRICES OF COLLECTIVE INVESTMENT SCHEMES AS AT WEEK ENDED JULY 14, 2023</t>
  </si>
  <si>
    <t>NAV, Unit Price and Yield as at Week Ended July 14, 2023</t>
  </si>
  <si>
    <t>8..65%</t>
  </si>
  <si>
    <t>NAV and Unit Price as at Week Ended July 14, 2023</t>
  </si>
  <si>
    <t>The chart above shows that Money Market Fund category has 44.03% share of the Net Asset Value (NAV), followed by Dollar Fund (Eurobonds and Fixed Income) with 30.33%, Bond/Fixed Income Fund at 16.12%, Real Estate Investment Trust at 4.87%.  Next is Balanced Fund at 1.96%, Shari'ah Compliant Fund at 1.41%, Equity Fund at 1.09% and Ethical Fund at 0.19%.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</si>
</sst>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%"/>
    <numFmt numFmtId="167" formatCode="_(* #,##0_);_(* \(#,##0\);_(* &quot;-&quot;??_);_(@_)"/>
    <numFmt numFmtId="168" formatCode="[$€-2]\ #,##0.00_);[Red]\([$€-2]\ #,##0.00\)"/>
    <numFmt numFmtId="169" formatCode="_-* #,##0.0000_-;\-* #,##0.0000_-;_-* &quot;-&quot;??_-;_-@_-"/>
    <numFmt numFmtId="170" formatCode="&quot;True&quot;;&quot;True&quot;;&quot;False&quot;"/>
    <numFmt numFmtId="171" formatCode="#,##0_ ;\-#,##0\ "/>
    <numFmt numFmtId="172" formatCode="&quot; &quot;#,##0.00&quot; &quot;;&quot;-&quot;#,##0.00&quot; &quot;;&quot; -&quot;00&quot; &quot;;&quot; &quot;@&quot; &quot;"/>
    <numFmt numFmtId="173" formatCode="_([$€]* #,##0.00_);_([$€]* \(#,##0.00\);_([$€]* &quot;-&quot;??_);_(@_)"/>
  </numFmts>
  <fonts count="97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name val="Calibri"/>
      <family val="2"/>
      <scheme val="minor"/>
    </font>
    <font>
      <sz val="11"/>
      <color rgb="FF1F497D"/>
      <name val="Arial"/>
      <family val="2"/>
    </font>
    <font>
      <sz val="8.5"/>
      <color rgb="FF696C75"/>
      <name val="SpeakOT-Regular"/>
    </font>
    <font>
      <sz val="11"/>
      <color rgb="FF24406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sz val="10"/>
      <color theme="1"/>
      <name val="Arial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8"/>
      <color theme="1"/>
      <name val="Times New Roman"/>
      <family val="1"/>
    </font>
    <font>
      <sz val="8"/>
      <color rgb="FF000000"/>
      <name val="SpeakOT-Bold"/>
    </font>
    <font>
      <sz val="10"/>
      <color theme="1"/>
      <name val="Futura Bk BT"/>
      <family val="2"/>
    </font>
    <font>
      <b/>
      <sz val="10"/>
      <name val="Arial Narrow"/>
      <family val="2"/>
    </font>
    <font>
      <sz val="18"/>
      <color theme="3"/>
      <name val="Cambria"/>
      <family val="2"/>
      <scheme val="major"/>
    </font>
    <font>
      <b/>
      <sz val="10"/>
      <color theme="1"/>
      <name val="Verdana"/>
      <family val="2"/>
    </font>
    <font>
      <i/>
      <sz val="8"/>
      <name val="Arial Narrow"/>
      <family val="2"/>
    </font>
    <font>
      <i/>
      <sz val="8"/>
      <name val="Calibri"/>
      <family val="2"/>
      <scheme val="minor"/>
    </font>
    <font>
      <sz val="10"/>
      <color indexed="8"/>
      <name val="Arial"/>
      <family val="2"/>
    </font>
    <font>
      <sz val="10"/>
      <name val="Calibri"/>
      <family val="1"/>
      <scheme val="minor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  <font>
      <sz val="14"/>
      <color rgb="FF002060"/>
      <name val="Calibri"/>
      <family val="2"/>
      <scheme val="minor"/>
    </font>
    <font>
      <b/>
      <sz val="11"/>
      <color theme="1"/>
      <name val="Arial Narrow"/>
      <family val="2"/>
    </font>
    <font>
      <sz val="11"/>
      <name val="Arial Narrow"/>
      <family val="2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u/>
      <sz val="11"/>
      <color theme="10"/>
      <name val="Calibri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2"/>
      <color theme="1"/>
      <name val="Book Antiqua"/>
      <family val="2"/>
    </font>
    <font>
      <sz val="11"/>
      <color theme="1"/>
      <name val="Book Antiqua"/>
      <family val="2"/>
    </font>
    <font>
      <b/>
      <sz val="14"/>
      <color rgb="FFFF0000"/>
      <name val="Calibri"/>
      <family val="2"/>
      <scheme val="minor"/>
    </font>
    <font>
      <b/>
      <i/>
      <sz val="10"/>
      <color theme="4"/>
      <name val="Calibri"/>
      <family val="2"/>
      <scheme val="minor"/>
    </font>
    <font>
      <b/>
      <sz val="16"/>
      <color theme="0"/>
      <name val="Arial Narrow"/>
      <family val="2"/>
    </font>
    <font>
      <b/>
      <sz val="10"/>
      <color theme="0"/>
      <name val="Arial Narrow"/>
      <family val="2"/>
    </font>
    <font>
      <b/>
      <sz val="36"/>
      <color rgb="FFFF0000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name val="Calibri"/>
      <family val="2"/>
    </font>
  </fonts>
  <fills count="5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0351">
    <xf numFmtId="0" fontId="0" fillId="0" borderId="0"/>
    <xf numFmtId="0" fontId="6" fillId="2" borderId="0" applyNumberFormat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41" fillId="0" borderId="12" applyNumberFormat="0" applyFill="0" applyAlignment="0" applyProtection="0"/>
    <xf numFmtId="0" fontId="42" fillId="0" borderId="13" applyNumberFormat="0" applyFill="0" applyAlignment="0" applyProtection="0"/>
    <xf numFmtId="0" fontId="43" fillId="0" borderId="14" applyNumberFormat="0" applyFill="0" applyAlignment="0" applyProtection="0"/>
    <xf numFmtId="0" fontId="43" fillId="0" borderId="0" applyNumberFormat="0" applyFill="0" applyBorder="0" applyAlignment="0" applyProtection="0"/>
    <xf numFmtId="0" fontId="44" fillId="14" borderId="0" applyNumberFormat="0" applyBorder="0" applyAlignment="0" applyProtection="0"/>
    <xf numFmtId="0" fontId="46" fillId="16" borderId="15" applyNumberFormat="0" applyAlignment="0" applyProtection="0"/>
    <xf numFmtId="0" fontId="47" fillId="17" borderId="16" applyNumberFormat="0" applyAlignment="0" applyProtection="0"/>
    <xf numFmtId="0" fontId="48" fillId="17" borderId="15" applyNumberFormat="0" applyAlignment="0" applyProtection="0"/>
    <xf numFmtId="0" fontId="49" fillId="0" borderId="17" applyNumberFormat="0" applyFill="0" applyAlignment="0" applyProtection="0"/>
    <xf numFmtId="0" fontId="50" fillId="18" borderId="18" applyNumberFormat="0" applyAlignment="0" applyProtection="0"/>
    <xf numFmtId="0" fontId="9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52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2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2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2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2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2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3" fillId="0" borderId="0"/>
    <xf numFmtId="43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55" fillId="0" borderId="0"/>
    <xf numFmtId="0" fontId="56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52" fillId="23" borderId="0" applyNumberFormat="0" applyBorder="0" applyAlignment="0" applyProtection="0"/>
    <xf numFmtId="0" fontId="52" fillId="27" borderId="0" applyNumberFormat="0" applyBorder="0" applyAlignment="0" applyProtection="0"/>
    <xf numFmtId="0" fontId="52" fillId="31" borderId="0" applyNumberFormat="0" applyBorder="0" applyAlignment="0" applyProtection="0"/>
    <xf numFmtId="0" fontId="52" fillId="35" borderId="0" applyNumberFormat="0" applyBorder="0" applyAlignment="0" applyProtection="0"/>
    <xf numFmtId="0" fontId="52" fillId="39" borderId="0" applyNumberFormat="0" applyBorder="0" applyAlignment="0" applyProtection="0"/>
    <xf numFmtId="0" fontId="52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7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53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3" fillId="0" borderId="0"/>
    <xf numFmtId="43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52" fillId="23" borderId="0" applyNumberFormat="0" applyBorder="0" applyAlignment="0" applyProtection="0"/>
    <xf numFmtId="0" fontId="52" fillId="27" borderId="0" applyNumberFormat="0" applyBorder="0" applyAlignment="0" applyProtection="0"/>
    <xf numFmtId="0" fontId="52" fillId="31" borderId="0" applyNumberFormat="0" applyBorder="0" applyAlignment="0" applyProtection="0"/>
    <xf numFmtId="0" fontId="52" fillId="35" borderId="0" applyNumberFormat="0" applyBorder="0" applyAlignment="0" applyProtection="0"/>
    <xf numFmtId="0" fontId="52" fillId="39" borderId="0" applyNumberFormat="0" applyBorder="0" applyAlignment="0" applyProtection="0"/>
    <xf numFmtId="0" fontId="52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3" fillId="0" borderId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5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3" fillId="0" borderId="0"/>
    <xf numFmtId="43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3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8" fillId="0" borderId="0"/>
    <xf numFmtId="0" fontId="70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5" fillId="19" borderId="19" applyNumberFormat="0" applyFont="0" applyAlignment="0" applyProtection="0"/>
    <xf numFmtId="0" fontId="52" fillId="23" borderId="0" applyNumberFormat="0" applyBorder="0" applyAlignment="0" applyProtection="0"/>
    <xf numFmtId="0" fontId="52" fillId="27" borderId="0" applyNumberFormat="0" applyBorder="0" applyAlignment="0" applyProtection="0"/>
    <xf numFmtId="0" fontId="52" fillId="31" borderId="0" applyNumberFormat="0" applyBorder="0" applyAlignment="0" applyProtection="0"/>
    <xf numFmtId="0" fontId="52" fillId="35" borderId="0" applyNumberFormat="0" applyBorder="0" applyAlignment="0" applyProtection="0"/>
    <xf numFmtId="0" fontId="52" fillId="39" borderId="0" applyNumberFormat="0" applyBorder="0" applyAlignment="0" applyProtection="0"/>
    <xf numFmtId="0" fontId="52" fillId="43" borderId="0" applyNumberFormat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68" fontId="53" fillId="0" borderId="0" applyFont="0" applyFill="0" applyBorder="0" applyAlignment="0" applyProtection="0"/>
    <xf numFmtId="168" fontId="53" fillId="0" borderId="0" applyFont="0" applyFill="0" applyBorder="0" applyAlignment="0" applyProtection="0"/>
    <xf numFmtId="0" fontId="55" fillId="0" borderId="0"/>
    <xf numFmtId="0" fontId="55" fillId="0" borderId="0"/>
    <xf numFmtId="0" fontId="53" fillId="0" borderId="0"/>
    <xf numFmtId="0" fontId="55" fillId="0" borderId="0"/>
    <xf numFmtId="0" fontId="55" fillId="0" borderId="0"/>
    <xf numFmtId="0" fontId="55" fillId="0" borderId="0"/>
    <xf numFmtId="0" fontId="74" fillId="0" borderId="0">
      <alignment vertical="top"/>
    </xf>
    <xf numFmtId="0" fontId="74" fillId="0" borderId="0">
      <alignment vertical="top"/>
    </xf>
    <xf numFmtId="0" fontId="53" fillId="0" borderId="0">
      <alignment wrapText="1"/>
    </xf>
    <xf numFmtId="0" fontId="55" fillId="0" borderId="0"/>
    <xf numFmtId="0" fontId="5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5" fillId="0" borderId="0"/>
    <xf numFmtId="164" fontId="53" fillId="0" borderId="0" applyFont="0" applyFill="0" applyBorder="0" applyAlignment="0" applyProtection="0"/>
    <xf numFmtId="0" fontId="76" fillId="48" borderId="0" applyNumberFormat="0" applyBorder="0" applyAlignment="0" applyProtection="0"/>
    <xf numFmtId="0" fontId="77" fillId="16" borderId="15" applyNumberFormat="0" applyAlignment="0" applyProtection="0"/>
    <xf numFmtId="0" fontId="78" fillId="17" borderId="1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8" fillId="0" borderId="0"/>
    <xf numFmtId="0" fontId="5" fillId="0" borderId="0"/>
    <xf numFmtId="0" fontId="53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3" fillId="0" borderId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0" fontId="53" fillId="0" borderId="0"/>
    <xf numFmtId="9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8" fillId="0" borderId="0" applyFont="0" applyFill="0" applyBorder="0" applyAlignment="0" applyProtection="0"/>
    <xf numFmtId="0" fontId="68" fillId="0" borderId="0"/>
    <xf numFmtId="9" fontId="6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43" fontId="5" fillId="0" borderId="0" applyFont="0" applyFill="0" applyBorder="0" applyAlignment="0" applyProtection="0"/>
    <xf numFmtId="0" fontId="84" fillId="0" borderId="0" applyNumberFormat="0" applyFill="0" applyBorder="0" applyAlignment="0" applyProtection="0">
      <alignment vertical="top"/>
      <protection locked="0"/>
    </xf>
    <xf numFmtId="0" fontId="85" fillId="0" borderId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87" fillId="0" borderId="0" applyFont="0" applyFill="0" applyBorder="0" applyAlignment="0" applyProtection="0"/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7" fillId="0" borderId="0"/>
    <xf numFmtId="0" fontId="53" fillId="0" borderId="0">
      <alignment wrapText="1"/>
    </xf>
    <xf numFmtId="0" fontId="53" fillId="0" borderId="0">
      <alignment wrapText="1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57" fillId="0" borderId="0"/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7" fillId="0" borderId="0" applyNumberFormat="0" applyFont="0" applyBorder="0" applyProtection="0"/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5" fillId="19" borderId="19" applyNumberFormat="0" applyFont="0" applyAlignment="0" applyProtection="0"/>
    <xf numFmtId="9" fontId="57" fillId="0" borderId="0" applyFont="0" applyFill="0" applyBorder="0" applyAlignment="0" applyProtection="0"/>
    <xf numFmtId="9" fontId="87" fillId="0" borderId="0" applyFont="0" applyFill="0" applyBorder="0" applyAlignment="0" applyProtection="0"/>
    <xf numFmtId="169" fontId="53" fillId="0" borderId="0" applyFont="0" applyFill="0" applyBorder="0" applyAlignment="0" applyProtection="0">
      <alignment wrapText="1"/>
    </xf>
    <xf numFmtId="43" fontId="38" fillId="0" borderId="0" applyFont="0" applyFill="0" applyBorder="0" applyAlignment="0" applyProtection="0"/>
    <xf numFmtId="43" fontId="88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3" fillId="0" borderId="0" applyFont="0" applyFill="0" applyBorder="0" applyAlignment="0" applyProtection="0"/>
    <xf numFmtId="43" fontId="88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3" fillId="0" borderId="0" applyFont="0" applyFill="0" applyBorder="0" applyAlignment="0" applyProtection="0">
      <alignment wrapText="1"/>
    </xf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0" fontId="53" fillId="0" borderId="0">
      <alignment wrapText="1"/>
    </xf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167" fontId="58" fillId="0" borderId="0" applyFont="0" applyFill="0" applyBorder="0" applyAlignment="0" applyProtection="0"/>
    <xf numFmtId="167" fontId="58" fillId="0" borderId="0" applyFont="0" applyFill="0" applyBorder="0" applyAlignment="0" applyProtection="0"/>
    <xf numFmtId="167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173" fontId="53" fillId="0" borderId="0" applyFont="0" applyFill="0" applyBorder="0" applyAlignment="0" applyProtection="0"/>
    <xf numFmtId="0" fontId="84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38" fillId="0" borderId="0"/>
    <xf numFmtId="0" fontId="53" fillId="0" borderId="0">
      <alignment wrapText="1"/>
    </xf>
    <xf numFmtId="0" fontId="5" fillId="0" borderId="0"/>
    <xf numFmtId="0" fontId="5" fillId="0" borderId="0"/>
    <xf numFmtId="0" fontId="53" fillId="0" borderId="0"/>
    <xf numFmtId="0" fontId="88" fillId="0" borderId="0"/>
    <xf numFmtId="0" fontId="55" fillId="0" borderId="0"/>
    <xf numFmtId="0" fontId="58" fillId="0" borderId="0"/>
    <xf numFmtId="0" fontId="58" fillId="0" borderId="0"/>
    <xf numFmtId="0" fontId="53" fillId="0" borderId="0"/>
    <xf numFmtId="0" fontId="53" fillId="0" borderId="0">
      <alignment wrapText="1"/>
    </xf>
    <xf numFmtId="0" fontId="5" fillId="0" borderId="0"/>
    <xf numFmtId="0" fontId="53" fillId="0" borderId="0"/>
    <xf numFmtId="0" fontId="5" fillId="0" borderId="0"/>
    <xf numFmtId="0" fontId="5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88" fillId="0" borderId="0"/>
    <xf numFmtId="0" fontId="58" fillId="0" borderId="0"/>
    <xf numFmtId="0" fontId="53" fillId="0" borderId="0">
      <alignment wrapText="1"/>
    </xf>
    <xf numFmtId="0" fontId="5" fillId="0" borderId="0"/>
    <xf numFmtId="0" fontId="53" fillId="0" borderId="0">
      <alignment wrapText="1"/>
    </xf>
    <xf numFmtId="0" fontId="53" fillId="0" borderId="0">
      <alignment wrapText="1"/>
    </xf>
    <xf numFmtId="0" fontId="5" fillId="0" borderId="0"/>
    <xf numFmtId="0" fontId="5" fillId="0" borderId="0"/>
    <xf numFmtId="0" fontId="5" fillId="0" borderId="0"/>
    <xf numFmtId="0" fontId="53" fillId="0" borderId="0"/>
    <xf numFmtId="0" fontId="38" fillId="0" borderId="0"/>
    <xf numFmtId="0" fontId="53" fillId="0" borderId="0">
      <alignment wrapText="1"/>
    </xf>
    <xf numFmtId="0" fontId="88" fillId="0" borderId="0"/>
    <xf numFmtId="0" fontId="88" fillId="0" borderId="0"/>
    <xf numFmtId="0" fontId="88" fillId="0" borderId="0"/>
    <xf numFmtId="0" fontId="53" fillId="0" borderId="0"/>
    <xf numFmtId="0" fontId="38" fillId="0" borderId="0"/>
    <xf numFmtId="0" fontId="53" fillId="0" borderId="0"/>
    <xf numFmtId="0" fontId="53" fillId="0" borderId="0"/>
    <xf numFmtId="0" fontId="53" fillId="0" borderId="0"/>
    <xf numFmtId="0" fontId="89" fillId="0" borderId="0"/>
    <xf numFmtId="0" fontId="89" fillId="0" borderId="0"/>
    <xf numFmtId="0" fontId="89" fillId="0" borderId="0"/>
    <xf numFmtId="0" fontId="53" fillId="0" borderId="0"/>
    <xf numFmtId="0" fontId="5" fillId="19" borderId="19" applyNumberFormat="0" applyFont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3" fillId="0" borderId="0" applyFont="0" applyFill="0" applyBorder="0" applyAlignment="0" applyProtection="0">
      <alignment wrapText="1"/>
    </xf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66">
    <xf numFmtId="0" fontId="0" fillId="0" borderId="0" xfId="0"/>
    <xf numFmtId="0" fontId="9" fillId="3" borderId="0" xfId="0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wrapText="1"/>
    </xf>
    <xf numFmtId="165" fontId="5" fillId="0" borderId="0" xfId="2" applyFont="1"/>
    <xf numFmtId="0" fontId="0" fillId="0" borderId="0" xfId="0" applyBorder="1"/>
    <xf numFmtId="165" fontId="5" fillId="0" borderId="0" xfId="2" applyFont="1" applyBorder="1"/>
    <xf numFmtId="165" fontId="13" fillId="6" borderId="0" xfId="2" applyFont="1" applyFill="1" applyBorder="1" applyAlignment="1">
      <alignment horizontal="right" vertical="top" wrapText="1"/>
    </xf>
    <xf numFmtId="0" fontId="2" fillId="6" borderId="1" xfId="0" applyFont="1" applyFill="1" applyBorder="1"/>
    <xf numFmtId="165" fontId="2" fillId="9" borderId="1" xfId="2" applyNumberFormat="1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10" fontId="1" fillId="10" borderId="1" xfId="6" applyNumberFormat="1" applyFont="1" applyFill="1" applyBorder="1" applyAlignment="1">
      <alignment horizontal="center" vertical="center" wrapText="1"/>
    </xf>
    <xf numFmtId="10" fontId="1" fillId="11" borderId="1" xfId="6" applyNumberFormat="1" applyFont="1" applyFill="1" applyBorder="1" applyAlignment="1">
      <alignment horizontal="center" vertical="center" wrapText="1"/>
    </xf>
    <xf numFmtId="10" fontId="1" fillId="12" borderId="1" xfId="6" applyNumberFormat="1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vertical="center"/>
    </xf>
    <xf numFmtId="10" fontId="5" fillId="0" borderId="0" xfId="6" applyNumberFormat="1" applyFont="1" applyAlignment="1">
      <alignment vertical="center"/>
    </xf>
    <xf numFmtId="4" fontId="19" fillId="9" borderId="1" xfId="0" applyNumberFormat="1" applyFont="1" applyFill="1" applyBorder="1" applyAlignment="1">
      <alignment vertical="center"/>
    </xf>
    <xf numFmtId="10" fontId="13" fillId="0" borderId="0" xfId="6" applyNumberFormat="1" applyFont="1" applyAlignment="1">
      <alignment vertical="center"/>
    </xf>
    <xf numFmtId="9" fontId="5" fillId="0" borderId="0" xfId="6" applyFont="1" applyAlignment="1">
      <alignment vertical="center"/>
    </xf>
    <xf numFmtId="165" fontId="19" fillId="9" borderId="1" xfId="2" applyFont="1" applyFill="1" applyBorder="1" applyAlignment="1">
      <alignment horizontal="right" vertical="center"/>
    </xf>
    <xf numFmtId="0" fontId="19" fillId="9" borderId="1" xfId="0" applyFont="1" applyFill="1" applyBorder="1" applyAlignment="1">
      <alignment vertical="center"/>
    </xf>
    <xf numFmtId="4" fontId="19" fillId="9" borderId="1" xfId="0" applyNumberFormat="1" applyFont="1" applyFill="1" applyBorder="1" applyAlignment="1">
      <alignment vertical="center" wrapText="1"/>
    </xf>
    <xf numFmtId="2" fontId="19" fillId="9" borderId="1" xfId="0" applyNumberFormat="1" applyFont="1" applyFill="1" applyBorder="1" applyAlignment="1">
      <alignment vertical="center" wrapText="1"/>
    </xf>
    <xf numFmtId="4" fontId="19" fillId="9" borderId="1" xfId="2" applyNumberFormat="1" applyFont="1" applyFill="1" applyBorder="1" applyAlignment="1">
      <alignment horizontal="right" vertical="center"/>
    </xf>
    <xf numFmtId="165" fontId="20" fillId="9" borderId="1" xfId="1" applyNumberFormat="1" applyFont="1" applyFill="1" applyBorder="1" applyAlignment="1">
      <alignment horizontal="right" vertical="center"/>
    </xf>
    <xf numFmtId="4" fontId="20" fillId="9" borderId="1" xfId="1" applyNumberFormat="1" applyFont="1" applyFill="1" applyBorder="1" applyAlignment="1">
      <alignment horizontal="right" vertical="center"/>
    </xf>
    <xf numFmtId="165" fontId="19" fillId="9" borderId="1" xfId="2" applyFont="1" applyFill="1" applyBorder="1" applyAlignment="1">
      <alignment vertical="center"/>
    </xf>
    <xf numFmtId="165" fontId="19" fillId="9" borderId="1" xfId="2" applyFont="1" applyFill="1" applyBorder="1" applyAlignment="1">
      <alignment vertical="center" wrapText="1"/>
    </xf>
    <xf numFmtId="165" fontId="17" fillId="9" borderId="1" xfId="2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vertical="center" wrapText="1"/>
    </xf>
    <xf numFmtId="4" fontId="19" fillId="9" borderId="1" xfId="0" applyNumberFormat="1" applyFont="1" applyFill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 vertical="center"/>
    </xf>
    <xf numFmtId="4" fontId="17" fillId="9" borderId="1" xfId="2" applyNumberFormat="1" applyFont="1" applyFill="1" applyBorder="1" applyAlignment="1">
      <alignment horizontal="right" vertical="center"/>
    </xf>
    <xf numFmtId="43" fontId="1" fillId="9" borderId="1" xfId="2" applyNumberFormat="1" applyFont="1" applyFill="1" applyBorder="1" applyAlignment="1">
      <alignment vertical="center"/>
    </xf>
    <xf numFmtId="3" fontId="19" fillId="9" borderId="1" xfId="0" applyNumberFormat="1" applyFont="1" applyFill="1" applyBorder="1" applyAlignment="1">
      <alignment vertical="center"/>
    </xf>
    <xf numFmtId="4" fontId="19" fillId="9" borderId="1" xfId="2" applyNumberFormat="1" applyFont="1" applyFill="1" applyBorder="1" applyAlignment="1">
      <alignment horizontal="right" vertical="center" wrapText="1"/>
    </xf>
    <xf numFmtId="0" fontId="1" fillId="9" borderId="1" xfId="0" applyFont="1" applyFill="1" applyBorder="1" applyAlignment="1">
      <alignment vertical="center"/>
    </xf>
    <xf numFmtId="43" fontId="19" fillId="9" borderId="1" xfId="2" applyNumberFormat="1" applyFont="1" applyFill="1" applyBorder="1" applyAlignment="1">
      <alignment vertical="center"/>
    </xf>
    <xf numFmtId="4" fontId="1" fillId="9" borderId="1" xfId="0" applyNumberFormat="1" applyFont="1" applyFill="1" applyBorder="1" applyAlignment="1">
      <alignment vertical="center"/>
    </xf>
    <xf numFmtId="4" fontId="21" fillId="9" borderId="1" xfId="0" applyNumberFormat="1" applyFont="1" applyFill="1" applyBorder="1" applyAlignment="1">
      <alignment vertical="center"/>
    </xf>
    <xf numFmtId="0" fontId="21" fillId="9" borderId="1" xfId="0" applyFont="1" applyFill="1" applyBorder="1" applyAlignment="1">
      <alignment vertical="center"/>
    </xf>
    <xf numFmtId="165" fontId="19" fillId="9" borderId="1" xfId="2" applyFont="1" applyFill="1" applyBorder="1" applyAlignment="1">
      <alignment horizontal="right" vertical="center" wrapText="1"/>
    </xf>
    <xf numFmtId="4" fontId="2" fillId="9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165" fontId="17" fillId="9" borderId="1" xfId="2" applyFont="1" applyFill="1" applyBorder="1" applyAlignment="1">
      <alignment horizontal="right" vertical="center"/>
    </xf>
    <xf numFmtId="165" fontId="17" fillId="0" borderId="1" xfId="2" applyFont="1" applyBorder="1" applyAlignment="1">
      <alignment horizontal="right" vertical="center" wrapText="1"/>
    </xf>
    <xf numFmtId="4" fontId="17" fillId="0" borderId="1" xfId="2" applyNumberFormat="1" applyFont="1" applyBorder="1" applyAlignment="1">
      <alignment horizontal="right" vertical="center" wrapText="1"/>
    </xf>
    <xf numFmtId="0" fontId="17" fillId="13" borderId="1" xfId="0" applyFont="1" applyFill="1" applyBorder="1" applyAlignment="1">
      <alignment horizontal="center" vertical="center"/>
    </xf>
    <xf numFmtId="0" fontId="17" fillId="13" borderId="1" xfId="0" applyFont="1" applyFill="1" applyBorder="1" applyAlignment="1">
      <alignment horizontal="center" vertical="center" wrapText="1"/>
    </xf>
    <xf numFmtId="165" fontId="3" fillId="9" borderId="1" xfId="2" applyFont="1" applyFill="1" applyBorder="1" applyAlignment="1">
      <alignment horizontal="right" vertical="center" wrapText="1"/>
    </xf>
    <xf numFmtId="4" fontId="2" fillId="9" borderId="1" xfId="2" applyNumberFormat="1" applyFont="1" applyFill="1" applyBorder="1" applyAlignment="1">
      <alignment horizontal="right" vertical="center" wrapText="1"/>
    </xf>
    <xf numFmtId="0" fontId="15" fillId="4" borderId="5" xfId="0" applyFont="1" applyFill="1" applyBorder="1" applyAlignment="1">
      <alignment horizontal="right" vertical="center" wrapText="1"/>
    </xf>
    <xf numFmtId="165" fontId="15" fillId="9" borderId="2" xfId="2" applyFont="1" applyFill="1" applyBorder="1" applyAlignment="1">
      <alignment horizontal="right" vertical="center" wrapText="1"/>
    </xf>
    <xf numFmtId="4" fontId="17" fillId="9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4" fillId="6" borderId="1" xfId="0" applyFont="1" applyFill="1" applyBorder="1" applyAlignment="1">
      <alignment horizontal="center" vertical="top" wrapText="1"/>
    </xf>
    <xf numFmtId="0" fontId="1" fillId="6" borderId="1" xfId="0" applyFont="1" applyFill="1" applyBorder="1"/>
    <xf numFmtId="4" fontId="1" fillId="6" borderId="1" xfId="2" applyNumberFormat="1" applyFont="1" applyFill="1" applyBorder="1" applyAlignment="1">
      <alignment horizontal="right"/>
    </xf>
    <xf numFmtId="165" fontId="2" fillId="6" borderId="1" xfId="2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vertical="top" wrapText="1"/>
    </xf>
    <xf numFmtId="4" fontId="2" fillId="6" borderId="1" xfId="2" applyNumberFormat="1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horizontal="right"/>
    </xf>
    <xf numFmtId="165" fontId="1" fillId="6" borderId="1" xfId="2" applyFont="1" applyFill="1" applyBorder="1"/>
    <xf numFmtId="165" fontId="1" fillId="6" borderId="1" xfId="2" applyFont="1" applyFill="1" applyBorder="1" applyAlignment="1">
      <alignment horizontal="right" vertical="top" wrapText="1"/>
    </xf>
    <xf numFmtId="165" fontId="2" fillId="6" borderId="1" xfId="2" applyFont="1" applyFill="1" applyBorder="1" applyAlignment="1">
      <alignment horizontal="right"/>
    </xf>
    <xf numFmtId="165" fontId="3" fillId="6" borderId="1" xfId="2" applyFont="1" applyFill="1" applyBorder="1" applyAlignment="1">
      <alignment horizontal="right" vertical="top" wrapText="1"/>
    </xf>
    <xf numFmtId="10" fontId="2" fillId="8" borderId="3" xfId="6" applyNumberFormat="1" applyFont="1" applyFill="1" applyBorder="1" applyAlignment="1">
      <alignment vertical="center"/>
    </xf>
    <xf numFmtId="165" fontId="3" fillId="9" borderId="7" xfId="2" applyFont="1" applyFill="1" applyBorder="1" applyAlignment="1">
      <alignment horizontal="right" vertical="center" wrapText="1"/>
    </xf>
    <xf numFmtId="4" fontId="2" fillId="9" borderId="7" xfId="2" applyNumberFormat="1" applyFont="1" applyFill="1" applyBorder="1" applyAlignment="1">
      <alignment horizontal="right" vertical="center" wrapText="1"/>
    </xf>
    <xf numFmtId="165" fontId="1" fillId="6" borderId="0" xfId="2" applyFont="1" applyFill="1" applyBorder="1" applyAlignment="1">
      <alignment horizontal="right"/>
    </xf>
    <xf numFmtId="10" fontId="1" fillId="6" borderId="0" xfId="6" applyNumberFormat="1" applyFont="1" applyFill="1" applyBorder="1" applyAlignment="1">
      <alignment horizontal="center"/>
    </xf>
    <xf numFmtId="4" fontId="1" fillId="6" borderId="0" xfId="2" applyNumberFormat="1" applyFont="1" applyFill="1" applyBorder="1" applyAlignment="1">
      <alignment horizontal="right"/>
    </xf>
    <xf numFmtId="0" fontId="0" fillId="0" borderId="0" xfId="0"/>
    <xf numFmtId="10" fontId="1" fillId="6" borderId="1" xfId="6" applyNumberFormat="1" applyFont="1" applyFill="1" applyBorder="1" applyAlignment="1">
      <alignment horizontal="center" vertical="center" wrapText="1"/>
    </xf>
    <xf numFmtId="0" fontId="0" fillId="0" borderId="0" xfId="0"/>
    <xf numFmtId="2" fontId="1" fillId="6" borderId="0" xfId="0" applyNumberFormat="1" applyFont="1" applyFill="1" applyBorder="1"/>
    <xf numFmtId="0" fontId="1" fillId="6" borderId="0" xfId="0" applyFont="1" applyFill="1" applyBorder="1" applyAlignment="1">
      <alignment wrapText="1"/>
    </xf>
    <xf numFmtId="10" fontId="13" fillId="6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165" fontId="0" fillId="0" borderId="0" xfId="2" applyFont="1"/>
    <xf numFmtId="3" fontId="22" fillId="0" borderId="0" xfId="0" applyNumberFormat="1" applyFont="1"/>
    <xf numFmtId="0" fontId="0" fillId="0" borderId="0" xfId="0"/>
    <xf numFmtId="0" fontId="0" fillId="0" borderId="0" xfId="0" applyAlignment="1">
      <alignment wrapText="1"/>
    </xf>
    <xf numFmtId="0" fontId="8" fillId="0" borderId="0" xfId="0" applyFont="1" applyBorder="1" applyAlignment="1">
      <alignment horizontal="center"/>
    </xf>
    <xf numFmtId="16" fontId="8" fillId="6" borderId="0" xfId="0" applyNumberFormat="1" applyFont="1" applyFill="1" applyBorder="1" applyAlignment="1">
      <alignment horizontal="center"/>
    </xf>
    <xf numFmtId="165" fontId="0" fillId="0" borderId="0" xfId="2" applyFont="1" applyBorder="1"/>
    <xf numFmtId="0" fontId="23" fillId="0" borderId="0" xfId="0" applyFont="1" applyAlignment="1"/>
    <xf numFmtId="0" fontId="59" fillId="0" borderId="0" xfId="0" applyFont="1" applyBorder="1"/>
    <xf numFmtId="0" fontId="59" fillId="0" borderId="0" xfId="0" applyFont="1" applyAlignment="1">
      <alignment horizontal="right"/>
    </xf>
    <xf numFmtId="4" fontId="60" fillId="0" borderId="0" xfId="0" applyNumberFormat="1" applyFont="1"/>
    <xf numFmtId="0" fontId="34" fillId="0" borderId="0" xfId="0" applyFont="1"/>
    <xf numFmtId="0" fontId="0" fillId="0" borderId="0" xfId="0"/>
    <xf numFmtId="0" fontId="9" fillId="6" borderId="0" xfId="0" applyFont="1" applyFill="1"/>
    <xf numFmtId="0" fontId="0" fillId="0" borderId="0" xfId="0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0" fillId="0" borderId="0" xfId="0"/>
    <xf numFmtId="10" fontId="1" fillId="8" borderId="1" xfId="6" applyNumberFormat="1" applyFont="1" applyFill="1" applyBorder="1" applyAlignment="1">
      <alignment horizontal="center" vertical="top" wrapText="1"/>
    </xf>
    <xf numFmtId="39" fontId="10" fillId="6" borderId="0" xfId="2" applyNumberFormat="1" applyFont="1" applyFill="1" applyBorder="1" applyAlignment="1">
      <alignment horizontal="center" vertical="top" wrapText="1"/>
    </xf>
    <xf numFmtId="165" fontId="10" fillId="6" borderId="0" xfId="2" applyFont="1" applyFill="1" applyBorder="1"/>
    <xf numFmtId="0" fontId="10" fillId="6" borderId="0" xfId="0" applyFont="1" applyFill="1" applyBorder="1"/>
    <xf numFmtId="39" fontId="10" fillId="6" borderId="0" xfId="0" applyNumberFormat="1" applyFont="1" applyFill="1" applyBorder="1"/>
    <xf numFmtId="0" fontId="30" fillId="6" borderId="0" xfId="0" applyFont="1" applyFill="1" applyBorder="1" applyAlignment="1">
      <alignment vertical="center"/>
    </xf>
    <xf numFmtId="0" fontId="16" fillId="6" borderId="0" xfId="0" applyFont="1" applyFill="1" applyBorder="1" applyAlignment="1">
      <alignment horizontal="center" vertical="center" wrapText="1"/>
    </xf>
    <xf numFmtId="0" fontId="30" fillId="6" borderId="0" xfId="0" applyFont="1" applyFill="1" applyBorder="1" applyAlignment="1">
      <alignment horizontal="center" vertical="center" wrapText="1"/>
    </xf>
    <xf numFmtId="4" fontId="30" fillId="6" borderId="0" xfId="0" applyNumberFormat="1" applyFont="1" applyFill="1" applyBorder="1"/>
    <xf numFmtId="0" fontId="10" fillId="6" borderId="0" xfId="0" applyFont="1" applyFill="1" applyBorder="1" applyAlignment="1">
      <alignment horizontal="left"/>
    </xf>
    <xf numFmtId="165" fontId="8" fillId="6" borderId="0" xfId="2" applyFont="1" applyFill="1" applyBorder="1" applyAlignment="1"/>
    <xf numFmtId="0" fontId="16" fillId="6" borderId="0" xfId="0" applyFont="1" applyFill="1" applyBorder="1" applyAlignment="1">
      <alignment vertical="top" wrapText="1"/>
    </xf>
    <xf numFmtId="3" fontId="10" fillId="6" borderId="0" xfId="0" applyNumberFormat="1" applyFont="1" applyFill="1" applyBorder="1"/>
    <xf numFmtId="39" fontId="23" fillId="6" borderId="0" xfId="0" applyNumberFormat="1" applyFont="1" applyFill="1" applyBorder="1"/>
    <xf numFmtId="4" fontId="0" fillId="6" borderId="0" xfId="0" applyNumberFormat="1" applyFont="1" applyFill="1" applyBorder="1" applyAlignment="1">
      <alignment vertical="center" wrapText="1"/>
    </xf>
    <xf numFmtId="4" fontId="10" fillId="6" borderId="0" xfId="0" applyNumberFormat="1" applyFont="1" applyFill="1" applyBorder="1"/>
    <xf numFmtId="167" fontId="10" fillId="6" borderId="0" xfId="2" applyNumberFormat="1" applyFont="1" applyFill="1" applyBorder="1"/>
    <xf numFmtId="4" fontId="24" fillId="6" borderId="0" xfId="0" applyNumberFormat="1" applyFont="1" applyFill="1" applyBorder="1"/>
    <xf numFmtId="0" fontId="24" fillId="6" borderId="0" xfId="0" applyFont="1" applyFill="1" applyBorder="1" applyAlignment="1">
      <alignment vertical="top" wrapText="1"/>
    </xf>
    <xf numFmtId="0" fontId="13" fillId="6" borderId="0" xfId="0" applyFont="1" applyFill="1" applyBorder="1"/>
    <xf numFmtId="4" fontId="13" fillId="6" borderId="0" xfId="0" applyNumberFormat="1" applyFont="1" applyFill="1" applyBorder="1"/>
    <xf numFmtId="165" fontId="30" fillId="6" borderId="0" xfId="2" applyFont="1" applyFill="1" applyBorder="1" applyAlignment="1">
      <alignment horizontal="center" vertical="center"/>
    </xf>
    <xf numFmtId="0" fontId="0" fillId="6" borderId="0" xfId="0" applyFont="1" applyFill="1" applyBorder="1"/>
    <xf numFmtId="0" fontId="33" fillId="6" borderId="0" xfId="0" applyFont="1" applyFill="1" applyBorder="1" applyAlignment="1">
      <alignment horizontal="center" vertical="center"/>
    </xf>
    <xf numFmtId="4" fontId="1" fillId="6" borderId="0" xfId="0" applyNumberFormat="1" applyFont="1" applyFill="1" applyBorder="1" applyAlignment="1">
      <alignment horizontal="right" wrapText="1"/>
    </xf>
    <xf numFmtId="4" fontId="32" fillId="6" borderId="0" xfId="0" applyNumberFormat="1" applyFont="1" applyFill="1" applyBorder="1" applyAlignment="1">
      <alignment horizontal="justify" vertical="center" wrapText="1"/>
    </xf>
    <xf numFmtId="0" fontId="32" fillId="6" borderId="0" xfId="0" applyFont="1" applyFill="1" applyBorder="1" applyAlignment="1">
      <alignment horizontal="justify" vertical="center" wrapText="1"/>
    </xf>
    <xf numFmtId="0" fontId="11" fillId="6" borderId="0" xfId="0" applyFont="1" applyFill="1" applyBorder="1"/>
    <xf numFmtId="0" fontId="62" fillId="6" borderId="0" xfId="0" quotePrefix="1" applyFont="1" applyFill="1" applyBorder="1" applyAlignment="1">
      <alignment horizontal="center"/>
    </xf>
    <xf numFmtId="10" fontId="61" fillId="6" borderId="0" xfId="6" applyNumberFormat="1" applyFont="1" applyFill="1" applyBorder="1" applyAlignment="1">
      <alignment horizontal="center"/>
    </xf>
    <xf numFmtId="165" fontId="10" fillId="6" borderId="0" xfId="0" applyNumberFormat="1" applyFont="1" applyFill="1" applyBorder="1"/>
    <xf numFmtId="0" fontId="10" fillId="6" borderId="0" xfId="0" applyFont="1" applyFill="1" applyBorder="1" applyAlignment="1">
      <alignment horizontal="right"/>
    </xf>
    <xf numFmtId="165" fontId="65" fillId="6" borderId="0" xfId="2" applyFont="1" applyFill="1" applyBorder="1"/>
    <xf numFmtId="4" fontId="35" fillId="6" borderId="11" xfId="0" applyNumberFormat="1" applyFont="1" applyFill="1" applyBorder="1" applyAlignment="1">
      <alignment vertical="center" wrapText="1"/>
    </xf>
    <xf numFmtId="4" fontId="35" fillId="6" borderId="10" xfId="0" applyNumberFormat="1" applyFont="1" applyFill="1" applyBorder="1" applyAlignment="1">
      <alignment vertical="center" wrapText="1"/>
    </xf>
    <xf numFmtId="0" fontId="2" fillId="6" borderId="0" xfId="0" applyFont="1" applyFill="1" applyBorder="1" applyAlignment="1">
      <alignment wrapText="1"/>
    </xf>
    <xf numFmtId="0" fontId="30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/>
    <xf numFmtId="0" fontId="30" fillId="6" borderId="0" xfId="0" applyFont="1" applyFill="1" applyBorder="1" applyAlignment="1">
      <alignment vertical="center" wrapText="1"/>
    </xf>
    <xf numFmtId="165" fontId="5" fillId="6" borderId="0" xfId="2" applyFont="1" applyFill="1" applyBorder="1" applyAlignment="1"/>
    <xf numFmtId="165" fontId="5" fillId="6" borderId="0" xfId="2" applyNumberFormat="1" applyFont="1" applyFill="1" applyBorder="1" applyAlignment="1"/>
    <xf numFmtId="165" fontId="8" fillId="6" borderId="0" xfId="2" applyNumberFormat="1" applyFont="1" applyFill="1" applyBorder="1" applyAlignment="1"/>
    <xf numFmtId="165" fontId="64" fillId="6" borderId="0" xfId="2" applyNumberFormat="1" applyFont="1" applyFill="1" applyBorder="1" applyAlignment="1"/>
    <xf numFmtId="0" fontId="31" fillId="6" borderId="0" xfId="0" applyFont="1" applyFill="1" applyBorder="1" applyAlignment="1">
      <alignment vertical="center" wrapText="1"/>
    </xf>
    <xf numFmtId="0" fontId="2" fillId="6" borderId="0" xfId="0" applyFont="1" applyFill="1" applyBorder="1"/>
    <xf numFmtId="4" fontId="16" fillId="6" borderId="0" xfId="0" applyNumberFormat="1" applyFont="1" applyFill="1" applyBorder="1" applyAlignment="1">
      <alignment horizontal="right" wrapText="1"/>
    </xf>
    <xf numFmtId="0" fontId="2" fillId="6" borderId="0" xfId="0" applyFont="1" applyFill="1" applyBorder="1" applyAlignment="1">
      <alignment vertical="top" wrapText="1"/>
    </xf>
    <xf numFmtId="4" fontId="2" fillId="6" borderId="0" xfId="2" applyNumberFormat="1" applyFont="1" applyFill="1" applyBorder="1" applyAlignment="1">
      <alignment horizontal="left"/>
    </xf>
    <xf numFmtId="0" fontId="16" fillId="6" borderId="0" xfId="0" applyFont="1" applyFill="1" applyBorder="1" applyAlignment="1">
      <alignment horizontal="center" vertical="top" wrapText="1"/>
    </xf>
    <xf numFmtId="4" fontId="29" fillId="6" borderId="0" xfId="0" applyNumberFormat="1" applyFont="1" applyFill="1" applyBorder="1" applyAlignment="1">
      <alignment vertical="center" wrapText="1"/>
    </xf>
    <xf numFmtId="165" fontId="2" fillId="6" borderId="0" xfId="2" applyFont="1" applyFill="1" applyBorder="1" applyAlignment="1">
      <alignment horizontal="left"/>
    </xf>
    <xf numFmtId="0" fontId="40" fillId="6" borderId="0" xfId="0" applyFont="1" applyFill="1" applyBorder="1" applyAlignment="1">
      <alignment vertical="center" wrapText="1"/>
    </xf>
    <xf numFmtId="4" fontId="28" fillId="6" borderId="0" xfId="0" applyNumberFormat="1" applyFont="1" applyFill="1" applyBorder="1"/>
    <xf numFmtId="4" fontId="67" fillId="6" borderId="0" xfId="0" applyNumberFormat="1" applyFont="1" applyFill="1" applyBorder="1"/>
    <xf numFmtId="0" fontId="0" fillId="6" borderId="0" xfId="0" applyFill="1" applyBorder="1"/>
    <xf numFmtId="0" fontId="24" fillId="6" borderId="0" xfId="0" applyFont="1" applyFill="1" applyBorder="1"/>
    <xf numFmtId="0" fontId="35" fillId="6" borderId="0" xfId="0" applyFont="1" applyFill="1" applyBorder="1"/>
    <xf numFmtId="0" fontId="35" fillId="6" borderId="0" xfId="0" applyFont="1" applyFill="1" applyBorder="1" applyAlignment="1">
      <alignment vertical="top" wrapText="1"/>
    </xf>
    <xf numFmtId="0" fontId="25" fillId="6" borderId="0" xfId="0" applyFont="1" applyFill="1" applyBorder="1" applyAlignment="1">
      <alignment wrapText="1"/>
    </xf>
    <xf numFmtId="0" fontId="66" fillId="6" borderId="0" xfId="0" applyFont="1" applyFill="1" applyBorder="1" applyAlignment="1">
      <alignment vertical="center"/>
    </xf>
    <xf numFmtId="4" fontId="66" fillId="6" borderId="0" xfId="0" applyNumberFormat="1" applyFont="1" applyFill="1" applyBorder="1" applyAlignment="1">
      <alignment vertical="center" wrapText="1"/>
    </xf>
    <xf numFmtId="0" fontId="0" fillId="6" borderId="0" xfId="0" applyFont="1" applyFill="1" applyBorder="1" applyAlignment="1">
      <alignment vertical="top"/>
    </xf>
    <xf numFmtId="0" fontId="39" fillId="6" borderId="0" xfId="0" applyFont="1" applyFill="1" applyBorder="1" applyAlignment="1">
      <alignment vertical="center" wrapText="1"/>
    </xf>
    <xf numFmtId="0" fontId="26" fillId="6" borderId="0" xfId="0" applyFont="1" applyFill="1" applyBorder="1" applyAlignment="1">
      <alignment vertical="top"/>
    </xf>
    <xf numFmtId="4" fontId="38" fillId="6" borderId="0" xfId="0" applyNumberFormat="1" applyFont="1" applyFill="1" applyBorder="1"/>
    <xf numFmtId="0" fontId="27" fillId="6" borderId="0" xfId="0" applyFont="1" applyFill="1" applyBorder="1"/>
    <xf numFmtId="0" fontId="0" fillId="6" borderId="0" xfId="0" applyFont="1" applyFill="1" applyBorder="1" applyAlignment="1">
      <alignment wrapText="1"/>
    </xf>
    <xf numFmtId="0" fontId="63" fillId="6" borderId="0" xfId="0" applyFont="1" applyFill="1" applyBorder="1"/>
    <xf numFmtId="4" fontId="35" fillId="6" borderId="0" xfId="0" applyNumberFormat="1" applyFont="1" applyFill="1" applyBorder="1"/>
    <xf numFmtId="0" fontId="40" fillId="6" borderId="0" xfId="0" applyFont="1" applyFill="1" applyBorder="1"/>
    <xf numFmtId="4" fontId="40" fillId="6" borderId="0" xfId="0" applyNumberFormat="1" applyFont="1" applyFill="1" applyBorder="1" applyAlignment="1">
      <alignment vertical="center" wrapText="1"/>
    </xf>
    <xf numFmtId="0" fontId="35" fillId="6" borderId="0" xfId="0" applyFont="1" applyFill="1" applyBorder="1" applyAlignment="1">
      <alignment vertical="center"/>
    </xf>
    <xf numFmtId="0" fontId="12" fillId="6" borderId="0" xfId="0" applyFont="1" applyFill="1" applyBorder="1" applyAlignment="1">
      <alignment horizontal="center"/>
    </xf>
    <xf numFmtId="0" fontId="12" fillId="6" borderId="0" xfId="0" applyFont="1" applyFill="1" applyBorder="1" applyAlignment="1">
      <alignment horizontal="center" wrapText="1"/>
    </xf>
    <xf numFmtId="165" fontId="2" fillId="6" borderId="1" xfId="0" applyNumberFormat="1" applyFont="1" applyFill="1" applyBorder="1"/>
    <xf numFmtId="0" fontId="35" fillId="6" borderId="0" xfId="0" applyFont="1" applyFill="1" applyBorder="1" applyAlignment="1">
      <alignment vertical="center" wrapText="1"/>
    </xf>
    <xf numFmtId="0" fontId="36" fillId="6" borderId="0" xfId="0" applyFont="1" applyFill="1" applyBorder="1" applyAlignment="1">
      <alignment wrapText="1"/>
    </xf>
    <xf numFmtId="4" fontId="35" fillId="6" borderId="0" xfId="0" applyNumberFormat="1" applyFont="1" applyFill="1" applyBorder="1" applyAlignment="1">
      <alignment vertical="center" wrapText="1"/>
    </xf>
    <xf numFmtId="4" fontId="35" fillId="6" borderId="0" xfId="0" applyNumberFormat="1" applyFont="1" applyFill="1" applyBorder="1" applyAlignment="1">
      <alignment vertical="center"/>
    </xf>
    <xf numFmtId="0" fontId="10" fillId="6" borderId="0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center"/>
    </xf>
    <xf numFmtId="0" fontId="10" fillId="6" borderId="0" xfId="0" applyFont="1" applyFill="1" applyBorder="1" applyAlignment="1">
      <alignment horizontal="left" vertical="top" wrapText="1"/>
    </xf>
    <xf numFmtId="0" fontId="12" fillId="44" borderId="1" xfId="0" applyFont="1" applyFill="1" applyBorder="1" applyAlignment="1">
      <alignment horizontal="center" vertical="top"/>
    </xf>
    <xf numFmtId="0" fontId="12" fillId="44" borderId="1" xfId="0" applyFont="1" applyFill="1" applyBorder="1" applyAlignment="1">
      <alignment horizontal="center" vertical="top" wrapText="1"/>
    </xf>
    <xf numFmtId="10" fontId="1" fillId="7" borderId="1" xfId="6" applyNumberFormat="1" applyFont="1" applyFill="1" applyBorder="1" applyAlignment="1">
      <alignment horizontal="center" vertical="top" wrapText="1"/>
    </xf>
    <xf numFmtId="0" fontId="52" fillId="0" borderId="0" xfId="0" applyFont="1" applyBorder="1"/>
    <xf numFmtId="4" fontId="52" fillId="0" borderId="0" xfId="0" applyNumberFormat="1" applyFont="1"/>
    <xf numFmtId="0" fontId="2" fillId="44" borderId="1" xfId="0" applyFont="1" applyFill="1" applyBorder="1" applyAlignment="1">
      <alignment horizontal="center" vertical="center"/>
    </xf>
    <xf numFmtId="0" fontId="2" fillId="44" borderId="1" xfId="0" applyFont="1" applyFill="1" applyBorder="1" applyAlignment="1">
      <alignment horizontal="center" vertical="center" wrapText="1"/>
    </xf>
    <xf numFmtId="0" fontId="10" fillId="6" borderId="1" xfId="0" applyFont="1" applyFill="1" applyBorder="1"/>
    <xf numFmtId="0" fontId="2" fillId="5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69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right" vertical="center"/>
    </xf>
    <xf numFmtId="0" fontId="69" fillId="4" borderId="6" xfId="0" applyFont="1" applyFill="1" applyBorder="1" applyAlignment="1">
      <alignment vertical="center" wrapText="1"/>
    </xf>
    <xf numFmtId="0" fontId="69" fillId="4" borderId="6" xfId="0" applyFont="1" applyFill="1" applyBorder="1" applyAlignment="1">
      <alignment horizontal="center" vertical="center" wrapText="1"/>
    </xf>
    <xf numFmtId="0" fontId="69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10" fontId="1" fillId="10" borderId="2" xfId="6" applyNumberFormat="1" applyFont="1" applyFill="1" applyBorder="1" applyAlignment="1">
      <alignment horizontal="center" vertical="center" wrapText="1"/>
    </xf>
    <xf numFmtId="10" fontId="1" fillId="10" borderId="2" xfId="6" applyNumberFormat="1" applyFont="1" applyFill="1" applyBorder="1" applyAlignment="1">
      <alignment horizontal="center" vertical="top" wrapText="1"/>
    </xf>
    <xf numFmtId="166" fontId="1" fillId="10" borderId="4" xfId="6" applyNumberFormat="1" applyFont="1" applyFill="1" applyBorder="1" applyAlignment="1">
      <alignment horizontal="center" vertical="top" wrapText="1"/>
    </xf>
    <xf numFmtId="0" fontId="1" fillId="4" borderId="24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horizontal="center" wrapText="1"/>
    </xf>
    <xf numFmtId="166" fontId="1" fillId="10" borderId="2" xfId="6" applyNumberFormat="1" applyFont="1" applyFill="1" applyBorder="1" applyAlignment="1">
      <alignment horizontal="center" vertical="top" wrapText="1"/>
    </xf>
    <xf numFmtId="165" fontId="2" fillId="6" borderId="1" xfId="2" applyFont="1" applyFill="1" applyBorder="1"/>
    <xf numFmtId="165" fontId="10" fillId="6" borderId="1" xfId="2" applyFont="1" applyFill="1" applyBorder="1"/>
    <xf numFmtId="165" fontId="10" fillId="0" borderId="0" xfId="2" applyFont="1" applyBorder="1"/>
    <xf numFmtId="4" fontId="38" fillId="0" borderId="0" xfId="0" applyNumberFormat="1" applyFont="1"/>
    <xf numFmtId="0" fontId="10" fillId="6" borderId="1" xfId="0" applyFont="1" applyFill="1" applyBorder="1" applyAlignment="1">
      <alignment horizontal="center"/>
    </xf>
    <xf numFmtId="9" fontId="10" fillId="6" borderId="1" xfId="6" applyFont="1" applyFill="1" applyBorder="1" applyAlignment="1">
      <alignment horizontal="center"/>
    </xf>
    <xf numFmtId="9" fontId="10" fillId="0" borderId="0" xfId="6" applyFont="1" applyBorder="1" applyAlignment="1">
      <alignment horizontal="center"/>
    </xf>
    <xf numFmtId="165" fontId="15" fillId="6" borderId="1" xfId="2" applyFont="1" applyFill="1" applyBorder="1" applyAlignment="1">
      <alignment horizontal="right" vertical="top" wrapText="1"/>
    </xf>
    <xf numFmtId="2" fontId="71" fillId="6" borderId="0" xfId="0" applyNumberFormat="1" applyFont="1" applyFill="1" applyBorder="1" applyAlignment="1">
      <alignment horizontal="center"/>
    </xf>
    <xf numFmtId="165" fontId="13" fillId="6" borderId="1" xfId="2" applyFont="1" applyFill="1" applyBorder="1" applyAlignment="1">
      <alignment vertical="top"/>
    </xf>
    <xf numFmtId="0" fontId="13" fillId="6" borderId="1" xfId="0" applyFont="1" applyFill="1" applyBorder="1" applyAlignment="1">
      <alignment vertical="top"/>
    </xf>
    <xf numFmtId="0" fontId="13" fillId="6" borderId="1" xfId="0" applyFont="1" applyFill="1" applyBorder="1" applyAlignment="1">
      <alignment horizontal="center" vertical="top" wrapText="1"/>
    </xf>
    <xf numFmtId="165" fontId="1" fillId="10" borderId="2" xfId="2" applyFont="1" applyFill="1" applyBorder="1" applyAlignment="1">
      <alignment horizontal="right" vertical="top" wrapText="1"/>
    </xf>
    <xf numFmtId="4" fontId="1" fillId="10" borderId="2" xfId="0" applyNumberFormat="1" applyFont="1" applyFill="1" applyBorder="1" applyAlignment="1">
      <alignment horizontal="right"/>
    </xf>
    <xf numFmtId="4" fontId="1" fillId="10" borderId="2" xfId="0" applyNumberFormat="1" applyFont="1" applyFill="1" applyBorder="1" applyAlignment="1">
      <alignment horizontal="center"/>
    </xf>
    <xf numFmtId="0" fontId="13" fillId="0" borderId="0" xfId="0" applyFont="1" applyBorder="1" applyAlignment="1">
      <alignment horizontal="center" vertical="top" wrapText="1"/>
    </xf>
    <xf numFmtId="0" fontId="73" fillId="0" borderId="0" xfId="0" applyFont="1" applyBorder="1"/>
    <xf numFmtId="0" fontId="22" fillId="0" borderId="0" xfId="0" applyFont="1"/>
    <xf numFmtId="9" fontId="22" fillId="0" borderId="0" xfId="6" applyFont="1" applyAlignment="1">
      <alignment horizontal="center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9" fontId="13" fillId="0" borderId="0" xfId="6" applyFont="1" applyBorder="1" applyAlignment="1">
      <alignment horizontal="center"/>
    </xf>
    <xf numFmtId="3" fontId="13" fillId="0" borderId="0" xfId="0" applyNumberFormat="1" applyFont="1" applyBorder="1"/>
    <xf numFmtId="165" fontId="13" fillId="0" borderId="0" xfId="2" applyFont="1" applyBorder="1"/>
    <xf numFmtId="0" fontId="13" fillId="0" borderId="0" xfId="0" applyFont="1" applyBorder="1" applyAlignment="1">
      <alignment wrapText="1"/>
    </xf>
    <xf numFmtId="3" fontId="13" fillId="0" borderId="0" xfId="0" applyNumberFormat="1" applyFont="1" applyBorder="1" applyAlignment="1">
      <alignment wrapText="1"/>
    </xf>
    <xf numFmtId="0" fontId="12" fillId="7" borderId="6" xfId="0" applyFont="1" applyFill="1" applyBorder="1" applyAlignment="1"/>
    <xf numFmtId="0" fontId="12" fillId="7" borderId="1" xfId="0" applyFont="1" applyFill="1" applyBorder="1" applyAlignment="1"/>
    <xf numFmtId="0" fontId="2" fillId="6" borderId="1" xfId="0" applyFont="1" applyFill="1" applyBorder="1" applyAlignment="1">
      <alignment horizontal="right"/>
    </xf>
    <xf numFmtId="9" fontId="2" fillId="47" borderId="1" xfId="6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right" vertical="top" wrapText="1"/>
    </xf>
    <xf numFmtId="0" fontId="2" fillId="10" borderId="2" xfId="0" applyFont="1" applyFill="1" applyBorder="1" applyAlignment="1">
      <alignment horizontal="right" vertical="top" wrapText="1"/>
    </xf>
    <xf numFmtId="165" fontId="2" fillId="10" borderId="2" xfId="2" applyFont="1" applyFill="1" applyBorder="1" applyAlignment="1">
      <alignment horizontal="right" vertical="top" wrapText="1"/>
    </xf>
    <xf numFmtId="4" fontId="2" fillId="10" borderId="2" xfId="0" applyNumberFormat="1" applyFont="1" applyFill="1" applyBorder="1" applyAlignment="1">
      <alignment horizontal="right"/>
    </xf>
    <xf numFmtId="9" fontId="2" fillId="10" borderId="2" xfId="6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12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9" fontId="2" fillId="7" borderId="1" xfId="6" applyFont="1" applyFill="1" applyBorder="1" applyAlignment="1">
      <alignment horizontal="center" vertical="top" wrapText="1"/>
    </xf>
    <xf numFmtId="165" fontId="2" fillId="7" borderId="1" xfId="2" applyFont="1" applyFill="1" applyBorder="1" applyAlignment="1">
      <alignment horizontal="center" vertical="top"/>
    </xf>
    <xf numFmtId="0" fontId="12" fillId="7" borderId="1" xfId="0" applyFont="1" applyFill="1" applyBorder="1" applyAlignment="1">
      <alignment horizontal="center" vertical="top"/>
    </xf>
    <xf numFmtId="0" fontId="12" fillId="7" borderId="1" xfId="0" applyFont="1" applyFill="1" applyBorder="1" applyAlignment="1">
      <alignment vertical="top"/>
    </xf>
    <xf numFmtId="9" fontId="12" fillId="7" borderId="1" xfId="6" applyFont="1" applyFill="1" applyBorder="1" applyAlignment="1">
      <alignment horizontal="center" vertical="top" wrapText="1"/>
    </xf>
    <xf numFmtId="165" fontId="12" fillId="7" borderId="1" xfId="2" applyFont="1" applyFill="1" applyBorder="1" applyAlignment="1">
      <alignment horizontal="center" vertical="top"/>
    </xf>
    <xf numFmtId="0" fontId="2" fillId="6" borderId="6" xfId="0" applyFont="1" applyFill="1" applyBorder="1" applyAlignment="1">
      <alignment horizontal="center"/>
    </xf>
    <xf numFmtId="10" fontId="2" fillId="7" borderId="1" xfId="6" applyNumberFormat="1" applyFont="1" applyFill="1" applyBorder="1" applyAlignment="1">
      <alignment horizontal="center" vertical="top" wrapText="1"/>
    </xf>
    <xf numFmtId="2" fontId="2" fillId="6" borderId="1" xfId="0" applyNumberFormat="1" applyFont="1" applyFill="1" applyBorder="1"/>
    <xf numFmtId="10" fontId="2" fillId="6" borderId="1" xfId="6" applyNumberFormat="1" applyFont="1" applyFill="1" applyBorder="1" applyAlignment="1">
      <alignment horizontal="center" vertical="top" wrapText="1"/>
    </xf>
    <xf numFmtId="4" fontId="2" fillId="47" borderId="1" xfId="2" applyNumberFormat="1" applyFont="1" applyFill="1" applyBorder="1" applyAlignment="1">
      <alignment horizontal="center" vertical="top" wrapText="1"/>
    </xf>
    <xf numFmtId="10" fontId="12" fillId="8" borderId="1" xfId="6" applyNumberFormat="1" applyFont="1" applyFill="1" applyBorder="1" applyAlignment="1">
      <alignment horizontal="center" vertical="top" wrapText="1"/>
    </xf>
    <xf numFmtId="0" fontId="2" fillId="46" borderId="6" xfId="0" applyFont="1" applyFill="1" applyBorder="1" applyAlignment="1">
      <alignment horizontal="center" wrapText="1"/>
    </xf>
    <xf numFmtId="0" fontId="2" fillId="46" borderId="1" xfId="0" applyFont="1" applyFill="1" applyBorder="1" applyAlignment="1">
      <alignment horizontal="right" vertical="center"/>
    </xf>
    <xf numFmtId="165" fontId="2" fillId="46" borderId="1" xfId="2" applyFont="1" applyFill="1" applyBorder="1" applyAlignment="1">
      <alignment horizontal="right" vertical="center" wrapText="1"/>
    </xf>
    <xf numFmtId="10" fontId="2" fillId="46" borderId="1" xfId="2" applyNumberFormat="1" applyFont="1" applyFill="1" applyBorder="1" applyAlignment="1">
      <alignment horizontal="right" vertical="center" wrapText="1"/>
    </xf>
    <xf numFmtId="4" fontId="2" fillId="46" borderId="1" xfId="2" applyNumberFormat="1" applyFont="1" applyFill="1" applyBorder="1" applyAlignment="1">
      <alignment horizontal="right" vertical="center" wrapText="1"/>
    </xf>
    <xf numFmtId="9" fontId="2" fillId="46" borderId="1" xfId="6" applyFont="1" applyFill="1" applyBorder="1" applyAlignment="1">
      <alignment horizontal="center" vertical="center" wrapText="1"/>
    </xf>
    <xf numFmtId="4" fontId="2" fillId="46" borderId="1" xfId="2" applyNumberFormat="1" applyFont="1" applyFill="1" applyBorder="1" applyAlignment="1">
      <alignment horizontal="center" vertical="center" wrapText="1"/>
    </xf>
    <xf numFmtId="10" fontId="12" fillId="46" borderId="1" xfId="6" applyNumberFormat="1" applyFont="1" applyFill="1" applyBorder="1" applyAlignment="1">
      <alignment horizontal="center" vertical="top" wrapText="1"/>
    </xf>
    <xf numFmtId="10" fontId="12" fillId="46" borderId="3" xfId="6" applyNumberFormat="1" applyFont="1" applyFill="1" applyBorder="1" applyAlignment="1">
      <alignment horizontal="center" vertical="top" wrapText="1"/>
    </xf>
    <xf numFmtId="9" fontId="2" fillId="47" borderId="1" xfId="6" applyFont="1" applyFill="1" applyBorder="1" applyAlignment="1">
      <alignment horizontal="center"/>
    </xf>
    <xf numFmtId="165" fontId="2" fillId="47" borderId="1" xfId="0" applyNumberFormat="1" applyFont="1" applyFill="1" applyBorder="1" applyAlignment="1">
      <alignment horizontal="center"/>
    </xf>
    <xf numFmtId="4" fontId="2" fillId="47" borderId="1" xfId="2" applyNumberFormat="1" applyFont="1" applyFill="1" applyBorder="1" applyAlignment="1">
      <alignment horizontal="center"/>
    </xf>
    <xf numFmtId="10" fontId="2" fillId="47" borderId="1" xfId="6" applyNumberFormat="1" applyFont="1" applyFill="1" applyBorder="1" applyAlignment="1">
      <alignment horizontal="center" wrapText="1"/>
    </xf>
    <xf numFmtId="10" fontId="2" fillId="47" borderId="1" xfId="2" applyNumberFormat="1" applyFont="1" applyFill="1" applyBorder="1" applyAlignment="1">
      <alignment horizontal="center"/>
    </xf>
    <xf numFmtId="10" fontId="2" fillId="47" borderId="1" xfId="6" applyNumberFormat="1" applyFont="1" applyFill="1" applyBorder="1" applyAlignment="1">
      <alignment horizontal="center" vertical="top" wrapText="1"/>
    </xf>
    <xf numFmtId="0" fontId="12" fillId="6" borderId="6" xfId="0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top" wrapText="1"/>
    </xf>
    <xf numFmtId="0" fontId="12" fillId="6" borderId="1" xfId="0" applyFont="1" applyFill="1" applyBorder="1" applyAlignment="1">
      <alignment vertical="top" wrapText="1"/>
    </xf>
    <xf numFmtId="0" fontId="0" fillId="0" borderId="0" xfId="0"/>
    <xf numFmtId="0" fontId="2" fillId="0" borderId="1" xfId="0" applyFont="1" applyFill="1" applyBorder="1" applyAlignment="1">
      <alignment horizontal="right"/>
    </xf>
    <xf numFmtId="10" fontId="12" fillId="6" borderId="0" xfId="6" applyNumberFormat="1" applyFont="1" applyFill="1" applyBorder="1" applyAlignment="1">
      <alignment horizontal="right" vertical="top" wrapText="1"/>
    </xf>
    <xf numFmtId="0" fontId="0" fillId="0" borderId="0" xfId="0"/>
    <xf numFmtId="10" fontId="2" fillId="6" borderId="0" xfId="6" applyNumberFormat="1" applyFont="1" applyFill="1" applyBorder="1" applyAlignment="1">
      <alignment wrapText="1"/>
    </xf>
    <xf numFmtId="0" fontId="12" fillId="6" borderId="6" xfId="0" applyFont="1" applyFill="1" applyBorder="1" applyAlignment="1">
      <alignment horizontal="center" wrapText="1"/>
    </xf>
    <xf numFmtId="0" fontId="36" fillId="6" borderId="0" xfId="0" applyFont="1" applyFill="1" applyBorder="1" applyAlignment="1">
      <alignment wrapText="1"/>
    </xf>
    <xf numFmtId="0" fontId="35" fillId="6" borderId="0" xfId="0" applyFont="1" applyFill="1" applyBorder="1" applyAlignment="1">
      <alignment vertical="center" wrapText="1"/>
    </xf>
    <xf numFmtId="4" fontId="35" fillId="6" borderId="0" xfId="0" applyNumberFormat="1" applyFont="1" applyFill="1" applyBorder="1" applyAlignment="1">
      <alignment vertical="center" wrapText="1"/>
    </xf>
    <xf numFmtId="0" fontId="2" fillId="8" borderId="6" xfId="0" applyFont="1" applyFill="1" applyBorder="1" applyAlignment="1">
      <alignment vertical="top" wrapText="1"/>
    </xf>
    <xf numFmtId="0" fontId="12" fillId="8" borderId="1" xfId="0" applyFont="1" applyFill="1" applyBorder="1" applyAlignment="1">
      <alignment vertical="top" wrapText="1"/>
    </xf>
    <xf numFmtId="0" fontId="12" fillId="8" borderId="1" xfId="0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 vertical="top" wrapText="1"/>
    </xf>
    <xf numFmtId="165" fontId="12" fillId="8" borderId="1" xfId="2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 wrapText="1"/>
    </xf>
    <xf numFmtId="0" fontId="12" fillId="8" borderId="3" xfId="0" applyFont="1" applyFill="1" applyBorder="1" applyAlignment="1">
      <alignment horizontal="center" vertical="top" wrapText="1"/>
    </xf>
    <xf numFmtId="0" fontId="0" fillId="0" borderId="0" xfId="0"/>
    <xf numFmtId="165" fontId="2" fillId="6" borderId="1" xfId="2" applyFont="1" applyFill="1" applyBorder="1" applyAlignment="1">
      <alignment horizontal="right" vertical="center" wrapText="1"/>
    </xf>
    <xf numFmtId="16" fontId="0" fillId="0" borderId="0" xfId="0" applyNumberFormat="1"/>
    <xf numFmtId="0" fontId="4" fillId="5" borderId="1" xfId="0" applyFont="1" applyFill="1" applyBorder="1" applyAlignment="1">
      <alignment horizontal="center" vertical="center" wrapText="1"/>
    </xf>
    <xf numFmtId="0" fontId="0" fillId="10" borderId="0" xfId="0" applyFill="1"/>
    <xf numFmtId="10" fontId="1" fillId="6" borderId="7" xfId="6" applyNumberFormat="1" applyFont="1" applyFill="1" applyBorder="1" applyAlignment="1">
      <alignment horizontal="center" vertical="center" wrapText="1"/>
    </xf>
    <xf numFmtId="0" fontId="0" fillId="6" borderId="0" xfId="0" applyFill="1"/>
    <xf numFmtId="169" fontId="79" fillId="6" borderId="0" xfId="13398" applyNumberFormat="1" applyFont="1" applyFill="1" applyBorder="1"/>
    <xf numFmtId="4" fontId="1" fillId="6" borderId="1" xfId="0" applyNumberFormat="1" applyFont="1" applyFill="1" applyBorder="1" applyAlignment="1">
      <alignment horizontal="right"/>
    </xf>
    <xf numFmtId="43" fontId="1" fillId="6" borderId="1" xfId="13398" applyFont="1" applyFill="1" applyBorder="1" applyAlignment="1">
      <alignment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right"/>
    </xf>
    <xf numFmtId="10" fontId="1" fillId="7" borderId="1" xfId="6" applyNumberFormat="1" applyFont="1" applyFill="1" applyBorder="1" applyAlignment="1">
      <alignment horizontal="center" wrapText="1"/>
    </xf>
    <xf numFmtId="10" fontId="13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 wrapText="1"/>
    </xf>
    <xf numFmtId="4" fontId="1" fillId="6" borderId="1" xfId="13398" applyNumberFormat="1" applyFont="1" applyFill="1" applyBorder="1" applyAlignment="1">
      <alignment horizontal="right"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left" wrapText="1"/>
    </xf>
    <xf numFmtId="10" fontId="1" fillId="47" borderId="1" xfId="6" applyNumberFormat="1" applyFont="1" applyFill="1" applyBorder="1" applyAlignment="1">
      <alignment horizontal="center" wrapText="1"/>
    </xf>
    <xf numFmtId="43" fontId="1" fillId="6" borderId="1" xfId="13398" applyFont="1" applyFill="1" applyBorder="1" applyAlignment="1">
      <alignment horizontal="right"/>
    </xf>
    <xf numFmtId="4" fontId="1" fillId="6" borderId="1" xfId="13398" applyNumberFormat="1" applyFont="1" applyFill="1" applyBorder="1" applyAlignment="1">
      <alignment horizontal="right"/>
    </xf>
    <xf numFmtId="10" fontId="1" fillId="47" borderId="1" xfId="6" quotePrefix="1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 vertical="top" wrapText="1"/>
    </xf>
    <xf numFmtId="4" fontId="1" fillId="6" borderId="1" xfId="0" applyNumberFormat="1" applyFont="1" applyFill="1" applyBorder="1"/>
    <xf numFmtId="43" fontId="1" fillId="6" borderId="1" xfId="13398" applyFont="1" applyFill="1" applyBorder="1"/>
    <xf numFmtId="2" fontId="1" fillId="6" borderId="1" xfId="0" applyNumberFormat="1" applyFont="1" applyFill="1" applyBorder="1"/>
    <xf numFmtId="4" fontId="1" fillId="6" borderId="1" xfId="13398" applyNumberFormat="1" applyFont="1" applyFill="1" applyBorder="1" applyAlignment="1">
      <alignment horizontal="right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0" fontId="10" fillId="6" borderId="0" xfId="0" applyFont="1" applyFill="1" applyBorder="1"/>
    <xf numFmtId="0" fontId="0" fillId="6" borderId="0" xfId="0" applyFont="1" applyFill="1" applyBorder="1"/>
    <xf numFmtId="0" fontId="27" fillId="6" borderId="0" xfId="0" applyFont="1" applyFill="1" applyBorder="1"/>
    <xf numFmtId="10" fontId="1" fillId="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vertical="top" wrapText="1"/>
    </xf>
    <xf numFmtId="165" fontId="15" fillId="9" borderId="0" xfId="2" applyFont="1" applyFill="1" applyBorder="1" applyAlignment="1">
      <alignment horizontal="right" vertical="center" wrapText="1"/>
    </xf>
    <xf numFmtId="4" fontId="17" fillId="9" borderId="0" xfId="0" applyNumberFormat="1" applyFont="1" applyFill="1" applyBorder="1" applyAlignment="1">
      <alignment horizontal="right" vertical="center"/>
    </xf>
    <xf numFmtId="0" fontId="36" fillId="6" borderId="0" xfId="0" applyFont="1" applyFill="1" applyBorder="1" applyAlignment="1">
      <alignment wrapText="1"/>
    </xf>
    <xf numFmtId="0" fontId="36" fillId="6" borderId="0" xfId="0" applyFont="1" applyFill="1" applyBorder="1" applyAlignment="1">
      <alignment wrapText="1"/>
    </xf>
    <xf numFmtId="16" fontId="80" fillId="6" borderId="1" xfId="0" applyNumberFormat="1" applyFont="1" applyFill="1" applyBorder="1"/>
    <xf numFmtId="4" fontId="64" fillId="6" borderId="1" xfId="0" applyNumberFormat="1" applyFont="1" applyFill="1" applyBorder="1"/>
    <xf numFmtId="4" fontId="64" fillId="6" borderId="1" xfId="0" applyNumberFormat="1" applyFont="1" applyFill="1" applyBorder="1" applyAlignment="1">
      <alignment horizontal="right"/>
    </xf>
    <xf numFmtId="165" fontId="81" fillId="6" borderId="1" xfId="2" applyFont="1" applyFill="1" applyBorder="1" applyAlignment="1">
      <alignment horizontal="right" vertical="top" wrapText="1"/>
    </xf>
    <xf numFmtId="0" fontId="64" fillId="0" borderId="0" xfId="0" applyFont="1"/>
    <xf numFmtId="165" fontId="64" fillId="0" borderId="0" xfId="2" applyFont="1"/>
    <xf numFmtId="0" fontId="82" fillId="0" borderId="1" xfId="0" applyFont="1" applyBorder="1" applyAlignment="1">
      <alignment horizontal="right"/>
    </xf>
    <xf numFmtId="0" fontId="80" fillId="0" borderId="1" xfId="0" applyFont="1" applyBorder="1" applyAlignment="1">
      <alignment horizontal="right"/>
    </xf>
    <xf numFmtId="0" fontId="83" fillId="44" borderId="1" xfId="0" applyFont="1" applyFill="1" applyBorder="1" applyAlignment="1">
      <alignment horizontal="right"/>
    </xf>
    <xf numFmtId="165" fontId="83" fillId="44" borderId="1" xfId="0" applyNumberFormat="1" applyFont="1" applyFill="1" applyBorder="1"/>
    <xf numFmtId="0" fontId="82" fillId="50" borderId="1" xfId="0" applyFont="1" applyFill="1" applyBorder="1" applyAlignment="1">
      <alignment horizontal="right"/>
    </xf>
    <xf numFmtId="165" fontId="82" fillId="50" borderId="1" xfId="0" quotePrefix="1" applyNumberFormat="1" applyFont="1" applyFill="1" applyBorder="1" applyAlignment="1">
      <alignment horizontal="center"/>
    </xf>
    <xf numFmtId="165" fontId="82" fillId="50" borderId="1" xfId="0" applyNumberFormat="1" applyFont="1" applyFill="1" applyBorder="1"/>
    <xf numFmtId="165" fontId="82" fillId="50" borderId="1" xfId="2" applyFont="1" applyFill="1" applyBorder="1"/>
    <xf numFmtId="4" fontId="35" fillId="6" borderId="0" xfId="0" applyNumberFormat="1" applyFont="1" applyFill="1" applyBorder="1" applyAlignment="1">
      <alignment vertical="center" wrapText="1"/>
    </xf>
    <xf numFmtId="0" fontId="35" fillId="6" borderId="0" xfId="0" applyFont="1" applyFill="1" applyBorder="1" applyAlignment="1">
      <alignment vertical="center" wrapText="1"/>
    </xf>
    <xf numFmtId="0" fontId="0" fillId="0" borderId="0" xfId="0"/>
    <xf numFmtId="16" fontId="80" fillId="6" borderId="0" xfId="0" applyNumberFormat="1" applyFont="1" applyFill="1" applyBorder="1"/>
    <xf numFmtId="0" fontId="80" fillId="0" borderId="0" xfId="0" applyFont="1" applyBorder="1" applyAlignment="1">
      <alignment horizontal="right"/>
    </xf>
    <xf numFmtId="4" fontId="64" fillId="6" borderId="0" xfId="0" applyNumberFormat="1" applyFont="1" applyFill="1" applyBorder="1"/>
    <xf numFmtId="4" fontId="64" fillId="6" borderId="0" xfId="0" applyNumberFormat="1" applyFont="1" applyFill="1" applyBorder="1" applyAlignment="1">
      <alignment horizontal="right"/>
    </xf>
    <xf numFmtId="165" fontId="81" fillId="6" borderId="0" xfId="2" applyFont="1" applyFill="1" applyBorder="1" applyAlignment="1">
      <alignment horizontal="right" vertical="top" wrapText="1"/>
    </xf>
    <xf numFmtId="0" fontId="12" fillId="7" borderId="1" xfId="0" applyFont="1" applyFill="1" applyBorder="1" applyAlignment="1">
      <alignment horizontal="center" vertical="top" wrapText="1"/>
    </xf>
    <xf numFmtId="0" fontId="12" fillId="7" borderId="3" xfId="0" applyFont="1" applyFill="1" applyBorder="1" applyAlignment="1">
      <alignment horizontal="center" vertical="top" wrapText="1"/>
    </xf>
    <xf numFmtId="10" fontId="10" fillId="8" borderId="3" xfId="2" applyNumberFormat="1" applyFont="1" applyFill="1" applyBorder="1" applyAlignment="1">
      <alignment horizontal="center" vertical="top" wrapText="1"/>
    </xf>
    <xf numFmtId="0" fontId="10" fillId="6" borderId="3" xfId="0" applyFont="1" applyFill="1" applyBorder="1"/>
    <xf numFmtId="0" fontId="10" fillId="8" borderId="3" xfId="0" applyFont="1" applyFill="1" applyBorder="1"/>
    <xf numFmtId="0" fontId="2" fillId="7" borderId="3" xfId="0" applyFont="1" applyFill="1" applyBorder="1" applyAlignment="1">
      <alignment horizontal="center" vertical="top" wrapText="1"/>
    </xf>
    <xf numFmtId="0" fontId="0" fillId="0" borderId="0" xfId="0"/>
    <xf numFmtId="165" fontId="3" fillId="46" borderId="1" xfId="2" applyFont="1" applyFill="1" applyBorder="1" applyAlignment="1">
      <alignment horizontal="right" vertical="top" wrapText="1"/>
    </xf>
    <xf numFmtId="4" fontId="1" fillId="46" borderId="1" xfId="2" applyNumberFormat="1" applyFont="1" applyFill="1" applyBorder="1" applyAlignment="1">
      <alignment horizontal="right" vertical="top" wrapText="1"/>
    </xf>
    <xf numFmtId="4" fontId="1" fillId="46" borderId="1" xfId="2" applyNumberFormat="1" applyFont="1" applyFill="1" applyBorder="1" applyAlignment="1">
      <alignment horizontal="center" vertical="top" wrapText="1"/>
    </xf>
    <xf numFmtId="165" fontId="72" fillId="46" borderId="1" xfId="2" applyFont="1" applyFill="1" applyBorder="1" applyAlignment="1">
      <alignment horizontal="right" vertical="top" wrapText="1"/>
    </xf>
    <xf numFmtId="10" fontId="13" fillId="46" borderId="1" xfId="6" applyNumberFormat="1" applyFont="1" applyFill="1" applyBorder="1" applyAlignment="1">
      <alignment horizontal="center" vertical="top" wrapText="1"/>
    </xf>
    <xf numFmtId="166" fontId="13" fillId="46" borderId="1" xfId="6" applyNumberFormat="1" applyFont="1" applyFill="1" applyBorder="1" applyAlignment="1">
      <alignment horizontal="center" vertical="top" wrapText="1"/>
    </xf>
    <xf numFmtId="10" fontId="10" fillId="46" borderId="3" xfId="2" applyNumberFormat="1" applyFont="1" applyFill="1" applyBorder="1" applyAlignment="1">
      <alignment horizontal="center" vertical="top" wrapText="1"/>
    </xf>
    <xf numFmtId="0" fontId="2" fillId="46" borderId="6" xfId="0" applyFont="1" applyFill="1" applyBorder="1" applyAlignment="1">
      <alignment horizontal="right"/>
    </xf>
    <xf numFmtId="0" fontId="2" fillId="46" borderId="1" xfId="0" applyFont="1" applyFill="1" applyBorder="1" applyAlignment="1">
      <alignment horizontal="right"/>
    </xf>
    <xf numFmtId="0" fontId="90" fillId="0" borderId="0" xfId="0" applyFont="1"/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" fontId="95" fillId="0" borderId="0" xfId="0" applyNumberFormat="1" applyFont="1"/>
    <xf numFmtId="0" fontId="2" fillId="5" borderId="1" xfId="0" applyFont="1" applyFill="1" applyBorder="1" applyAlignment="1">
      <alignment horizontal="center" vertical="center" wrapText="1"/>
    </xf>
    <xf numFmtId="0" fontId="8" fillId="0" borderId="0" xfId="0" applyFont="1"/>
    <xf numFmtId="0" fontId="2" fillId="44" borderId="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horizontal="center" vertical="center"/>
    </xf>
    <xf numFmtId="10" fontId="2" fillId="8" borderId="3" xfId="6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4" fontId="1" fillId="6" borderId="1" xfId="0" applyNumberFormat="1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4" fontId="1" fillId="0" borderId="1" xfId="0" applyNumberFormat="1" applyFont="1" applyFill="1" applyBorder="1" applyAlignment="1">
      <alignment wrapText="1"/>
    </xf>
    <xf numFmtId="0" fontId="1" fillId="6" borderId="6" xfId="0" applyFont="1" applyFill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1" fillId="6" borderId="6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vertical="center" wrapText="1"/>
    </xf>
    <xf numFmtId="49" fontId="96" fillId="0" borderId="1" xfId="0" applyNumberFormat="1" applyFont="1" applyFill="1" applyBorder="1" applyAlignment="1">
      <alignment wrapText="1"/>
    </xf>
    <xf numFmtId="4" fontId="35" fillId="6" borderId="0" xfId="0" applyNumberFormat="1" applyFont="1" applyFill="1" applyBorder="1" applyAlignment="1">
      <alignment vertical="center"/>
    </xf>
    <xf numFmtId="0" fontId="36" fillId="6" borderId="0" xfId="0" applyFont="1" applyFill="1" applyBorder="1" applyAlignment="1">
      <alignment wrapText="1"/>
    </xf>
    <xf numFmtId="4" fontId="35" fillId="6" borderId="0" xfId="0" applyNumberFormat="1" applyFont="1" applyFill="1" applyBorder="1" applyAlignment="1">
      <alignment vertical="center" wrapText="1"/>
    </xf>
    <xf numFmtId="0" fontId="12" fillId="7" borderId="1" xfId="0" applyFont="1" applyFill="1" applyBorder="1" applyAlignment="1">
      <alignment horizontal="center" vertical="top" wrapText="1"/>
    </xf>
    <xf numFmtId="0" fontId="1" fillId="6" borderId="6" xfId="0" applyFont="1" applyFill="1" applyBorder="1" applyAlignment="1">
      <alignment horizontal="center" wrapText="1"/>
    </xf>
    <xf numFmtId="0" fontId="1" fillId="6" borderId="26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69" fillId="44" borderId="6" xfId="0" applyFont="1" applyFill="1" applyBorder="1" applyAlignment="1">
      <alignment horizontal="center"/>
    </xf>
    <xf numFmtId="0" fontId="69" fillId="44" borderId="26" xfId="0" applyFont="1" applyFill="1" applyBorder="1" applyAlignment="1">
      <alignment horizontal="center"/>
    </xf>
    <xf numFmtId="0" fontId="69" fillId="44" borderId="1" xfId="0" applyFont="1" applyFill="1" applyBorder="1" applyAlignment="1">
      <alignment horizontal="center"/>
    </xf>
    <xf numFmtId="0" fontId="69" fillId="44" borderId="3" xfId="0" applyFont="1" applyFill="1" applyBorder="1" applyAlignment="1">
      <alignment horizontal="center"/>
    </xf>
    <xf numFmtId="0" fontId="69" fillId="44" borderId="6" xfId="0" applyFont="1" applyFill="1" applyBorder="1" applyAlignment="1">
      <alignment horizontal="center" wrapText="1"/>
    </xf>
    <xf numFmtId="0" fontId="69" fillId="44" borderId="26" xfId="0" applyFont="1" applyFill="1" applyBorder="1" applyAlignment="1">
      <alignment horizontal="center" wrapText="1"/>
    </xf>
    <xf numFmtId="0" fontId="69" fillId="44" borderId="1" xfId="0" applyFont="1" applyFill="1" applyBorder="1" applyAlignment="1">
      <alignment horizontal="center" wrapText="1"/>
    </xf>
    <xf numFmtId="0" fontId="69" fillId="44" borderId="3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4" borderId="26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1" fillId="6" borderId="3" xfId="0" applyFont="1" applyFill="1" applyBorder="1" applyAlignment="1">
      <alignment horizontal="center" wrapText="1"/>
    </xf>
    <xf numFmtId="0" fontId="0" fillId="6" borderId="0" xfId="0" applyFill="1" applyBorder="1" applyAlignment="1">
      <alignment wrapText="1"/>
    </xf>
    <xf numFmtId="0" fontId="37" fillId="6" borderId="0" xfId="0" applyFont="1" applyFill="1" applyBorder="1" applyAlignment="1">
      <alignment wrapText="1"/>
    </xf>
    <xf numFmtId="165" fontId="5" fillId="6" borderId="0" xfId="2" applyFont="1" applyFill="1" applyBorder="1" applyAlignment="1">
      <alignment horizontal="center"/>
    </xf>
    <xf numFmtId="0" fontId="12" fillId="7" borderId="3" xfId="0" applyFont="1" applyFill="1" applyBorder="1" applyAlignment="1">
      <alignment horizontal="center" vertical="top" wrapText="1"/>
    </xf>
    <xf numFmtId="165" fontId="8" fillId="6" borderId="0" xfId="2" applyNumberFormat="1" applyFont="1" applyFill="1" applyBorder="1" applyAlignment="1">
      <alignment horizontal="center"/>
    </xf>
    <xf numFmtId="165" fontId="8" fillId="6" borderId="0" xfId="2" applyFont="1" applyFill="1" applyBorder="1" applyAlignment="1">
      <alignment horizontal="center"/>
    </xf>
    <xf numFmtId="0" fontId="35" fillId="6" borderId="0" xfId="0" applyFont="1" applyFill="1" applyBorder="1" applyAlignment="1">
      <alignment vertical="center" wrapText="1"/>
    </xf>
    <xf numFmtId="0" fontId="13" fillId="6" borderId="6" xfId="0" applyFont="1" applyFill="1" applyBorder="1" applyAlignment="1">
      <alignment horizontal="center" vertical="top" wrapText="1"/>
    </xf>
    <xf numFmtId="0" fontId="13" fillId="6" borderId="26" xfId="0" applyFont="1" applyFill="1" applyBorder="1" applyAlignment="1">
      <alignment horizontal="center" vertical="top" wrapText="1"/>
    </xf>
    <xf numFmtId="0" fontId="13" fillId="6" borderId="1" xfId="0" applyFont="1" applyFill="1" applyBorder="1" applyAlignment="1">
      <alignment horizontal="center" vertical="top" wrapText="1"/>
    </xf>
    <xf numFmtId="0" fontId="13" fillId="6" borderId="3" xfId="0" applyFont="1" applyFill="1" applyBorder="1" applyAlignment="1">
      <alignment horizontal="center" vertical="top" wrapText="1"/>
    </xf>
    <xf numFmtId="0" fontId="69" fillId="44" borderId="6" xfId="0" applyFont="1" applyFill="1" applyBorder="1" applyAlignment="1">
      <alignment horizontal="center" vertical="top" wrapText="1"/>
    </xf>
    <xf numFmtId="0" fontId="69" fillId="44" borderId="26" xfId="0" applyFont="1" applyFill="1" applyBorder="1" applyAlignment="1">
      <alignment horizontal="center" vertical="top" wrapText="1"/>
    </xf>
    <xf numFmtId="0" fontId="69" fillId="44" borderId="1" xfId="0" applyFont="1" applyFill="1" applyBorder="1" applyAlignment="1">
      <alignment horizontal="center" vertical="top" wrapText="1"/>
    </xf>
    <xf numFmtId="0" fontId="69" fillId="44" borderId="3" xfId="0" applyFont="1" applyFill="1" applyBorder="1" applyAlignment="1">
      <alignment horizontal="center" vertical="top" wrapText="1"/>
    </xf>
    <xf numFmtId="0" fontId="92" fillId="49" borderId="21" xfId="0" applyFont="1" applyFill="1" applyBorder="1" applyAlignment="1">
      <alignment horizontal="center"/>
    </xf>
    <xf numFmtId="0" fontId="92" fillId="49" borderId="25" xfId="0" applyFont="1" applyFill="1" applyBorder="1" applyAlignment="1">
      <alignment horizontal="center"/>
    </xf>
    <xf numFmtId="0" fontId="92" fillId="49" borderId="22" xfId="0" applyFont="1" applyFill="1" applyBorder="1" applyAlignment="1">
      <alignment horizontal="center"/>
    </xf>
    <xf numFmtId="0" fontId="92" fillId="49" borderId="23" xfId="0" applyFont="1" applyFill="1" applyBorder="1" applyAlignment="1">
      <alignment horizontal="center"/>
    </xf>
    <xf numFmtId="0" fontId="12" fillId="7" borderId="27" xfId="0" applyFont="1" applyFill="1" applyBorder="1" applyAlignment="1">
      <alignment horizontal="center" vertical="top" wrapText="1"/>
    </xf>
    <xf numFmtId="0" fontId="12" fillId="7" borderId="28" xfId="0" applyFont="1" applyFill="1" applyBorder="1" applyAlignment="1">
      <alignment horizontal="center" vertical="top" wrapText="1"/>
    </xf>
    <xf numFmtId="0" fontId="12" fillId="7" borderId="26" xfId="0" applyFont="1" applyFill="1" applyBorder="1" applyAlignment="1">
      <alignment horizontal="center" vertical="top" wrapText="1"/>
    </xf>
    <xf numFmtId="0" fontId="93" fillId="45" borderId="6" xfId="0" applyFont="1" applyFill="1" applyBorder="1" applyAlignment="1">
      <alignment horizontal="center"/>
    </xf>
    <xf numFmtId="0" fontId="93" fillId="45" borderId="26" xfId="0" applyFont="1" applyFill="1" applyBorder="1" applyAlignment="1">
      <alignment horizontal="center"/>
    </xf>
    <xf numFmtId="0" fontId="93" fillId="45" borderId="1" xfId="0" applyFont="1" applyFill="1" applyBorder="1" applyAlignment="1">
      <alignment horizontal="center"/>
    </xf>
    <xf numFmtId="0" fontId="93" fillId="45" borderId="3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26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center"/>
    </xf>
    <xf numFmtId="0" fontId="13" fillId="6" borderId="3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1" fillId="0" borderId="0" xfId="0" applyFont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165" fontId="17" fillId="13" borderId="1" xfId="2" applyFont="1" applyFill="1" applyBorder="1" applyAlignment="1">
      <alignment horizontal="center" vertical="center" wrapText="1"/>
    </xf>
    <xf numFmtId="0" fontId="94" fillId="6" borderId="21" xfId="0" applyFont="1" applyFill="1" applyBorder="1" applyAlignment="1">
      <alignment horizontal="center"/>
    </xf>
    <xf numFmtId="0" fontId="94" fillId="6" borderId="22" xfId="0" applyFont="1" applyFill="1" applyBorder="1" applyAlignment="1">
      <alignment horizontal="center"/>
    </xf>
    <xf numFmtId="0" fontId="94" fillId="6" borderId="2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left" wrapText="1"/>
    </xf>
  </cellXfs>
  <cellStyles count="20351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12" xfId="13173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" xfId="13147" builtinId="32" customBuiltin="1"/>
    <cellStyle name="60% - Accent1 2" xfId="230"/>
    <cellStyle name="60% - Accent1 3" xfId="45"/>
    <cellStyle name="60% - Accent2" xfId="13148" builtinId="36" customBuiltin="1"/>
    <cellStyle name="60% - Accent2 2" xfId="231"/>
    <cellStyle name="60% - Accent2 3" xfId="46"/>
    <cellStyle name="60% - Accent3" xfId="13149" builtinId="40" customBuiltin="1"/>
    <cellStyle name="60% - Accent3 2" xfId="232"/>
    <cellStyle name="60% - Accent3 3" xfId="47"/>
    <cellStyle name="60% - Accent4" xfId="13150" builtinId="44" customBuiltin="1"/>
    <cellStyle name="60% - Accent4 2" xfId="233"/>
    <cellStyle name="60% - Accent4 3" xfId="48"/>
    <cellStyle name="60% - Accent5" xfId="13151" builtinId="48" customBuiltin="1"/>
    <cellStyle name="60% - Accent5 2" xfId="234"/>
    <cellStyle name="60% - Accent5 3" xfId="49"/>
    <cellStyle name="60% - Accent6" xfId="13152" builtinId="52" customBuiltin="1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alculation 2" xfId="13175"/>
    <cellStyle name="Check Cell" xfId="16" builtinId="23" customBuiltin="1"/>
    <cellStyle name="Comma" xfId="2" builtinId="3"/>
    <cellStyle name="Comma 10" xfId="68"/>
    <cellStyle name="Comma 10 13" xfId="13398"/>
    <cellStyle name="Comma 10 13 2" xfId="19776"/>
    <cellStyle name="Comma 10 13 3" xfId="19789"/>
    <cellStyle name="Comma 10 2" xfId="2902"/>
    <cellStyle name="Comma 10 2 2" xfId="10862"/>
    <cellStyle name="Comma 10 2 2 2" xfId="17401"/>
    <cellStyle name="Comma 10 2 3" xfId="13191"/>
    <cellStyle name="Comma 10 2 3 2" xfId="19700"/>
    <cellStyle name="Comma 10 2 4" xfId="14549"/>
    <cellStyle name="Comma 10 2 5" xfId="19795"/>
    <cellStyle name="Comma 10 2 6" xfId="20220"/>
    <cellStyle name="Comma 10 3" xfId="2337"/>
    <cellStyle name="Comma 10 3 2" xfId="13985"/>
    <cellStyle name="Comma 10 3 3" xfId="20293"/>
    <cellStyle name="Comma 10 4" xfId="10298"/>
    <cellStyle name="Comma 10 4 2" xfId="16837"/>
    <cellStyle name="Comma 10 5" xfId="13190"/>
    <cellStyle name="Comma 10 5 2" xfId="19699"/>
    <cellStyle name="Comma 10 6" xfId="13409"/>
    <cellStyle name="Comma 10 7" xfId="19794"/>
    <cellStyle name="Comma 10 8" xfId="20051"/>
    <cellStyle name="Comma 11" xfId="226"/>
    <cellStyle name="Comma 11 2" xfId="2941"/>
    <cellStyle name="Comma 11 2 2" xfId="10899"/>
    <cellStyle name="Comma 11 2 2 2" xfId="17438"/>
    <cellStyle name="Comma 11 2 3" xfId="13193"/>
    <cellStyle name="Comma 11 2 3 2" xfId="19702"/>
    <cellStyle name="Comma 11 2 4" xfId="14586"/>
    <cellStyle name="Comma 11 2 5" xfId="19797"/>
    <cellStyle name="Comma 11 2 6" xfId="20218"/>
    <cellStyle name="Comma 11 3" xfId="2373"/>
    <cellStyle name="Comma 11 3 2" xfId="13186"/>
    <cellStyle name="Comma 11 3 2 2" xfId="19696"/>
    <cellStyle name="Comma 11 3 3" xfId="14021"/>
    <cellStyle name="Comma 11 3 4" xfId="20291"/>
    <cellStyle name="Comma 11 4" xfId="10334"/>
    <cellStyle name="Comma 11 4 2" xfId="16873"/>
    <cellStyle name="Comma 11 5" xfId="13192"/>
    <cellStyle name="Comma 11 5 2" xfId="19701"/>
    <cellStyle name="Comma 11 6" xfId="13446"/>
    <cellStyle name="Comma 11 7" xfId="19796"/>
    <cellStyle name="Comma 11 8" xfId="20048"/>
    <cellStyle name="Comma 12" xfId="211"/>
    <cellStyle name="Comma 12 10" xfId="13194"/>
    <cellStyle name="Comma 12 10 2" xfId="19703"/>
    <cellStyle name="Comma 12 11" xfId="13445"/>
    <cellStyle name="Comma 12 12" xfId="19798"/>
    <cellStyle name="Comma 12 13" xfId="20044"/>
    <cellStyle name="Comma 12 2" xfId="449"/>
    <cellStyle name="Comma 12 2 10" xfId="19799"/>
    <cellStyle name="Comma 12 2 11" xfId="20215"/>
    <cellStyle name="Comma 12 2 2" xfId="903"/>
    <cellStyle name="Comma 12 2 2 2" xfId="2038"/>
    <cellStyle name="Comma 12 2 2 2 2" xfId="5458"/>
    <cellStyle name="Comma 12 2 2 2 2 2" xfId="11926"/>
    <cellStyle name="Comma 12 2 2 2 2 2 2" xfId="18465"/>
    <cellStyle name="Comma 12 2 2 2 2 3" xfId="15613"/>
    <cellStyle name="Comma 12 2 2 2 3" xfId="7730"/>
    <cellStyle name="Comma 12 2 2 2 3 2" xfId="12497"/>
    <cellStyle name="Comma 12 2 2 2 3 2 2" xfId="19036"/>
    <cellStyle name="Comma 12 2 2 2 3 3" xfId="16184"/>
    <cellStyle name="Comma 12 2 2 2 4" xfId="10002"/>
    <cellStyle name="Comma 12 2 2 2 4 2" xfId="13068"/>
    <cellStyle name="Comma 12 2 2 2 4 2 2" xfId="19607"/>
    <cellStyle name="Comma 12 2 2 2 4 3" xfId="16755"/>
    <cellStyle name="Comma 12 2 2 2 5" xfId="3398"/>
    <cellStyle name="Comma 12 2 2 2 5 2" xfId="11355"/>
    <cellStyle name="Comma 12 2 2 2 5 2 2" xfId="17894"/>
    <cellStyle name="Comma 12 2 2 2 5 3" xfId="15042"/>
    <cellStyle name="Comma 12 2 2 2 6" xfId="13902"/>
    <cellStyle name="Comma 12 2 2 3" xfId="4323"/>
    <cellStyle name="Comma 12 2 2 3 2" xfId="11641"/>
    <cellStyle name="Comma 12 2 2 3 2 2" xfId="18180"/>
    <cellStyle name="Comma 12 2 2 3 3" xfId="15328"/>
    <cellStyle name="Comma 12 2 2 4" xfId="6595"/>
    <cellStyle name="Comma 12 2 2 4 2" xfId="12212"/>
    <cellStyle name="Comma 12 2 2 4 2 2" xfId="18751"/>
    <cellStyle name="Comma 12 2 2 4 3" xfId="15899"/>
    <cellStyle name="Comma 12 2 2 5" xfId="8867"/>
    <cellStyle name="Comma 12 2 2 5 2" xfId="12783"/>
    <cellStyle name="Comma 12 2 2 5 2 2" xfId="19322"/>
    <cellStyle name="Comma 12 2 2 5 3" xfId="16470"/>
    <cellStyle name="Comma 12 2 2 6" xfId="3113"/>
    <cellStyle name="Comma 12 2 2 6 2" xfId="11070"/>
    <cellStyle name="Comma 12 2 2 6 2 2" xfId="17609"/>
    <cellStyle name="Comma 12 2 2 6 3" xfId="14757"/>
    <cellStyle name="Comma 12 2 2 7" xfId="13617"/>
    <cellStyle name="Comma 12 2 3" xfId="1584"/>
    <cellStyle name="Comma 12 2 3 2" xfId="5004"/>
    <cellStyle name="Comma 12 2 3 2 2" xfId="11812"/>
    <cellStyle name="Comma 12 2 3 2 2 2" xfId="18351"/>
    <cellStyle name="Comma 12 2 3 2 3" xfId="15499"/>
    <cellStyle name="Comma 12 2 3 3" xfId="7276"/>
    <cellStyle name="Comma 12 2 3 3 2" xfId="12383"/>
    <cellStyle name="Comma 12 2 3 3 2 2" xfId="18922"/>
    <cellStyle name="Comma 12 2 3 3 3" xfId="16070"/>
    <cellStyle name="Comma 12 2 3 4" xfId="9548"/>
    <cellStyle name="Comma 12 2 3 4 2" xfId="12954"/>
    <cellStyle name="Comma 12 2 3 4 2 2" xfId="19493"/>
    <cellStyle name="Comma 12 2 3 4 3" xfId="16641"/>
    <cellStyle name="Comma 12 2 3 5" xfId="3284"/>
    <cellStyle name="Comma 12 2 3 5 2" xfId="11241"/>
    <cellStyle name="Comma 12 2 3 5 2 2" xfId="17780"/>
    <cellStyle name="Comma 12 2 3 5 3" xfId="14928"/>
    <cellStyle name="Comma 12 2 3 6" xfId="13788"/>
    <cellStyle name="Comma 12 2 4" xfId="3869"/>
    <cellStyle name="Comma 12 2 4 2" xfId="11527"/>
    <cellStyle name="Comma 12 2 4 2 2" xfId="18066"/>
    <cellStyle name="Comma 12 2 4 3" xfId="15214"/>
    <cellStyle name="Comma 12 2 5" xfId="6141"/>
    <cellStyle name="Comma 12 2 5 2" xfId="12098"/>
    <cellStyle name="Comma 12 2 5 2 2" xfId="18637"/>
    <cellStyle name="Comma 12 2 5 3" xfId="15785"/>
    <cellStyle name="Comma 12 2 6" xfId="8413"/>
    <cellStyle name="Comma 12 2 6 2" xfId="12669"/>
    <cellStyle name="Comma 12 2 6 2 2" xfId="19208"/>
    <cellStyle name="Comma 12 2 6 3" xfId="16356"/>
    <cellStyle name="Comma 12 2 7" xfId="2999"/>
    <cellStyle name="Comma 12 2 7 2" xfId="10956"/>
    <cellStyle name="Comma 12 2 7 2 2" xfId="17495"/>
    <cellStyle name="Comma 12 2 7 3" xfId="14643"/>
    <cellStyle name="Comma 12 2 8" xfId="13195"/>
    <cellStyle name="Comma 12 2 8 2" xfId="19704"/>
    <cellStyle name="Comma 12 2 9" xfId="13503"/>
    <cellStyle name="Comma 12 3" xfId="1130"/>
    <cellStyle name="Comma 12 3 2" xfId="2265"/>
    <cellStyle name="Comma 12 3 2 2" xfId="5685"/>
    <cellStyle name="Comma 12 3 2 2 2" xfId="11983"/>
    <cellStyle name="Comma 12 3 2 2 2 2" xfId="18522"/>
    <cellStyle name="Comma 12 3 2 2 3" xfId="15670"/>
    <cellStyle name="Comma 12 3 2 3" xfId="7957"/>
    <cellStyle name="Comma 12 3 2 3 2" xfId="12554"/>
    <cellStyle name="Comma 12 3 2 3 2 2" xfId="19093"/>
    <cellStyle name="Comma 12 3 2 3 3" xfId="16241"/>
    <cellStyle name="Comma 12 3 2 4" xfId="10229"/>
    <cellStyle name="Comma 12 3 2 4 2" xfId="13125"/>
    <cellStyle name="Comma 12 3 2 4 2 2" xfId="19664"/>
    <cellStyle name="Comma 12 3 2 4 3" xfId="16812"/>
    <cellStyle name="Comma 12 3 2 5" xfId="3455"/>
    <cellStyle name="Comma 12 3 2 5 2" xfId="11412"/>
    <cellStyle name="Comma 12 3 2 5 2 2" xfId="17951"/>
    <cellStyle name="Comma 12 3 2 5 3" xfId="15099"/>
    <cellStyle name="Comma 12 3 2 6" xfId="13959"/>
    <cellStyle name="Comma 12 3 3" xfId="4550"/>
    <cellStyle name="Comma 12 3 3 2" xfId="11698"/>
    <cellStyle name="Comma 12 3 3 2 2" xfId="18237"/>
    <cellStyle name="Comma 12 3 3 3" xfId="15385"/>
    <cellStyle name="Comma 12 3 4" xfId="6822"/>
    <cellStyle name="Comma 12 3 4 2" xfId="12269"/>
    <cellStyle name="Comma 12 3 4 2 2" xfId="18808"/>
    <cellStyle name="Comma 12 3 4 3" xfId="15956"/>
    <cellStyle name="Comma 12 3 5" xfId="9094"/>
    <cellStyle name="Comma 12 3 5 2" xfId="12840"/>
    <cellStyle name="Comma 12 3 5 2 2" xfId="19379"/>
    <cellStyle name="Comma 12 3 5 3" xfId="16527"/>
    <cellStyle name="Comma 12 3 6" xfId="3170"/>
    <cellStyle name="Comma 12 3 6 2" xfId="11127"/>
    <cellStyle name="Comma 12 3 6 2 2" xfId="17666"/>
    <cellStyle name="Comma 12 3 6 3" xfId="14814"/>
    <cellStyle name="Comma 12 3 7" xfId="13674"/>
    <cellStyle name="Comma 12 3 8" xfId="20288"/>
    <cellStyle name="Comma 12 4" xfId="676"/>
    <cellStyle name="Comma 12 4 2" xfId="1811"/>
    <cellStyle name="Comma 12 4 2 2" xfId="5231"/>
    <cellStyle name="Comma 12 4 2 2 2" xfId="11869"/>
    <cellStyle name="Comma 12 4 2 2 2 2" xfId="18408"/>
    <cellStyle name="Comma 12 4 2 2 3" xfId="15556"/>
    <cellStyle name="Comma 12 4 2 3" xfId="7503"/>
    <cellStyle name="Comma 12 4 2 3 2" xfId="12440"/>
    <cellStyle name="Comma 12 4 2 3 2 2" xfId="18979"/>
    <cellStyle name="Comma 12 4 2 3 3" xfId="16127"/>
    <cellStyle name="Comma 12 4 2 4" xfId="9775"/>
    <cellStyle name="Comma 12 4 2 4 2" xfId="13011"/>
    <cellStyle name="Comma 12 4 2 4 2 2" xfId="19550"/>
    <cellStyle name="Comma 12 4 2 4 3" xfId="16698"/>
    <cellStyle name="Comma 12 4 2 5" xfId="3341"/>
    <cellStyle name="Comma 12 4 2 5 2" xfId="11298"/>
    <cellStyle name="Comma 12 4 2 5 2 2" xfId="17837"/>
    <cellStyle name="Comma 12 4 2 5 3" xfId="14985"/>
    <cellStyle name="Comma 12 4 2 6" xfId="13845"/>
    <cellStyle name="Comma 12 4 3" xfId="4096"/>
    <cellStyle name="Comma 12 4 3 2" xfId="11584"/>
    <cellStyle name="Comma 12 4 3 2 2" xfId="18123"/>
    <cellStyle name="Comma 12 4 3 3" xfId="15271"/>
    <cellStyle name="Comma 12 4 4" xfId="6368"/>
    <cellStyle name="Comma 12 4 4 2" xfId="12155"/>
    <cellStyle name="Comma 12 4 4 2 2" xfId="18694"/>
    <cellStyle name="Comma 12 4 4 3" xfId="15842"/>
    <cellStyle name="Comma 12 4 5" xfId="8640"/>
    <cellStyle name="Comma 12 4 5 2" xfId="12726"/>
    <cellStyle name="Comma 12 4 5 2 2" xfId="19265"/>
    <cellStyle name="Comma 12 4 5 3" xfId="16413"/>
    <cellStyle name="Comma 12 4 6" xfId="3056"/>
    <cellStyle name="Comma 12 4 6 2" xfId="11013"/>
    <cellStyle name="Comma 12 4 6 2 2" xfId="17552"/>
    <cellStyle name="Comma 12 4 6 3" xfId="14700"/>
    <cellStyle name="Comma 12 4 7" xfId="13560"/>
    <cellStyle name="Comma 12 5" xfId="1357"/>
    <cellStyle name="Comma 12 5 2" xfId="4777"/>
    <cellStyle name="Comma 12 5 2 2" xfId="11755"/>
    <cellStyle name="Comma 12 5 2 2 2" xfId="18294"/>
    <cellStyle name="Comma 12 5 2 3" xfId="15442"/>
    <cellStyle name="Comma 12 5 3" xfId="7049"/>
    <cellStyle name="Comma 12 5 3 2" xfId="12326"/>
    <cellStyle name="Comma 12 5 3 2 2" xfId="18865"/>
    <cellStyle name="Comma 12 5 3 3" xfId="16013"/>
    <cellStyle name="Comma 12 5 4" xfId="9321"/>
    <cellStyle name="Comma 12 5 4 2" xfId="12897"/>
    <cellStyle name="Comma 12 5 4 2 2" xfId="19436"/>
    <cellStyle name="Comma 12 5 4 3" xfId="16584"/>
    <cellStyle name="Comma 12 5 5" xfId="3227"/>
    <cellStyle name="Comma 12 5 5 2" xfId="11184"/>
    <cellStyle name="Comma 12 5 5 2 2" xfId="17723"/>
    <cellStyle name="Comma 12 5 5 3" xfId="14871"/>
    <cellStyle name="Comma 12 5 6" xfId="13731"/>
    <cellStyle name="Comma 12 6" xfId="3642"/>
    <cellStyle name="Comma 12 6 2" xfId="11470"/>
    <cellStyle name="Comma 12 6 2 2" xfId="18009"/>
    <cellStyle name="Comma 12 6 3" xfId="15157"/>
    <cellStyle name="Comma 12 7" xfId="5914"/>
    <cellStyle name="Comma 12 7 2" xfId="12041"/>
    <cellStyle name="Comma 12 7 2 2" xfId="18580"/>
    <cellStyle name="Comma 12 7 3" xfId="15728"/>
    <cellStyle name="Comma 12 8" xfId="8186"/>
    <cellStyle name="Comma 12 8 2" xfId="12612"/>
    <cellStyle name="Comma 12 8 2 2" xfId="19151"/>
    <cellStyle name="Comma 12 8 3" xfId="16299"/>
    <cellStyle name="Comma 12 9" xfId="2939"/>
    <cellStyle name="Comma 12 9 2" xfId="10898"/>
    <cellStyle name="Comma 12 9 2 2" xfId="17437"/>
    <cellStyle name="Comma 12 9 3" xfId="14585"/>
    <cellStyle name="Comma 13" xfId="39"/>
    <cellStyle name="Comma 13 10" xfId="19800"/>
    <cellStyle name="Comma 13 11" xfId="20191"/>
    <cellStyle name="Comma 13 2" xfId="5744"/>
    <cellStyle name="Comma 13 2 2" xfId="11998"/>
    <cellStyle name="Comma 13 2 2 2" xfId="18537"/>
    <cellStyle name="Comma 13 2 3" xfId="15685"/>
    <cellStyle name="Comma 13 2 4" xfId="20270"/>
    <cellStyle name="Comma 13 3" xfId="8016"/>
    <cellStyle name="Comma 13 3 2" xfId="12569"/>
    <cellStyle name="Comma 13 3 2 2" xfId="19108"/>
    <cellStyle name="Comma 13 3 3" xfId="16256"/>
    <cellStyle name="Comma 13 3 4" xfId="20343"/>
    <cellStyle name="Comma 13 4" xfId="10288"/>
    <cellStyle name="Comma 13 4 2" xfId="13140"/>
    <cellStyle name="Comma 13 4 2 2" xfId="19679"/>
    <cellStyle name="Comma 13 4 3" xfId="16827"/>
    <cellStyle name="Comma 13 5" xfId="3471"/>
    <cellStyle name="Comma 13 5 2" xfId="11427"/>
    <cellStyle name="Comma 13 5 2 2" xfId="17966"/>
    <cellStyle name="Comma 13 5 3" xfId="15114"/>
    <cellStyle name="Comma 13 6" xfId="2328"/>
    <cellStyle name="Comma 13 6 2" xfId="13976"/>
    <cellStyle name="Comma 13 7" xfId="10289"/>
    <cellStyle name="Comma 13 7 2" xfId="16828"/>
    <cellStyle name="Comma 13 8" xfId="13196"/>
    <cellStyle name="Comma 13 8 2" xfId="19705"/>
    <cellStyle name="Comma 13 9" xfId="13400"/>
    <cellStyle name="Comma 14" xfId="2892"/>
    <cellStyle name="Comma 14 2" xfId="10853"/>
    <cellStyle name="Comma 14 2 2" xfId="17392"/>
    <cellStyle name="Comma 14 2 3" xfId="20272"/>
    <cellStyle name="Comma 14 3" xfId="13197"/>
    <cellStyle name="Comma 14 3 2" xfId="19706"/>
    <cellStyle name="Comma 14 3 3" xfId="20345"/>
    <cellStyle name="Comma 14 4" xfId="14540"/>
    <cellStyle name="Comma 14 5" xfId="19801"/>
    <cellStyle name="Comma 14 6" xfId="20193"/>
    <cellStyle name="Comma 15" xfId="13153"/>
    <cellStyle name="Comma 15 2" xfId="13198"/>
    <cellStyle name="Comma 15 2 2" xfId="19707"/>
    <cellStyle name="Comma 15 2 3" xfId="20201"/>
    <cellStyle name="Comma 15 3" xfId="19682"/>
    <cellStyle name="Comma 15 3 2" xfId="20346"/>
    <cellStyle name="Comma 15 4" xfId="19802"/>
    <cellStyle name="Comma 15 5" xfId="20195"/>
    <cellStyle name="Comma 16" xfId="13154"/>
    <cellStyle name="Comma 16 2" xfId="13199"/>
    <cellStyle name="Comma 16 2 2" xfId="19708"/>
    <cellStyle name="Comma 16 2 3" xfId="20347"/>
    <cellStyle name="Comma 16 3" xfId="19683"/>
    <cellStyle name="Comma 16 4" xfId="19803"/>
    <cellStyle name="Comma 16 5" xfId="20196"/>
    <cellStyle name="Comma 17" xfId="13180"/>
    <cellStyle name="Comma 17 2" xfId="13200"/>
    <cellStyle name="Comma 17 2 2" xfId="19709"/>
    <cellStyle name="Comma 17 2 3" xfId="20348"/>
    <cellStyle name="Comma 17 3" xfId="19691"/>
    <cellStyle name="Comma 17 4" xfId="19804"/>
    <cellStyle name="Comma 17 5" xfId="20197"/>
    <cellStyle name="Comma 18" xfId="13201"/>
    <cellStyle name="Comma 18 2" xfId="19710"/>
    <cellStyle name="Comma 18 2 2" xfId="20349"/>
    <cellStyle name="Comma 18 3" xfId="19805"/>
    <cellStyle name="Comma 18 4" xfId="20198"/>
    <cellStyle name="Comma 19" xfId="13202"/>
    <cellStyle name="Comma 19 2" xfId="19711"/>
    <cellStyle name="Comma 19 3" xfId="19806"/>
    <cellStyle name="Comma 19 4" xfId="20274"/>
    <cellStyle name="Comma 2" xfId="3"/>
    <cellStyle name="Comma 2 10" xfId="13203"/>
    <cellStyle name="Comma 2 10 2" xfId="19712"/>
    <cellStyle name="Comma 2 10 2 2" xfId="20211"/>
    <cellStyle name="Comma 2 10 3" xfId="20284"/>
    <cellStyle name="Comma 2 10 4" xfId="20037"/>
    <cellStyle name="Comma 2 11" xfId="13399"/>
    <cellStyle name="Comma 2 11 2" xfId="20033"/>
    <cellStyle name="Comma 2 12" xfId="19778"/>
    <cellStyle name="Comma 2 12 2" xfId="20222"/>
    <cellStyle name="Comma 2 12 3" xfId="20295"/>
    <cellStyle name="Comma 2 12 4" xfId="20054"/>
    <cellStyle name="Comma 2 13" xfId="19785"/>
    <cellStyle name="Comma 2 13 2" xfId="20271"/>
    <cellStyle name="Comma 2 13 3" xfId="20344"/>
    <cellStyle name="Comma 2 13 4" xfId="20192"/>
    <cellStyle name="Comma 2 14" xfId="19791"/>
    <cellStyle name="Comma 2 14 2" xfId="20199"/>
    <cellStyle name="Comma 2 15" xfId="19807"/>
    <cellStyle name="Comma 2 15 2" xfId="20273"/>
    <cellStyle name="Comma 2 16" xfId="19871"/>
    <cellStyle name="Comma 2 2" xfId="41"/>
    <cellStyle name="Comma 2 2 2" xfId="2894"/>
    <cellStyle name="Comma 2 2 2 2" xfId="14541"/>
    <cellStyle name="Comma 2 2 2 2 2" xfId="20043"/>
    <cellStyle name="Comma 2 2 2 3" xfId="20040"/>
    <cellStyle name="Comma 2 2 2 4" xfId="20036"/>
    <cellStyle name="Comma 2 2 2 5" xfId="20047"/>
    <cellStyle name="Comma 2 2 2 6" xfId="20203"/>
    <cellStyle name="Comma 2 2 2 7" xfId="20276"/>
    <cellStyle name="Comma 2 2 2 8" xfId="19879"/>
    <cellStyle name="Comma 2 2 3" xfId="10854"/>
    <cellStyle name="Comma 2 2 3 2" xfId="17393"/>
    <cellStyle name="Comma 2 2 3 3" xfId="20053"/>
    <cellStyle name="Comma 2 2 4" xfId="13177"/>
    <cellStyle name="Comma 2 2 4 2" xfId="19688"/>
    <cellStyle name="Comma 2 2 4 3" xfId="20050"/>
    <cellStyle name="Comma 2 2 5" xfId="13204"/>
    <cellStyle name="Comma 2 2 5 2" xfId="19713"/>
    <cellStyle name="Comma 2 2 5 2 2" xfId="20217"/>
    <cellStyle name="Comma 2 2 5 3" xfId="20290"/>
    <cellStyle name="Comma 2 2 5 4" xfId="20046"/>
    <cellStyle name="Comma 2 2 6" xfId="13401"/>
    <cellStyle name="Comma 2 2 6 2" xfId="20214"/>
    <cellStyle name="Comma 2 2 6 3" xfId="20287"/>
    <cellStyle name="Comma 2 2 6 4" xfId="20042"/>
    <cellStyle name="Comma 2 2 7" xfId="19780"/>
    <cellStyle name="Comma 2 2 7 2" xfId="20200"/>
    <cellStyle name="Comma 2 2 8" xfId="19808"/>
    <cellStyle name="Comma 2 2 9" xfId="19872"/>
    <cellStyle name="Comma 2 3" xfId="2323"/>
    <cellStyle name="Comma 2 3 2" xfId="13179"/>
    <cellStyle name="Comma 2 3 2 2" xfId="19690"/>
    <cellStyle name="Comma 2 3 2 2 2" xfId="20213"/>
    <cellStyle name="Comma 2 3 2 3" xfId="20286"/>
    <cellStyle name="Comma 2 3 2 4" xfId="20039"/>
    <cellStyle name="Comma 2 3 3" xfId="13974"/>
    <cellStyle name="Comma 2 3 3 2" xfId="20206"/>
    <cellStyle name="Comma 2 3 4" xfId="19782"/>
    <cellStyle name="Comma 2 3 4 2" xfId="20279"/>
    <cellStyle name="Comma 2 3 5" xfId="19884"/>
    <cellStyle name="Comma 2 4" xfId="2329"/>
    <cellStyle name="Comma 2 4 2" xfId="13977"/>
    <cellStyle name="Comma 2 4 2 2" xfId="20210"/>
    <cellStyle name="Comma 2 4 2 3" xfId="20283"/>
    <cellStyle name="Comma 2 4 2 4" xfId="20035"/>
    <cellStyle name="Comma 2 4 3" xfId="20223"/>
    <cellStyle name="Comma 2 4 4" xfId="20296"/>
    <cellStyle name="Comma 2 4 5" xfId="20055"/>
    <cellStyle name="Comma 2 5" xfId="10290"/>
    <cellStyle name="Comma 2 5 2" xfId="16829"/>
    <cellStyle name="Comma 2 5 2 2" xfId="20221"/>
    <cellStyle name="Comma 2 5 2 3" xfId="20294"/>
    <cellStyle name="Comma 2 5 2 4" xfId="20052"/>
    <cellStyle name="Comma 2 5 3" xfId="20205"/>
    <cellStyle name="Comma 2 5 4" xfId="20278"/>
    <cellStyle name="Comma 2 5 5" xfId="19883"/>
    <cellStyle name="Comma 2 6" xfId="13141"/>
    <cellStyle name="Comma 2 6 2" xfId="19680"/>
    <cellStyle name="Comma 2 6 2 2" xfId="20219"/>
    <cellStyle name="Comma 2 6 3" xfId="20292"/>
    <cellStyle name="Comma 2 6 4" xfId="20049"/>
    <cellStyle name="Comma 2 7" xfId="13170"/>
    <cellStyle name="Comma 2 7 2" xfId="19686"/>
    <cellStyle name="Comma 2 7 2 2" xfId="20216"/>
    <cellStyle name="Comma 2 7 3" xfId="20289"/>
    <cellStyle name="Comma 2 7 4" xfId="20045"/>
    <cellStyle name="Comma 2 8" xfId="13181"/>
    <cellStyle name="Comma 2 8 2" xfId="19692"/>
    <cellStyle name="Comma 2 8 3" xfId="20041"/>
    <cellStyle name="Comma 2 9" xfId="13183"/>
    <cellStyle name="Comma 2 9 2" xfId="19694"/>
    <cellStyle name="Comma 2 9 2 2" xfId="20212"/>
    <cellStyle name="Comma 2 9 3" xfId="20285"/>
    <cellStyle name="Comma 2 9 4" xfId="20038"/>
    <cellStyle name="Comma 20" xfId="13205"/>
    <cellStyle name="Comma 20 2" xfId="19714"/>
    <cellStyle name="Comma 20 3" xfId="19809"/>
    <cellStyle name="Comma 20 4" xfId="20350"/>
    <cellStyle name="Comma 21" xfId="13206"/>
    <cellStyle name="Comma 21 2" xfId="19715"/>
    <cellStyle name="Comma 21 3" xfId="19810"/>
    <cellStyle name="Comma 21 4" xfId="19873"/>
    <cellStyle name="Comma 22" xfId="13207"/>
    <cellStyle name="Comma 22 2" xfId="19716"/>
    <cellStyle name="Comma 22 3" xfId="19811"/>
    <cellStyle name="Comma 23" xfId="13208"/>
    <cellStyle name="Comma 23 2" xfId="19717"/>
    <cellStyle name="Comma 23 2 2" xfId="20204"/>
    <cellStyle name="Comma 23 3" xfId="19812"/>
    <cellStyle name="Comma 23 3 2" xfId="20277"/>
    <cellStyle name="Comma 23 4" xfId="19882"/>
    <cellStyle name="Comma 24" xfId="13209"/>
    <cellStyle name="Comma 24 2" xfId="19718"/>
    <cellStyle name="Comma 24 3" xfId="19813"/>
    <cellStyle name="Comma 25" xfId="13210"/>
    <cellStyle name="Comma 25 2" xfId="19719"/>
    <cellStyle name="Comma 25 3" xfId="19814"/>
    <cellStyle name="Comma 26" xfId="13211"/>
    <cellStyle name="Comma 26 2" xfId="19720"/>
    <cellStyle name="Comma 26 3" xfId="19815"/>
    <cellStyle name="Comma 27" xfId="13212"/>
    <cellStyle name="Comma 27 2" xfId="19721"/>
    <cellStyle name="Comma 27 3" xfId="19816"/>
    <cellStyle name="Comma 28" xfId="13213"/>
    <cellStyle name="Comma 28 2" xfId="19722"/>
    <cellStyle name="Comma 28 3" xfId="19817"/>
    <cellStyle name="Comma 29" xfId="13214"/>
    <cellStyle name="Comma 29 2" xfId="19723"/>
    <cellStyle name="Comma 29 3" xfId="19818"/>
    <cellStyle name="Comma 3" xfId="54"/>
    <cellStyle name="Comma 3 10" xfId="3488"/>
    <cellStyle name="Comma 3 10 2" xfId="11428"/>
    <cellStyle name="Comma 3 10 2 2" xfId="17967"/>
    <cellStyle name="Comma 3 10 2 3" xfId="20224"/>
    <cellStyle name="Comma 3 10 3" xfId="15115"/>
    <cellStyle name="Comma 3 10 3 2" xfId="20297"/>
    <cellStyle name="Comma 3 10 4" xfId="20057"/>
    <cellStyle name="Comma 3 11" xfId="5760"/>
    <cellStyle name="Comma 3 11 2" xfId="11999"/>
    <cellStyle name="Comma 3 11 2 2" xfId="18538"/>
    <cellStyle name="Comma 3 11 2 3" xfId="20225"/>
    <cellStyle name="Comma 3 11 3" xfId="15686"/>
    <cellStyle name="Comma 3 11 3 2" xfId="20298"/>
    <cellStyle name="Comma 3 11 4" xfId="20058"/>
    <cellStyle name="Comma 3 12" xfId="8032"/>
    <cellStyle name="Comma 3 12 2" xfId="12570"/>
    <cellStyle name="Comma 3 12 2 2" xfId="19109"/>
    <cellStyle name="Comma 3 12 2 3" xfId="20226"/>
    <cellStyle name="Comma 3 12 3" xfId="16257"/>
    <cellStyle name="Comma 3 12 3 2" xfId="20299"/>
    <cellStyle name="Comma 3 12 4" xfId="20059"/>
    <cellStyle name="Comma 3 13" xfId="2895"/>
    <cellStyle name="Comma 3 13 2" xfId="10855"/>
    <cellStyle name="Comma 3 13 2 2" xfId="17394"/>
    <cellStyle name="Comma 3 13 2 3" xfId="20227"/>
    <cellStyle name="Comma 3 13 3" xfId="14542"/>
    <cellStyle name="Comma 3 13 3 2" xfId="20300"/>
    <cellStyle name="Comma 3 13 4" xfId="20060"/>
    <cellStyle name="Comma 3 14" xfId="2330"/>
    <cellStyle name="Comma 3 14 2" xfId="13978"/>
    <cellStyle name="Comma 3 14 2 2" xfId="20228"/>
    <cellStyle name="Comma 3 14 3" xfId="20301"/>
    <cellStyle name="Comma 3 14 4" xfId="20061"/>
    <cellStyle name="Comma 3 15" xfId="10291"/>
    <cellStyle name="Comma 3 15 2" xfId="16830"/>
    <cellStyle name="Comma 3 15 2 2" xfId="20229"/>
    <cellStyle name="Comma 3 15 3" xfId="20302"/>
    <cellStyle name="Comma 3 15 4" xfId="20062"/>
    <cellStyle name="Comma 3 16" xfId="13169"/>
    <cellStyle name="Comma 3 16 2" xfId="19685"/>
    <cellStyle name="Comma 3 16 2 2" xfId="20209"/>
    <cellStyle name="Comma 3 16 3" xfId="20282"/>
    <cellStyle name="Comma 3 16 4" xfId="20034"/>
    <cellStyle name="Comma 3 17" xfId="13215"/>
    <cellStyle name="Comma 3 17 2" xfId="19724"/>
    <cellStyle name="Comma 3 17 3" xfId="20207"/>
    <cellStyle name="Comma 3 18" xfId="13402"/>
    <cellStyle name="Comma 3 18 2" xfId="20280"/>
    <cellStyle name="Comma 3 19" xfId="19777"/>
    <cellStyle name="Comma 3 2" xfId="4"/>
    <cellStyle name="Comma 3 2 10" xfId="5788"/>
    <cellStyle name="Comma 3 2 10 2" xfId="12006"/>
    <cellStyle name="Comma 3 2 10 2 2" xfId="18545"/>
    <cellStyle name="Comma 3 2 10 3" xfId="15693"/>
    <cellStyle name="Comma 3 2 11" xfId="8060"/>
    <cellStyle name="Comma 3 2 11 2" xfId="12577"/>
    <cellStyle name="Comma 3 2 11 2 2" xfId="19116"/>
    <cellStyle name="Comma 3 2 11 3" xfId="16264"/>
    <cellStyle name="Comma 3 2 12" xfId="2904"/>
    <cellStyle name="Comma 3 2 12 2" xfId="10863"/>
    <cellStyle name="Comma 3 2 12 2 2" xfId="17402"/>
    <cellStyle name="Comma 3 2 12 3" xfId="14550"/>
    <cellStyle name="Comma 3 2 13" xfId="2338"/>
    <cellStyle name="Comma 3 2 13 2" xfId="13986"/>
    <cellStyle name="Comma 3 2 14" xfId="10299"/>
    <cellStyle name="Comma 3 2 14 2" xfId="16838"/>
    <cellStyle name="Comma 3 2 15" xfId="13216"/>
    <cellStyle name="Comma 3 2 15 2" xfId="19725"/>
    <cellStyle name="Comma 3 2 16" xfId="19820"/>
    <cellStyle name="Comma 3 2 17" xfId="20063"/>
    <cellStyle name="Comma 3 2 2" xfId="197"/>
    <cellStyle name="Comma 3 2 2 10" xfId="2366"/>
    <cellStyle name="Comma 3 2 2 10 2" xfId="14014"/>
    <cellStyle name="Comma 3 2 2 11" xfId="10327"/>
    <cellStyle name="Comma 3 2 2 11 2" xfId="16866"/>
    <cellStyle name="Comma 3 2 2 12" xfId="13142"/>
    <cellStyle name="Comma 3 2 2 12 2" xfId="19681"/>
    <cellStyle name="Comma 3 2 2 13" xfId="13182"/>
    <cellStyle name="Comma 3 2 2 13 2" xfId="19693"/>
    <cellStyle name="Comma 3 2 2 14" xfId="13184"/>
    <cellStyle name="Comma 3 2 2 14 2" xfId="19695"/>
    <cellStyle name="Comma 3 2 2 15" xfId="13438"/>
    <cellStyle name="Comma 3 2 2 16" xfId="20064"/>
    <cellStyle name="Comma 3 2 2 2" xfId="435"/>
    <cellStyle name="Comma 3 2 2 2 10" xfId="13496"/>
    <cellStyle name="Comma 3 2 2 2 11" xfId="20065"/>
    <cellStyle name="Comma 3 2 2 2 2" xfId="889"/>
    <cellStyle name="Comma 3 2 2 2 2 2" xfId="2024"/>
    <cellStyle name="Comma 3 2 2 2 2 2 2" xfId="5444"/>
    <cellStyle name="Comma 3 2 2 2 2 2 2 2" xfId="11919"/>
    <cellStyle name="Comma 3 2 2 2 2 2 2 2 2" xfId="18458"/>
    <cellStyle name="Comma 3 2 2 2 2 2 2 3" xfId="15606"/>
    <cellStyle name="Comma 3 2 2 2 2 2 3" xfId="7716"/>
    <cellStyle name="Comma 3 2 2 2 2 2 3 2" xfId="12490"/>
    <cellStyle name="Comma 3 2 2 2 2 2 3 2 2" xfId="19029"/>
    <cellStyle name="Comma 3 2 2 2 2 2 3 3" xfId="16177"/>
    <cellStyle name="Comma 3 2 2 2 2 2 4" xfId="9988"/>
    <cellStyle name="Comma 3 2 2 2 2 2 4 2" xfId="13061"/>
    <cellStyle name="Comma 3 2 2 2 2 2 4 2 2" xfId="19600"/>
    <cellStyle name="Comma 3 2 2 2 2 2 4 3" xfId="16748"/>
    <cellStyle name="Comma 3 2 2 2 2 2 5" xfId="3391"/>
    <cellStyle name="Comma 3 2 2 2 2 2 5 2" xfId="11348"/>
    <cellStyle name="Comma 3 2 2 2 2 2 5 2 2" xfId="17887"/>
    <cellStyle name="Comma 3 2 2 2 2 2 5 3" xfId="15035"/>
    <cellStyle name="Comma 3 2 2 2 2 2 6" xfId="2815"/>
    <cellStyle name="Comma 3 2 2 2 2 2 6 2" xfId="14463"/>
    <cellStyle name="Comma 3 2 2 2 2 2 7" xfId="10776"/>
    <cellStyle name="Comma 3 2 2 2 2 2 7 2" xfId="17315"/>
    <cellStyle name="Comma 3 2 2 2 2 2 8" xfId="13895"/>
    <cellStyle name="Comma 3 2 2 2 2 3" xfId="4309"/>
    <cellStyle name="Comma 3 2 2 2 2 3 2" xfId="11634"/>
    <cellStyle name="Comma 3 2 2 2 2 3 2 2" xfId="18173"/>
    <cellStyle name="Comma 3 2 2 2 2 3 3" xfId="15321"/>
    <cellStyle name="Comma 3 2 2 2 2 4" xfId="6581"/>
    <cellStyle name="Comma 3 2 2 2 2 4 2" xfId="12205"/>
    <cellStyle name="Comma 3 2 2 2 2 4 2 2" xfId="18744"/>
    <cellStyle name="Comma 3 2 2 2 2 4 3" xfId="15892"/>
    <cellStyle name="Comma 3 2 2 2 2 5" xfId="8853"/>
    <cellStyle name="Comma 3 2 2 2 2 5 2" xfId="12776"/>
    <cellStyle name="Comma 3 2 2 2 2 5 2 2" xfId="19315"/>
    <cellStyle name="Comma 3 2 2 2 2 5 3" xfId="16463"/>
    <cellStyle name="Comma 3 2 2 2 2 6" xfId="3106"/>
    <cellStyle name="Comma 3 2 2 2 2 6 2" xfId="11063"/>
    <cellStyle name="Comma 3 2 2 2 2 6 2 2" xfId="17602"/>
    <cellStyle name="Comma 3 2 2 2 2 6 3" xfId="14750"/>
    <cellStyle name="Comma 3 2 2 2 2 7" xfId="2535"/>
    <cellStyle name="Comma 3 2 2 2 2 7 2" xfId="14183"/>
    <cellStyle name="Comma 3 2 2 2 2 8" xfId="10496"/>
    <cellStyle name="Comma 3 2 2 2 2 8 2" xfId="17035"/>
    <cellStyle name="Comma 3 2 2 2 2 9" xfId="13610"/>
    <cellStyle name="Comma 3 2 2 2 3" xfId="1570"/>
    <cellStyle name="Comma 3 2 2 2 3 2" xfId="4990"/>
    <cellStyle name="Comma 3 2 2 2 3 2 2" xfId="11805"/>
    <cellStyle name="Comma 3 2 2 2 3 2 2 2" xfId="18344"/>
    <cellStyle name="Comma 3 2 2 2 3 2 3" xfId="15492"/>
    <cellStyle name="Comma 3 2 2 2 3 3" xfId="7262"/>
    <cellStyle name="Comma 3 2 2 2 3 3 2" xfId="12376"/>
    <cellStyle name="Comma 3 2 2 2 3 3 2 2" xfId="18915"/>
    <cellStyle name="Comma 3 2 2 2 3 3 3" xfId="16063"/>
    <cellStyle name="Comma 3 2 2 2 3 4" xfId="9534"/>
    <cellStyle name="Comma 3 2 2 2 3 4 2" xfId="12947"/>
    <cellStyle name="Comma 3 2 2 2 3 4 2 2" xfId="19486"/>
    <cellStyle name="Comma 3 2 2 2 3 4 3" xfId="16634"/>
    <cellStyle name="Comma 3 2 2 2 3 5" xfId="3277"/>
    <cellStyle name="Comma 3 2 2 2 3 5 2" xfId="11234"/>
    <cellStyle name="Comma 3 2 2 2 3 5 2 2" xfId="17773"/>
    <cellStyle name="Comma 3 2 2 2 3 5 3" xfId="14921"/>
    <cellStyle name="Comma 3 2 2 2 3 6" xfId="2703"/>
    <cellStyle name="Comma 3 2 2 2 3 6 2" xfId="14351"/>
    <cellStyle name="Comma 3 2 2 2 3 7" xfId="10664"/>
    <cellStyle name="Comma 3 2 2 2 3 7 2" xfId="17203"/>
    <cellStyle name="Comma 3 2 2 2 3 8" xfId="13781"/>
    <cellStyle name="Comma 3 2 2 2 4" xfId="3855"/>
    <cellStyle name="Comma 3 2 2 2 4 2" xfId="11520"/>
    <cellStyle name="Comma 3 2 2 2 4 2 2" xfId="18059"/>
    <cellStyle name="Comma 3 2 2 2 4 3" xfId="15207"/>
    <cellStyle name="Comma 3 2 2 2 5" xfId="6127"/>
    <cellStyle name="Comma 3 2 2 2 5 2" xfId="12091"/>
    <cellStyle name="Comma 3 2 2 2 5 2 2" xfId="18630"/>
    <cellStyle name="Comma 3 2 2 2 5 3" xfId="15778"/>
    <cellStyle name="Comma 3 2 2 2 6" xfId="8399"/>
    <cellStyle name="Comma 3 2 2 2 6 2" xfId="12662"/>
    <cellStyle name="Comma 3 2 2 2 6 2 2" xfId="19201"/>
    <cellStyle name="Comma 3 2 2 2 6 3" xfId="16349"/>
    <cellStyle name="Comma 3 2 2 2 7" xfId="2992"/>
    <cellStyle name="Comma 3 2 2 2 7 2" xfId="10949"/>
    <cellStyle name="Comma 3 2 2 2 7 2 2" xfId="17488"/>
    <cellStyle name="Comma 3 2 2 2 7 3" xfId="14636"/>
    <cellStyle name="Comma 3 2 2 2 8" xfId="2423"/>
    <cellStyle name="Comma 3 2 2 2 8 2" xfId="14071"/>
    <cellStyle name="Comma 3 2 2 2 9" xfId="10384"/>
    <cellStyle name="Comma 3 2 2 2 9 2" xfId="16923"/>
    <cellStyle name="Comma 3 2 2 3" xfId="1116"/>
    <cellStyle name="Comma 3 2 2 3 10" xfId="20066"/>
    <cellStyle name="Comma 3 2 2 3 2" xfId="2251"/>
    <cellStyle name="Comma 3 2 2 3 2 2" xfId="5671"/>
    <cellStyle name="Comma 3 2 2 3 2 2 2" xfId="11976"/>
    <cellStyle name="Comma 3 2 2 3 2 2 2 2" xfId="18515"/>
    <cellStyle name="Comma 3 2 2 3 2 2 3" xfId="15663"/>
    <cellStyle name="Comma 3 2 2 3 2 3" xfId="7943"/>
    <cellStyle name="Comma 3 2 2 3 2 3 2" xfId="12547"/>
    <cellStyle name="Comma 3 2 2 3 2 3 2 2" xfId="19086"/>
    <cellStyle name="Comma 3 2 2 3 2 3 3" xfId="16234"/>
    <cellStyle name="Comma 3 2 2 3 2 4" xfId="10215"/>
    <cellStyle name="Comma 3 2 2 3 2 4 2" xfId="13118"/>
    <cellStyle name="Comma 3 2 2 3 2 4 2 2" xfId="19657"/>
    <cellStyle name="Comma 3 2 2 3 2 4 3" xfId="16805"/>
    <cellStyle name="Comma 3 2 2 3 2 5" xfId="3448"/>
    <cellStyle name="Comma 3 2 2 3 2 5 2" xfId="11405"/>
    <cellStyle name="Comma 3 2 2 3 2 5 2 2" xfId="17944"/>
    <cellStyle name="Comma 3 2 2 3 2 5 3" xfId="15092"/>
    <cellStyle name="Comma 3 2 2 3 2 6" xfId="2871"/>
    <cellStyle name="Comma 3 2 2 3 2 6 2" xfId="14519"/>
    <cellStyle name="Comma 3 2 2 3 2 7" xfId="10832"/>
    <cellStyle name="Comma 3 2 2 3 2 7 2" xfId="17371"/>
    <cellStyle name="Comma 3 2 2 3 2 8" xfId="13952"/>
    <cellStyle name="Comma 3 2 2 3 3" xfId="4536"/>
    <cellStyle name="Comma 3 2 2 3 3 2" xfId="11691"/>
    <cellStyle name="Comma 3 2 2 3 3 2 2" xfId="18230"/>
    <cellStyle name="Comma 3 2 2 3 3 3" xfId="15378"/>
    <cellStyle name="Comma 3 2 2 3 4" xfId="6808"/>
    <cellStyle name="Comma 3 2 2 3 4 2" xfId="12262"/>
    <cellStyle name="Comma 3 2 2 3 4 2 2" xfId="18801"/>
    <cellStyle name="Comma 3 2 2 3 4 3" xfId="15949"/>
    <cellStyle name="Comma 3 2 2 3 5" xfId="9080"/>
    <cellStyle name="Comma 3 2 2 3 5 2" xfId="12833"/>
    <cellStyle name="Comma 3 2 2 3 5 2 2" xfId="19372"/>
    <cellStyle name="Comma 3 2 2 3 5 3" xfId="16520"/>
    <cellStyle name="Comma 3 2 2 3 6" xfId="3163"/>
    <cellStyle name="Comma 3 2 2 3 6 2" xfId="11120"/>
    <cellStyle name="Comma 3 2 2 3 6 2 2" xfId="17659"/>
    <cellStyle name="Comma 3 2 2 3 6 3" xfId="14807"/>
    <cellStyle name="Comma 3 2 2 3 7" xfId="2591"/>
    <cellStyle name="Comma 3 2 2 3 7 2" xfId="14239"/>
    <cellStyle name="Comma 3 2 2 3 8" xfId="10552"/>
    <cellStyle name="Comma 3 2 2 3 8 2" xfId="17091"/>
    <cellStyle name="Comma 3 2 2 3 9" xfId="13667"/>
    <cellStyle name="Comma 3 2 2 4" xfId="662"/>
    <cellStyle name="Comma 3 2 2 4 2" xfId="1797"/>
    <cellStyle name="Comma 3 2 2 4 2 2" xfId="5217"/>
    <cellStyle name="Comma 3 2 2 4 2 2 2" xfId="11862"/>
    <cellStyle name="Comma 3 2 2 4 2 2 2 2" xfId="18401"/>
    <cellStyle name="Comma 3 2 2 4 2 2 3" xfId="15549"/>
    <cellStyle name="Comma 3 2 2 4 2 3" xfId="7489"/>
    <cellStyle name="Comma 3 2 2 4 2 3 2" xfId="12433"/>
    <cellStyle name="Comma 3 2 2 4 2 3 2 2" xfId="18972"/>
    <cellStyle name="Comma 3 2 2 4 2 3 3" xfId="16120"/>
    <cellStyle name="Comma 3 2 2 4 2 4" xfId="9761"/>
    <cellStyle name="Comma 3 2 2 4 2 4 2" xfId="13004"/>
    <cellStyle name="Comma 3 2 2 4 2 4 2 2" xfId="19543"/>
    <cellStyle name="Comma 3 2 2 4 2 4 3" xfId="16691"/>
    <cellStyle name="Comma 3 2 2 4 2 5" xfId="3334"/>
    <cellStyle name="Comma 3 2 2 4 2 5 2" xfId="11291"/>
    <cellStyle name="Comma 3 2 2 4 2 5 2 2" xfId="17830"/>
    <cellStyle name="Comma 3 2 2 4 2 5 3" xfId="14978"/>
    <cellStyle name="Comma 3 2 2 4 2 6" xfId="2759"/>
    <cellStyle name="Comma 3 2 2 4 2 6 2" xfId="14407"/>
    <cellStyle name="Comma 3 2 2 4 2 7" xfId="10720"/>
    <cellStyle name="Comma 3 2 2 4 2 7 2" xfId="17259"/>
    <cellStyle name="Comma 3 2 2 4 2 8" xfId="13838"/>
    <cellStyle name="Comma 3 2 2 4 3" xfId="4082"/>
    <cellStyle name="Comma 3 2 2 4 3 2" xfId="11577"/>
    <cellStyle name="Comma 3 2 2 4 3 2 2" xfId="18116"/>
    <cellStyle name="Comma 3 2 2 4 3 3" xfId="15264"/>
    <cellStyle name="Comma 3 2 2 4 4" xfId="6354"/>
    <cellStyle name="Comma 3 2 2 4 4 2" xfId="12148"/>
    <cellStyle name="Comma 3 2 2 4 4 2 2" xfId="18687"/>
    <cellStyle name="Comma 3 2 2 4 4 3" xfId="15835"/>
    <cellStyle name="Comma 3 2 2 4 5" xfId="8626"/>
    <cellStyle name="Comma 3 2 2 4 5 2" xfId="12719"/>
    <cellStyle name="Comma 3 2 2 4 5 2 2" xfId="19258"/>
    <cellStyle name="Comma 3 2 2 4 5 3" xfId="16406"/>
    <cellStyle name="Comma 3 2 2 4 6" xfId="3049"/>
    <cellStyle name="Comma 3 2 2 4 6 2" xfId="11006"/>
    <cellStyle name="Comma 3 2 2 4 6 2 2" xfId="17545"/>
    <cellStyle name="Comma 3 2 2 4 6 3" xfId="14693"/>
    <cellStyle name="Comma 3 2 2 4 7" xfId="2479"/>
    <cellStyle name="Comma 3 2 2 4 7 2" xfId="14127"/>
    <cellStyle name="Comma 3 2 2 4 8" xfId="10440"/>
    <cellStyle name="Comma 3 2 2 4 8 2" xfId="16979"/>
    <cellStyle name="Comma 3 2 2 4 9" xfId="13553"/>
    <cellStyle name="Comma 3 2 2 5" xfId="1343"/>
    <cellStyle name="Comma 3 2 2 5 2" xfId="4763"/>
    <cellStyle name="Comma 3 2 2 5 2 2" xfId="11748"/>
    <cellStyle name="Comma 3 2 2 5 2 2 2" xfId="18287"/>
    <cellStyle name="Comma 3 2 2 5 2 3" xfId="15435"/>
    <cellStyle name="Comma 3 2 2 5 3" xfId="7035"/>
    <cellStyle name="Comma 3 2 2 5 3 2" xfId="12319"/>
    <cellStyle name="Comma 3 2 2 5 3 2 2" xfId="18858"/>
    <cellStyle name="Comma 3 2 2 5 3 3" xfId="16006"/>
    <cellStyle name="Comma 3 2 2 5 4" xfId="9307"/>
    <cellStyle name="Comma 3 2 2 5 4 2" xfId="12890"/>
    <cellStyle name="Comma 3 2 2 5 4 2 2" xfId="19429"/>
    <cellStyle name="Comma 3 2 2 5 4 3" xfId="16577"/>
    <cellStyle name="Comma 3 2 2 5 5" xfId="3220"/>
    <cellStyle name="Comma 3 2 2 5 5 2" xfId="11177"/>
    <cellStyle name="Comma 3 2 2 5 5 2 2" xfId="17716"/>
    <cellStyle name="Comma 3 2 2 5 5 3" xfId="14864"/>
    <cellStyle name="Comma 3 2 2 5 6" xfId="2647"/>
    <cellStyle name="Comma 3 2 2 5 6 2" xfId="14295"/>
    <cellStyle name="Comma 3 2 2 5 7" xfId="10608"/>
    <cellStyle name="Comma 3 2 2 5 7 2" xfId="17147"/>
    <cellStyle name="Comma 3 2 2 5 8" xfId="13724"/>
    <cellStyle name="Comma 3 2 2 6" xfId="2324"/>
    <cellStyle name="Comma 3 2 2 6 2" xfId="3628"/>
    <cellStyle name="Comma 3 2 2 6 2 2" xfId="15150"/>
    <cellStyle name="Comma 3 2 2 6 3" xfId="11463"/>
    <cellStyle name="Comma 3 2 2 6 3 2" xfId="18002"/>
    <cellStyle name="Comma 3 2 2 6 4" xfId="13975"/>
    <cellStyle name="Comma 3 2 2 7" xfId="5900"/>
    <cellStyle name="Comma 3 2 2 7 2" xfId="12034"/>
    <cellStyle name="Comma 3 2 2 7 2 2" xfId="18573"/>
    <cellStyle name="Comma 3 2 2 7 3" xfId="15721"/>
    <cellStyle name="Comma 3 2 2 8" xfId="8172"/>
    <cellStyle name="Comma 3 2 2 8 2" xfId="12605"/>
    <cellStyle name="Comma 3 2 2 8 2 2" xfId="19144"/>
    <cellStyle name="Comma 3 2 2 8 3" xfId="16292"/>
    <cellStyle name="Comma 3 2 2 9" xfId="2932"/>
    <cellStyle name="Comma 3 2 2 9 2" xfId="10891"/>
    <cellStyle name="Comma 3 2 2 9 2 2" xfId="17430"/>
    <cellStyle name="Comma 3 2 2 9 3" xfId="14578"/>
    <cellStyle name="Comma 3 2 3" xfId="141"/>
    <cellStyle name="Comma 3 2 3 10" xfId="2352"/>
    <cellStyle name="Comma 3 2 3 10 2" xfId="14000"/>
    <cellStyle name="Comma 3 2 3 11" xfId="10313"/>
    <cellStyle name="Comma 3 2 3 11 2" xfId="16852"/>
    <cellStyle name="Comma 3 2 3 12" xfId="13424"/>
    <cellStyle name="Comma 3 2 3 13" xfId="20067"/>
    <cellStyle name="Comma 3 2 3 2" xfId="379"/>
    <cellStyle name="Comma 3 2 3 2 10" xfId="13482"/>
    <cellStyle name="Comma 3 2 3 2 11" xfId="20068"/>
    <cellStyle name="Comma 3 2 3 2 2" xfId="833"/>
    <cellStyle name="Comma 3 2 3 2 2 10" xfId="20232"/>
    <cellStyle name="Comma 3 2 3 2 2 2" xfId="1968"/>
    <cellStyle name="Comma 3 2 3 2 2 2 2" xfId="5388"/>
    <cellStyle name="Comma 3 2 3 2 2 2 2 2" xfId="11905"/>
    <cellStyle name="Comma 3 2 3 2 2 2 2 2 2" xfId="18444"/>
    <cellStyle name="Comma 3 2 3 2 2 2 2 3" xfId="15592"/>
    <cellStyle name="Comma 3 2 3 2 2 2 3" xfId="7660"/>
    <cellStyle name="Comma 3 2 3 2 2 2 3 2" xfId="12476"/>
    <cellStyle name="Comma 3 2 3 2 2 2 3 2 2" xfId="19015"/>
    <cellStyle name="Comma 3 2 3 2 2 2 3 3" xfId="16163"/>
    <cellStyle name="Comma 3 2 3 2 2 2 4" xfId="9932"/>
    <cellStyle name="Comma 3 2 3 2 2 2 4 2" xfId="13047"/>
    <cellStyle name="Comma 3 2 3 2 2 2 4 2 2" xfId="19586"/>
    <cellStyle name="Comma 3 2 3 2 2 2 4 3" xfId="16734"/>
    <cellStyle name="Comma 3 2 3 2 2 2 5" xfId="3377"/>
    <cellStyle name="Comma 3 2 3 2 2 2 5 2" xfId="11334"/>
    <cellStyle name="Comma 3 2 3 2 2 2 5 2 2" xfId="17873"/>
    <cellStyle name="Comma 3 2 3 2 2 2 5 3" xfId="15021"/>
    <cellStyle name="Comma 3 2 3 2 2 2 6" xfId="2801"/>
    <cellStyle name="Comma 3 2 3 2 2 2 6 2" xfId="14449"/>
    <cellStyle name="Comma 3 2 3 2 2 2 7" xfId="10762"/>
    <cellStyle name="Comma 3 2 3 2 2 2 7 2" xfId="17301"/>
    <cellStyle name="Comma 3 2 3 2 2 2 8" xfId="13881"/>
    <cellStyle name="Comma 3 2 3 2 2 3" xfId="4253"/>
    <cellStyle name="Comma 3 2 3 2 2 3 2" xfId="11620"/>
    <cellStyle name="Comma 3 2 3 2 2 3 2 2" xfId="18159"/>
    <cellStyle name="Comma 3 2 3 2 2 3 3" xfId="15307"/>
    <cellStyle name="Comma 3 2 3 2 2 4" xfId="6525"/>
    <cellStyle name="Comma 3 2 3 2 2 4 2" xfId="12191"/>
    <cellStyle name="Comma 3 2 3 2 2 4 2 2" xfId="18730"/>
    <cellStyle name="Comma 3 2 3 2 2 4 3" xfId="15878"/>
    <cellStyle name="Comma 3 2 3 2 2 5" xfId="8797"/>
    <cellStyle name="Comma 3 2 3 2 2 5 2" xfId="12762"/>
    <cellStyle name="Comma 3 2 3 2 2 5 2 2" xfId="19301"/>
    <cellStyle name="Comma 3 2 3 2 2 5 3" xfId="16449"/>
    <cellStyle name="Comma 3 2 3 2 2 6" xfId="3092"/>
    <cellStyle name="Comma 3 2 3 2 2 6 2" xfId="11049"/>
    <cellStyle name="Comma 3 2 3 2 2 6 2 2" xfId="17588"/>
    <cellStyle name="Comma 3 2 3 2 2 6 3" xfId="14736"/>
    <cellStyle name="Comma 3 2 3 2 2 7" xfId="2521"/>
    <cellStyle name="Comma 3 2 3 2 2 7 2" xfId="14169"/>
    <cellStyle name="Comma 3 2 3 2 2 8" xfId="10482"/>
    <cellStyle name="Comma 3 2 3 2 2 8 2" xfId="17021"/>
    <cellStyle name="Comma 3 2 3 2 2 9" xfId="13596"/>
    <cellStyle name="Comma 3 2 3 2 3" xfId="1514"/>
    <cellStyle name="Comma 3 2 3 2 3 2" xfId="4934"/>
    <cellStyle name="Comma 3 2 3 2 3 2 2" xfId="11791"/>
    <cellStyle name="Comma 3 2 3 2 3 2 2 2" xfId="18330"/>
    <cellStyle name="Comma 3 2 3 2 3 2 3" xfId="15478"/>
    <cellStyle name="Comma 3 2 3 2 3 3" xfId="7206"/>
    <cellStyle name="Comma 3 2 3 2 3 3 2" xfId="12362"/>
    <cellStyle name="Comma 3 2 3 2 3 3 2 2" xfId="18901"/>
    <cellStyle name="Comma 3 2 3 2 3 3 3" xfId="16049"/>
    <cellStyle name="Comma 3 2 3 2 3 4" xfId="9478"/>
    <cellStyle name="Comma 3 2 3 2 3 4 2" xfId="12933"/>
    <cellStyle name="Comma 3 2 3 2 3 4 2 2" xfId="19472"/>
    <cellStyle name="Comma 3 2 3 2 3 4 3" xfId="16620"/>
    <cellStyle name="Comma 3 2 3 2 3 5" xfId="3263"/>
    <cellStyle name="Comma 3 2 3 2 3 5 2" xfId="11220"/>
    <cellStyle name="Comma 3 2 3 2 3 5 2 2" xfId="17759"/>
    <cellStyle name="Comma 3 2 3 2 3 5 3" xfId="14907"/>
    <cellStyle name="Comma 3 2 3 2 3 6" xfId="2689"/>
    <cellStyle name="Comma 3 2 3 2 3 6 2" xfId="14337"/>
    <cellStyle name="Comma 3 2 3 2 3 7" xfId="10650"/>
    <cellStyle name="Comma 3 2 3 2 3 7 2" xfId="17189"/>
    <cellStyle name="Comma 3 2 3 2 3 8" xfId="13767"/>
    <cellStyle name="Comma 3 2 3 2 3 9" xfId="20305"/>
    <cellStyle name="Comma 3 2 3 2 4" xfId="3799"/>
    <cellStyle name="Comma 3 2 3 2 4 2" xfId="11506"/>
    <cellStyle name="Comma 3 2 3 2 4 2 2" xfId="18045"/>
    <cellStyle name="Comma 3 2 3 2 4 3" xfId="15193"/>
    <cellStyle name="Comma 3 2 3 2 5" xfId="6071"/>
    <cellStyle name="Comma 3 2 3 2 5 2" xfId="12077"/>
    <cellStyle name="Comma 3 2 3 2 5 2 2" xfId="18616"/>
    <cellStyle name="Comma 3 2 3 2 5 3" xfId="15764"/>
    <cellStyle name="Comma 3 2 3 2 6" xfId="8343"/>
    <cellStyle name="Comma 3 2 3 2 6 2" xfId="12648"/>
    <cellStyle name="Comma 3 2 3 2 6 2 2" xfId="19187"/>
    <cellStyle name="Comma 3 2 3 2 6 3" xfId="16335"/>
    <cellStyle name="Comma 3 2 3 2 7" xfId="2978"/>
    <cellStyle name="Comma 3 2 3 2 7 2" xfId="10935"/>
    <cellStyle name="Comma 3 2 3 2 7 2 2" xfId="17474"/>
    <cellStyle name="Comma 3 2 3 2 7 3" xfId="14622"/>
    <cellStyle name="Comma 3 2 3 2 8" xfId="2409"/>
    <cellStyle name="Comma 3 2 3 2 8 2" xfId="14057"/>
    <cellStyle name="Comma 3 2 3 2 9" xfId="10370"/>
    <cellStyle name="Comma 3 2 3 2 9 2" xfId="16909"/>
    <cellStyle name="Comma 3 2 3 3" xfId="1060"/>
    <cellStyle name="Comma 3 2 3 3 10" xfId="20069"/>
    <cellStyle name="Comma 3 2 3 3 2" xfId="2195"/>
    <cellStyle name="Comma 3 2 3 3 2 2" xfId="5615"/>
    <cellStyle name="Comma 3 2 3 3 2 2 2" xfId="11962"/>
    <cellStyle name="Comma 3 2 3 3 2 2 2 2" xfId="18501"/>
    <cellStyle name="Comma 3 2 3 3 2 2 3" xfId="15649"/>
    <cellStyle name="Comma 3 2 3 3 2 3" xfId="7887"/>
    <cellStyle name="Comma 3 2 3 3 2 3 2" xfId="12533"/>
    <cellStyle name="Comma 3 2 3 3 2 3 2 2" xfId="19072"/>
    <cellStyle name="Comma 3 2 3 3 2 3 3" xfId="16220"/>
    <cellStyle name="Comma 3 2 3 3 2 4" xfId="10159"/>
    <cellStyle name="Comma 3 2 3 3 2 4 2" xfId="13104"/>
    <cellStyle name="Comma 3 2 3 3 2 4 2 2" xfId="19643"/>
    <cellStyle name="Comma 3 2 3 3 2 4 3" xfId="16791"/>
    <cellStyle name="Comma 3 2 3 3 2 5" xfId="3434"/>
    <cellStyle name="Comma 3 2 3 3 2 5 2" xfId="11391"/>
    <cellStyle name="Comma 3 2 3 3 2 5 2 2" xfId="17930"/>
    <cellStyle name="Comma 3 2 3 3 2 5 3" xfId="15078"/>
    <cellStyle name="Comma 3 2 3 3 2 6" xfId="2857"/>
    <cellStyle name="Comma 3 2 3 3 2 6 2" xfId="14505"/>
    <cellStyle name="Comma 3 2 3 3 2 7" xfId="10818"/>
    <cellStyle name="Comma 3 2 3 3 2 7 2" xfId="17357"/>
    <cellStyle name="Comma 3 2 3 3 2 8" xfId="13938"/>
    <cellStyle name="Comma 3 2 3 3 2 9" xfId="20233"/>
    <cellStyle name="Comma 3 2 3 3 3" xfId="4480"/>
    <cellStyle name="Comma 3 2 3 3 3 2" xfId="11677"/>
    <cellStyle name="Comma 3 2 3 3 3 2 2" xfId="18216"/>
    <cellStyle name="Comma 3 2 3 3 3 3" xfId="15364"/>
    <cellStyle name="Comma 3 2 3 3 3 4" xfId="20306"/>
    <cellStyle name="Comma 3 2 3 3 4" xfId="6752"/>
    <cellStyle name="Comma 3 2 3 3 4 2" xfId="12248"/>
    <cellStyle name="Comma 3 2 3 3 4 2 2" xfId="18787"/>
    <cellStyle name="Comma 3 2 3 3 4 3" xfId="15935"/>
    <cellStyle name="Comma 3 2 3 3 5" xfId="9024"/>
    <cellStyle name="Comma 3 2 3 3 5 2" xfId="12819"/>
    <cellStyle name="Comma 3 2 3 3 5 2 2" xfId="19358"/>
    <cellStyle name="Comma 3 2 3 3 5 3" xfId="16506"/>
    <cellStyle name="Comma 3 2 3 3 6" xfId="3149"/>
    <cellStyle name="Comma 3 2 3 3 6 2" xfId="11106"/>
    <cellStyle name="Comma 3 2 3 3 6 2 2" xfId="17645"/>
    <cellStyle name="Comma 3 2 3 3 6 3" xfId="14793"/>
    <cellStyle name="Comma 3 2 3 3 7" xfId="2577"/>
    <cellStyle name="Comma 3 2 3 3 7 2" xfId="14225"/>
    <cellStyle name="Comma 3 2 3 3 8" xfId="10538"/>
    <cellStyle name="Comma 3 2 3 3 8 2" xfId="17077"/>
    <cellStyle name="Comma 3 2 3 3 9" xfId="13653"/>
    <cellStyle name="Comma 3 2 3 4" xfId="606"/>
    <cellStyle name="Comma 3 2 3 4 10" xfId="20231"/>
    <cellStyle name="Comma 3 2 3 4 2" xfId="1741"/>
    <cellStyle name="Comma 3 2 3 4 2 2" xfId="5161"/>
    <cellStyle name="Comma 3 2 3 4 2 2 2" xfId="11848"/>
    <cellStyle name="Comma 3 2 3 4 2 2 2 2" xfId="18387"/>
    <cellStyle name="Comma 3 2 3 4 2 2 3" xfId="15535"/>
    <cellStyle name="Comma 3 2 3 4 2 3" xfId="7433"/>
    <cellStyle name="Comma 3 2 3 4 2 3 2" xfId="12419"/>
    <cellStyle name="Comma 3 2 3 4 2 3 2 2" xfId="18958"/>
    <cellStyle name="Comma 3 2 3 4 2 3 3" xfId="16106"/>
    <cellStyle name="Comma 3 2 3 4 2 4" xfId="9705"/>
    <cellStyle name="Comma 3 2 3 4 2 4 2" xfId="12990"/>
    <cellStyle name="Comma 3 2 3 4 2 4 2 2" xfId="19529"/>
    <cellStyle name="Comma 3 2 3 4 2 4 3" xfId="16677"/>
    <cellStyle name="Comma 3 2 3 4 2 5" xfId="3320"/>
    <cellStyle name="Comma 3 2 3 4 2 5 2" xfId="11277"/>
    <cellStyle name="Comma 3 2 3 4 2 5 2 2" xfId="17816"/>
    <cellStyle name="Comma 3 2 3 4 2 5 3" xfId="14964"/>
    <cellStyle name="Comma 3 2 3 4 2 6" xfId="2745"/>
    <cellStyle name="Comma 3 2 3 4 2 6 2" xfId="14393"/>
    <cellStyle name="Comma 3 2 3 4 2 7" xfId="10706"/>
    <cellStyle name="Comma 3 2 3 4 2 7 2" xfId="17245"/>
    <cellStyle name="Comma 3 2 3 4 2 8" xfId="13824"/>
    <cellStyle name="Comma 3 2 3 4 3" xfId="4026"/>
    <cellStyle name="Comma 3 2 3 4 3 2" xfId="11563"/>
    <cellStyle name="Comma 3 2 3 4 3 2 2" xfId="18102"/>
    <cellStyle name="Comma 3 2 3 4 3 3" xfId="15250"/>
    <cellStyle name="Comma 3 2 3 4 4" xfId="6298"/>
    <cellStyle name="Comma 3 2 3 4 4 2" xfId="12134"/>
    <cellStyle name="Comma 3 2 3 4 4 2 2" xfId="18673"/>
    <cellStyle name="Comma 3 2 3 4 4 3" xfId="15821"/>
    <cellStyle name="Comma 3 2 3 4 5" xfId="8570"/>
    <cellStyle name="Comma 3 2 3 4 5 2" xfId="12705"/>
    <cellStyle name="Comma 3 2 3 4 5 2 2" xfId="19244"/>
    <cellStyle name="Comma 3 2 3 4 5 3" xfId="16392"/>
    <cellStyle name="Comma 3 2 3 4 6" xfId="3035"/>
    <cellStyle name="Comma 3 2 3 4 6 2" xfId="10992"/>
    <cellStyle name="Comma 3 2 3 4 6 2 2" xfId="17531"/>
    <cellStyle name="Comma 3 2 3 4 6 3" xfId="14679"/>
    <cellStyle name="Comma 3 2 3 4 7" xfId="2465"/>
    <cellStyle name="Comma 3 2 3 4 7 2" xfId="14113"/>
    <cellStyle name="Comma 3 2 3 4 8" xfId="10426"/>
    <cellStyle name="Comma 3 2 3 4 8 2" xfId="16965"/>
    <cellStyle name="Comma 3 2 3 4 9" xfId="13539"/>
    <cellStyle name="Comma 3 2 3 5" xfId="1287"/>
    <cellStyle name="Comma 3 2 3 5 2" xfId="4707"/>
    <cellStyle name="Comma 3 2 3 5 2 2" xfId="11734"/>
    <cellStyle name="Comma 3 2 3 5 2 2 2" xfId="18273"/>
    <cellStyle name="Comma 3 2 3 5 2 3" xfId="15421"/>
    <cellStyle name="Comma 3 2 3 5 3" xfId="6979"/>
    <cellStyle name="Comma 3 2 3 5 3 2" xfId="12305"/>
    <cellStyle name="Comma 3 2 3 5 3 2 2" xfId="18844"/>
    <cellStyle name="Comma 3 2 3 5 3 3" xfId="15992"/>
    <cellStyle name="Comma 3 2 3 5 4" xfId="9251"/>
    <cellStyle name="Comma 3 2 3 5 4 2" xfId="12876"/>
    <cellStyle name="Comma 3 2 3 5 4 2 2" xfId="19415"/>
    <cellStyle name="Comma 3 2 3 5 4 3" xfId="16563"/>
    <cellStyle name="Comma 3 2 3 5 5" xfId="3206"/>
    <cellStyle name="Comma 3 2 3 5 5 2" xfId="11163"/>
    <cellStyle name="Comma 3 2 3 5 5 2 2" xfId="17702"/>
    <cellStyle name="Comma 3 2 3 5 5 3" xfId="14850"/>
    <cellStyle name="Comma 3 2 3 5 6" xfId="2633"/>
    <cellStyle name="Comma 3 2 3 5 6 2" xfId="14281"/>
    <cellStyle name="Comma 3 2 3 5 7" xfId="10594"/>
    <cellStyle name="Comma 3 2 3 5 7 2" xfId="17133"/>
    <cellStyle name="Comma 3 2 3 5 8" xfId="13710"/>
    <cellStyle name="Comma 3 2 3 5 9" xfId="20304"/>
    <cellStyle name="Comma 3 2 3 6" xfId="3572"/>
    <cellStyle name="Comma 3 2 3 6 2" xfId="11449"/>
    <cellStyle name="Comma 3 2 3 6 2 2" xfId="17988"/>
    <cellStyle name="Comma 3 2 3 6 3" xfId="15136"/>
    <cellStyle name="Comma 3 2 3 7" xfId="5844"/>
    <cellStyle name="Comma 3 2 3 7 2" xfId="12020"/>
    <cellStyle name="Comma 3 2 3 7 2 2" xfId="18559"/>
    <cellStyle name="Comma 3 2 3 7 3" xfId="15707"/>
    <cellStyle name="Comma 3 2 3 8" xfId="8116"/>
    <cellStyle name="Comma 3 2 3 8 2" xfId="12591"/>
    <cellStyle name="Comma 3 2 3 8 2 2" xfId="19130"/>
    <cellStyle name="Comma 3 2 3 8 3" xfId="16278"/>
    <cellStyle name="Comma 3 2 3 9" xfId="2918"/>
    <cellStyle name="Comma 3 2 3 9 2" xfId="10877"/>
    <cellStyle name="Comma 3 2 3 9 2 2" xfId="17416"/>
    <cellStyle name="Comma 3 2 3 9 3" xfId="14564"/>
    <cellStyle name="Comma 3 2 4" xfId="267"/>
    <cellStyle name="Comma 3 2 4 10" xfId="2381"/>
    <cellStyle name="Comma 3 2 4 10 2" xfId="14029"/>
    <cellStyle name="Comma 3 2 4 11" xfId="10342"/>
    <cellStyle name="Comma 3 2 4 11 2" xfId="16881"/>
    <cellStyle name="Comma 3 2 4 12" xfId="13454"/>
    <cellStyle name="Comma 3 2 4 13" xfId="20070"/>
    <cellStyle name="Comma 3 2 4 2" xfId="494"/>
    <cellStyle name="Comma 3 2 4 2 10" xfId="13511"/>
    <cellStyle name="Comma 3 2 4 2 11" xfId="20071"/>
    <cellStyle name="Comma 3 2 4 2 2" xfId="948"/>
    <cellStyle name="Comma 3 2 4 2 2 10" xfId="20235"/>
    <cellStyle name="Comma 3 2 4 2 2 2" xfId="2083"/>
    <cellStyle name="Comma 3 2 4 2 2 2 2" xfId="5503"/>
    <cellStyle name="Comma 3 2 4 2 2 2 2 2" xfId="11934"/>
    <cellStyle name="Comma 3 2 4 2 2 2 2 2 2" xfId="18473"/>
    <cellStyle name="Comma 3 2 4 2 2 2 2 3" xfId="15621"/>
    <cellStyle name="Comma 3 2 4 2 2 2 3" xfId="7775"/>
    <cellStyle name="Comma 3 2 4 2 2 2 3 2" xfId="12505"/>
    <cellStyle name="Comma 3 2 4 2 2 2 3 2 2" xfId="19044"/>
    <cellStyle name="Comma 3 2 4 2 2 2 3 3" xfId="16192"/>
    <cellStyle name="Comma 3 2 4 2 2 2 4" xfId="10047"/>
    <cellStyle name="Comma 3 2 4 2 2 2 4 2" xfId="13076"/>
    <cellStyle name="Comma 3 2 4 2 2 2 4 2 2" xfId="19615"/>
    <cellStyle name="Comma 3 2 4 2 2 2 4 3" xfId="16763"/>
    <cellStyle name="Comma 3 2 4 2 2 2 5" xfId="3406"/>
    <cellStyle name="Comma 3 2 4 2 2 2 5 2" xfId="11363"/>
    <cellStyle name="Comma 3 2 4 2 2 2 5 2 2" xfId="17902"/>
    <cellStyle name="Comma 3 2 4 2 2 2 5 3" xfId="15050"/>
    <cellStyle name="Comma 3 2 4 2 2 2 6" xfId="2829"/>
    <cellStyle name="Comma 3 2 4 2 2 2 6 2" xfId="14477"/>
    <cellStyle name="Comma 3 2 4 2 2 2 7" xfId="10790"/>
    <cellStyle name="Comma 3 2 4 2 2 2 7 2" xfId="17329"/>
    <cellStyle name="Comma 3 2 4 2 2 2 8" xfId="13910"/>
    <cellStyle name="Comma 3 2 4 2 2 3" xfId="4368"/>
    <cellStyle name="Comma 3 2 4 2 2 3 2" xfId="11649"/>
    <cellStyle name="Comma 3 2 4 2 2 3 2 2" xfId="18188"/>
    <cellStyle name="Comma 3 2 4 2 2 3 3" xfId="15336"/>
    <cellStyle name="Comma 3 2 4 2 2 4" xfId="6640"/>
    <cellStyle name="Comma 3 2 4 2 2 4 2" xfId="12220"/>
    <cellStyle name="Comma 3 2 4 2 2 4 2 2" xfId="18759"/>
    <cellStyle name="Comma 3 2 4 2 2 4 3" xfId="15907"/>
    <cellStyle name="Comma 3 2 4 2 2 5" xfId="8912"/>
    <cellStyle name="Comma 3 2 4 2 2 5 2" xfId="12791"/>
    <cellStyle name="Comma 3 2 4 2 2 5 2 2" xfId="19330"/>
    <cellStyle name="Comma 3 2 4 2 2 5 3" xfId="16478"/>
    <cellStyle name="Comma 3 2 4 2 2 6" xfId="3121"/>
    <cellStyle name="Comma 3 2 4 2 2 6 2" xfId="11078"/>
    <cellStyle name="Comma 3 2 4 2 2 6 2 2" xfId="17617"/>
    <cellStyle name="Comma 3 2 4 2 2 6 3" xfId="14765"/>
    <cellStyle name="Comma 3 2 4 2 2 7" xfId="2549"/>
    <cellStyle name="Comma 3 2 4 2 2 7 2" xfId="14197"/>
    <cellStyle name="Comma 3 2 4 2 2 8" xfId="10510"/>
    <cellStyle name="Comma 3 2 4 2 2 8 2" xfId="17049"/>
    <cellStyle name="Comma 3 2 4 2 2 9" xfId="13625"/>
    <cellStyle name="Comma 3 2 4 2 3" xfId="1629"/>
    <cellStyle name="Comma 3 2 4 2 3 2" xfId="5049"/>
    <cellStyle name="Comma 3 2 4 2 3 2 2" xfId="11820"/>
    <cellStyle name="Comma 3 2 4 2 3 2 2 2" xfId="18359"/>
    <cellStyle name="Comma 3 2 4 2 3 2 3" xfId="15507"/>
    <cellStyle name="Comma 3 2 4 2 3 3" xfId="7321"/>
    <cellStyle name="Comma 3 2 4 2 3 3 2" xfId="12391"/>
    <cellStyle name="Comma 3 2 4 2 3 3 2 2" xfId="18930"/>
    <cellStyle name="Comma 3 2 4 2 3 3 3" xfId="16078"/>
    <cellStyle name="Comma 3 2 4 2 3 4" xfId="9593"/>
    <cellStyle name="Comma 3 2 4 2 3 4 2" xfId="12962"/>
    <cellStyle name="Comma 3 2 4 2 3 4 2 2" xfId="19501"/>
    <cellStyle name="Comma 3 2 4 2 3 4 3" xfId="16649"/>
    <cellStyle name="Comma 3 2 4 2 3 5" xfId="3292"/>
    <cellStyle name="Comma 3 2 4 2 3 5 2" xfId="11249"/>
    <cellStyle name="Comma 3 2 4 2 3 5 2 2" xfId="17788"/>
    <cellStyle name="Comma 3 2 4 2 3 5 3" xfId="14936"/>
    <cellStyle name="Comma 3 2 4 2 3 6" xfId="2717"/>
    <cellStyle name="Comma 3 2 4 2 3 6 2" xfId="14365"/>
    <cellStyle name="Comma 3 2 4 2 3 7" xfId="10678"/>
    <cellStyle name="Comma 3 2 4 2 3 7 2" xfId="17217"/>
    <cellStyle name="Comma 3 2 4 2 3 8" xfId="13796"/>
    <cellStyle name="Comma 3 2 4 2 3 9" xfId="20308"/>
    <cellStyle name="Comma 3 2 4 2 4" xfId="3914"/>
    <cellStyle name="Comma 3 2 4 2 4 2" xfId="11535"/>
    <cellStyle name="Comma 3 2 4 2 4 2 2" xfId="18074"/>
    <cellStyle name="Comma 3 2 4 2 4 3" xfId="15222"/>
    <cellStyle name="Comma 3 2 4 2 5" xfId="6186"/>
    <cellStyle name="Comma 3 2 4 2 5 2" xfId="12106"/>
    <cellStyle name="Comma 3 2 4 2 5 2 2" xfId="18645"/>
    <cellStyle name="Comma 3 2 4 2 5 3" xfId="15793"/>
    <cellStyle name="Comma 3 2 4 2 6" xfId="8458"/>
    <cellStyle name="Comma 3 2 4 2 6 2" xfId="12677"/>
    <cellStyle name="Comma 3 2 4 2 6 2 2" xfId="19216"/>
    <cellStyle name="Comma 3 2 4 2 6 3" xfId="16364"/>
    <cellStyle name="Comma 3 2 4 2 7" xfId="3007"/>
    <cellStyle name="Comma 3 2 4 2 7 2" xfId="10964"/>
    <cellStyle name="Comma 3 2 4 2 7 2 2" xfId="17503"/>
    <cellStyle name="Comma 3 2 4 2 7 3" xfId="14651"/>
    <cellStyle name="Comma 3 2 4 2 8" xfId="2437"/>
    <cellStyle name="Comma 3 2 4 2 8 2" xfId="14085"/>
    <cellStyle name="Comma 3 2 4 2 9" xfId="10398"/>
    <cellStyle name="Comma 3 2 4 2 9 2" xfId="16937"/>
    <cellStyle name="Comma 3 2 4 3" xfId="1175"/>
    <cellStyle name="Comma 3 2 4 3 10" xfId="20072"/>
    <cellStyle name="Comma 3 2 4 3 2" xfId="2310"/>
    <cellStyle name="Comma 3 2 4 3 2 2" xfId="5730"/>
    <cellStyle name="Comma 3 2 4 3 2 2 2" xfId="11991"/>
    <cellStyle name="Comma 3 2 4 3 2 2 2 2" xfId="18530"/>
    <cellStyle name="Comma 3 2 4 3 2 2 3" xfId="15678"/>
    <cellStyle name="Comma 3 2 4 3 2 3" xfId="8002"/>
    <cellStyle name="Comma 3 2 4 3 2 3 2" xfId="12562"/>
    <cellStyle name="Comma 3 2 4 3 2 3 2 2" xfId="19101"/>
    <cellStyle name="Comma 3 2 4 3 2 3 3" xfId="16249"/>
    <cellStyle name="Comma 3 2 4 3 2 4" xfId="10274"/>
    <cellStyle name="Comma 3 2 4 3 2 4 2" xfId="13133"/>
    <cellStyle name="Comma 3 2 4 3 2 4 2 2" xfId="19672"/>
    <cellStyle name="Comma 3 2 4 3 2 4 3" xfId="16820"/>
    <cellStyle name="Comma 3 2 4 3 2 5" xfId="3463"/>
    <cellStyle name="Comma 3 2 4 3 2 5 2" xfId="11420"/>
    <cellStyle name="Comma 3 2 4 3 2 5 2 2" xfId="17959"/>
    <cellStyle name="Comma 3 2 4 3 2 5 3" xfId="15107"/>
    <cellStyle name="Comma 3 2 4 3 2 6" xfId="2885"/>
    <cellStyle name="Comma 3 2 4 3 2 6 2" xfId="14533"/>
    <cellStyle name="Comma 3 2 4 3 2 7" xfId="10846"/>
    <cellStyle name="Comma 3 2 4 3 2 7 2" xfId="17385"/>
    <cellStyle name="Comma 3 2 4 3 2 8" xfId="13967"/>
    <cellStyle name="Comma 3 2 4 3 2 9" xfId="20236"/>
    <cellStyle name="Comma 3 2 4 3 3" xfId="4595"/>
    <cellStyle name="Comma 3 2 4 3 3 2" xfId="11706"/>
    <cellStyle name="Comma 3 2 4 3 3 2 2" xfId="18245"/>
    <cellStyle name="Comma 3 2 4 3 3 3" xfId="15393"/>
    <cellStyle name="Comma 3 2 4 3 3 4" xfId="20309"/>
    <cellStyle name="Comma 3 2 4 3 4" xfId="6867"/>
    <cellStyle name="Comma 3 2 4 3 4 2" xfId="12277"/>
    <cellStyle name="Comma 3 2 4 3 4 2 2" xfId="18816"/>
    <cellStyle name="Comma 3 2 4 3 4 3" xfId="15964"/>
    <cellStyle name="Comma 3 2 4 3 5" xfId="9139"/>
    <cellStyle name="Comma 3 2 4 3 5 2" xfId="12848"/>
    <cellStyle name="Comma 3 2 4 3 5 2 2" xfId="19387"/>
    <cellStyle name="Comma 3 2 4 3 5 3" xfId="16535"/>
    <cellStyle name="Comma 3 2 4 3 6" xfId="3178"/>
    <cellStyle name="Comma 3 2 4 3 6 2" xfId="11135"/>
    <cellStyle name="Comma 3 2 4 3 6 2 2" xfId="17674"/>
    <cellStyle name="Comma 3 2 4 3 6 3" xfId="14822"/>
    <cellStyle name="Comma 3 2 4 3 7" xfId="2605"/>
    <cellStyle name="Comma 3 2 4 3 7 2" xfId="14253"/>
    <cellStyle name="Comma 3 2 4 3 8" xfId="10566"/>
    <cellStyle name="Comma 3 2 4 3 8 2" xfId="17105"/>
    <cellStyle name="Comma 3 2 4 3 9" xfId="13682"/>
    <cellStyle name="Comma 3 2 4 4" xfId="721"/>
    <cellStyle name="Comma 3 2 4 4 10" xfId="20234"/>
    <cellStyle name="Comma 3 2 4 4 2" xfId="1856"/>
    <cellStyle name="Comma 3 2 4 4 2 2" xfId="5276"/>
    <cellStyle name="Comma 3 2 4 4 2 2 2" xfId="11877"/>
    <cellStyle name="Comma 3 2 4 4 2 2 2 2" xfId="18416"/>
    <cellStyle name="Comma 3 2 4 4 2 2 3" xfId="15564"/>
    <cellStyle name="Comma 3 2 4 4 2 3" xfId="7548"/>
    <cellStyle name="Comma 3 2 4 4 2 3 2" xfId="12448"/>
    <cellStyle name="Comma 3 2 4 4 2 3 2 2" xfId="18987"/>
    <cellStyle name="Comma 3 2 4 4 2 3 3" xfId="16135"/>
    <cellStyle name="Comma 3 2 4 4 2 4" xfId="9820"/>
    <cellStyle name="Comma 3 2 4 4 2 4 2" xfId="13019"/>
    <cellStyle name="Comma 3 2 4 4 2 4 2 2" xfId="19558"/>
    <cellStyle name="Comma 3 2 4 4 2 4 3" xfId="16706"/>
    <cellStyle name="Comma 3 2 4 4 2 5" xfId="3349"/>
    <cellStyle name="Comma 3 2 4 4 2 5 2" xfId="11306"/>
    <cellStyle name="Comma 3 2 4 4 2 5 2 2" xfId="17845"/>
    <cellStyle name="Comma 3 2 4 4 2 5 3" xfId="14993"/>
    <cellStyle name="Comma 3 2 4 4 2 6" xfId="2773"/>
    <cellStyle name="Comma 3 2 4 4 2 6 2" xfId="14421"/>
    <cellStyle name="Comma 3 2 4 4 2 7" xfId="10734"/>
    <cellStyle name="Comma 3 2 4 4 2 7 2" xfId="17273"/>
    <cellStyle name="Comma 3 2 4 4 2 8" xfId="13853"/>
    <cellStyle name="Comma 3 2 4 4 3" xfId="4141"/>
    <cellStyle name="Comma 3 2 4 4 3 2" xfId="11592"/>
    <cellStyle name="Comma 3 2 4 4 3 2 2" xfId="18131"/>
    <cellStyle name="Comma 3 2 4 4 3 3" xfId="15279"/>
    <cellStyle name="Comma 3 2 4 4 4" xfId="6413"/>
    <cellStyle name="Comma 3 2 4 4 4 2" xfId="12163"/>
    <cellStyle name="Comma 3 2 4 4 4 2 2" xfId="18702"/>
    <cellStyle name="Comma 3 2 4 4 4 3" xfId="15850"/>
    <cellStyle name="Comma 3 2 4 4 5" xfId="8685"/>
    <cellStyle name="Comma 3 2 4 4 5 2" xfId="12734"/>
    <cellStyle name="Comma 3 2 4 4 5 2 2" xfId="19273"/>
    <cellStyle name="Comma 3 2 4 4 5 3" xfId="16421"/>
    <cellStyle name="Comma 3 2 4 4 6" xfId="3064"/>
    <cellStyle name="Comma 3 2 4 4 6 2" xfId="11021"/>
    <cellStyle name="Comma 3 2 4 4 6 2 2" xfId="17560"/>
    <cellStyle name="Comma 3 2 4 4 6 3" xfId="14708"/>
    <cellStyle name="Comma 3 2 4 4 7" xfId="2493"/>
    <cellStyle name="Comma 3 2 4 4 7 2" xfId="14141"/>
    <cellStyle name="Comma 3 2 4 4 8" xfId="10454"/>
    <cellStyle name="Comma 3 2 4 4 8 2" xfId="16993"/>
    <cellStyle name="Comma 3 2 4 4 9" xfId="13568"/>
    <cellStyle name="Comma 3 2 4 5" xfId="1402"/>
    <cellStyle name="Comma 3 2 4 5 2" xfId="4822"/>
    <cellStyle name="Comma 3 2 4 5 2 2" xfId="11763"/>
    <cellStyle name="Comma 3 2 4 5 2 2 2" xfId="18302"/>
    <cellStyle name="Comma 3 2 4 5 2 3" xfId="15450"/>
    <cellStyle name="Comma 3 2 4 5 3" xfId="7094"/>
    <cellStyle name="Comma 3 2 4 5 3 2" xfId="12334"/>
    <cellStyle name="Comma 3 2 4 5 3 2 2" xfId="18873"/>
    <cellStyle name="Comma 3 2 4 5 3 3" xfId="16021"/>
    <cellStyle name="Comma 3 2 4 5 4" xfId="9366"/>
    <cellStyle name="Comma 3 2 4 5 4 2" xfId="12905"/>
    <cellStyle name="Comma 3 2 4 5 4 2 2" xfId="19444"/>
    <cellStyle name="Comma 3 2 4 5 4 3" xfId="16592"/>
    <cellStyle name="Comma 3 2 4 5 5" xfId="3235"/>
    <cellStyle name="Comma 3 2 4 5 5 2" xfId="11192"/>
    <cellStyle name="Comma 3 2 4 5 5 2 2" xfId="17731"/>
    <cellStyle name="Comma 3 2 4 5 5 3" xfId="14879"/>
    <cellStyle name="Comma 3 2 4 5 6" xfId="2661"/>
    <cellStyle name="Comma 3 2 4 5 6 2" xfId="14309"/>
    <cellStyle name="Comma 3 2 4 5 7" xfId="10622"/>
    <cellStyle name="Comma 3 2 4 5 7 2" xfId="17161"/>
    <cellStyle name="Comma 3 2 4 5 8" xfId="13739"/>
    <cellStyle name="Comma 3 2 4 5 9" xfId="20307"/>
    <cellStyle name="Comma 3 2 4 6" xfId="3687"/>
    <cellStyle name="Comma 3 2 4 6 2" xfId="11478"/>
    <cellStyle name="Comma 3 2 4 6 2 2" xfId="18017"/>
    <cellStyle name="Comma 3 2 4 6 3" xfId="15165"/>
    <cellStyle name="Comma 3 2 4 7" xfId="5959"/>
    <cellStyle name="Comma 3 2 4 7 2" xfId="12049"/>
    <cellStyle name="Comma 3 2 4 7 2 2" xfId="18588"/>
    <cellStyle name="Comma 3 2 4 7 3" xfId="15736"/>
    <cellStyle name="Comma 3 2 4 8" xfId="8231"/>
    <cellStyle name="Comma 3 2 4 8 2" xfId="12620"/>
    <cellStyle name="Comma 3 2 4 8 2 2" xfId="19159"/>
    <cellStyle name="Comma 3 2 4 8 3" xfId="16307"/>
    <cellStyle name="Comma 3 2 4 9" xfId="2950"/>
    <cellStyle name="Comma 3 2 4 9 2" xfId="10907"/>
    <cellStyle name="Comma 3 2 4 9 2 2" xfId="17446"/>
    <cellStyle name="Comma 3 2 4 9 3" xfId="14594"/>
    <cellStyle name="Comma 3 2 5" xfId="323"/>
    <cellStyle name="Comma 3 2 5 10" xfId="13468"/>
    <cellStyle name="Comma 3 2 5 11" xfId="20230"/>
    <cellStyle name="Comma 3 2 5 2" xfId="777"/>
    <cellStyle name="Comma 3 2 5 2 2" xfId="1912"/>
    <cellStyle name="Comma 3 2 5 2 2 2" xfId="5332"/>
    <cellStyle name="Comma 3 2 5 2 2 2 2" xfId="11891"/>
    <cellStyle name="Comma 3 2 5 2 2 2 2 2" xfId="18430"/>
    <cellStyle name="Comma 3 2 5 2 2 2 3" xfId="15578"/>
    <cellStyle name="Comma 3 2 5 2 2 3" xfId="7604"/>
    <cellStyle name="Comma 3 2 5 2 2 3 2" xfId="12462"/>
    <cellStyle name="Comma 3 2 5 2 2 3 2 2" xfId="19001"/>
    <cellStyle name="Comma 3 2 5 2 2 3 3" xfId="16149"/>
    <cellStyle name="Comma 3 2 5 2 2 4" xfId="9876"/>
    <cellStyle name="Comma 3 2 5 2 2 4 2" xfId="13033"/>
    <cellStyle name="Comma 3 2 5 2 2 4 2 2" xfId="19572"/>
    <cellStyle name="Comma 3 2 5 2 2 4 3" xfId="16720"/>
    <cellStyle name="Comma 3 2 5 2 2 5" xfId="3363"/>
    <cellStyle name="Comma 3 2 5 2 2 5 2" xfId="11320"/>
    <cellStyle name="Comma 3 2 5 2 2 5 2 2" xfId="17859"/>
    <cellStyle name="Comma 3 2 5 2 2 5 3" xfId="15007"/>
    <cellStyle name="Comma 3 2 5 2 2 6" xfId="2787"/>
    <cellStyle name="Comma 3 2 5 2 2 6 2" xfId="14435"/>
    <cellStyle name="Comma 3 2 5 2 2 7" xfId="10748"/>
    <cellStyle name="Comma 3 2 5 2 2 7 2" xfId="17287"/>
    <cellStyle name="Comma 3 2 5 2 2 8" xfId="13867"/>
    <cellStyle name="Comma 3 2 5 2 3" xfId="4197"/>
    <cellStyle name="Comma 3 2 5 2 3 2" xfId="11606"/>
    <cellStyle name="Comma 3 2 5 2 3 2 2" xfId="18145"/>
    <cellStyle name="Comma 3 2 5 2 3 3" xfId="15293"/>
    <cellStyle name="Comma 3 2 5 2 4" xfId="6469"/>
    <cellStyle name="Comma 3 2 5 2 4 2" xfId="12177"/>
    <cellStyle name="Comma 3 2 5 2 4 2 2" xfId="18716"/>
    <cellStyle name="Comma 3 2 5 2 4 3" xfId="15864"/>
    <cellStyle name="Comma 3 2 5 2 5" xfId="8741"/>
    <cellStyle name="Comma 3 2 5 2 5 2" xfId="12748"/>
    <cellStyle name="Comma 3 2 5 2 5 2 2" xfId="19287"/>
    <cellStyle name="Comma 3 2 5 2 5 3" xfId="16435"/>
    <cellStyle name="Comma 3 2 5 2 6" xfId="3078"/>
    <cellStyle name="Comma 3 2 5 2 6 2" xfId="11035"/>
    <cellStyle name="Comma 3 2 5 2 6 2 2" xfId="17574"/>
    <cellStyle name="Comma 3 2 5 2 6 3" xfId="14722"/>
    <cellStyle name="Comma 3 2 5 2 7" xfId="2507"/>
    <cellStyle name="Comma 3 2 5 2 7 2" xfId="14155"/>
    <cellStyle name="Comma 3 2 5 2 8" xfId="10468"/>
    <cellStyle name="Comma 3 2 5 2 8 2" xfId="17007"/>
    <cellStyle name="Comma 3 2 5 2 9" xfId="13582"/>
    <cellStyle name="Comma 3 2 5 3" xfId="1458"/>
    <cellStyle name="Comma 3 2 5 3 2" xfId="4878"/>
    <cellStyle name="Comma 3 2 5 3 2 2" xfId="11777"/>
    <cellStyle name="Comma 3 2 5 3 2 2 2" xfId="18316"/>
    <cellStyle name="Comma 3 2 5 3 2 3" xfId="15464"/>
    <cellStyle name="Comma 3 2 5 3 3" xfId="7150"/>
    <cellStyle name="Comma 3 2 5 3 3 2" xfId="12348"/>
    <cellStyle name="Comma 3 2 5 3 3 2 2" xfId="18887"/>
    <cellStyle name="Comma 3 2 5 3 3 3" xfId="16035"/>
    <cellStyle name="Comma 3 2 5 3 4" xfId="9422"/>
    <cellStyle name="Comma 3 2 5 3 4 2" xfId="12919"/>
    <cellStyle name="Comma 3 2 5 3 4 2 2" xfId="19458"/>
    <cellStyle name="Comma 3 2 5 3 4 3" xfId="16606"/>
    <cellStyle name="Comma 3 2 5 3 5" xfId="3249"/>
    <cellStyle name="Comma 3 2 5 3 5 2" xfId="11206"/>
    <cellStyle name="Comma 3 2 5 3 5 2 2" xfId="17745"/>
    <cellStyle name="Comma 3 2 5 3 5 3" xfId="14893"/>
    <cellStyle name="Comma 3 2 5 3 6" xfId="2675"/>
    <cellStyle name="Comma 3 2 5 3 6 2" xfId="14323"/>
    <cellStyle name="Comma 3 2 5 3 7" xfId="10636"/>
    <cellStyle name="Comma 3 2 5 3 7 2" xfId="17175"/>
    <cellStyle name="Comma 3 2 5 3 8" xfId="13753"/>
    <cellStyle name="Comma 3 2 5 4" xfId="3743"/>
    <cellStyle name="Comma 3 2 5 4 2" xfId="11492"/>
    <cellStyle name="Comma 3 2 5 4 2 2" xfId="18031"/>
    <cellStyle name="Comma 3 2 5 4 3" xfId="15179"/>
    <cellStyle name="Comma 3 2 5 5" xfId="6015"/>
    <cellStyle name="Comma 3 2 5 5 2" xfId="12063"/>
    <cellStyle name="Comma 3 2 5 5 2 2" xfId="18602"/>
    <cellStyle name="Comma 3 2 5 5 3" xfId="15750"/>
    <cellStyle name="Comma 3 2 5 6" xfId="8287"/>
    <cellStyle name="Comma 3 2 5 6 2" xfId="12634"/>
    <cellStyle name="Comma 3 2 5 6 2 2" xfId="19173"/>
    <cellStyle name="Comma 3 2 5 6 3" xfId="16321"/>
    <cellStyle name="Comma 3 2 5 7" xfId="2964"/>
    <cellStyle name="Comma 3 2 5 7 2" xfId="10921"/>
    <cellStyle name="Comma 3 2 5 7 2 2" xfId="17460"/>
    <cellStyle name="Comma 3 2 5 7 3" xfId="14608"/>
    <cellStyle name="Comma 3 2 5 8" xfId="2395"/>
    <cellStyle name="Comma 3 2 5 8 2" xfId="14043"/>
    <cellStyle name="Comma 3 2 5 9" xfId="10356"/>
    <cellStyle name="Comma 3 2 5 9 2" xfId="16895"/>
    <cellStyle name="Comma 3 2 6" xfId="1004"/>
    <cellStyle name="Comma 3 2 6 10" xfId="20303"/>
    <cellStyle name="Comma 3 2 6 2" xfId="2139"/>
    <cellStyle name="Comma 3 2 6 2 2" xfId="5559"/>
    <cellStyle name="Comma 3 2 6 2 2 2" xfId="11948"/>
    <cellStyle name="Comma 3 2 6 2 2 2 2" xfId="18487"/>
    <cellStyle name="Comma 3 2 6 2 2 3" xfId="15635"/>
    <cellStyle name="Comma 3 2 6 2 3" xfId="7831"/>
    <cellStyle name="Comma 3 2 6 2 3 2" xfId="12519"/>
    <cellStyle name="Comma 3 2 6 2 3 2 2" xfId="19058"/>
    <cellStyle name="Comma 3 2 6 2 3 3" xfId="16206"/>
    <cellStyle name="Comma 3 2 6 2 4" xfId="10103"/>
    <cellStyle name="Comma 3 2 6 2 4 2" xfId="13090"/>
    <cellStyle name="Comma 3 2 6 2 4 2 2" xfId="19629"/>
    <cellStyle name="Comma 3 2 6 2 4 3" xfId="16777"/>
    <cellStyle name="Comma 3 2 6 2 5" xfId="3420"/>
    <cellStyle name="Comma 3 2 6 2 5 2" xfId="11377"/>
    <cellStyle name="Comma 3 2 6 2 5 2 2" xfId="17916"/>
    <cellStyle name="Comma 3 2 6 2 5 3" xfId="15064"/>
    <cellStyle name="Comma 3 2 6 2 6" xfId="2843"/>
    <cellStyle name="Comma 3 2 6 2 6 2" xfId="14491"/>
    <cellStyle name="Comma 3 2 6 2 7" xfId="10804"/>
    <cellStyle name="Comma 3 2 6 2 7 2" xfId="17343"/>
    <cellStyle name="Comma 3 2 6 2 8" xfId="13924"/>
    <cellStyle name="Comma 3 2 6 3" xfId="4424"/>
    <cellStyle name="Comma 3 2 6 3 2" xfId="11663"/>
    <cellStyle name="Comma 3 2 6 3 2 2" xfId="18202"/>
    <cellStyle name="Comma 3 2 6 3 3" xfId="15350"/>
    <cellStyle name="Comma 3 2 6 4" xfId="6696"/>
    <cellStyle name="Comma 3 2 6 4 2" xfId="12234"/>
    <cellStyle name="Comma 3 2 6 4 2 2" xfId="18773"/>
    <cellStyle name="Comma 3 2 6 4 3" xfId="15921"/>
    <cellStyle name="Comma 3 2 6 5" xfId="8968"/>
    <cellStyle name="Comma 3 2 6 5 2" xfId="12805"/>
    <cellStyle name="Comma 3 2 6 5 2 2" xfId="19344"/>
    <cellStyle name="Comma 3 2 6 5 3" xfId="16492"/>
    <cellStyle name="Comma 3 2 6 6" xfId="3135"/>
    <cellStyle name="Comma 3 2 6 6 2" xfId="11092"/>
    <cellStyle name="Comma 3 2 6 6 2 2" xfId="17631"/>
    <cellStyle name="Comma 3 2 6 6 3" xfId="14779"/>
    <cellStyle name="Comma 3 2 6 7" xfId="2563"/>
    <cellStyle name="Comma 3 2 6 7 2" xfId="14211"/>
    <cellStyle name="Comma 3 2 6 8" xfId="10524"/>
    <cellStyle name="Comma 3 2 6 8 2" xfId="17063"/>
    <cellStyle name="Comma 3 2 6 9" xfId="13639"/>
    <cellStyle name="Comma 3 2 7" xfId="550"/>
    <cellStyle name="Comma 3 2 7 2" xfId="1685"/>
    <cellStyle name="Comma 3 2 7 2 2" xfId="5105"/>
    <cellStyle name="Comma 3 2 7 2 2 2" xfId="11834"/>
    <cellStyle name="Comma 3 2 7 2 2 2 2" xfId="18373"/>
    <cellStyle name="Comma 3 2 7 2 2 3" xfId="15521"/>
    <cellStyle name="Comma 3 2 7 2 3" xfId="7377"/>
    <cellStyle name="Comma 3 2 7 2 3 2" xfId="12405"/>
    <cellStyle name="Comma 3 2 7 2 3 2 2" xfId="18944"/>
    <cellStyle name="Comma 3 2 7 2 3 3" xfId="16092"/>
    <cellStyle name="Comma 3 2 7 2 4" xfId="9649"/>
    <cellStyle name="Comma 3 2 7 2 4 2" xfId="12976"/>
    <cellStyle name="Comma 3 2 7 2 4 2 2" xfId="19515"/>
    <cellStyle name="Comma 3 2 7 2 4 3" xfId="16663"/>
    <cellStyle name="Comma 3 2 7 2 5" xfId="3306"/>
    <cellStyle name="Comma 3 2 7 2 5 2" xfId="11263"/>
    <cellStyle name="Comma 3 2 7 2 5 2 2" xfId="17802"/>
    <cellStyle name="Comma 3 2 7 2 5 3" xfId="14950"/>
    <cellStyle name="Comma 3 2 7 2 6" xfId="2731"/>
    <cellStyle name="Comma 3 2 7 2 6 2" xfId="14379"/>
    <cellStyle name="Comma 3 2 7 2 7" xfId="10692"/>
    <cellStyle name="Comma 3 2 7 2 7 2" xfId="17231"/>
    <cellStyle name="Comma 3 2 7 2 8" xfId="13810"/>
    <cellStyle name="Comma 3 2 7 3" xfId="3970"/>
    <cellStyle name="Comma 3 2 7 3 2" xfId="11549"/>
    <cellStyle name="Comma 3 2 7 3 2 2" xfId="18088"/>
    <cellStyle name="Comma 3 2 7 3 3" xfId="15236"/>
    <cellStyle name="Comma 3 2 7 4" xfId="6242"/>
    <cellStyle name="Comma 3 2 7 4 2" xfId="12120"/>
    <cellStyle name="Comma 3 2 7 4 2 2" xfId="18659"/>
    <cellStyle name="Comma 3 2 7 4 3" xfId="15807"/>
    <cellStyle name="Comma 3 2 7 5" xfId="8514"/>
    <cellStyle name="Comma 3 2 7 5 2" xfId="12691"/>
    <cellStyle name="Comma 3 2 7 5 2 2" xfId="19230"/>
    <cellStyle name="Comma 3 2 7 5 3" xfId="16378"/>
    <cellStyle name="Comma 3 2 7 6" xfId="3021"/>
    <cellStyle name="Comma 3 2 7 6 2" xfId="10978"/>
    <cellStyle name="Comma 3 2 7 6 2 2" xfId="17517"/>
    <cellStyle name="Comma 3 2 7 6 3" xfId="14665"/>
    <cellStyle name="Comma 3 2 7 7" xfId="2451"/>
    <cellStyle name="Comma 3 2 7 7 2" xfId="14099"/>
    <cellStyle name="Comma 3 2 7 8" xfId="10412"/>
    <cellStyle name="Comma 3 2 7 8 2" xfId="16951"/>
    <cellStyle name="Comma 3 2 7 9" xfId="13525"/>
    <cellStyle name="Comma 3 2 8" xfId="1231"/>
    <cellStyle name="Comma 3 2 8 2" xfId="4651"/>
    <cellStyle name="Comma 3 2 8 2 2" xfId="11720"/>
    <cellStyle name="Comma 3 2 8 2 2 2" xfId="18259"/>
    <cellStyle name="Comma 3 2 8 2 3" xfId="15407"/>
    <cellStyle name="Comma 3 2 8 3" xfId="6923"/>
    <cellStyle name="Comma 3 2 8 3 2" xfId="12291"/>
    <cellStyle name="Comma 3 2 8 3 2 2" xfId="18830"/>
    <cellStyle name="Comma 3 2 8 3 3" xfId="15978"/>
    <cellStyle name="Comma 3 2 8 4" xfId="9195"/>
    <cellStyle name="Comma 3 2 8 4 2" xfId="12862"/>
    <cellStyle name="Comma 3 2 8 4 2 2" xfId="19401"/>
    <cellStyle name="Comma 3 2 8 4 3" xfId="16549"/>
    <cellStyle name="Comma 3 2 8 5" xfId="3192"/>
    <cellStyle name="Comma 3 2 8 5 2" xfId="11149"/>
    <cellStyle name="Comma 3 2 8 5 2 2" xfId="17688"/>
    <cellStyle name="Comma 3 2 8 5 3" xfId="14836"/>
    <cellStyle name="Comma 3 2 8 6" xfId="2619"/>
    <cellStyle name="Comma 3 2 8 6 2" xfId="14267"/>
    <cellStyle name="Comma 3 2 8 7" xfId="10580"/>
    <cellStyle name="Comma 3 2 8 7 2" xfId="17119"/>
    <cellStyle name="Comma 3 2 8 8" xfId="13696"/>
    <cellStyle name="Comma 3 2 9" xfId="85"/>
    <cellStyle name="Comma 3 2 9 2" xfId="3516"/>
    <cellStyle name="Comma 3 2 9 2 2" xfId="15122"/>
    <cellStyle name="Comma 3 2 9 3" xfId="11435"/>
    <cellStyle name="Comma 3 2 9 3 2" xfId="17974"/>
    <cellStyle name="Comma 3 2 9 4" xfId="13410"/>
    <cellStyle name="Comma 3 20" xfId="19786"/>
    <cellStyle name="Comma 3 21" xfId="19819"/>
    <cellStyle name="Comma 3 22" xfId="19885"/>
    <cellStyle name="Comma 3 3" xfId="169"/>
    <cellStyle name="Comma 3 3 10" xfId="2359"/>
    <cellStyle name="Comma 3 3 10 2" xfId="14007"/>
    <cellStyle name="Comma 3 3 11" xfId="10320"/>
    <cellStyle name="Comma 3 3 11 2" xfId="16859"/>
    <cellStyle name="Comma 3 3 12" xfId="13431"/>
    <cellStyle name="Comma 3 3 13" xfId="20073"/>
    <cellStyle name="Comma 3 3 2" xfId="407"/>
    <cellStyle name="Comma 3 3 2 10" xfId="13489"/>
    <cellStyle name="Comma 3 3 2 11" xfId="20074"/>
    <cellStyle name="Comma 3 3 2 2" xfId="861"/>
    <cellStyle name="Comma 3 3 2 2 10" xfId="20238"/>
    <cellStyle name="Comma 3 3 2 2 2" xfId="1996"/>
    <cellStyle name="Comma 3 3 2 2 2 2" xfId="5416"/>
    <cellStyle name="Comma 3 3 2 2 2 2 2" xfId="11912"/>
    <cellStyle name="Comma 3 3 2 2 2 2 2 2" xfId="18451"/>
    <cellStyle name="Comma 3 3 2 2 2 2 3" xfId="15599"/>
    <cellStyle name="Comma 3 3 2 2 2 3" xfId="7688"/>
    <cellStyle name="Comma 3 3 2 2 2 3 2" xfId="12483"/>
    <cellStyle name="Comma 3 3 2 2 2 3 2 2" xfId="19022"/>
    <cellStyle name="Comma 3 3 2 2 2 3 3" xfId="16170"/>
    <cellStyle name="Comma 3 3 2 2 2 4" xfId="9960"/>
    <cellStyle name="Comma 3 3 2 2 2 4 2" xfId="13054"/>
    <cellStyle name="Comma 3 3 2 2 2 4 2 2" xfId="19593"/>
    <cellStyle name="Comma 3 3 2 2 2 4 3" xfId="16741"/>
    <cellStyle name="Comma 3 3 2 2 2 5" xfId="3384"/>
    <cellStyle name="Comma 3 3 2 2 2 5 2" xfId="11341"/>
    <cellStyle name="Comma 3 3 2 2 2 5 2 2" xfId="17880"/>
    <cellStyle name="Comma 3 3 2 2 2 5 3" xfId="15028"/>
    <cellStyle name="Comma 3 3 2 2 2 6" xfId="2808"/>
    <cellStyle name="Comma 3 3 2 2 2 6 2" xfId="14456"/>
    <cellStyle name="Comma 3 3 2 2 2 7" xfId="10769"/>
    <cellStyle name="Comma 3 3 2 2 2 7 2" xfId="17308"/>
    <cellStyle name="Comma 3 3 2 2 2 8" xfId="13888"/>
    <cellStyle name="Comma 3 3 2 2 3" xfId="4281"/>
    <cellStyle name="Comma 3 3 2 2 3 2" xfId="11627"/>
    <cellStyle name="Comma 3 3 2 2 3 2 2" xfId="18166"/>
    <cellStyle name="Comma 3 3 2 2 3 3" xfId="15314"/>
    <cellStyle name="Comma 3 3 2 2 4" xfId="6553"/>
    <cellStyle name="Comma 3 3 2 2 4 2" xfId="12198"/>
    <cellStyle name="Comma 3 3 2 2 4 2 2" xfId="18737"/>
    <cellStyle name="Comma 3 3 2 2 4 3" xfId="15885"/>
    <cellStyle name="Comma 3 3 2 2 5" xfId="8825"/>
    <cellStyle name="Comma 3 3 2 2 5 2" xfId="12769"/>
    <cellStyle name="Comma 3 3 2 2 5 2 2" xfId="19308"/>
    <cellStyle name="Comma 3 3 2 2 5 3" xfId="16456"/>
    <cellStyle name="Comma 3 3 2 2 6" xfId="3099"/>
    <cellStyle name="Comma 3 3 2 2 6 2" xfId="11056"/>
    <cellStyle name="Comma 3 3 2 2 6 2 2" xfId="17595"/>
    <cellStyle name="Comma 3 3 2 2 6 3" xfId="14743"/>
    <cellStyle name="Comma 3 3 2 2 7" xfId="2528"/>
    <cellStyle name="Comma 3 3 2 2 7 2" xfId="14176"/>
    <cellStyle name="Comma 3 3 2 2 8" xfId="10489"/>
    <cellStyle name="Comma 3 3 2 2 8 2" xfId="17028"/>
    <cellStyle name="Comma 3 3 2 2 9" xfId="13603"/>
    <cellStyle name="Comma 3 3 2 3" xfId="1542"/>
    <cellStyle name="Comma 3 3 2 3 2" xfId="4962"/>
    <cellStyle name="Comma 3 3 2 3 2 2" xfId="11798"/>
    <cellStyle name="Comma 3 3 2 3 2 2 2" xfId="18337"/>
    <cellStyle name="Comma 3 3 2 3 2 3" xfId="15485"/>
    <cellStyle name="Comma 3 3 2 3 3" xfId="7234"/>
    <cellStyle name="Comma 3 3 2 3 3 2" xfId="12369"/>
    <cellStyle name="Comma 3 3 2 3 3 2 2" xfId="18908"/>
    <cellStyle name="Comma 3 3 2 3 3 3" xfId="16056"/>
    <cellStyle name="Comma 3 3 2 3 4" xfId="9506"/>
    <cellStyle name="Comma 3 3 2 3 4 2" xfId="12940"/>
    <cellStyle name="Comma 3 3 2 3 4 2 2" xfId="19479"/>
    <cellStyle name="Comma 3 3 2 3 4 3" xfId="16627"/>
    <cellStyle name="Comma 3 3 2 3 5" xfId="3270"/>
    <cellStyle name="Comma 3 3 2 3 5 2" xfId="11227"/>
    <cellStyle name="Comma 3 3 2 3 5 2 2" xfId="17766"/>
    <cellStyle name="Comma 3 3 2 3 5 3" xfId="14914"/>
    <cellStyle name="Comma 3 3 2 3 6" xfId="2696"/>
    <cellStyle name="Comma 3 3 2 3 6 2" xfId="14344"/>
    <cellStyle name="Comma 3 3 2 3 7" xfId="10657"/>
    <cellStyle name="Comma 3 3 2 3 7 2" xfId="17196"/>
    <cellStyle name="Comma 3 3 2 3 8" xfId="13774"/>
    <cellStyle name="Comma 3 3 2 3 9" xfId="20311"/>
    <cellStyle name="Comma 3 3 2 4" xfId="3827"/>
    <cellStyle name="Comma 3 3 2 4 2" xfId="11513"/>
    <cellStyle name="Comma 3 3 2 4 2 2" xfId="18052"/>
    <cellStyle name="Comma 3 3 2 4 3" xfId="15200"/>
    <cellStyle name="Comma 3 3 2 5" xfId="6099"/>
    <cellStyle name="Comma 3 3 2 5 2" xfId="12084"/>
    <cellStyle name="Comma 3 3 2 5 2 2" xfId="18623"/>
    <cellStyle name="Comma 3 3 2 5 3" xfId="15771"/>
    <cellStyle name="Comma 3 3 2 6" xfId="8371"/>
    <cellStyle name="Comma 3 3 2 6 2" xfId="12655"/>
    <cellStyle name="Comma 3 3 2 6 2 2" xfId="19194"/>
    <cellStyle name="Comma 3 3 2 6 3" xfId="16342"/>
    <cellStyle name="Comma 3 3 2 7" xfId="2985"/>
    <cellStyle name="Comma 3 3 2 7 2" xfId="10942"/>
    <cellStyle name="Comma 3 3 2 7 2 2" xfId="17481"/>
    <cellStyle name="Comma 3 3 2 7 3" xfId="14629"/>
    <cellStyle name="Comma 3 3 2 8" xfId="2416"/>
    <cellStyle name="Comma 3 3 2 8 2" xfId="14064"/>
    <cellStyle name="Comma 3 3 2 9" xfId="10377"/>
    <cellStyle name="Comma 3 3 2 9 2" xfId="16916"/>
    <cellStyle name="Comma 3 3 3" xfId="1088"/>
    <cellStyle name="Comma 3 3 3 10" xfId="20075"/>
    <cellStyle name="Comma 3 3 3 2" xfId="2223"/>
    <cellStyle name="Comma 3 3 3 2 2" xfId="5643"/>
    <cellStyle name="Comma 3 3 3 2 2 2" xfId="11969"/>
    <cellStyle name="Comma 3 3 3 2 2 2 2" xfId="18508"/>
    <cellStyle name="Comma 3 3 3 2 2 3" xfId="15656"/>
    <cellStyle name="Comma 3 3 3 2 3" xfId="7915"/>
    <cellStyle name="Comma 3 3 3 2 3 2" xfId="12540"/>
    <cellStyle name="Comma 3 3 3 2 3 2 2" xfId="19079"/>
    <cellStyle name="Comma 3 3 3 2 3 3" xfId="16227"/>
    <cellStyle name="Comma 3 3 3 2 4" xfId="10187"/>
    <cellStyle name="Comma 3 3 3 2 4 2" xfId="13111"/>
    <cellStyle name="Comma 3 3 3 2 4 2 2" xfId="19650"/>
    <cellStyle name="Comma 3 3 3 2 4 3" xfId="16798"/>
    <cellStyle name="Comma 3 3 3 2 5" xfId="3441"/>
    <cellStyle name="Comma 3 3 3 2 5 2" xfId="11398"/>
    <cellStyle name="Comma 3 3 3 2 5 2 2" xfId="17937"/>
    <cellStyle name="Comma 3 3 3 2 5 3" xfId="15085"/>
    <cellStyle name="Comma 3 3 3 2 6" xfId="2864"/>
    <cellStyle name="Comma 3 3 3 2 6 2" xfId="14512"/>
    <cellStyle name="Comma 3 3 3 2 7" xfId="10825"/>
    <cellStyle name="Comma 3 3 3 2 7 2" xfId="17364"/>
    <cellStyle name="Comma 3 3 3 2 8" xfId="13945"/>
    <cellStyle name="Comma 3 3 3 2 9" xfId="20239"/>
    <cellStyle name="Comma 3 3 3 3" xfId="4508"/>
    <cellStyle name="Comma 3 3 3 3 2" xfId="11684"/>
    <cellStyle name="Comma 3 3 3 3 2 2" xfId="18223"/>
    <cellStyle name="Comma 3 3 3 3 3" xfId="15371"/>
    <cellStyle name="Comma 3 3 3 3 4" xfId="20312"/>
    <cellStyle name="Comma 3 3 3 4" xfId="6780"/>
    <cellStyle name="Comma 3 3 3 4 2" xfId="12255"/>
    <cellStyle name="Comma 3 3 3 4 2 2" xfId="18794"/>
    <cellStyle name="Comma 3 3 3 4 3" xfId="15942"/>
    <cellStyle name="Comma 3 3 3 5" xfId="9052"/>
    <cellStyle name="Comma 3 3 3 5 2" xfId="12826"/>
    <cellStyle name="Comma 3 3 3 5 2 2" xfId="19365"/>
    <cellStyle name="Comma 3 3 3 5 3" xfId="16513"/>
    <cellStyle name="Comma 3 3 3 6" xfId="3156"/>
    <cellStyle name="Comma 3 3 3 6 2" xfId="11113"/>
    <cellStyle name="Comma 3 3 3 6 2 2" xfId="17652"/>
    <cellStyle name="Comma 3 3 3 6 3" xfId="14800"/>
    <cellStyle name="Comma 3 3 3 7" xfId="2584"/>
    <cellStyle name="Comma 3 3 3 7 2" xfId="14232"/>
    <cellStyle name="Comma 3 3 3 8" xfId="10545"/>
    <cellStyle name="Comma 3 3 3 8 2" xfId="17084"/>
    <cellStyle name="Comma 3 3 3 9" xfId="13660"/>
    <cellStyle name="Comma 3 3 4" xfId="634"/>
    <cellStyle name="Comma 3 3 4 10" xfId="20237"/>
    <cellStyle name="Comma 3 3 4 2" xfId="1769"/>
    <cellStyle name="Comma 3 3 4 2 2" xfId="5189"/>
    <cellStyle name="Comma 3 3 4 2 2 2" xfId="11855"/>
    <cellStyle name="Comma 3 3 4 2 2 2 2" xfId="18394"/>
    <cellStyle name="Comma 3 3 4 2 2 3" xfId="15542"/>
    <cellStyle name="Comma 3 3 4 2 3" xfId="7461"/>
    <cellStyle name="Comma 3 3 4 2 3 2" xfId="12426"/>
    <cellStyle name="Comma 3 3 4 2 3 2 2" xfId="18965"/>
    <cellStyle name="Comma 3 3 4 2 3 3" xfId="16113"/>
    <cellStyle name="Comma 3 3 4 2 4" xfId="9733"/>
    <cellStyle name="Comma 3 3 4 2 4 2" xfId="12997"/>
    <cellStyle name="Comma 3 3 4 2 4 2 2" xfId="19536"/>
    <cellStyle name="Comma 3 3 4 2 4 3" xfId="16684"/>
    <cellStyle name="Comma 3 3 4 2 5" xfId="3327"/>
    <cellStyle name="Comma 3 3 4 2 5 2" xfId="11284"/>
    <cellStyle name="Comma 3 3 4 2 5 2 2" xfId="17823"/>
    <cellStyle name="Comma 3 3 4 2 5 3" xfId="14971"/>
    <cellStyle name="Comma 3 3 4 2 6" xfId="2752"/>
    <cellStyle name="Comma 3 3 4 2 6 2" xfId="14400"/>
    <cellStyle name="Comma 3 3 4 2 7" xfId="10713"/>
    <cellStyle name="Comma 3 3 4 2 7 2" xfId="17252"/>
    <cellStyle name="Comma 3 3 4 2 8" xfId="13831"/>
    <cellStyle name="Comma 3 3 4 3" xfId="4054"/>
    <cellStyle name="Comma 3 3 4 3 2" xfId="11570"/>
    <cellStyle name="Comma 3 3 4 3 2 2" xfId="18109"/>
    <cellStyle name="Comma 3 3 4 3 3" xfId="15257"/>
    <cellStyle name="Comma 3 3 4 4" xfId="6326"/>
    <cellStyle name="Comma 3 3 4 4 2" xfId="12141"/>
    <cellStyle name="Comma 3 3 4 4 2 2" xfId="18680"/>
    <cellStyle name="Comma 3 3 4 4 3" xfId="15828"/>
    <cellStyle name="Comma 3 3 4 5" xfId="8598"/>
    <cellStyle name="Comma 3 3 4 5 2" xfId="12712"/>
    <cellStyle name="Comma 3 3 4 5 2 2" xfId="19251"/>
    <cellStyle name="Comma 3 3 4 5 3" xfId="16399"/>
    <cellStyle name="Comma 3 3 4 6" xfId="3042"/>
    <cellStyle name="Comma 3 3 4 6 2" xfId="10999"/>
    <cellStyle name="Comma 3 3 4 6 2 2" xfId="17538"/>
    <cellStyle name="Comma 3 3 4 6 3" xfId="14686"/>
    <cellStyle name="Comma 3 3 4 7" xfId="2472"/>
    <cellStyle name="Comma 3 3 4 7 2" xfId="14120"/>
    <cellStyle name="Comma 3 3 4 8" xfId="10433"/>
    <cellStyle name="Comma 3 3 4 8 2" xfId="16972"/>
    <cellStyle name="Comma 3 3 4 9" xfId="13546"/>
    <cellStyle name="Comma 3 3 5" xfId="1315"/>
    <cellStyle name="Comma 3 3 5 2" xfId="4735"/>
    <cellStyle name="Comma 3 3 5 2 2" xfId="11741"/>
    <cellStyle name="Comma 3 3 5 2 2 2" xfId="18280"/>
    <cellStyle name="Comma 3 3 5 2 3" xfId="15428"/>
    <cellStyle name="Comma 3 3 5 3" xfId="7007"/>
    <cellStyle name="Comma 3 3 5 3 2" xfId="12312"/>
    <cellStyle name="Comma 3 3 5 3 2 2" xfId="18851"/>
    <cellStyle name="Comma 3 3 5 3 3" xfId="15999"/>
    <cellStyle name="Comma 3 3 5 4" xfId="9279"/>
    <cellStyle name="Comma 3 3 5 4 2" xfId="12883"/>
    <cellStyle name="Comma 3 3 5 4 2 2" xfId="19422"/>
    <cellStyle name="Comma 3 3 5 4 3" xfId="16570"/>
    <cellStyle name="Comma 3 3 5 5" xfId="3213"/>
    <cellStyle name="Comma 3 3 5 5 2" xfId="11170"/>
    <cellStyle name="Comma 3 3 5 5 2 2" xfId="17709"/>
    <cellStyle name="Comma 3 3 5 5 3" xfId="14857"/>
    <cellStyle name="Comma 3 3 5 6" xfId="2640"/>
    <cellStyle name="Comma 3 3 5 6 2" xfId="14288"/>
    <cellStyle name="Comma 3 3 5 7" xfId="10601"/>
    <cellStyle name="Comma 3 3 5 7 2" xfId="17140"/>
    <cellStyle name="Comma 3 3 5 8" xfId="13717"/>
    <cellStyle name="Comma 3 3 5 9" xfId="20310"/>
    <cellStyle name="Comma 3 3 6" xfId="3600"/>
    <cellStyle name="Comma 3 3 6 2" xfId="11456"/>
    <cellStyle name="Comma 3 3 6 2 2" xfId="17995"/>
    <cellStyle name="Comma 3 3 6 3" xfId="15143"/>
    <cellStyle name="Comma 3 3 7" xfId="5872"/>
    <cellStyle name="Comma 3 3 7 2" xfId="12027"/>
    <cellStyle name="Comma 3 3 7 2 2" xfId="18566"/>
    <cellStyle name="Comma 3 3 7 3" xfId="15714"/>
    <cellStyle name="Comma 3 3 8" xfId="8144"/>
    <cellStyle name="Comma 3 3 8 2" xfId="12598"/>
    <cellStyle name="Comma 3 3 8 2 2" xfId="19137"/>
    <cellStyle name="Comma 3 3 8 3" xfId="16285"/>
    <cellStyle name="Comma 3 3 9" xfId="2925"/>
    <cellStyle name="Comma 3 3 9 2" xfId="10884"/>
    <cellStyle name="Comma 3 3 9 2 2" xfId="17423"/>
    <cellStyle name="Comma 3 3 9 3" xfId="14571"/>
    <cellStyle name="Comma 3 4" xfId="113"/>
    <cellStyle name="Comma 3 4 10" xfId="2345"/>
    <cellStyle name="Comma 3 4 10 2" xfId="13993"/>
    <cellStyle name="Comma 3 4 11" xfId="10306"/>
    <cellStyle name="Comma 3 4 11 2" xfId="16845"/>
    <cellStyle name="Comma 3 4 12" xfId="13417"/>
    <cellStyle name="Comma 3 4 13" xfId="20076"/>
    <cellStyle name="Comma 3 4 2" xfId="351"/>
    <cellStyle name="Comma 3 4 2 10" xfId="13475"/>
    <cellStyle name="Comma 3 4 2 11" xfId="20077"/>
    <cellStyle name="Comma 3 4 2 2" xfId="805"/>
    <cellStyle name="Comma 3 4 2 2 10" xfId="20241"/>
    <cellStyle name="Comma 3 4 2 2 2" xfId="1940"/>
    <cellStyle name="Comma 3 4 2 2 2 2" xfId="5360"/>
    <cellStyle name="Comma 3 4 2 2 2 2 2" xfId="11898"/>
    <cellStyle name="Comma 3 4 2 2 2 2 2 2" xfId="18437"/>
    <cellStyle name="Comma 3 4 2 2 2 2 3" xfId="15585"/>
    <cellStyle name="Comma 3 4 2 2 2 3" xfId="7632"/>
    <cellStyle name="Comma 3 4 2 2 2 3 2" xfId="12469"/>
    <cellStyle name="Comma 3 4 2 2 2 3 2 2" xfId="19008"/>
    <cellStyle name="Comma 3 4 2 2 2 3 3" xfId="16156"/>
    <cellStyle name="Comma 3 4 2 2 2 4" xfId="9904"/>
    <cellStyle name="Comma 3 4 2 2 2 4 2" xfId="13040"/>
    <cellStyle name="Comma 3 4 2 2 2 4 2 2" xfId="19579"/>
    <cellStyle name="Comma 3 4 2 2 2 4 3" xfId="16727"/>
    <cellStyle name="Comma 3 4 2 2 2 5" xfId="3370"/>
    <cellStyle name="Comma 3 4 2 2 2 5 2" xfId="11327"/>
    <cellStyle name="Comma 3 4 2 2 2 5 2 2" xfId="17866"/>
    <cellStyle name="Comma 3 4 2 2 2 5 3" xfId="15014"/>
    <cellStyle name="Comma 3 4 2 2 2 6" xfId="2794"/>
    <cellStyle name="Comma 3 4 2 2 2 6 2" xfId="14442"/>
    <cellStyle name="Comma 3 4 2 2 2 7" xfId="10755"/>
    <cellStyle name="Comma 3 4 2 2 2 7 2" xfId="17294"/>
    <cellStyle name="Comma 3 4 2 2 2 8" xfId="13874"/>
    <cellStyle name="Comma 3 4 2 2 3" xfId="4225"/>
    <cellStyle name="Comma 3 4 2 2 3 2" xfId="11613"/>
    <cellStyle name="Comma 3 4 2 2 3 2 2" xfId="18152"/>
    <cellStyle name="Comma 3 4 2 2 3 3" xfId="15300"/>
    <cellStyle name="Comma 3 4 2 2 4" xfId="6497"/>
    <cellStyle name="Comma 3 4 2 2 4 2" xfId="12184"/>
    <cellStyle name="Comma 3 4 2 2 4 2 2" xfId="18723"/>
    <cellStyle name="Comma 3 4 2 2 4 3" xfId="15871"/>
    <cellStyle name="Comma 3 4 2 2 5" xfId="8769"/>
    <cellStyle name="Comma 3 4 2 2 5 2" xfId="12755"/>
    <cellStyle name="Comma 3 4 2 2 5 2 2" xfId="19294"/>
    <cellStyle name="Comma 3 4 2 2 5 3" xfId="16442"/>
    <cellStyle name="Comma 3 4 2 2 6" xfId="3085"/>
    <cellStyle name="Comma 3 4 2 2 6 2" xfId="11042"/>
    <cellStyle name="Comma 3 4 2 2 6 2 2" xfId="17581"/>
    <cellStyle name="Comma 3 4 2 2 6 3" xfId="14729"/>
    <cellStyle name="Comma 3 4 2 2 7" xfId="2514"/>
    <cellStyle name="Comma 3 4 2 2 7 2" xfId="14162"/>
    <cellStyle name="Comma 3 4 2 2 8" xfId="10475"/>
    <cellStyle name="Comma 3 4 2 2 8 2" xfId="17014"/>
    <cellStyle name="Comma 3 4 2 2 9" xfId="13589"/>
    <cellStyle name="Comma 3 4 2 3" xfId="1486"/>
    <cellStyle name="Comma 3 4 2 3 2" xfId="4906"/>
    <cellStyle name="Comma 3 4 2 3 2 2" xfId="11784"/>
    <cellStyle name="Comma 3 4 2 3 2 2 2" xfId="18323"/>
    <cellStyle name="Comma 3 4 2 3 2 3" xfId="15471"/>
    <cellStyle name="Comma 3 4 2 3 3" xfId="7178"/>
    <cellStyle name="Comma 3 4 2 3 3 2" xfId="12355"/>
    <cellStyle name="Comma 3 4 2 3 3 2 2" xfId="18894"/>
    <cellStyle name="Comma 3 4 2 3 3 3" xfId="16042"/>
    <cellStyle name="Comma 3 4 2 3 4" xfId="9450"/>
    <cellStyle name="Comma 3 4 2 3 4 2" xfId="12926"/>
    <cellStyle name="Comma 3 4 2 3 4 2 2" xfId="19465"/>
    <cellStyle name="Comma 3 4 2 3 4 3" xfId="16613"/>
    <cellStyle name="Comma 3 4 2 3 5" xfId="3256"/>
    <cellStyle name="Comma 3 4 2 3 5 2" xfId="11213"/>
    <cellStyle name="Comma 3 4 2 3 5 2 2" xfId="17752"/>
    <cellStyle name="Comma 3 4 2 3 5 3" xfId="14900"/>
    <cellStyle name="Comma 3 4 2 3 6" xfId="2682"/>
    <cellStyle name="Comma 3 4 2 3 6 2" xfId="14330"/>
    <cellStyle name="Comma 3 4 2 3 7" xfId="10643"/>
    <cellStyle name="Comma 3 4 2 3 7 2" xfId="17182"/>
    <cellStyle name="Comma 3 4 2 3 8" xfId="13760"/>
    <cellStyle name="Comma 3 4 2 3 9" xfId="20314"/>
    <cellStyle name="Comma 3 4 2 4" xfId="3771"/>
    <cellStyle name="Comma 3 4 2 4 2" xfId="11499"/>
    <cellStyle name="Comma 3 4 2 4 2 2" xfId="18038"/>
    <cellStyle name="Comma 3 4 2 4 3" xfId="15186"/>
    <cellStyle name="Comma 3 4 2 5" xfId="6043"/>
    <cellStyle name="Comma 3 4 2 5 2" xfId="12070"/>
    <cellStyle name="Comma 3 4 2 5 2 2" xfId="18609"/>
    <cellStyle name="Comma 3 4 2 5 3" xfId="15757"/>
    <cellStyle name="Comma 3 4 2 6" xfId="8315"/>
    <cellStyle name="Comma 3 4 2 6 2" xfId="12641"/>
    <cellStyle name="Comma 3 4 2 6 2 2" xfId="19180"/>
    <cellStyle name="Comma 3 4 2 6 3" xfId="16328"/>
    <cellStyle name="Comma 3 4 2 7" xfId="2971"/>
    <cellStyle name="Comma 3 4 2 7 2" xfId="10928"/>
    <cellStyle name="Comma 3 4 2 7 2 2" xfId="17467"/>
    <cellStyle name="Comma 3 4 2 7 3" xfId="14615"/>
    <cellStyle name="Comma 3 4 2 8" xfId="2402"/>
    <cellStyle name="Comma 3 4 2 8 2" xfId="14050"/>
    <cellStyle name="Comma 3 4 2 9" xfId="10363"/>
    <cellStyle name="Comma 3 4 2 9 2" xfId="16902"/>
    <cellStyle name="Comma 3 4 3" xfId="1032"/>
    <cellStyle name="Comma 3 4 3 10" xfId="20078"/>
    <cellStyle name="Comma 3 4 3 2" xfId="2167"/>
    <cellStyle name="Comma 3 4 3 2 2" xfId="5587"/>
    <cellStyle name="Comma 3 4 3 2 2 2" xfId="11955"/>
    <cellStyle name="Comma 3 4 3 2 2 2 2" xfId="18494"/>
    <cellStyle name="Comma 3 4 3 2 2 3" xfId="15642"/>
    <cellStyle name="Comma 3 4 3 2 3" xfId="7859"/>
    <cellStyle name="Comma 3 4 3 2 3 2" xfId="12526"/>
    <cellStyle name="Comma 3 4 3 2 3 2 2" xfId="19065"/>
    <cellStyle name="Comma 3 4 3 2 3 3" xfId="16213"/>
    <cellStyle name="Comma 3 4 3 2 4" xfId="10131"/>
    <cellStyle name="Comma 3 4 3 2 4 2" xfId="13097"/>
    <cellStyle name="Comma 3 4 3 2 4 2 2" xfId="19636"/>
    <cellStyle name="Comma 3 4 3 2 4 3" xfId="16784"/>
    <cellStyle name="Comma 3 4 3 2 5" xfId="3427"/>
    <cellStyle name="Comma 3 4 3 2 5 2" xfId="11384"/>
    <cellStyle name="Comma 3 4 3 2 5 2 2" xfId="17923"/>
    <cellStyle name="Comma 3 4 3 2 5 3" xfId="15071"/>
    <cellStyle name="Comma 3 4 3 2 6" xfId="2850"/>
    <cellStyle name="Comma 3 4 3 2 6 2" xfId="14498"/>
    <cellStyle name="Comma 3 4 3 2 7" xfId="10811"/>
    <cellStyle name="Comma 3 4 3 2 7 2" xfId="17350"/>
    <cellStyle name="Comma 3 4 3 2 8" xfId="13931"/>
    <cellStyle name="Comma 3 4 3 2 9" xfId="20242"/>
    <cellStyle name="Comma 3 4 3 3" xfId="4452"/>
    <cellStyle name="Comma 3 4 3 3 2" xfId="11670"/>
    <cellStyle name="Comma 3 4 3 3 2 2" xfId="18209"/>
    <cellStyle name="Comma 3 4 3 3 3" xfId="15357"/>
    <cellStyle name="Comma 3 4 3 3 4" xfId="20315"/>
    <cellStyle name="Comma 3 4 3 4" xfId="6724"/>
    <cellStyle name="Comma 3 4 3 4 2" xfId="12241"/>
    <cellStyle name="Comma 3 4 3 4 2 2" xfId="18780"/>
    <cellStyle name="Comma 3 4 3 4 3" xfId="15928"/>
    <cellStyle name="Comma 3 4 3 5" xfId="8996"/>
    <cellStyle name="Comma 3 4 3 5 2" xfId="12812"/>
    <cellStyle name="Comma 3 4 3 5 2 2" xfId="19351"/>
    <cellStyle name="Comma 3 4 3 5 3" xfId="16499"/>
    <cellStyle name="Comma 3 4 3 6" xfId="3142"/>
    <cellStyle name="Comma 3 4 3 6 2" xfId="11099"/>
    <cellStyle name="Comma 3 4 3 6 2 2" xfId="17638"/>
    <cellStyle name="Comma 3 4 3 6 3" xfId="14786"/>
    <cellStyle name="Comma 3 4 3 7" xfId="2570"/>
    <cellStyle name="Comma 3 4 3 7 2" xfId="14218"/>
    <cellStyle name="Comma 3 4 3 8" xfId="10531"/>
    <cellStyle name="Comma 3 4 3 8 2" xfId="17070"/>
    <cellStyle name="Comma 3 4 3 9" xfId="13646"/>
    <cellStyle name="Comma 3 4 4" xfId="578"/>
    <cellStyle name="Comma 3 4 4 10" xfId="20240"/>
    <cellStyle name="Comma 3 4 4 2" xfId="1713"/>
    <cellStyle name="Comma 3 4 4 2 2" xfId="5133"/>
    <cellStyle name="Comma 3 4 4 2 2 2" xfId="11841"/>
    <cellStyle name="Comma 3 4 4 2 2 2 2" xfId="18380"/>
    <cellStyle name="Comma 3 4 4 2 2 3" xfId="15528"/>
    <cellStyle name="Comma 3 4 4 2 3" xfId="7405"/>
    <cellStyle name="Comma 3 4 4 2 3 2" xfId="12412"/>
    <cellStyle name="Comma 3 4 4 2 3 2 2" xfId="18951"/>
    <cellStyle name="Comma 3 4 4 2 3 3" xfId="16099"/>
    <cellStyle name="Comma 3 4 4 2 4" xfId="9677"/>
    <cellStyle name="Comma 3 4 4 2 4 2" xfId="12983"/>
    <cellStyle name="Comma 3 4 4 2 4 2 2" xfId="19522"/>
    <cellStyle name="Comma 3 4 4 2 4 3" xfId="16670"/>
    <cellStyle name="Comma 3 4 4 2 5" xfId="3313"/>
    <cellStyle name="Comma 3 4 4 2 5 2" xfId="11270"/>
    <cellStyle name="Comma 3 4 4 2 5 2 2" xfId="17809"/>
    <cellStyle name="Comma 3 4 4 2 5 3" xfId="14957"/>
    <cellStyle name="Comma 3 4 4 2 6" xfId="2738"/>
    <cellStyle name="Comma 3 4 4 2 6 2" xfId="14386"/>
    <cellStyle name="Comma 3 4 4 2 7" xfId="10699"/>
    <cellStyle name="Comma 3 4 4 2 7 2" xfId="17238"/>
    <cellStyle name="Comma 3 4 4 2 8" xfId="13817"/>
    <cellStyle name="Comma 3 4 4 3" xfId="3998"/>
    <cellStyle name="Comma 3 4 4 3 2" xfId="11556"/>
    <cellStyle name="Comma 3 4 4 3 2 2" xfId="18095"/>
    <cellStyle name="Comma 3 4 4 3 3" xfId="15243"/>
    <cellStyle name="Comma 3 4 4 4" xfId="6270"/>
    <cellStyle name="Comma 3 4 4 4 2" xfId="12127"/>
    <cellStyle name="Comma 3 4 4 4 2 2" xfId="18666"/>
    <cellStyle name="Comma 3 4 4 4 3" xfId="15814"/>
    <cellStyle name="Comma 3 4 4 5" xfId="8542"/>
    <cellStyle name="Comma 3 4 4 5 2" xfId="12698"/>
    <cellStyle name="Comma 3 4 4 5 2 2" xfId="19237"/>
    <cellStyle name="Comma 3 4 4 5 3" xfId="16385"/>
    <cellStyle name="Comma 3 4 4 6" xfId="3028"/>
    <cellStyle name="Comma 3 4 4 6 2" xfId="10985"/>
    <cellStyle name="Comma 3 4 4 6 2 2" xfId="17524"/>
    <cellStyle name="Comma 3 4 4 6 3" xfId="14672"/>
    <cellStyle name="Comma 3 4 4 7" xfId="2458"/>
    <cellStyle name="Comma 3 4 4 7 2" xfId="14106"/>
    <cellStyle name="Comma 3 4 4 8" xfId="10419"/>
    <cellStyle name="Comma 3 4 4 8 2" xfId="16958"/>
    <cellStyle name="Comma 3 4 4 9" xfId="13532"/>
    <cellStyle name="Comma 3 4 5" xfId="1259"/>
    <cellStyle name="Comma 3 4 5 2" xfId="4679"/>
    <cellStyle name="Comma 3 4 5 2 2" xfId="11727"/>
    <cellStyle name="Comma 3 4 5 2 2 2" xfId="18266"/>
    <cellStyle name="Comma 3 4 5 2 3" xfId="15414"/>
    <cellStyle name="Comma 3 4 5 3" xfId="6951"/>
    <cellStyle name="Comma 3 4 5 3 2" xfId="12298"/>
    <cellStyle name="Comma 3 4 5 3 2 2" xfId="18837"/>
    <cellStyle name="Comma 3 4 5 3 3" xfId="15985"/>
    <cellStyle name="Comma 3 4 5 4" xfId="9223"/>
    <cellStyle name="Comma 3 4 5 4 2" xfId="12869"/>
    <cellStyle name="Comma 3 4 5 4 2 2" xfId="19408"/>
    <cellStyle name="Comma 3 4 5 4 3" xfId="16556"/>
    <cellStyle name="Comma 3 4 5 5" xfId="3199"/>
    <cellStyle name="Comma 3 4 5 5 2" xfId="11156"/>
    <cellStyle name="Comma 3 4 5 5 2 2" xfId="17695"/>
    <cellStyle name="Comma 3 4 5 5 3" xfId="14843"/>
    <cellStyle name="Comma 3 4 5 6" xfId="2626"/>
    <cellStyle name="Comma 3 4 5 6 2" xfId="14274"/>
    <cellStyle name="Comma 3 4 5 7" xfId="10587"/>
    <cellStyle name="Comma 3 4 5 7 2" xfId="17126"/>
    <cellStyle name="Comma 3 4 5 8" xfId="13703"/>
    <cellStyle name="Comma 3 4 5 9" xfId="20313"/>
    <cellStyle name="Comma 3 4 6" xfId="3544"/>
    <cellStyle name="Comma 3 4 6 2" xfId="11442"/>
    <cellStyle name="Comma 3 4 6 2 2" xfId="17981"/>
    <cellStyle name="Comma 3 4 6 3" xfId="15129"/>
    <cellStyle name="Comma 3 4 7" xfId="5816"/>
    <cellStyle name="Comma 3 4 7 2" xfId="12013"/>
    <cellStyle name="Comma 3 4 7 2 2" xfId="18552"/>
    <cellStyle name="Comma 3 4 7 3" xfId="15700"/>
    <cellStyle name="Comma 3 4 8" xfId="8088"/>
    <cellStyle name="Comma 3 4 8 2" xfId="12584"/>
    <cellStyle name="Comma 3 4 8 2 2" xfId="19123"/>
    <cellStyle name="Comma 3 4 8 3" xfId="16271"/>
    <cellStyle name="Comma 3 4 9" xfId="2911"/>
    <cellStyle name="Comma 3 4 9 2" xfId="10870"/>
    <cellStyle name="Comma 3 4 9 2 2" xfId="17409"/>
    <cellStyle name="Comma 3 4 9 3" xfId="14557"/>
    <cellStyle name="Comma 3 5" xfId="239"/>
    <cellStyle name="Comma 3 5 10" xfId="2374"/>
    <cellStyle name="Comma 3 5 10 2" xfId="14022"/>
    <cellStyle name="Comma 3 5 11" xfId="10335"/>
    <cellStyle name="Comma 3 5 11 2" xfId="16874"/>
    <cellStyle name="Comma 3 5 12" xfId="13447"/>
    <cellStyle name="Comma 3 5 13" xfId="20079"/>
    <cellStyle name="Comma 3 5 2" xfId="466"/>
    <cellStyle name="Comma 3 5 2 10" xfId="13504"/>
    <cellStyle name="Comma 3 5 2 11" xfId="20080"/>
    <cellStyle name="Comma 3 5 2 2" xfId="920"/>
    <cellStyle name="Comma 3 5 2 2 10" xfId="20244"/>
    <cellStyle name="Comma 3 5 2 2 2" xfId="2055"/>
    <cellStyle name="Comma 3 5 2 2 2 2" xfId="5475"/>
    <cellStyle name="Comma 3 5 2 2 2 2 2" xfId="11927"/>
    <cellStyle name="Comma 3 5 2 2 2 2 2 2" xfId="18466"/>
    <cellStyle name="Comma 3 5 2 2 2 2 3" xfId="15614"/>
    <cellStyle name="Comma 3 5 2 2 2 3" xfId="7747"/>
    <cellStyle name="Comma 3 5 2 2 2 3 2" xfId="12498"/>
    <cellStyle name="Comma 3 5 2 2 2 3 2 2" xfId="19037"/>
    <cellStyle name="Comma 3 5 2 2 2 3 3" xfId="16185"/>
    <cellStyle name="Comma 3 5 2 2 2 4" xfId="10019"/>
    <cellStyle name="Comma 3 5 2 2 2 4 2" xfId="13069"/>
    <cellStyle name="Comma 3 5 2 2 2 4 2 2" xfId="19608"/>
    <cellStyle name="Comma 3 5 2 2 2 4 3" xfId="16756"/>
    <cellStyle name="Comma 3 5 2 2 2 5" xfId="3399"/>
    <cellStyle name="Comma 3 5 2 2 2 5 2" xfId="11356"/>
    <cellStyle name="Comma 3 5 2 2 2 5 2 2" xfId="17895"/>
    <cellStyle name="Comma 3 5 2 2 2 5 3" xfId="15043"/>
    <cellStyle name="Comma 3 5 2 2 2 6" xfId="2822"/>
    <cellStyle name="Comma 3 5 2 2 2 6 2" xfId="14470"/>
    <cellStyle name="Comma 3 5 2 2 2 7" xfId="10783"/>
    <cellStyle name="Comma 3 5 2 2 2 7 2" xfId="17322"/>
    <cellStyle name="Comma 3 5 2 2 2 8" xfId="13903"/>
    <cellStyle name="Comma 3 5 2 2 3" xfId="4340"/>
    <cellStyle name="Comma 3 5 2 2 3 2" xfId="11642"/>
    <cellStyle name="Comma 3 5 2 2 3 2 2" xfId="18181"/>
    <cellStyle name="Comma 3 5 2 2 3 3" xfId="15329"/>
    <cellStyle name="Comma 3 5 2 2 4" xfId="6612"/>
    <cellStyle name="Comma 3 5 2 2 4 2" xfId="12213"/>
    <cellStyle name="Comma 3 5 2 2 4 2 2" xfId="18752"/>
    <cellStyle name="Comma 3 5 2 2 4 3" xfId="15900"/>
    <cellStyle name="Comma 3 5 2 2 5" xfId="8884"/>
    <cellStyle name="Comma 3 5 2 2 5 2" xfId="12784"/>
    <cellStyle name="Comma 3 5 2 2 5 2 2" xfId="19323"/>
    <cellStyle name="Comma 3 5 2 2 5 3" xfId="16471"/>
    <cellStyle name="Comma 3 5 2 2 6" xfId="3114"/>
    <cellStyle name="Comma 3 5 2 2 6 2" xfId="11071"/>
    <cellStyle name="Comma 3 5 2 2 6 2 2" xfId="17610"/>
    <cellStyle name="Comma 3 5 2 2 6 3" xfId="14758"/>
    <cellStyle name="Comma 3 5 2 2 7" xfId="2542"/>
    <cellStyle name="Comma 3 5 2 2 7 2" xfId="14190"/>
    <cellStyle name="Comma 3 5 2 2 8" xfId="10503"/>
    <cellStyle name="Comma 3 5 2 2 8 2" xfId="17042"/>
    <cellStyle name="Comma 3 5 2 2 9" xfId="13618"/>
    <cellStyle name="Comma 3 5 2 3" xfId="1601"/>
    <cellStyle name="Comma 3 5 2 3 2" xfId="5021"/>
    <cellStyle name="Comma 3 5 2 3 2 2" xfId="11813"/>
    <cellStyle name="Comma 3 5 2 3 2 2 2" xfId="18352"/>
    <cellStyle name="Comma 3 5 2 3 2 3" xfId="15500"/>
    <cellStyle name="Comma 3 5 2 3 3" xfId="7293"/>
    <cellStyle name="Comma 3 5 2 3 3 2" xfId="12384"/>
    <cellStyle name="Comma 3 5 2 3 3 2 2" xfId="18923"/>
    <cellStyle name="Comma 3 5 2 3 3 3" xfId="16071"/>
    <cellStyle name="Comma 3 5 2 3 4" xfId="9565"/>
    <cellStyle name="Comma 3 5 2 3 4 2" xfId="12955"/>
    <cellStyle name="Comma 3 5 2 3 4 2 2" xfId="19494"/>
    <cellStyle name="Comma 3 5 2 3 4 3" xfId="16642"/>
    <cellStyle name="Comma 3 5 2 3 5" xfId="3285"/>
    <cellStyle name="Comma 3 5 2 3 5 2" xfId="11242"/>
    <cellStyle name="Comma 3 5 2 3 5 2 2" xfId="17781"/>
    <cellStyle name="Comma 3 5 2 3 5 3" xfId="14929"/>
    <cellStyle name="Comma 3 5 2 3 6" xfId="2710"/>
    <cellStyle name="Comma 3 5 2 3 6 2" xfId="14358"/>
    <cellStyle name="Comma 3 5 2 3 7" xfId="10671"/>
    <cellStyle name="Comma 3 5 2 3 7 2" xfId="17210"/>
    <cellStyle name="Comma 3 5 2 3 8" xfId="13789"/>
    <cellStyle name="Comma 3 5 2 3 9" xfId="20317"/>
    <cellStyle name="Comma 3 5 2 4" xfId="3886"/>
    <cellStyle name="Comma 3 5 2 4 2" xfId="11528"/>
    <cellStyle name="Comma 3 5 2 4 2 2" xfId="18067"/>
    <cellStyle name="Comma 3 5 2 4 3" xfId="15215"/>
    <cellStyle name="Comma 3 5 2 5" xfId="6158"/>
    <cellStyle name="Comma 3 5 2 5 2" xfId="12099"/>
    <cellStyle name="Comma 3 5 2 5 2 2" xfId="18638"/>
    <cellStyle name="Comma 3 5 2 5 3" xfId="15786"/>
    <cellStyle name="Comma 3 5 2 6" xfId="8430"/>
    <cellStyle name="Comma 3 5 2 6 2" xfId="12670"/>
    <cellStyle name="Comma 3 5 2 6 2 2" xfId="19209"/>
    <cellStyle name="Comma 3 5 2 6 3" xfId="16357"/>
    <cellStyle name="Comma 3 5 2 7" xfId="3000"/>
    <cellStyle name="Comma 3 5 2 7 2" xfId="10957"/>
    <cellStyle name="Comma 3 5 2 7 2 2" xfId="17496"/>
    <cellStyle name="Comma 3 5 2 7 3" xfId="14644"/>
    <cellStyle name="Comma 3 5 2 8" xfId="2430"/>
    <cellStyle name="Comma 3 5 2 8 2" xfId="14078"/>
    <cellStyle name="Comma 3 5 2 9" xfId="10391"/>
    <cellStyle name="Comma 3 5 2 9 2" xfId="16930"/>
    <cellStyle name="Comma 3 5 3" xfId="1147"/>
    <cellStyle name="Comma 3 5 3 10" xfId="20081"/>
    <cellStyle name="Comma 3 5 3 2" xfId="2282"/>
    <cellStyle name="Comma 3 5 3 2 2" xfId="5702"/>
    <cellStyle name="Comma 3 5 3 2 2 2" xfId="11984"/>
    <cellStyle name="Comma 3 5 3 2 2 2 2" xfId="18523"/>
    <cellStyle name="Comma 3 5 3 2 2 3" xfId="15671"/>
    <cellStyle name="Comma 3 5 3 2 3" xfId="7974"/>
    <cellStyle name="Comma 3 5 3 2 3 2" xfId="12555"/>
    <cellStyle name="Comma 3 5 3 2 3 2 2" xfId="19094"/>
    <cellStyle name="Comma 3 5 3 2 3 3" xfId="16242"/>
    <cellStyle name="Comma 3 5 3 2 4" xfId="10246"/>
    <cellStyle name="Comma 3 5 3 2 4 2" xfId="13126"/>
    <cellStyle name="Comma 3 5 3 2 4 2 2" xfId="19665"/>
    <cellStyle name="Comma 3 5 3 2 4 3" xfId="16813"/>
    <cellStyle name="Comma 3 5 3 2 5" xfId="3456"/>
    <cellStyle name="Comma 3 5 3 2 5 2" xfId="11413"/>
    <cellStyle name="Comma 3 5 3 2 5 2 2" xfId="17952"/>
    <cellStyle name="Comma 3 5 3 2 5 3" xfId="15100"/>
    <cellStyle name="Comma 3 5 3 2 6" xfId="2878"/>
    <cellStyle name="Comma 3 5 3 2 6 2" xfId="14526"/>
    <cellStyle name="Comma 3 5 3 2 7" xfId="10839"/>
    <cellStyle name="Comma 3 5 3 2 7 2" xfId="17378"/>
    <cellStyle name="Comma 3 5 3 2 8" xfId="13960"/>
    <cellStyle name="Comma 3 5 3 2 9" xfId="20245"/>
    <cellStyle name="Comma 3 5 3 3" xfId="4567"/>
    <cellStyle name="Comma 3 5 3 3 2" xfId="11699"/>
    <cellStyle name="Comma 3 5 3 3 2 2" xfId="18238"/>
    <cellStyle name="Comma 3 5 3 3 3" xfId="15386"/>
    <cellStyle name="Comma 3 5 3 3 4" xfId="20318"/>
    <cellStyle name="Comma 3 5 3 4" xfId="6839"/>
    <cellStyle name="Comma 3 5 3 4 2" xfId="12270"/>
    <cellStyle name="Comma 3 5 3 4 2 2" xfId="18809"/>
    <cellStyle name="Comma 3 5 3 4 3" xfId="15957"/>
    <cellStyle name="Comma 3 5 3 5" xfId="9111"/>
    <cellStyle name="Comma 3 5 3 5 2" xfId="12841"/>
    <cellStyle name="Comma 3 5 3 5 2 2" xfId="19380"/>
    <cellStyle name="Comma 3 5 3 5 3" xfId="16528"/>
    <cellStyle name="Comma 3 5 3 6" xfId="3171"/>
    <cellStyle name="Comma 3 5 3 6 2" xfId="11128"/>
    <cellStyle name="Comma 3 5 3 6 2 2" xfId="17667"/>
    <cellStyle name="Comma 3 5 3 6 3" xfId="14815"/>
    <cellStyle name="Comma 3 5 3 7" xfId="2598"/>
    <cellStyle name="Comma 3 5 3 7 2" xfId="14246"/>
    <cellStyle name="Comma 3 5 3 8" xfId="10559"/>
    <cellStyle name="Comma 3 5 3 8 2" xfId="17098"/>
    <cellStyle name="Comma 3 5 3 9" xfId="13675"/>
    <cellStyle name="Comma 3 5 4" xfId="693"/>
    <cellStyle name="Comma 3 5 4 10" xfId="20243"/>
    <cellStyle name="Comma 3 5 4 2" xfId="1828"/>
    <cellStyle name="Comma 3 5 4 2 2" xfId="5248"/>
    <cellStyle name="Comma 3 5 4 2 2 2" xfId="11870"/>
    <cellStyle name="Comma 3 5 4 2 2 2 2" xfId="18409"/>
    <cellStyle name="Comma 3 5 4 2 2 3" xfId="15557"/>
    <cellStyle name="Comma 3 5 4 2 3" xfId="7520"/>
    <cellStyle name="Comma 3 5 4 2 3 2" xfId="12441"/>
    <cellStyle name="Comma 3 5 4 2 3 2 2" xfId="18980"/>
    <cellStyle name="Comma 3 5 4 2 3 3" xfId="16128"/>
    <cellStyle name="Comma 3 5 4 2 4" xfId="9792"/>
    <cellStyle name="Comma 3 5 4 2 4 2" xfId="13012"/>
    <cellStyle name="Comma 3 5 4 2 4 2 2" xfId="19551"/>
    <cellStyle name="Comma 3 5 4 2 4 3" xfId="16699"/>
    <cellStyle name="Comma 3 5 4 2 5" xfId="3342"/>
    <cellStyle name="Comma 3 5 4 2 5 2" xfId="11299"/>
    <cellStyle name="Comma 3 5 4 2 5 2 2" xfId="17838"/>
    <cellStyle name="Comma 3 5 4 2 5 3" xfId="14986"/>
    <cellStyle name="Comma 3 5 4 2 6" xfId="2766"/>
    <cellStyle name="Comma 3 5 4 2 6 2" xfId="14414"/>
    <cellStyle name="Comma 3 5 4 2 7" xfId="10727"/>
    <cellStyle name="Comma 3 5 4 2 7 2" xfId="17266"/>
    <cellStyle name="Comma 3 5 4 2 8" xfId="13846"/>
    <cellStyle name="Comma 3 5 4 3" xfId="4113"/>
    <cellStyle name="Comma 3 5 4 3 2" xfId="11585"/>
    <cellStyle name="Comma 3 5 4 3 2 2" xfId="18124"/>
    <cellStyle name="Comma 3 5 4 3 3" xfId="15272"/>
    <cellStyle name="Comma 3 5 4 4" xfId="6385"/>
    <cellStyle name="Comma 3 5 4 4 2" xfId="12156"/>
    <cellStyle name="Comma 3 5 4 4 2 2" xfId="18695"/>
    <cellStyle name="Comma 3 5 4 4 3" xfId="15843"/>
    <cellStyle name="Comma 3 5 4 5" xfId="8657"/>
    <cellStyle name="Comma 3 5 4 5 2" xfId="12727"/>
    <cellStyle name="Comma 3 5 4 5 2 2" xfId="19266"/>
    <cellStyle name="Comma 3 5 4 5 3" xfId="16414"/>
    <cellStyle name="Comma 3 5 4 6" xfId="3057"/>
    <cellStyle name="Comma 3 5 4 6 2" xfId="11014"/>
    <cellStyle name="Comma 3 5 4 6 2 2" xfId="17553"/>
    <cellStyle name="Comma 3 5 4 6 3" xfId="14701"/>
    <cellStyle name="Comma 3 5 4 7" xfId="2486"/>
    <cellStyle name="Comma 3 5 4 7 2" xfId="14134"/>
    <cellStyle name="Comma 3 5 4 8" xfId="10447"/>
    <cellStyle name="Comma 3 5 4 8 2" xfId="16986"/>
    <cellStyle name="Comma 3 5 4 9" xfId="13561"/>
    <cellStyle name="Comma 3 5 5" xfId="1374"/>
    <cellStyle name="Comma 3 5 5 2" xfId="4794"/>
    <cellStyle name="Comma 3 5 5 2 2" xfId="11756"/>
    <cellStyle name="Comma 3 5 5 2 2 2" xfId="18295"/>
    <cellStyle name="Comma 3 5 5 2 3" xfId="15443"/>
    <cellStyle name="Comma 3 5 5 3" xfId="7066"/>
    <cellStyle name="Comma 3 5 5 3 2" xfId="12327"/>
    <cellStyle name="Comma 3 5 5 3 2 2" xfId="18866"/>
    <cellStyle name="Comma 3 5 5 3 3" xfId="16014"/>
    <cellStyle name="Comma 3 5 5 4" xfId="9338"/>
    <cellStyle name="Comma 3 5 5 4 2" xfId="12898"/>
    <cellStyle name="Comma 3 5 5 4 2 2" xfId="19437"/>
    <cellStyle name="Comma 3 5 5 4 3" xfId="16585"/>
    <cellStyle name="Comma 3 5 5 5" xfId="3228"/>
    <cellStyle name="Comma 3 5 5 5 2" xfId="11185"/>
    <cellStyle name="Comma 3 5 5 5 2 2" xfId="17724"/>
    <cellStyle name="Comma 3 5 5 5 3" xfId="14872"/>
    <cellStyle name="Comma 3 5 5 6" xfId="2654"/>
    <cellStyle name="Comma 3 5 5 6 2" xfId="14302"/>
    <cellStyle name="Comma 3 5 5 7" xfId="10615"/>
    <cellStyle name="Comma 3 5 5 7 2" xfId="17154"/>
    <cellStyle name="Comma 3 5 5 8" xfId="13732"/>
    <cellStyle name="Comma 3 5 5 9" xfId="20316"/>
    <cellStyle name="Comma 3 5 6" xfId="3659"/>
    <cellStyle name="Comma 3 5 6 2" xfId="11471"/>
    <cellStyle name="Comma 3 5 6 2 2" xfId="18010"/>
    <cellStyle name="Comma 3 5 6 3" xfId="15158"/>
    <cellStyle name="Comma 3 5 7" xfId="5931"/>
    <cellStyle name="Comma 3 5 7 2" xfId="12042"/>
    <cellStyle name="Comma 3 5 7 2 2" xfId="18581"/>
    <cellStyle name="Comma 3 5 7 3" xfId="15729"/>
    <cellStyle name="Comma 3 5 8" xfId="8203"/>
    <cellStyle name="Comma 3 5 8 2" xfId="12613"/>
    <cellStyle name="Comma 3 5 8 2 2" xfId="19152"/>
    <cellStyle name="Comma 3 5 8 3" xfId="16300"/>
    <cellStyle name="Comma 3 5 9" xfId="2943"/>
    <cellStyle name="Comma 3 5 9 2" xfId="10900"/>
    <cellStyle name="Comma 3 5 9 2 2" xfId="17439"/>
    <cellStyle name="Comma 3 5 9 3" xfId="14587"/>
    <cellStyle name="Comma 3 6" xfId="295"/>
    <cellStyle name="Comma 3 6 10" xfId="13461"/>
    <cellStyle name="Comma 3 6 11" xfId="20082"/>
    <cellStyle name="Comma 3 6 2" xfId="749"/>
    <cellStyle name="Comma 3 6 2 10" xfId="20083"/>
    <cellStyle name="Comma 3 6 2 2" xfId="1884"/>
    <cellStyle name="Comma 3 6 2 2 2" xfId="5304"/>
    <cellStyle name="Comma 3 6 2 2 2 2" xfId="11884"/>
    <cellStyle name="Comma 3 6 2 2 2 2 2" xfId="18423"/>
    <cellStyle name="Comma 3 6 2 2 2 3" xfId="15571"/>
    <cellStyle name="Comma 3 6 2 2 3" xfId="7576"/>
    <cellStyle name="Comma 3 6 2 2 3 2" xfId="12455"/>
    <cellStyle name="Comma 3 6 2 2 3 2 2" xfId="18994"/>
    <cellStyle name="Comma 3 6 2 2 3 3" xfId="16142"/>
    <cellStyle name="Comma 3 6 2 2 4" xfId="9848"/>
    <cellStyle name="Comma 3 6 2 2 4 2" xfId="13026"/>
    <cellStyle name="Comma 3 6 2 2 4 2 2" xfId="19565"/>
    <cellStyle name="Comma 3 6 2 2 4 3" xfId="16713"/>
    <cellStyle name="Comma 3 6 2 2 5" xfId="3356"/>
    <cellStyle name="Comma 3 6 2 2 5 2" xfId="11313"/>
    <cellStyle name="Comma 3 6 2 2 5 2 2" xfId="17852"/>
    <cellStyle name="Comma 3 6 2 2 5 3" xfId="15000"/>
    <cellStyle name="Comma 3 6 2 2 6" xfId="2780"/>
    <cellStyle name="Comma 3 6 2 2 6 2" xfId="14428"/>
    <cellStyle name="Comma 3 6 2 2 7" xfId="10741"/>
    <cellStyle name="Comma 3 6 2 2 7 2" xfId="17280"/>
    <cellStyle name="Comma 3 6 2 2 8" xfId="13860"/>
    <cellStyle name="Comma 3 6 2 2 9" xfId="20247"/>
    <cellStyle name="Comma 3 6 2 3" xfId="4169"/>
    <cellStyle name="Comma 3 6 2 3 2" xfId="11599"/>
    <cellStyle name="Comma 3 6 2 3 2 2" xfId="18138"/>
    <cellStyle name="Comma 3 6 2 3 3" xfId="15286"/>
    <cellStyle name="Comma 3 6 2 3 4" xfId="20320"/>
    <cellStyle name="Comma 3 6 2 4" xfId="6441"/>
    <cellStyle name="Comma 3 6 2 4 2" xfId="12170"/>
    <cellStyle name="Comma 3 6 2 4 2 2" xfId="18709"/>
    <cellStyle name="Comma 3 6 2 4 3" xfId="15857"/>
    <cellStyle name="Comma 3 6 2 5" xfId="8713"/>
    <cellStyle name="Comma 3 6 2 5 2" xfId="12741"/>
    <cellStyle name="Comma 3 6 2 5 2 2" xfId="19280"/>
    <cellStyle name="Comma 3 6 2 5 3" xfId="16428"/>
    <cellStyle name="Comma 3 6 2 6" xfId="3071"/>
    <cellStyle name="Comma 3 6 2 6 2" xfId="11028"/>
    <cellStyle name="Comma 3 6 2 6 2 2" xfId="17567"/>
    <cellStyle name="Comma 3 6 2 6 3" xfId="14715"/>
    <cellStyle name="Comma 3 6 2 7" xfId="2500"/>
    <cellStyle name="Comma 3 6 2 7 2" xfId="14148"/>
    <cellStyle name="Comma 3 6 2 8" xfId="10461"/>
    <cellStyle name="Comma 3 6 2 8 2" xfId="17000"/>
    <cellStyle name="Comma 3 6 2 9" xfId="13575"/>
    <cellStyle name="Comma 3 6 3" xfId="1430"/>
    <cellStyle name="Comma 3 6 3 2" xfId="4850"/>
    <cellStyle name="Comma 3 6 3 2 2" xfId="11770"/>
    <cellStyle name="Comma 3 6 3 2 2 2" xfId="18309"/>
    <cellStyle name="Comma 3 6 3 2 3" xfId="15457"/>
    <cellStyle name="Comma 3 6 3 2 4" xfId="20248"/>
    <cellStyle name="Comma 3 6 3 3" xfId="7122"/>
    <cellStyle name="Comma 3 6 3 3 2" xfId="12341"/>
    <cellStyle name="Comma 3 6 3 3 2 2" xfId="18880"/>
    <cellStyle name="Comma 3 6 3 3 3" xfId="16028"/>
    <cellStyle name="Comma 3 6 3 3 4" xfId="20321"/>
    <cellStyle name="Comma 3 6 3 4" xfId="9394"/>
    <cellStyle name="Comma 3 6 3 4 2" xfId="12912"/>
    <cellStyle name="Comma 3 6 3 4 2 2" xfId="19451"/>
    <cellStyle name="Comma 3 6 3 4 3" xfId="16599"/>
    <cellStyle name="Comma 3 6 3 5" xfId="3242"/>
    <cellStyle name="Comma 3 6 3 5 2" xfId="11199"/>
    <cellStyle name="Comma 3 6 3 5 2 2" xfId="17738"/>
    <cellStyle name="Comma 3 6 3 5 3" xfId="14886"/>
    <cellStyle name="Comma 3 6 3 6" xfId="2668"/>
    <cellStyle name="Comma 3 6 3 6 2" xfId="14316"/>
    <cellStyle name="Comma 3 6 3 7" xfId="10629"/>
    <cellStyle name="Comma 3 6 3 7 2" xfId="17168"/>
    <cellStyle name="Comma 3 6 3 8" xfId="13746"/>
    <cellStyle name="Comma 3 6 3 9" xfId="20084"/>
    <cellStyle name="Comma 3 6 4" xfId="3715"/>
    <cellStyle name="Comma 3 6 4 2" xfId="11485"/>
    <cellStyle name="Comma 3 6 4 2 2" xfId="18024"/>
    <cellStyle name="Comma 3 6 4 3" xfId="15172"/>
    <cellStyle name="Comma 3 6 4 4" xfId="20246"/>
    <cellStyle name="Comma 3 6 5" xfId="5987"/>
    <cellStyle name="Comma 3 6 5 2" xfId="12056"/>
    <cellStyle name="Comma 3 6 5 2 2" xfId="18595"/>
    <cellStyle name="Comma 3 6 5 3" xfId="15743"/>
    <cellStyle name="Comma 3 6 5 4" xfId="20319"/>
    <cellStyle name="Comma 3 6 6" xfId="8259"/>
    <cellStyle name="Comma 3 6 6 2" xfId="12627"/>
    <cellStyle name="Comma 3 6 6 2 2" xfId="19166"/>
    <cellStyle name="Comma 3 6 6 3" xfId="16314"/>
    <cellStyle name="Comma 3 6 7" xfId="2957"/>
    <cellStyle name="Comma 3 6 7 2" xfId="10914"/>
    <cellStyle name="Comma 3 6 7 2 2" xfId="17453"/>
    <cellStyle name="Comma 3 6 7 3" xfId="14601"/>
    <cellStyle name="Comma 3 6 8" xfId="2388"/>
    <cellStyle name="Comma 3 6 8 2" xfId="14036"/>
    <cellStyle name="Comma 3 6 9" xfId="10349"/>
    <cellStyle name="Comma 3 6 9 2" xfId="16888"/>
    <cellStyle name="Comma 3 7" xfId="976"/>
    <cellStyle name="Comma 3 7 10" xfId="20085"/>
    <cellStyle name="Comma 3 7 2" xfId="2111"/>
    <cellStyle name="Comma 3 7 2 2" xfId="5531"/>
    <cellStyle name="Comma 3 7 2 2 2" xfId="11941"/>
    <cellStyle name="Comma 3 7 2 2 2 2" xfId="18480"/>
    <cellStyle name="Comma 3 7 2 2 3" xfId="15628"/>
    <cellStyle name="Comma 3 7 2 2 4" xfId="20250"/>
    <cellStyle name="Comma 3 7 2 3" xfId="7803"/>
    <cellStyle name="Comma 3 7 2 3 2" xfId="12512"/>
    <cellStyle name="Comma 3 7 2 3 2 2" xfId="19051"/>
    <cellStyle name="Comma 3 7 2 3 3" xfId="16199"/>
    <cellStyle name="Comma 3 7 2 3 4" xfId="20323"/>
    <cellStyle name="Comma 3 7 2 4" xfId="10075"/>
    <cellStyle name="Comma 3 7 2 4 2" xfId="13083"/>
    <cellStyle name="Comma 3 7 2 4 2 2" xfId="19622"/>
    <cellStyle name="Comma 3 7 2 4 3" xfId="16770"/>
    <cellStyle name="Comma 3 7 2 5" xfId="3413"/>
    <cellStyle name="Comma 3 7 2 5 2" xfId="11370"/>
    <cellStyle name="Comma 3 7 2 5 2 2" xfId="17909"/>
    <cellStyle name="Comma 3 7 2 5 3" xfId="15057"/>
    <cellStyle name="Comma 3 7 2 6" xfId="2836"/>
    <cellStyle name="Comma 3 7 2 6 2" xfId="14484"/>
    <cellStyle name="Comma 3 7 2 7" xfId="10797"/>
    <cellStyle name="Comma 3 7 2 7 2" xfId="17336"/>
    <cellStyle name="Comma 3 7 2 8" xfId="13917"/>
    <cellStyle name="Comma 3 7 2 9" xfId="20086"/>
    <cellStyle name="Comma 3 7 3" xfId="4396"/>
    <cellStyle name="Comma 3 7 3 2" xfId="11656"/>
    <cellStyle name="Comma 3 7 3 2 2" xfId="18195"/>
    <cellStyle name="Comma 3 7 3 2 3" xfId="20251"/>
    <cellStyle name="Comma 3 7 3 3" xfId="15343"/>
    <cellStyle name="Comma 3 7 3 3 2" xfId="20324"/>
    <cellStyle name="Comma 3 7 3 4" xfId="20087"/>
    <cellStyle name="Comma 3 7 4" xfId="6668"/>
    <cellStyle name="Comma 3 7 4 2" xfId="12227"/>
    <cellStyle name="Comma 3 7 4 2 2" xfId="18766"/>
    <cellStyle name="Comma 3 7 4 3" xfId="15914"/>
    <cellStyle name="Comma 3 7 4 4" xfId="20249"/>
    <cellStyle name="Comma 3 7 5" xfId="8940"/>
    <cellStyle name="Comma 3 7 5 2" xfId="12798"/>
    <cellStyle name="Comma 3 7 5 2 2" xfId="19337"/>
    <cellStyle name="Comma 3 7 5 3" xfId="16485"/>
    <cellStyle name="Comma 3 7 5 4" xfId="20322"/>
    <cellStyle name="Comma 3 7 6" xfId="3128"/>
    <cellStyle name="Comma 3 7 6 2" xfId="11085"/>
    <cellStyle name="Comma 3 7 6 2 2" xfId="17624"/>
    <cellStyle name="Comma 3 7 6 3" xfId="14772"/>
    <cellStyle name="Comma 3 7 7" xfId="2556"/>
    <cellStyle name="Comma 3 7 7 2" xfId="14204"/>
    <cellStyle name="Comma 3 7 8" xfId="10517"/>
    <cellStyle name="Comma 3 7 8 2" xfId="17056"/>
    <cellStyle name="Comma 3 7 9" xfId="13632"/>
    <cellStyle name="Comma 3 8" xfId="522"/>
    <cellStyle name="Comma 3 8 10" xfId="20088"/>
    <cellStyle name="Comma 3 8 2" xfId="1657"/>
    <cellStyle name="Comma 3 8 2 2" xfId="5077"/>
    <cellStyle name="Comma 3 8 2 2 2" xfId="11827"/>
    <cellStyle name="Comma 3 8 2 2 2 2" xfId="18366"/>
    <cellStyle name="Comma 3 8 2 2 3" xfId="15514"/>
    <cellStyle name="Comma 3 8 2 3" xfId="7349"/>
    <cellStyle name="Comma 3 8 2 3 2" xfId="12398"/>
    <cellStyle name="Comma 3 8 2 3 2 2" xfId="18937"/>
    <cellStyle name="Comma 3 8 2 3 3" xfId="16085"/>
    <cellStyle name="Comma 3 8 2 4" xfId="9621"/>
    <cellStyle name="Comma 3 8 2 4 2" xfId="12969"/>
    <cellStyle name="Comma 3 8 2 4 2 2" xfId="19508"/>
    <cellStyle name="Comma 3 8 2 4 3" xfId="16656"/>
    <cellStyle name="Comma 3 8 2 5" xfId="3299"/>
    <cellStyle name="Comma 3 8 2 5 2" xfId="11256"/>
    <cellStyle name="Comma 3 8 2 5 2 2" xfId="17795"/>
    <cellStyle name="Comma 3 8 2 5 3" xfId="14943"/>
    <cellStyle name="Comma 3 8 2 6" xfId="2724"/>
    <cellStyle name="Comma 3 8 2 6 2" xfId="14372"/>
    <cellStyle name="Comma 3 8 2 7" xfId="10685"/>
    <cellStyle name="Comma 3 8 2 7 2" xfId="17224"/>
    <cellStyle name="Comma 3 8 2 8" xfId="13803"/>
    <cellStyle name="Comma 3 8 2 9" xfId="20252"/>
    <cellStyle name="Comma 3 8 3" xfId="3942"/>
    <cellStyle name="Comma 3 8 3 2" xfId="11542"/>
    <cellStyle name="Comma 3 8 3 2 2" xfId="18081"/>
    <cellStyle name="Comma 3 8 3 3" xfId="15229"/>
    <cellStyle name="Comma 3 8 3 4" xfId="20325"/>
    <cellStyle name="Comma 3 8 4" xfId="6214"/>
    <cellStyle name="Comma 3 8 4 2" xfId="12113"/>
    <cellStyle name="Comma 3 8 4 2 2" xfId="18652"/>
    <cellStyle name="Comma 3 8 4 3" xfId="15800"/>
    <cellStyle name="Comma 3 8 5" xfId="8486"/>
    <cellStyle name="Comma 3 8 5 2" xfId="12684"/>
    <cellStyle name="Comma 3 8 5 2 2" xfId="19223"/>
    <cellStyle name="Comma 3 8 5 3" xfId="16371"/>
    <cellStyle name="Comma 3 8 6" xfId="3014"/>
    <cellStyle name="Comma 3 8 6 2" xfId="10971"/>
    <cellStyle name="Comma 3 8 6 2 2" xfId="17510"/>
    <cellStyle name="Comma 3 8 6 3" xfId="14658"/>
    <cellStyle name="Comma 3 8 7" xfId="2444"/>
    <cellStyle name="Comma 3 8 7 2" xfId="14092"/>
    <cellStyle name="Comma 3 8 8" xfId="10405"/>
    <cellStyle name="Comma 3 8 8 2" xfId="16944"/>
    <cellStyle name="Comma 3 8 9" xfId="13518"/>
    <cellStyle name="Comma 3 9" xfId="1203"/>
    <cellStyle name="Comma 3 9 2" xfId="4623"/>
    <cellStyle name="Comma 3 9 2 2" xfId="11713"/>
    <cellStyle name="Comma 3 9 2 2 2" xfId="18252"/>
    <cellStyle name="Comma 3 9 2 3" xfId="15400"/>
    <cellStyle name="Comma 3 9 2 4" xfId="20253"/>
    <cellStyle name="Comma 3 9 3" xfId="6895"/>
    <cellStyle name="Comma 3 9 3 2" xfId="12284"/>
    <cellStyle name="Comma 3 9 3 2 2" xfId="18823"/>
    <cellStyle name="Comma 3 9 3 3" xfId="15971"/>
    <cellStyle name="Comma 3 9 3 4" xfId="20326"/>
    <cellStyle name="Comma 3 9 4" xfId="9167"/>
    <cellStyle name="Comma 3 9 4 2" xfId="12855"/>
    <cellStyle name="Comma 3 9 4 2 2" xfId="19394"/>
    <cellStyle name="Comma 3 9 4 3" xfId="16542"/>
    <cellStyle name="Comma 3 9 5" xfId="3185"/>
    <cellStyle name="Comma 3 9 5 2" xfId="11142"/>
    <cellStyle name="Comma 3 9 5 2 2" xfId="17681"/>
    <cellStyle name="Comma 3 9 5 3" xfId="14829"/>
    <cellStyle name="Comma 3 9 6" xfId="2612"/>
    <cellStyle name="Comma 3 9 6 2" xfId="14260"/>
    <cellStyle name="Comma 3 9 7" xfId="10573"/>
    <cellStyle name="Comma 3 9 7 2" xfId="17112"/>
    <cellStyle name="Comma 3 9 8" xfId="13689"/>
    <cellStyle name="Comma 3 9 9" xfId="20089"/>
    <cellStyle name="Comma 30" xfId="13217"/>
    <cellStyle name="Comma 30 2" xfId="19726"/>
    <cellStyle name="Comma 30 3" xfId="19821"/>
    <cellStyle name="Comma 31" xfId="13218"/>
    <cellStyle name="Comma 31 2" xfId="19727"/>
    <cellStyle name="Comma 32" xfId="13219"/>
    <cellStyle name="Comma 32 2" xfId="19728"/>
    <cellStyle name="Comma 32 3" xfId="19822"/>
    <cellStyle name="Comma 33" xfId="13220"/>
    <cellStyle name="Comma 33 2" xfId="19729"/>
    <cellStyle name="Comma 33 3" xfId="19823"/>
    <cellStyle name="Comma 34" xfId="13221"/>
    <cellStyle name="Comma 34 2" xfId="19730"/>
    <cellStyle name="Comma 34 3" xfId="19824"/>
    <cellStyle name="Comma 35" xfId="13222"/>
    <cellStyle name="Comma 35 2" xfId="19731"/>
    <cellStyle name="Comma 35 3" xfId="19825"/>
    <cellStyle name="Comma 36" xfId="13223"/>
    <cellStyle name="Comma 36 2" xfId="19732"/>
    <cellStyle name="Comma 36 3" xfId="19826"/>
    <cellStyle name="Comma 37" xfId="13224"/>
    <cellStyle name="Comma 37 2" xfId="19733"/>
    <cellStyle name="Comma 37 3" xfId="19827"/>
    <cellStyle name="Comma 38" xfId="13225"/>
    <cellStyle name="Comma 38 2" xfId="19734"/>
    <cellStyle name="Comma 38 3" xfId="19828"/>
    <cellStyle name="Comma 39" xfId="13226"/>
    <cellStyle name="Comma 39 2" xfId="19735"/>
    <cellStyle name="Comma 39 3" xfId="19829"/>
    <cellStyle name="Comma 4" xfId="57"/>
    <cellStyle name="Comma 4 10" xfId="3490"/>
    <cellStyle name="Comma 4 10 2" xfId="11429"/>
    <cellStyle name="Comma 4 10 2 2" xfId="17968"/>
    <cellStyle name="Comma 4 10 3" xfId="15116"/>
    <cellStyle name="Comma 4 11" xfId="5762"/>
    <cellStyle name="Comma 4 11 2" xfId="12000"/>
    <cellStyle name="Comma 4 11 2 2" xfId="18539"/>
    <cellStyle name="Comma 4 11 3" xfId="15687"/>
    <cellStyle name="Comma 4 12" xfId="8034"/>
    <cellStyle name="Comma 4 12 2" xfId="12571"/>
    <cellStyle name="Comma 4 12 2 2" xfId="19110"/>
    <cellStyle name="Comma 4 12 3" xfId="16258"/>
    <cellStyle name="Comma 4 13" xfId="2896"/>
    <cellStyle name="Comma 4 13 2" xfId="10856"/>
    <cellStyle name="Comma 4 13 2 2" xfId="17395"/>
    <cellStyle name="Comma 4 13 3" xfId="14543"/>
    <cellStyle name="Comma 4 14" xfId="2331"/>
    <cellStyle name="Comma 4 14 2" xfId="13979"/>
    <cellStyle name="Comma 4 15" xfId="10292"/>
    <cellStyle name="Comma 4 15 2" xfId="16831"/>
    <cellStyle name="Comma 4 16" xfId="13155"/>
    <cellStyle name="Comma 4 16 2" xfId="19684"/>
    <cellStyle name="Comma 4 17" xfId="13176"/>
    <cellStyle name="Comma 4 17 2" xfId="19687"/>
    <cellStyle name="Comma 4 18" xfId="13227"/>
    <cellStyle name="Comma 4 18 2" xfId="19736"/>
    <cellStyle name="Comma 4 19" xfId="13403"/>
    <cellStyle name="Comma 4 2" xfId="87"/>
    <cellStyle name="Comma 4 2 10" xfId="5790"/>
    <cellStyle name="Comma 4 2 10 2" xfId="12007"/>
    <cellStyle name="Comma 4 2 10 2 2" xfId="18546"/>
    <cellStyle name="Comma 4 2 10 3" xfId="15694"/>
    <cellStyle name="Comma 4 2 11" xfId="8062"/>
    <cellStyle name="Comma 4 2 11 2" xfId="12578"/>
    <cellStyle name="Comma 4 2 11 2 2" xfId="19117"/>
    <cellStyle name="Comma 4 2 11 3" xfId="16265"/>
    <cellStyle name="Comma 4 2 12" xfId="2905"/>
    <cellStyle name="Comma 4 2 12 2" xfId="10864"/>
    <cellStyle name="Comma 4 2 12 2 2" xfId="17403"/>
    <cellStyle name="Comma 4 2 12 3" xfId="14551"/>
    <cellStyle name="Comma 4 2 13" xfId="2339"/>
    <cellStyle name="Comma 4 2 13 2" xfId="13987"/>
    <cellStyle name="Comma 4 2 14" xfId="10300"/>
    <cellStyle name="Comma 4 2 14 2" xfId="16839"/>
    <cellStyle name="Comma 4 2 15" xfId="13228"/>
    <cellStyle name="Comma 4 2 15 2" xfId="19737"/>
    <cellStyle name="Comma 4 2 16" xfId="13411"/>
    <cellStyle name="Comma 4 2 17" xfId="19831"/>
    <cellStyle name="Comma 4 2 18" xfId="20091"/>
    <cellStyle name="Comma 4 2 2" xfId="199"/>
    <cellStyle name="Comma 4 2 2 10" xfId="2367"/>
    <cellStyle name="Comma 4 2 2 10 2" xfId="14015"/>
    <cellStyle name="Comma 4 2 2 11" xfId="10328"/>
    <cellStyle name="Comma 4 2 2 11 2" xfId="16867"/>
    <cellStyle name="Comma 4 2 2 12" xfId="13439"/>
    <cellStyle name="Comma 4 2 2 13" xfId="20255"/>
    <cellStyle name="Comma 4 2 2 2" xfId="437"/>
    <cellStyle name="Comma 4 2 2 2 10" xfId="13497"/>
    <cellStyle name="Comma 4 2 2 2 2" xfId="891"/>
    <cellStyle name="Comma 4 2 2 2 2 2" xfId="2026"/>
    <cellStyle name="Comma 4 2 2 2 2 2 2" xfId="5446"/>
    <cellStyle name="Comma 4 2 2 2 2 2 2 2" xfId="11920"/>
    <cellStyle name="Comma 4 2 2 2 2 2 2 2 2" xfId="18459"/>
    <cellStyle name="Comma 4 2 2 2 2 2 2 3" xfId="15607"/>
    <cellStyle name="Comma 4 2 2 2 2 2 3" xfId="7718"/>
    <cellStyle name="Comma 4 2 2 2 2 2 3 2" xfId="12491"/>
    <cellStyle name="Comma 4 2 2 2 2 2 3 2 2" xfId="19030"/>
    <cellStyle name="Comma 4 2 2 2 2 2 3 3" xfId="16178"/>
    <cellStyle name="Comma 4 2 2 2 2 2 4" xfId="9990"/>
    <cellStyle name="Comma 4 2 2 2 2 2 4 2" xfId="13062"/>
    <cellStyle name="Comma 4 2 2 2 2 2 4 2 2" xfId="19601"/>
    <cellStyle name="Comma 4 2 2 2 2 2 4 3" xfId="16749"/>
    <cellStyle name="Comma 4 2 2 2 2 2 5" xfId="3392"/>
    <cellStyle name="Comma 4 2 2 2 2 2 5 2" xfId="11349"/>
    <cellStyle name="Comma 4 2 2 2 2 2 5 2 2" xfId="17888"/>
    <cellStyle name="Comma 4 2 2 2 2 2 5 3" xfId="15036"/>
    <cellStyle name="Comma 4 2 2 2 2 2 6" xfId="2816"/>
    <cellStyle name="Comma 4 2 2 2 2 2 6 2" xfId="14464"/>
    <cellStyle name="Comma 4 2 2 2 2 2 7" xfId="10777"/>
    <cellStyle name="Comma 4 2 2 2 2 2 7 2" xfId="17316"/>
    <cellStyle name="Comma 4 2 2 2 2 2 8" xfId="13896"/>
    <cellStyle name="Comma 4 2 2 2 2 3" xfId="4311"/>
    <cellStyle name="Comma 4 2 2 2 2 3 2" xfId="11635"/>
    <cellStyle name="Comma 4 2 2 2 2 3 2 2" xfId="18174"/>
    <cellStyle name="Comma 4 2 2 2 2 3 3" xfId="15322"/>
    <cellStyle name="Comma 4 2 2 2 2 4" xfId="6583"/>
    <cellStyle name="Comma 4 2 2 2 2 4 2" xfId="12206"/>
    <cellStyle name="Comma 4 2 2 2 2 4 2 2" xfId="18745"/>
    <cellStyle name="Comma 4 2 2 2 2 4 3" xfId="15893"/>
    <cellStyle name="Comma 4 2 2 2 2 5" xfId="8855"/>
    <cellStyle name="Comma 4 2 2 2 2 5 2" xfId="12777"/>
    <cellStyle name="Comma 4 2 2 2 2 5 2 2" xfId="19316"/>
    <cellStyle name="Comma 4 2 2 2 2 5 3" xfId="16464"/>
    <cellStyle name="Comma 4 2 2 2 2 6" xfId="3107"/>
    <cellStyle name="Comma 4 2 2 2 2 6 2" xfId="11064"/>
    <cellStyle name="Comma 4 2 2 2 2 6 2 2" xfId="17603"/>
    <cellStyle name="Comma 4 2 2 2 2 6 3" xfId="14751"/>
    <cellStyle name="Comma 4 2 2 2 2 7" xfId="2536"/>
    <cellStyle name="Comma 4 2 2 2 2 7 2" xfId="14184"/>
    <cellStyle name="Comma 4 2 2 2 2 8" xfId="10497"/>
    <cellStyle name="Comma 4 2 2 2 2 8 2" xfId="17036"/>
    <cellStyle name="Comma 4 2 2 2 2 9" xfId="13611"/>
    <cellStyle name="Comma 4 2 2 2 3" xfId="1572"/>
    <cellStyle name="Comma 4 2 2 2 3 2" xfId="4992"/>
    <cellStyle name="Comma 4 2 2 2 3 2 2" xfId="11806"/>
    <cellStyle name="Comma 4 2 2 2 3 2 2 2" xfId="18345"/>
    <cellStyle name="Comma 4 2 2 2 3 2 3" xfId="15493"/>
    <cellStyle name="Comma 4 2 2 2 3 3" xfId="7264"/>
    <cellStyle name="Comma 4 2 2 2 3 3 2" xfId="12377"/>
    <cellStyle name="Comma 4 2 2 2 3 3 2 2" xfId="18916"/>
    <cellStyle name="Comma 4 2 2 2 3 3 3" xfId="16064"/>
    <cellStyle name="Comma 4 2 2 2 3 4" xfId="9536"/>
    <cellStyle name="Comma 4 2 2 2 3 4 2" xfId="12948"/>
    <cellStyle name="Comma 4 2 2 2 3 4 2 2" xfId="19487"/>
    <cellStyle name="Comma 4 2 2 2 3 4 3" xfId="16635"/>
    <cellStyle name="Comma 4 2 2 2 3 5" xfId="3278"/>
    <cellStyle name="Comma 4 2 2 2 3 5 2" xfId="11235"/>
    <cellStyle name="Comma 4 2 2 2 3 5 2 2" xfId="17774"/>
    <cellStyle name="Comma 4 2 2 2 3 5 3" xfId="14922"/>
    <cellStyle name="Comma 4 2 2 2 3 6" xfId="2704"/>
    <cellStyle name="Comma 4 2 2 2 3 6 2" xfId="14352"/>
    <cellStyle name="Comma 4 2 2 2 3 7" xfId="10665"/>
    <cellStyle name="Comma 4 2 2 2 3 7 2" xfId="17204"/>
    <cellStyle name="Comma 4 2 2 2 3 8" xfId="13782"/>
    <cellStyle name="Comma 4 2 2 2 4" xfId="3857"/>
    <cellStyle name="Comma 4 2 2 2 4 2" xfId="11521"/>
    <cellStyle name="Comma 4 2 2 2 4 2 2" xfId="18060"/>
    <cellStyle name="Comma 4 2 2 2 4 3" xfId="15208"/>
    <cellStyle name="Comma 4 2 2 2 5" xfId="6129"/>
    <cellStyle name="Comma 4 2 2 2 5 2" xfId="12092"/>
    <cellStyle name="Comma 4 2 2 2 5 2 2" xfId="18631"/>
    <cellStyle name="Comma 4 2 2 2 5 3" xfId="15779"/>
    <cellStyle name="Comma 4 2 2 2 6" xfId="8401"/>
    <cellStyle name="Comma 4 2 2 2 6 2" xfId="12663"/>
    <cellStyle name="Comma 4 2 2 2 6 2 2" xfId="19202"/>
    <cellStyle name="Comma 4 2 2 2 6 3" xfId="16350"/>
    <cellStyle name="Comma 4 2 2 2 7" xfId="2993"/>
    <cellStyle name="Comma 4 2 2 2 7 2" xfId="10950"/>
    <cellStyle name="Comma 4 2 2 2 7 2 2" xfId="17489"/>
    <cellStyle name="Comma 4 2 2 2 7 3" xfId="14637"/>
    <cellStyle name="Comma 4 2 2 2 8" xfId="2424"/>
    <cellStyle name="Comma 4 2 2 2 8 2" xfId="14072"/>
    <cellStyle name="Comma 4 2 2 2 9" xfId="10385"/>
    <cellStyle name="Comma 4 2 2 2 9 2" xfId="16924"/>
    <cellStyle name="Comma 4 2 2 3" xfId="1118"/>
    <cellStyle name="Comma 4 2 2 3 2" xfId="2253"/>
    <cellStyle name="Comma 4 2 2 3 2 2" xfId="5673"/>
    <cellStyle name="Comma 4 2 2 3 2 2 2" xfId="11977"/>
    <cellStyle name="Comma 4 2 2 3 2 2 2 2" xfId="18516"/>
    <cellStyle name="Comma 4 2 2 3 2 2 3" xfId="15664"/>
    <cellStyle name="Comma 4 2 2 3 2 3" xfId="7945"/>
    <cellStyle name="Comma 4 2 2 3 2 3 2" xfId="12548"/>
    <cellStyle name="Comma 4 2 2 3 2 3 2 2" xfId="19087"/>
    <cellStyle name="Comma 4 2 2 3 2 3 3" xfId="16235"/>
    <cellStyle name="Comma 4 2 2 3 2 4" xfId="10217"/>
    <cellStyle name="Comma 4 2 2 3 2 4 2" xfId="13119"/>
    <cellStyle name="Comma 4 2 2 3 2 4 2 2" xfId="19658"/>
    <cellStyle name="Comma 4 2 2 3 2 4 3" xfId="16806"/>
    <cellStyle name="Comma 4 2 2 3 2 5" xfId="3449"/>
    <cellStyle name="Comma 4 2 2 3 2 5 2" xfId="11406"/>
    <cellStyle name="Comma 4 2 2 3 2 5 2 2" xfId="17945"/>
    <cellStyle name="Comma 4 2 2 3 2 5 3" xfId="15093"/>
    <cellStyle name="Comma 4 2 2 3 2 6" xfId="2872"/>
    <cellStyle name="Comma 4 2 2 3 2 6 2" xfId="14520"/>
    <cellStyle name="Comma 4 2 2 3 2 7" xfId="10833"/>
    <cellStyle name="Comma 4 2 2 3 2 7 2" xfId="17372"/>
    <cellStyle name="Comma 4 2 2 3 2 8" xfId="13953"/>
    <cellStyle name="Comma 4 2 2 3 3" xfId="4538"/>
    <cellStyle name="Comma 4 2 2 3 3 2" xfId="11692"/>
    <cellStyle name="Comma 4 2 2 3 3 2 2" xfId="18231"/>
    <cellStyle name="Comma 4 2 2 3 3 3" xfId="15379"/>
    <cellStyle name="Comma 4 2 2 3 4" xfId="6810"/>
    <cellStyle name="Comma 4 2 2 3 4 2" xfId="12263"/>
    <cellStyle name="Comma 4 2 2 3 4 2 2" xfId="18802"/>
    <cellStyle name="Comma 4 2 2 3 4 3" xfId="15950"/>
    <cellStyle name="Comma 4 2 2 3 5" xfId="9082"/>
    <cellStyle name="Comma 4 2 2 3 5 2" xfId="12834"/>
    <cellStyle name="Comma 4 2 2 3 5 2 2" xfId="19373"/>
    <cellStyle name="Comma 4 2 2 3 5 3" xfId="16521"/>
    <cellStyle name="Comma 4 2 2 3 6" xfId="3164"/>
    <cellStyle name="Comma 4 2 2 3 6 2" xfId="11121"/>
    <cellStyle name="Comma 4 2 2 3 6 2 2" xfId="17660"/>
    <cellStyle name="Comma 4 2 2 3 6 3" xfId="14808"/>
    <cellStyle name="Comma 4 2 2 3 7" xfId="2592"/>
    <cellStyle name="Comma 4 2 2 3 7 2" xfId="14240"/>
    <cellStyle name="Comma 4 2 2 3 8" xfId="10553"/>
    <cellStyle name="Comma 4 2 2 3 8 2" xfId="17092"/>
    <cellStyle name="Comma 4 2 2 3 9" xfId="13668"/>
    <cellStyle name="Comma 4 2 2 4" xfId="664"/>
    <cellStyle name="Comma 4 2 2 4 2" xfId="1799"/>
    <cellStyle name="Comma 4 2 2 4 2 2" xfId="5219"/>
    <cellStyle name="Comma 4 2 2 4 2 2 2" xfId="11863"/>
    <cellStyle name="Comma 4 2 2 4 2 2 2 2" xfId="18402"/>
    <cellStyle name="Comma 4 2 2 4 2 2 3" xfId="15550"/>
    <cellStyle name="Comma 4 2 2 4 2 3" xfId="7491"/>
    <cellStyle name="Comma 4 2 2 4 2 3 2" xfId="12434"/>
    <cellStyle name="Comma 4 2 2 4 2 3 2 2" xfId="18973"/>
    <cellStyle name="Comma 4 2 2 4 2 3 3" xfId="16121"/>
    <cellStyle name="Comma 4 2 2 4 2 4" xfId="9763"/>
    <cellStyle name="Comma 4 2 2 4 2 4 2" xfId="13005"/>
    <cellStyle name="Comma 4 2 2 4 2 4 2 2" xfId="19544"/>
    <cellStyle name="Comma 4 2 2 4 2 4 3" xfId="16692"/>
    <cellStyle name="Comma 4 2 2 4 2 5" xfId="3335"/>
    <cellStyle name="Comma 4 2 2 4 2 5 2" xfId="11292"/>
    <cellStyle name="Comma 4 2 2 4 2 5 2 2" xfId="17831"/>
    <cellStyle name="Comma 4 2 2 4 2 5 3" xfId="14979"/>
    <cellStyle name="Comma 4 2 2 4 2 6" xfId="2760"/>
    <cellStyle name="Comma 4 2 2 4 2 6 2" xfId="14408"/>
    <cellStyle name="Comma 4 2 2 4 2 7" xfId="10721"/>
    <cellStyle name="Comma 4 2 2 4 2 7 2" xfId="17260"/>
    <cellStyle name="Comma 4 2 2 4 2 8" xfId="13839"/>
    <cellStyle name="Comma 4 2 2 4 3" xfId="4084"/>
    <cellStyle name="Comma 4 2 2 4 3 2" xfId="11578"/>
    <cellStyle name="Comma 4 2 2 4 3 2 2" xfId="18117"/>
    <cellStyle name="Comma 4 2 2 4 3 3" xfId="15265"/>
    <cellStyle name="Comma 4 2 2 4 4" xfId="6356"/>
    <cellStyle name="Comma 4 2 2 4 4 2" xfId="12149"/>
    <cellStyle name="Comma 4 2 2 4 4 2 2" xfId="18688"/>
    <cellStyle name="Comma 4 2 2 4 4 3" xfId="15836"/>
    <cellStyle name="Comma 4 2 2 4 5" xfId="8628"/>
    <cellStyle name="Comma 4 2 2 4 5 2" xfId="12720"/>
    <cellStyle name="Comma 4 2 2 4 5 2 2" xfId="19259"/>
    <cellStyle name="Comma 4 2 2 4 5 3" xfId="16407"/>
    <cellStyle name="Comma 4 2 2 4 6" xfId="3050"/>
    <cellStyle name="Comma 4 2 2 4 6 2" xfId="11007"/>
    <cellStyle name="Comma 4 2 2 4 6 2 2" xfId="17546"/>
    <cellStyle name="Comma 4 2 2 4 6 3" xfId="14694"/>
    <cellStyle name="Comma 4 2 2 4 7" xfId="2480"/>
    <cellStyle name="Comma 4 2 2 4 7 2" xfId="14128"/>
    <cellStyle name="Comma 4 2 2 4 8" xfId="10441"/>
    <cellStyle name="Comma 4 2 2 4 8 2" xfId="16980"/>
    <cellStyle name="Comma 4 2 2 4 9" xfId="13554"/>
    <cellStyle name="Comma 4 2 2 5" xfId="1345"/>
    <cellStyle name="Comma 4 2 2 5 2" xfId="4765"/>
    <cellStyle name="Comma 4 2 2 5 2 2" xfId="11749"/>
    <cellStyle name="Comma 4 2 2 5 2 2 2" xfId="18288"/>
    <cellStyle name="Comma 4 2 2 5 2 3" xfId="15436"/>
    <cellStyle name="Comma 4 2 2 5 3" xfId="7037"/>
    <cellStyle name="Comma 4 2 2 5 3 2" xfId="12320"/>
    <cellStyle name="Comma 4 2 2 5 3 2 2" xfId="18859"/>
    <cellStyle name="Comma 4 2 2 5 3 3" xfId="16007"/>
    <cellStyle name="Comma 4 2 2 5 4" xfId="9309"/>
    <cellStyle name="Comma 4 2 2 5 4 2" xfId="12891"/>
    <cellStyle name="Comma 4 2 2 5 4 2 2" xfId="19430"/>
    <cellStyle name="Comma 4 2 2 5 4 3" xfId="16578"/>
    <cellStyle name="Comma 4 2 2 5 5" xfId="3221"/>
    <cellStyle name="Comma 4 2 2 5 5 2" xfId="11178"/>
    <cellStyle name="Comma 4 2 2 5 5 2 2" xfId="17717"/>
    <cellStyle name="Comma 4 2 2 5 5 3" xfId="14865"/>
    <cellStyle name="Comma 4 2 2 5 6" xfId="2648"/>
    <cellStyle name="Comma 4 2 2 5 6 2" xfId="14296"/>
    <cellStyle name="Comma 4 2 2 5 7" xfId="10609"/>
    <cellStyle name="Comma 4 2 2 5 7 2" xfId="17148"/>
    <cellStyle name="Comma 4 2 2 5 8" xfId="13725"/>
    <cellStyle name="Comma 4 2 2 6" xfId="3630"/>
    <cellStyle name="Comma 4 2 2 6 2" xfId="11464"/>
    <cellStyle name="Comma 4 2 2 6 2 2" xfId="18003"/>
    <cellStyle name="Comma 4 2 2 6 3" xfId="15151"/>
    <cellStyle name="Comma 4 2 2 7" xfId="5902"/>
    <cellStyle name="Comma 4 2 2 7 2" xfId="12035"/>
    <cellStyle name="Comma 4 2 2 7 2 2" xfId="18574"/>
    <cellStyle name="Comma 4 2 2 7 3" xfId="15722"/>
    <cellStyle name="Comma 4 2 2 8" xfId="8174"/>
    <cellStyle name="Comma 4 2 2 8 2" xfId="12606"/>
    <cellStyle name="Comma 4 2 2 8 2 2" xfId="19145"/>
    <cellStyle name="Comma 4 2 2 8 3" xfId="16293"/>
    <cellStyle name="Comma 4 2 2 9" xfId="2933"/>
    <cellStyle name="Comma 4 2 2 9 2" xfId="10892"/>
    <cellStyle name="Comma 4 2 2 9 2 2" xfId="17431"/>
    <cellStyle name="Comma 4 2 2 9 3" xfId="14579"/>
    <cellStyle name="Comma 4 2 3" xfId="143"/>
    <cellStyle name="Comma 4 2 3 10" xfId="2353"/>
    <cellStyle name="Comma 4 2 3 10 2" xfId="14001"/>
    <cellStyle name="Comma 4 2 3 11" xfId="10314"/>
    <cellStyle name="Comma 4 2 3 11 2" xfId="16853"/>
    <cellStyle name="Comma 4 2 3 12" xfId="13425"/>
    <cellStyle name="Comma 4 2 3 13" xfId="20328"/>
    <cellStyle name="Comma 4 2 3 2" xfId="381"/>
    <cellStyle name="Comma 4 2 3 2 10" xfId="13483"/>
    <cellStyle name="Comma 4 2 3 2 2" xfId="835"/>
    <cellStyle name="Comma 4 2 3 2 2 2" xfId="1970"/>
    <cellStyle name="Comma 4 2 3 2 2 2 2" xfId="5390"/>
    <cellStyle name="Comma 4 2 3 2 2 2 2 2" xfId="11906"/>
    <cellStyle name="Comma 4 2 3 2 2 2 2 2 2" xfId="18445"/>
    <cellStyle name="Comma 4 2 3 2 2 2 2 3" xfId="15593"/>
    <cellStyle name="Comma 4 2 3 2 2 2 3" xfId="7662"/>
    <cellStyle name="Comma 4 2 3 2 2 2 3 2" xfId="12477"/>
    <cellStyle name="Comma 4 2 3 2 2 2 3 2 2" xfId="19016"/>
    <cellStyle name="Comma 4 2 3 2 2 2 3 3" xfId="16164"/>
    <cellStyle name="Comma 4 2 3 2 2 2 4" xfId="9934"/>
    <cellStyle name="Comma 4 2 3 2 2 2 4 2" xfId="13048"/>
    <cellStyle name="Comma 4 2 3 2 2 2 4 2 2" xfId="19587"/>
    <cellStyle name="Comma 4 2 3 2 2 2 4 3" xfId="16735"/>
    <cellStyle name="Comma 4 2 3 2 2 2 5" xfId="3378"/>
    <cellStyle name="Comma 4 2 3 2 2 2 5 2" xfId="11335"/>
    <cellStyle name="Comma 4 2 3 2 2 2 5 2 2" xfId="17874"/>
    <cellStyle name="Comma 4 2 3 2 2 2 5 3" xfId="15022"/>
    <cellStyle name="Comma 4 2 3 2 2 2 6" xfId="2802"/>
    <cellStyle name="Comma 4 2 3 2 2 2 6 2" xfId="14450"/>
    <cellStyle name="Comma 4 2 3 2 2 2 7" xfId="10763"/>
    <cellStyle name="Comma 4 2 3 2 2 2 7 2" xfId="17302"/>
    <cellStyle name="Comma 4 2 3 2 2 2 8" xfId="13882"/>
    <cellStyle name="Comma 4 2 3 2 2 3" xfId="4255"/>
    <cellStyle name="Comma 4 2 3 2 2 3 2" xfId="11621"/>
    <cellStyle name="Comma 4 2 3 2 2 3 2 2" xfId="18160"/>
    <cellStyle name="Comma 4 2 3 2 2 3 3" xfId="15308"/>
    <cellStyle name="Comma 4 2 3 2 2 4" xfId="6527"/>
    <cellStyle name="Comma 4 2 3 2 2 4 2" xfId="12192"/>
    <cellStyle name="Comma 4 2 3 2 2 4 2 2" xfId="18731"/>
    <cellStyle name="Comma 4 2 3 2 2 4 3" xfId="15879"/>
    <cellStyle name="Comma 4 2 3 2 2 5" xfId="8799"/>
    <cellStyle name="Comma 4 2 3 2 2 5 2" xfId="12763"/>
    <cellStyle name="Comma 4 2 3 2 2 5 2 2" xfId="19302"/>
    <cellStyle name="Comma 4 2 3 2 2 5 3" xfId="16450"/>
    <cellStyle name="Comma 4 2 3 2 2 6" xfId="3093"/>
    <cellStyle name="Comma 4 2 3 2 2 6 2" xfId="11050"/>
    <cellStyle name="Comma 4 2 3 2 2 6 2 2" xfId="17589"/>
    <cellStyle name="Comma 4 2 3 2 2 6 3" xfId="14737"/>
    <cellStyle name="Comma 4 2 3 2 2 7" xfId="2522"/>
    <cellStyle name="Comma 4 2 3 2 2 7 2" xfId="14170"/>
    <cellStyle name="Comma 4 2 3 2 2 8" xfId="10483"/>
    <cellStyle name="Comma 4 2 3 2 2 8 2" xfId="17022"/>
    <cellStyle name="Comma 4 2 3 2 2 9" xfId="13597"/>
    <cellStyle name="Comma 4 2 3 2 3" xfId="1516"/>
    <cellStyle name="Comma 4 2 3 2 3 2" xfId="4936"/>
    <cellStyle name="Comma 4 2 3 2 3 2 2" xfId="11792"/>
    <cellStyle name="Comma 4 2 3 2 3 2 2 2" xfId="18331"/>
    <cellStyle name="Comma 4 2 3 2 3 2 3" xfId="15479"/>
    <cellStyle name="Comma 4 2 3 2 3 3" xfId="7208"/>
    <cellStyle name="Comma 4 2 3 2 3 3 2" xfId="12363"/>
    <cellStyle name="Comma 4 2 3 2 3 3 2 2" xfId="18902"/>
    <cellStyle name="Comma 4 2 3 2 3 3 3" xfId="16050"/>
    <cellStyle name="Comma 4 2 3 2 3 4" xfId="9480"/>
    <cellStyle name="Comma 4 2 3 2 3 4 2" xfId="12934"/>
    <cellStyle name="Comma 4 2 3 2 3 4 2 2" xfId="19473"/>
    <cellStyle name="Comma 4 2 3 2 3 4 3" xfId="16621"/>
    <cellStyle name="Comma 4 2 3 2 3 5" xfId="3264"/>
    <cellStyle name="Comma 4 2 3 2 3 5 2" xfId="11221"/>
    <cellStyle name="Comma 4 2 3 2 3 5 2 2" xfId="17760"/>
    <cellStyle name="Comma 4 2 3 2 3 5 3" xfId="14908"/>
    <cellStyle name="Comma 4 2 3 2 3 6" xfId="2690"/>
    <cellStyle name="Comma 4 2 3 2 3 6 2" xfId="14338"/>
    <cellStyle name="Comma 4 2 3 2 3 7" xfId="10651"/>
    <cellStyle name="Comma 4 2 3 2 3 7 2" xfId="17190"/>
    <cellStyle name="Comma 4 2 3 2 3 8" xfId="13768"/>
    <cellStyle name="Comma 4 2 3 2 4" xfId="3801"/>
    <cellStyle name="Comma 4 2 3 2 4 2" xfId="11507"/>
    <cellStyle name="Comma 4 2 3 2 4 2 2" xfId="18046"/>
    <cellStyle name="Comma 4 2 3 2 4 3" xfId="15194"/>
    <cellStyle name="Comma 4 2 3 2 5" xfId="6073"/>
    <cellStyle name="Comma 4 2 3 2 5 2" xfId="12078"/>
    <cellStyle name="Comma 4 2 3 2 5 2 2" xfId="18617"/>
    <cellStyle name="Comma 4 2 3 2 5 3" xfId="15765"/>
    <cellStyle name="Comma 4 2 3 2 6" xfId="8345"/>
    <cellStyle name="Comma 4 2 3 2 6 2" xfId="12649"/>
    <cellStyle name="Comma 4 2 3 2 6 2 2" xfId="19188"/>
    <cellStyle name="Comma 4 2 3 2 6 3" xfId="16336"/>
    <cellStyle name="Comma 4 2 3 2 7" xfId="2979"/>
    <cellStyle name="Comma 4 2 3 2 7 2" xfId="10936"/>
    <cellStyle name="Comma 4 2 3 2 7 2 2" xfId="17475"/>
    <cellStyle name="Comma 4 2 3 2 7 3" xfId="14623"/>
    <cellStyle name="Comma 4 2 3 2 8" xfId="2410"/>
    <cellStyle name="Comma 4 2 3 2 8 2" xfId="14058"/>
    <cellStyle name="Comma 4 2 3 2 9" xfId="10371"/>
    <cellStyle name="Comma 4 2 3 2 9 2" xfId="16910"/>
    <cellStyle name="Comma 4 2 3 3" xfId="1062"/>
    <cellStyle name="Comma 4 2 3 3 2" xfId="2197"/>
    <cellStyle name="Comma 4 2 3 3 2 2" xfId="5617"/>
    <cellStyle name="Comma 4 2 3 3 2 2 2" xfId="11963"/>
    <cellStyle name="Comma 4 2 3 3 2 2 2 2" xfId="18502"/>
    <cellStyle name="Comma 4 2 3 3 2 2 3" xfId="15650"/>
    <cellStyle name="Comma 4 2 3 3 2 3" xfId="7889"/>
    <cellStyle name="Comma 4 2 3 3 2 3 2" xfId="12534"/>
    <cellStyle name="Comma 4 2 3 3 2 3 2 2" xfId="19073"/>
    <cellStyle name="Comma 4 2 3 3 2 3 3" xfId="16221"/>
    <cellStyle name="Comma 4 2 3 3 2 4" xfId="10161"/>
    <cellStyle name="Comma 4 2 3 3 2 4 2" xfId="13105"/>
    <cellStyle name="Comma 4 2 3 3 2 4 2 2" xfId="19644"/>
    <cellStyle name="Comma 4 2 3 3 2 4 3" xfId="16792"/>
    <cellStyle name="Comma 4 2 3 3 2 5" xfId="3435"/>
    <cellStyle name="Comma 4 2 3 3 2 5 2" xfId="11392"/>
    <cellStyle name="Comma 4 2 3 3 2 5 2 2" xfId="17931"/>
    <cellStyle name="Comma 4 2 3 3 2 5 3" xfId="15079"/>
    <cellStyle name="Comma 4 2 3 3 2 6" xfId="2858"/>
    <cellStyle name="Comma 4 2 3 3 2 6 2" xfId="14506"/>
    <cellStyle name="Comma 4 2 3 3 2 7" xfId="10819"/>
    <cellStyle name="Comma 4 2 3 3 2 7 2" xfId="17358"/>
    <cellStyle name="Comma 4 2 3 3 2 8" xfId="13939"/>
    <cellStyle name="Comma 4 2 3 3 3" xfId="4482"/>
    <cellStyle name="Comma 4 2 3 3 3 2" xfId="11678"/>
    <cellStyle name="Comma 4 2 3 3 3 2 2" xfId="18217"/>
    <cellStyle name="Comma 4 2 3 3 3 3" xfId="15365"/>
    <cellStyle name="Comma 4 2 3 3 4" xfId="6754"/>
    <cellStyle name="Comma 4 2 3 3 4 2" xfId="12249"/>
    <cellStyle name="Comma 4 2 3 3 4 2 2" xfId="18788"/>
    <cellStyle name="Comma 4 2 3 3 4 3" xfId="15936"/>
    <cellStyle name="Comma 4 2 3 3 5" xfId="9026"/>
    <cellStyle name="Comma 4 2 3 3 5 2" xfId="12820"/>
    <cellStyle name="Comma 4 2 3 3 5 2 2" xfId="19359"/>
    <cellStyle name="Comma 4 2 3 3 5 3" xfId="16507"/>
    <cellStyle name="Comma 4 2 3 3 6" xfId="3150"/>
    <cellStyle name="Comma 4 2 3 3 6 2" xfId="11107"/>
    <cellStyle name="Comma 4 2 3 3 6 2 2" xfId="17646"/>
    <cellStyle name="Comma 4 2 3 3 6 3" xfId="14794"/>
    <cellStyle name="Comma 4 2 3 3 7" xfId="2578"/>
    <cellStyle name="Comma 4 2 3 3 7 2" xfId="14226"/>
    <cellStyle name="Comma 4 2 3 3 8" xfId="10539"/>
    <cellStyle name="Comma 4 2 3 3 8 2" xfId="17078"/>
    <cellStyle name="Comma 4 2 3 3 9" xfId="13654"/>
    <cellStyle name="Comma 4 2 3 4" xfId="608"/>
    <cellStyle name="Comma 4 2 3 4 2" xfId="1743"/>
    <cellStyle name="Comma 4 2 3 4 2 2" xfId="5163"/>
    <cellStyle name="Comma 4 2 3 4 2 2 2" xfId="11849"/>
    <cellStyle name="Comma 4 2 3 4 2 2 2 2" xfId="18388"/>
    <cellStyle name="Comma 4 2 3 4 2 2 3" xfId="15536"/>
    <cellStyle name="Comma 4 2 3 4 2 3" xfId="7435"/>
    <cellStyle name="Comma 4 2 3 4 2 3 2" xfId="12420"/>
    <cellStyle name="Comma 4 2 3 4 2 3 2 2" xfId="18959"/>
    <cellStyle name="Comma 4 2 3 4 2 3 3" xfId="16107"/>
    <cellStyle name="Comma 4 2 3 4 2 4" xfId="9707"/>
    <cellStyle name="Comma 4 2 3 4 2 4 2" xfId="12991"/>
    <cellStyle name="Comma 4 2 3 4 2 4 2 2" xfId="19530"/>
    <cellStyle name="Comma 4 2 3 4 2 4 3" xfId="16678"/>
    <cellStyle name="Comma 4 2 3 4 2 5" xfId="3321"/>
    <cellStyle name="Comma 4 2 3 4 2 5 2" xfId="11278"/>
    <cellStyle name="Comma 4 2 3 4 2 5 2 2" xfId="17817"/>
    <cellStyle name="Comma 4 2 3 4 2 5 3" xfId="14965"/>
    <cellStyle name="Comma 4 2 3 4 2 6" xfId="2746"/>
    <cellStyle name="Comma 4 2 3 4 2 6 2" xfId="14394"/>
    <cellStyle name="Comma 4 2 3 4 2 7" xfId="10707"/>
    <cellStyle name="Comma 4 2 3 4 2 7 2" xfId="17246"/>
    <cellStyle name="Comma 4 2 3 4 2 8" xfId="13825"/>
    <cellStyle name="Comma 4 2 3 4 3" xfId="4028"/>
    <cellStyle name="Comma 4 2 3 4 3 2" xfId="11564"/>
    <cellStyle name="Comma 4 2 3 4 3 2 2" xfId="18103"/>
    <cellStyle name="Comma 4 2 3 4 3 3" xfId="15251"/>
    <cellStyle name="Comma 4 2 3 4 4" xfId="6300"/>
    <cellStyle name="Comma 4 2 3 4 4 2" xfId="12135"/>
    <cellStyle name="Comma 4 2 3 4 4 2 2" xfId="18674"/>
    <cellStyle name="Comma 4 2 3 4 4 3" xfId="15822"/>
    <cellStyle name="Comma 4 2 3 4 5" xfId="8572"/>
    <cellStyle name="Comma 4 2 3 4 5 2" xfId="12706"/>
    <cellStyle name="Comma 4 2 3 4 5 2 2" xfId="19245"/>
    <cellStyle name="Comma 4 2 3 4 5 3" xfId="16393"/>
    <cellStyle name="Comma 4 2 3 4 6" xfId="3036"/>
    <cellStyle name="Comma 4 2 3 4 6 2" xfId="10993"/>
    <cellStyle name="Comma 4 2 3 4 6 2 2" xfId="17532"/>
    <cellStyle name="Comma 4 2 3 4 6 3" xfId="14680"/>
    <cellStyle name="Comma 4 2 3 4 7" xfId="2466"/>
    <cellStyle name="Comma 4 2 3 4 7 2" xfId="14114"/>
    <cellStyle name="Comma 4 2 3 4 8" xfId="10427"/>
    <cellStyle name="Comma 4 2 3 4 8 2" xfId="16966"/>
    <cellStyle name="Comma 4 2 3 4 9" xfId="13540"/>
    <cellStyle name="Comma 4 2 3 5" xfId="1289"/>
    <cellStyle name="Comma 4 2 3 5 2" xfId="4709"/>
    <cellStyle name="Comma 4 2 3 5 2 2" xfId="11735"/>
    <cellStyle name="Comma 4 2 3 5 2 2 2" xfId="18274"/>
    <cellStyle name="Comma 4 2 3 5 2 3" xfId="15422"/>
    <cellStyle name="Comma 4 2 3 5 3" xfId="6981"/>
    <cellStyle name="Comma 4 2 3 5 3 2" xfId="12306"/>
    <cellStyle name="Comma 4 2 3 5 3 2 2" xfId="18845"/>
    <cellStyle name="Comma 4 2 3 5 3 3" xfId="15993"/>
    <cellStyle name="Comma 4 2 3 5 4" xfId="9253"/>
    <cellStyle name="Comma 4 2 3 5 4 2" xfId="12877"/>
    <cellStyle name="Comma 4 2 3 5 4 2 2" xfId="19416"/>
    <cellStyle name="Comma 4 2 3 5 4 3" xfId="16564"/>
    <cellStyle name="Comma 4 2 3 5 5" xfId="3207"/>
    <cellStyle name="Comma 4 2 3 5 5 2" xfId="11164"/>
    <cellStyle name="Comma 4 2 3 5 5 2 2" xfId="17703"/>
    <cellStyle name="Comma 4 2 3 5 5 3" xfId="14851"/>
    <cellStyle name="Comma 4 2 3 5 6" xfId="2634"/>
    <cellStyle name="Comma 4 2 3 5 6 2" xfId="14282"/>
    <cellStyle name="Comma 4 2 3 5 7" xfId="10595"/>
    <cellStyle name="Comma 4 2 3 5 7 2" xfId="17134"/>
    <cellStyle name="Comma 4 2 3 5 8" xfId="13711"/>
    <cellStyle name="Comma 4 2 3 6" xfId="3574"/>
    <cellStyle name="Comma 4 2 3 6 2" xfId="11450"/>
    <cellStyle name="Comma 4 2 3 6 2 2" xfId="17989"/>
    <cellStyle name="Comma 4 2 3 6 3" xfId="15137"/>
    <cellStyle name="Comma 4 2 3 7" xfId="5846"/>
    <cellStyle name="Comma 4 2 3 7 2" xfId="12021"/>
    <cellStyle name="Comma 4 2 3 7 2 2" xfId="18560"/>
    <cellStyle name="Comma 4 2 3 7 3" xfId="15708"/>
    <cellStyle name="Comma 4 2 3 8" xfId="8118"/>
    <cellStyle name="Comma 4 2 3 8 2" xfId="12592"/>
    <cellStyle name="Comma 4 2 3 8 2 2" xfId="19131"/>
    <cellStyle name="Comma 4 2 3 8 3" xfId="16279"/>
    <cellStyle name="Comma 4 2 3 9" xfId="2919"/>
    <cellStyle name="Comma 4 2 3 9 2" xfId="10878"/>
    <cellStyle name="Comma 4 2 3 9 2 2" xfId="17417"/>
    <cellStyle name="Comma 4 2 3 9 3" xfId="14565"/>
    <cellStyle name="Comma 4 2 4" xfId="269"/>
    <cellStyle name="Comma 4 2 4 10" xfId="2382"/>
    <cellStyle name="Comma 4 2 4 10 2" xfId="14030"/>
    <cellStyle name="Comma 4 2 4 11" xfId="10343"/>
    <cellStyle name="Comma 4 2 4 11 2" xfId="16882"/>
    <cellStyle name="Comma 4 2 4 12" xfId="13455"/>
    <cellStyle name="Comma 4 2 4 2" xfId="496"/>
    <cellStyle name="Comma 4 2 4 2 10" xfId="13512"/>
    <cellStyle name="Comma 4 2 4 2 2" xfId="950"/>
    <cellStyle name="Comma 4 2 4 2 2 2" xfId="2085"/>
    <cellStyle name="Comma 4 2 4 2 2 2 2" xfId="5505"/>
    <cellStyle name="Comma 4 2 4 2 2 2 2 2" xfId="11935"/>
    <cellStyle name="Comma 4 2 4 2 2 2 2 2 2" xfId="18474"/>
    <cellStyle name="Comma 4 2 4 2 2 2 2 3" xfId="15622"/>
    <cellStyle name="Comma 4 2 4 2 2 2 3" xfId="7777"/>
    <cellStyle name="Comma 4 2 4 2 2 2 3 2" xfId="12506"/>
    <cellStyle name="Comma 4 2 4 2 2 2 3 2 2" xfId="19045"/>
    <cellStyle name="Comma 4 2 4 2 2 2 3 3" xfId="16193"/>
    <cellStyle name="Comma 4 2 4 2 2 2 4" xfId="10049"/>
    <cellStyle name="Comma 4 2 4 2 2 2 4 2" xfId="13077"/>
    <cellStyle name="Comma 4 2 4 2 2 2 4 2 2" xfId="19616"/>
    <cellStyle name="Comma 4 2 4 2 2 2 4 3" xfId="16764"/>
    <cellStyle name="Comma 4 2 4 2 2 2 5" xfId="3407"/>
    <cellStyle name="Comma 4 2 4 2 2 2 5 2" xfId="11364"/>
    <cellStyle name="Comma 4 2 4 2 2 2 5 2 2" xfId="17903"/>
    <cellStyle name="Comma 4 2 4 2 2 2 5 3" xfId="15051"/>
    <cellStyle name="Comma 4 2 4 2 2 2 6" xfId="2830"/>
    <cellStyle name="Comma 4 2 4 2 2 2 6 2" xfId="14478"/>
    <cellStyle name="Comma 4 2 4 2 2 2 7" xfId="10791"/>
    <cellStyle name="Comma 4 2 4 2 2 2 7 2" xfId="17330"/>
    <cellStyle name="Comma 4 2 4 2 2 2 8" xfId="13911"/>
    <cellStyle name="Comma 4 2 4 2 2 3" xfId="4370"/>
    <cellStyle name="Comma 4 2 4 2 2 3 2" xfId="11650"/>
    <cellStyle name="Comma 4 2 4 2 2 3 2 2" xfId="18189"/>
    <cellStyle name="Comma 4 2 4 2 2 3 3" xfId="15337"/>
    <cellStyle name="Comma 4 2 4 2 2 4" xfId="6642"/>
    <cellStyle name="Comma 4 2 4 2 2 4 2" xfId="12221"/>
    <cellStyle name="Comma 4 2 4 2 2 4 2 2" xfId="18760"/>
    <cellStyle name="Comma 4 2 4 2 2 4 3" xfId="15908"/>
    <cellStyle name="Comma 4 2 4 2 2 5" xfId="8914"/>
    <cellStyle name="Comma 4 2 4 2 2 5 2" xfId="12792"/>
    <cellStyle name="Comma 4 2 4 2 2 5 2 2" xfId="19331"/>
    <cellStyle name="Comma 4 2 4 2 2 5 3" xfId="16479"/>
    <cellStyle name="Comma 4 2 4 2 2 6" xfId="3122"/>
    <cellStyle name="Comma 4 2 4 2 2 6 2" xfId="11079"/>
    <cellStyle name="Comma 4 2 4 2 2 6 2 2" xfId="17618"/>
    <cellStyle name="Comma 4 2 4 2 2 6 3" xfId="14766"/>
    <cellStyle name="Comma 4 2 4 2 2 7" xfId="2550"/>
    <cellStyle name="Comma 4 2 4 2 2 7 2" xfId="14198"/>
    <cellStyle name="Comma 4 2 4 2 2 8" xfId="10511"/>
    <cellStyle name="Comma 4 2 4 2 2 8 2" xfId="17050"/>
    <cellStyle name="Comma 4 2 4 2 2 9" xfId="13626"/>
    <cellStyle name="Comma 4 2 4 2 3" xfId="1631"/>
    <cellStyle name="Comma 4 2 4 2 3 2" xfId="5051"/>
    <cellStyle name="Comma 4 2 4 2 3 2 2" xfId="11821"/>
    <cellStyle name="Comma 4 2 4 2 3 2 2 2" xfId="18360"/>
    <cellStyle name="Comma 4 2 4 2 3 2 3" xfId="15508"/>
    <cellStyle name="Comma 4 2 4 2 3 3" xfId="7323"/>
    <cellStyle name="Comma 4 2 4 2 3 3 2" xfId="12392"/>
    <cellStyle name="Comma 4 2 4 2 3 3 2 2" xfId="18931"/>
    <cellStyle name="Comma 4 2 4 2 3 3 3" xfId="16079"/>
    <cellStyle name="Comma 4 2 4 2 3 4" xfId="9595"/>
    <cellStyle name="Comma 4 2 4 2 3 4 2" xfId="12963"/>
    <cellStyle name="Comma 4 2 4 2 3 4 2 2" xfId="19502"/>
    <cellStyle name="Comma 4 2 4 2 3 4 3" xfId="16650"/>
    <cellStyle name="Comma 4 2 4 2 3 5" xfId="3293"/>
    <cellStyle name="Comma 4 2 4 2 3 5 2" xfId="11250"/>
    <cellStyle name="Comma 4 2 4 2 3 5 2 2" xfId="17789"/>
    <cellStyle name="Comma 4 2 4 2 3 5 3" xfId="14937"/>
    <cellStyle name="Comma 4 2 4 2 3 6" xfId="2718"/>
    <cellStyle name="Comma 4 2 4 2 3 6 2" xfId="14366"/>
    <cellStyle name="Comma 4 2 4 2 3 7" xfId="10679"/>
    <cellStyle name="Comma 4 2 4 2 3 7 2" xfId="17218"/>
    <cellStyle name="Comma 4 2 4 2 3 8" xfId="13797"/>
    <cellStyle name="Comma 4 2 4 2 4" xfId="3916"/>
    <cellStyle name="Comma 4 2 4 2 4 2" xfId="11536"/>
    <cellStyle name="Comma 4 2 4 2 4 2 2" xfId="18075"/>
    <cellStyle name="Comma 4 2 4 2 4 3" xfId="15223"/>
    <cellStyle name="Comma 4 2 4 2 5" xfId="6188"/>
    <cellStyle name="Comma 4 2 4 2 5 2" xfId="12107"/>
    <cellStyle name="Comma 4 2 4 2 5 2 2" xfId="18646"/>
    <cellStyle name="Comma 4 2 4 2 5 3" xfId="15794"/>
    <cellStyle name="Comma 4 2 4 2 6" xfId="8460"/>
    <cellStyle name="Comma 4 2 4 2 6 2" xfId="12678"/>
    <cellStyle name="Comma 4 2 4 2 6 2 2" xfId="19217"/>
    <cellStyle name="Comma 4 2 4 2 6 3" xfId="16365"/>
    <cellStyle name="Comma 4 2 4 2 7" xfId="3008"/>
    <cellStyle name="Comma 4 2 4 2 7 2" xfId="10965"/>
    <cellStyle name="Comma 4 2 4 2 7 2 2" xfId="17504"/>
    <cellStyle name="Comma 4 2 4 2 7 3" xfId="14652"/>
    <cellStyle name="Comma 4 2 4 2 8" xfId="2438"/>
    <cellStyle name="Comma 4 2 4 2 8 2" xfId="14086"/>
    <cellStyle name="Comma 4 2 4 2 9" xfId="10399"/>
    <cellStyle name="Comma 4 2 4 2 9 2" xfId="16938"/>
    <cellStyle name="Comma 4 2 4 3" xfId="1177"/>
    <cellStyle name="Comma 4 2 4 3 2" xfId="2312"/>
    <cellStyle name="Comma 4 2 4 3 2 2" xfId="5732"/>
    <cellStyle name="Comma 4 2 4 3 2 2 2" xfId="11992"/>
    <cellStyle name="Comma 4 2 4 3 2 2 2 2" xfId="18531"/>
    <cellStyle name="Comma 4 2 4 3 2 2 3" xfId="15679"/>
    <cellStyle name="Comma 4 2 4 3 2 3" xfId="8004"/>
    <cellStyle name="Comma 4 2 4 3 2 3 2" xfId="12563"/>
    <cellStyle name="Comma 4 2 4 3 2 3 2 2" xfId="19102"/>
    <cellStyle name="Comma 4 2 4 3 2 3 3" xfId="16250"/>
    <cellStyle name="Comma 4 2 4 3 2 4" xfId="10276"/>
    <cellStyle name="Comma 4 2 4 3 2 4 2" xfId="13134"/>
    <cellStyle name="Comma 4 2 4 3 2 4 2 2" xfId="19673"/>
    <cellStyle name="Comma 4 2 4 3 2 4 3" xfId="16821"/>
    <cellStyle name="Comma 4 2 4 3 2 5" xfId="3464"/>
    <cellStyle name="Comma 4 2 4 3 2 5 2" xfId="11421"/>
    <cellStyle name="Comma 4 2 4 3 2 5 2 2" xfId="17960"/>
    <cellStyle name="Comma 4 2 4 3 2 5 3" xfId="15108"/>
    <cellStyle name="Comma 4 2 4 3 2 6" xfId="2886"/>
    <cellStyle name="Comma 4 2 4 3 2 6 2" xfId="14534"/>
    <cellStyle name="Comma 4 2 4 3 2 7" xfId="10847"/>
    <cellStyle name="Comma 4 2 4 3 2 7 2" xfId="17386"/>
    <cellStyle name="Comma 4 2 4 3 2 8" xfId="13968"/>
    <cellStyle name="Comma 4 2 4 3 3" xfId="4597"/>
    <cellStyle name="Comma 4 2 4 3 3 2" xfId="11707"/>
    <cellStyle name="Comma 4 2 4 3 3 2 2" xfId="18246"/>
    <cellStyle name="Comma 4 2 4 3 3 3" xfId="15394"/>
    <cellStyle name="Comma 4 2 4 3 4" xfId="6869"/>
    <cellStyle name="Comma 4 2 4 3 4 2" xfId="12278"/>
    <cellStyle name="Comma 4 2 4 3 4 2 2" xfId="18817"/>
    <cellStyle name="Comma 4 2 4 3 4 3" xfId="15965"/>
    <cellStyle name="Comma 4 2 4 3 5" xfId="9141"/>
    <cellStyle name="Comma 4 2 4 3 5 2" xfId="12849"/>
    <cellStyle name="Comma 4 2 4 3 5 2 2" xfId="19388"/>
    <cellStyle name="Comma 4 2 4 3 5 3" xfId="16536"/>
    <cellStyle name="Comma 4 2 4 3 6" xfId="3179"/>
    <cellStyle name="Comma 4 2 4 3 6 2" xfId="11136"/>
    <cellStyle name="Comma 4 2 4 3 6 2 2" xfId="17675"/>
    <cellStyle name="Comma 4 2 4 3 6 3" xfId="14823"/>
    <cellStyle name="Comma 4 2 4 3 7" xfId="2606"/>
    <cellStyle name="Comma 4 2 4 3 7 2" xfId="14254"/>
    <cellStyle name="Comma 4 2 4 3 8" xfId="10567"/>
    <cellStyle name="Comma 4 2 4 3 8 2" xfId="17106"/>
    <cellStyle name="Comma 4 2 4 3 9" xfId="13683"/>
    <cellStyle name="Comma 4 2 4 4" xfId="723"/>
    <cellStyle name="Comma 4 2 4 4 2" xfId="1858"/>
    <cellStyle name="Comma 4 2 4 4 2 2" xfId="5278"/>
    <cellStyle name="Comma 4 2 4 4 2 2 2" xfId="11878"/>
    <cellStyle name="Comma 4 2 4 4 2 2 2 2" xfId="18417"/>
    <cellStyle name="Comma 4 2 4 4 2 2 3" xfId="15565"/>
    <cellStyle name="Comma 4 2 4 4 2 3" xfId="7550"/>
    <cellStyle name="Comma 4 2 4 4 2 3 2" xfId="12449"/>
    <cellStyle name="Comma 4 2 4 4 2 3 2 2" xfId="18988"/>
    <cellStyle name="Comma 4 2 4 4 2 3 3" xfId="16136"/>
    <cellStyle name="Comma 4 2 4 4 2 4" xfId="9822"/>
    <cellStyle name="Comma 4 2 4 4 2 4 2" xfId="13020"/>
    <cellStyle name="Comma 4 2 4 4 2 4 2 2" xfId="19559"/>
    <cellStyle name="Comma 4 2 4 4 2 4 3" xfId="16707"/>
    <cellStyle name="Comma 4 2 4 4 2 5" xfId="3350"/>
    <cellStyle name="Comma 4 2 4 4 2 5 2" xfId="11307"/>
    <cellStyle name="Comma 4 2 4 4 2 5 2 2" xfId="17846"/>
    <cellStyle name="Comma 4 2 4 4 2 5 3" xfId="14994"/>
    <cellStyle name="Comma 4 2 4 4 2 6" xfId="2774"/>
    <cellStyle name="Comma 4 2 4 4 2 6 2" xfId="14422"/>
    <cellStyle name="Comma 4 2 4 4 2 7" xfId="10735"/>
    <cellStyle name="Comma 4 2 4 4 2 7 2" xfId="17274"/>
    <cellStyle name="Comma 4 2 4 4 2 8" xfId="13854"/>
    <cellStyle name="Comma 4 2 4 4 3" xfId="4143"/>
    <cellStyle name="Comma 4 2 4 4 3 2" xfId="11593"/>
    <cellStyle name="Comma 4 2 4 4 3 2 2" xfId="18132"/>
    <cellStyle name="Comma 4 2 4 4 3 3" xfId="15280"/>
    <cellStyle name="Comma 4 2 4 4 4" xfId="6415"/>
    <cellStyle name="Comma 4 2 4 4 4 2" xfId="12164"/>
    <cellStyle name="Comma 4 2 4 4 4 2 2" xfId="18703"/>
    <cellStyle name="Comma 4 2 4 4 4 3" xfId="15851"/>
    <cellStyle name="Comma 4 2 4 4 5" xfId="8687"/>
    <cellStyle name="Comma 4 2 4 4 5 2" xfId="12735"/>
    <cellStyle name="Comma 4 2 4 4 5 2 2" xfId="19274"/>
    <cellStyle name="Comma 4 2 4 4 5 3" xfId="16422"/>
    <cellStyle name="Comma 4 2 4 4 6" xfId="3065"/>
    <cellStyle name="Comma 4 2 4 4 6 2" xfId="11022"/>
    <cellStyle name="Comma 4 2 4 4 6 2 2" xfId="17561"/>
    <cellStyle name="Comma 4 2 4 4 6 3" xfId="14709"/>
    <cellStyle name="Comma 4 2 4 4 7" xfId="2494"/>
    <cellStyle name="Comma 4 2 4 4 7 2" xfId="14142"/>
    <cellStyle name="Comma 4 2 4 4 8" xfId="10455"/>
    <cellStyle name="Comma 4 2 4 4 8 2" xfId="16994"/>
    <cellStyle name="Comma 4 2 4 4 9" xfId="13569"/>
    <cellStyle name="Comma 4 2 4 5" xfId="1404"/>
    <cellStyle name="Comma 4 2 4 5 2" xfId="4824"/>
    <cellStyle name="Comma 4 2 4 5 2 2" xfId="11764"/>
    <cellStyle name="Comma 4 2 4 5 2 2 2" xfId="18303"/>
    <cellStyle name="Comma 4 2 4 5 2 3" xfId="15451"/>
    <cellStyle name="Comma 4 2 4 5 3" xfId="7096"/>
    <cellStyle name="Comma 4 2 4 5 3 2" xfId="12335"/>
    <cellStyle name="Comma 4 2 4 5 3 2 2" xfId="18874"/>
    <cellStyle name="Comma 4 2 4 5 3 3" xfId="16022"/>
    <cellStyle name="Comma 4 2 4 5 4" xfId="9368"/>
    <cellStyle name="Comma 4 2 4 5 4 2" xfId="12906"/>
    <cellStyle name="Comma 4 2 4 5 4 2 2" xfId="19445"/>
    <cellStyle name="Comma 4 2 4 5 4 3" xfId="16593"/>
    <cellStyle name="Comma 4 2 4 5 5" xfId="3236"/>
    <cellStyle name="Comma 4 2 4 5 5 2" xfId="11193"/>
    <cellStyle name="Comma 4 2 4 5 5 2 2" xfId="17732"/>
    <cellStyle name="Comma 4 2 4 5 5 3" xfId="14880"/>
    <cellStyle name="Comma 4 2 4 5 6" xfId="2662"/>
    <cellStyle name="Comma 4 2 4 5 6 2" xfId="14310"/>
    <cellStyle name="Comma 4 2 4 5 7" xfId="10623"/>
    <cellStyle name="Comma 4 2 4 5 7 2" xfId="17162"/>
    <cellStyle name="Comma 4 2 4 5 8" xfId="13740"/>
    <cellStyle name="Comma 4 2 4 6" xfId="3689"/>
    <cellStyle name="Comma 4 2 4 6 2" xfId="11479"/>
    <cellStyle name="Comma 4 2 4 6 2 2" xfId="18018"/>
    <cellStyle name="Comma 4 2 4 6 3" xfId="15166"/>
    <cellStyle name="Comma 4 2 4 7" xfId="5961"/>
    <cellStyle name="Comma 4 2 4 7 2" xfId="12050"/>
    <cellStyle name="Comma 4 2 4 7 2 2" xfId="18589"/>
    <cellStyle name="Comma 4 2 4 7 3" xfId="15737"/>
    <cellStyle name="Comma 4 2 4 8" xfId="8233"/>
    <cellStyle name="Comma 4 2 4 8 2" xfId="12621"/>
    <cellStyle name="Comma 4 2 4 8 2 2" xfId="19160"/>
    <cellStyle name="Comma 4 2 4 8 3" xfId="16308"/>
    <cellStyle name="Comma 4 2 4 9" xfId="2951"/>
    <cellStyle name="Comma 4 2 4 9 2" xfId="10908"/>
    <cellStyle name="Comma 4 2 4 9 2 2" xfId="17447"/>
    <cellStyle name="Comma 4 2 4 9 3" xfId="14595"/>
    <cellStyle name="Comma 4 2 5" xfId="325"/>
    <cellStyle name="Comma 4 2 5 10" xfId="13469"/>
    <cellStyle name="Comma 4 2 5 2" xfId="779"/>
    <cellStyle name="Comma 4 2 5 2 2" xfId="1914"/>
    <cellStyle name="Comma 4 2 5 2 2 2" xfId="5334"/>
    <cellStyle name="Comma 4 2 5 2 2 2 2" xfId="11892"/>
    <cellStyle name="Comma 4 2 5 2 2 2 2 2" xfId="18431"/>
    <cellStyle name="Comma 4 2 5 2 2 2 3" xfId="15579"/>
    <cellStyle name="Comma 4 2 5 2 2 3" xfId="7606"/>
    <cellStyle name="Comma 4 2 5 2 2 3 2" xfId="12463"/>
    <cellStyle name="Comma 4 2 5 2 2 3 2 2" xfId="19002"/>
    <cellStyle name="Comma 4 2 5 2 2 3 3" xfId="16150"/>
    <cellStyle name="Comma 4 2 5 2 2 4" xfId="9878"/>
    <cellStyle name="Comma 4 2 5 2 2 4 2" xfId="13034"/>
    <cellStyle name="Comma 4 2 5 2 2 4 2 2" xfId="19573"/>
    <cellStyle name="Comma 4 2 5 2 2 4 3" xfId="16721"/>
    <cellStyle name="Comma 4 2 5 2 2 5" xfId="3364"/>
    <cellStyle name="Comma 4 2 5 2 2 5 2" xfId="11321"/>
    <cellStyle name="Comma 4 2 5 2 2 5 2 2" xfId="17860"/>
    <cellStyle name="Comma 4 2 5 2 2 5 3" xfId="15008"/>
    <cellStyle name="Comma 4 2 5 2 2 6" xfId="2788"/>
    <cellStyle name="Comma 4 2 5 2 2 6 2" xfId="14436"/>
    <cellStyle name="Comma 4 2 5 2 2 7" xfId="10749"/>
    <cellStyle name="Comma 4 2 5 2 2 7 2" xfId="17288"/>
    <cellStyle name="Comma 4 2 5 2 2 8" xfId="13868"/>
    <cellStyle name="Comma 4 2 5 2 3" xfId="4199"/>
    <cellStyle name="Comma 4 2 5 2 3 2" xfId="11607"/>
    <cellStyle name="Comma 4 2 5 2 3 2 2" xfId="18146"/>
    <cellStyle name="Comma 4 2 5 2 3 3" xfId="15294"/>
    <cellStyle name="Comma 4 2 5 2 4" xfId="6471"/>
    <cellStyle name="Comma 4 2 5 2 4 2" xfId="12178"/>
    <cellStyle name="Comma 4 2 5 2 4 2 2" xfId="18717"/>
    <cellStyle name="Comma 4 2 5 2 4 3" xfId="15865"/>
    <cellStyle name="Comma 4 2 5 2 5" xfId="8743"/>
    <cellStyle name="Comma 4 2 5 2 5 2" xfId="12749"/>
    <cellStyle name="Comma 4 2 5 2 5 2 2" xfId="19288"/>
    <cellStyle name="Comma 4 2 5 2 5 3" xfId="16436"/>
    <cellStyle name="Comma 4 2 5 2 6" xfId="3079"/>
    <cellStyle name="Comma 4 2 5 2 6 2" xfId="11036"/>
    <cellStyle name="Comma 4 2 5 2 6 2 2" xfId="17575"/>
    <cellStyle name="Comma 4 2 5 2 6 3" xfId="14723"/>
    <cellStyle name="Comma 4 2 5 2 7" xfId="2508"/>
    <cellStyle name="Comma 4 2 5 2 7 2" xfId="14156"/>
    <cellStyle name="Comma 4 2 5 2 8" xfId="10469"/>
    <cellStyle name="Comma 4 2 5 2 8 2" xfId="17008"/>
    <cellStyle name="Comma 4 2 5 2 9" xfId="13583"/>
    <cellStyle name="Comma 4 2 5 3" xfId="1460"/>
    <cellStyle name="Comma 4 2 5 3 2" xfId="4880"/>
    <cellStyle name="Comma 4 2 5 3 2 2" xfId="11778"/>
    <cellStyle name="Comma 4 2 5 3 2 2 2" xfId="18317"/>
    <cellStyle name="Comma 4 2 5 3 2 3" xfId="15465"/>
    <cellStyle name="Comma 4 2 5 3 3" xfId="7152"/>
    <cellStyle name="Comma 4 2 5 3 3 2" xfId="12349"/>
    <cellStyle name="Comma 4 2 5 3 3 2 2" xfId="18888"/>
    <cellStyle name="Comma 4 2 5 3 3 3" xfId="16036"/>
    <cellStyle name="Comma 4 2 5 3 4" xfId="9424"/>
    <cellStyle name="Comma 4 2 5 3 4 2" xfId="12920"/>
    <cellStyle name="Comma 4 2 5 3 4 2 2" xfId="19459"/>
    <cellStyle name="Comma 4 2 5 3 4 3" xfId="16607"/>
    <cellStyle name="Comma 4 2 5 3 5" xfId="3250"/>
    <cellStyle name="Comma 4 2 5 3 5 2" xfId="11207"/>
    <cellStyle name="Comma 4 2 5 3 5 2 2" xfId="17746"/>
    <cellStyle name="Comma 4 2 5 3 5 3" xfId="14894"/>
    <cellStyle name="Comma 4 2 5 3 6" xfId="2676"/>
    <cellStyle name="Comma 4 2 5 3 6 2" xfId="14324"/>
    <cellStyle name="Comma 4 2 5 3 7" xfId="10637"/>
    <cellStyle name="Comma 4 2 5 3 7 2" xfId="17176"/>
    <cellStyle name="Comma 4 2 5 3 8" xfId="13754"/>
    <cellStyle name="Comma 4 2 5 4" xfId="3745"/>
    <cellStyle name="Comma 4 2 5 4 2" xfId="11493"/>
    <cellStyle name="Comma 4 2 5 4 2 2" xfId="18032"/>
    <cellStyle name="Comma 4 2 5 4 3" xfId="15180"/>
    <cellStyle name="Comma 4 2 5 5" xfId="6017"/>
    <cellStyle name="Comma 4 2 5 5 2" xfId="12064"/>
    <cellStyle name="Comma 4 2 5 5 2 2" xfId="18603"/>
    <cellStyle name="Comma 4 2 5 5 3" xfId="15751"/>
    <cellStyle name="Comma 4 2 5 6" xfId="8289"/>
    <cellStyle name="Comma 4 2 5 6 2" xfId="12635"/>
    <cellStyle name="Comma 4 2 5 6 2 2" xfId="19174"/>
    <cellStyle name="Comma 4 2 5 6 3" xfId="16322"/>
    <cellStyle name="Comma 4 2 5 7" xfId="2965"/>
    <cellStyle name="Comma 4 2 5 7 2" xfId="10922"/>
    <cellStyle name="Comma 4 2 5 7 2 2" xfId="17461"/>
    <cellStyle name="Comma 4 2 5 7 3" xfId="14609"/>
    <cellStyle name="Comma 4 2 5 8" xfId="2396"/>
    <cellStyle name="Comma 4 2 5 8 2" xfId="14044"/>
    <cellStyle name="Comma 4 2 5 9" xfId="10357"/>
    <cellStyle name="Comma 4 2 5 9 2" xfId="16896"/>
    <cellStyle name="Comma 4 2 6" xfId="1006"/>
    <cellStyle name="Comma 4 2 6 2" xfId="2141"/>
    <cellStyle name="Comma 4 2 6 2 2" xfId="5561"/>
    <cellStyle name="Comma 4 2 6 2 2 2" xfId="11949"/>
    <cellStyle name="Comma 4 2 6 2 2 2 2" xfId="18488"/>
    <cellStyle name="Comma 4 2 6 2 2 3" xfId="15636"/>
    <cellStyle name="Comma 4 2 6 2 3" xfId="7833"/>
    <cellStyle name="Comma 4 2 6 2 3 2" xfId="12520"/>
    <cellStyle name="Comma 4 2 6 2 3 2 2" xfId="19059"/>
    <cellStyle name="Comma 4 2 6 2 3 3" xfId="16207"/>
    <cellStyle name="Comma 4 2 6 2 4" xfId="10105"/>
    <cellStyle name="Comma 4 2 6 2 4 2" xfId="13091"/>
    <cellStyle name="Comma 4 2 6 2 4 2 2" xfId="19630"/>
    <cellStyle name="Comma 4 2 6 2 4 3" xfId="16778"/>
    <cellStyle name="Comma 4 2 6 2 5" xfId="3421"/>
    <cellStyle name="Comma 4 2 6 2 5 2" xfId="11378"/>
    <cellStyle name="Comma 4 2 6 2 5 2 2" xfId="17917"/>
    <cellStyle name="Comma 4 2 6 2 5 3" xfId="15065"/>
    <cellStyle name="Comma 4 2 6 2 6" xfId="2844"/>
    <cellStyle name="Comma 4 2 6 2 6 2" xfId="14492"/>
    <cellStyle name="Comma 4 2 6 2 7" xfId="10805"/>
    <cellStyle name="Comma 4 2 6 2 7 2" xfId="17344"/>
    <cellStyle name="Comma 4 2 6 2 8" xfId="13925"/>
    <cellStyle name="Comma 4 2 6 3" xfId="4426"/>
    <cellStyle name="Comma 4 2 6 3 2" xfId="11664"/>
    <cellStyle name="Comma 4 2 6 3 2 2" xfId="18203"/>
    <cellStyle name="Comma 4 2 6 3 3" xfId="15351"/>
    <cellStyle name="Comma 4 2 6 4" xfId="6698"/>
    <cellStyle name="Comma 4 2 6 4 2" xfId="12235"/>
    <cellStyle name="Comma 4 2 6 4 2 2" xfId="18774"/>
    <cellStyle name="Comma 4 2 6 4 3" xfId="15922"/>
    <cellStyle name="Comma 4 2 6 5" xfId="8970"/>
    <cellStyle name="Comma 4 2 6 5 2" xfId="12806"/>
    <cellStyle name="Comma 4 2 6 5 2 2" xfId="19345"/>
    <cellStyle name="Comma 4 2 6 5 3" xfId="16493"/>
    <cellStyle name="Comma 4 2 6 6" xfId="3136"/>
    <cellStyle name="Comma 4 2 6 6 2" xfId="11093"/>
    <cellStyle name="Comma 4 2 6 6 2 2" xfId="17632"/>
    <cellStyle name="Comma 4 2 6 6 3" xfId="14780"/>
    <cellStyle name="Comma 4 2 6 7" xfId="2564"/>
    <cellStyle name="Comma 4 2 6 7 2" xfId="14212"/>
    <cellStyle name="Comma 4 2 6 8" xfId="10525"/>
    <cellStyle name="Comma 4 2 6 8 2" xfId="17064"/>
    <cellStyle name="Comma 4 2 6 9" xfId="13640"/>
    <cellStyle name="Comma 4 2 7" xfId="552"/>
    <cellStyle name="Comma 4 2 7 2" xfId="1687"/>
    <cellStyle name="Comma 4 2 7 2 2" xfId="5107"/>
    <cellStyle name="Comma 4 2 7 2 2 2" xfId="11835"/>
    <cellStyle name="Comma 4 2 7 2 2 2 2" xfId="18374"/>
    <cellStyle name="Comma 4 2 7 2 2 3" xfId="15522"/>
    <cellStyle name="Comma 4 2 7 2 3" xfId="7379"/>
    <cellStyle name="Comma 4 2 7 2 3 2" xfId="12406"/>
    <cellStyle name="Comma 4 2 7 2 3 2 2" xfId="18945"/>
    <cellStyle name="Comma 4 2 7 2 3 3" xfId="16093"/>
    <cellStyle name="Comma 4 2 7 2 4" xfId="9651"/>
    <cellStyle name="Comma 4 2 7 2 4 2" xfId="12977"/>
    <cellStyle name="Comma 4 2 7 2 4 2 2" xfId="19516"/>
    <cellStyle name="Comma 4 2 7 2 4 3" xfId="16664"/>
    <cellStyle name="Comma 4 2 7 2 5" xfId="3307"/>
    <cellStyle name="Comma 4 2 7 2 5 2" xfId="11264"/>
    <cellStyle name="Comma 4 2 7 2 5 2 2" xfId="17803"/>
    <cellStyle name="Comma 4 2 7 2 5 3" xfId="14951"/>
    <cellStyle name="Comma 4 2 7 2 6" xfId="2732"/>
    <cellStyle name="Comma 4 2 7 2 6 2" xfId="14380"/>
    <cellStyle name="Comma 4 2 7 2 7" xfId="10693"/>
    <cellStyle name="Comma 4 2 7 2 7 2" xfId="17232"/>
    <cellStyle name="Comma 4 2 7 2 8" xfId="13811"/>
    <cellStyle name="Comma 4 2 7 3" xfId="3972"/>
    <cellStyle name="Comma 4 2 7 3 2" xfId="11550"/>
    <cellStyle name="Comma 4 2 7 3 2 2" xfId="18089"/>
    <cellStyle name="Comma 4 2 7 3 3" xfId="15237"/>
    <cellStyle name="Comma 4 2 7 4" xfId="6244"/>
    <cellStyle name="Comma 4 2 7 4 2" xfId="12121"/>
    <cellStyle name="Comma 4 2 7 4 2 2" xfId="18660"/>
    <cellStyle name="Comma 4 2 7 4 3" xfId="15808"/>
    <cellStyle name="Comma 4 2 7 5" xfId="8516"/>
    <cellStyle name="Comma 4 2 7 5 2" xfId="12692"/>
    <cellStyle name="Comma 4 2 7 5 2 2" xfId="19231"/>
    <cellStyle name="Comma 4 2 7 5 3" xfId="16379"/>
    <cellStyle name="Comma 4 2 7 6" xfId="3022"/>
    <cellStyle name="Comma 4 2 7 6 2" xfId="10979"/>
    <cellStyle name="Comma 4 2 7 6 2 2" xfId="17518"/>
    <cellStyle name="Comma 4 2 7 6 3" xfId="14666"/>
    <cellStyle name="Comma 4 2 7 7" xfId="2452"/>
    <cellStyle name="Comma 4 2 7 7 2" xfId="14100"/>
    <cellStyle name="Comma 4 2 7 8" xfId="10413"/>
    <cellStyle name="Comma 4 2 7 8 2" xfId="16952"/>
    <cellStyle name="Comma 4 2 7 9" xfId="13526"/>
    <cellStyle name="Comma 4 2 8" xfId="1233"/>
    <cellStyle name="Comma 4 2 8 2" xfId="4653"/>
    <cellStyle name="Comma 4 2 8 2 2" xfId="11721"/>
    <cellStyle name="Comma 4 2 8 2 2 2" xfId="18260"/>
    <cellStyle name="Comma 4 2 8 2 3" xfId="15408"/>
    <cellStyle name="Comma 4 2 8 3" xfId="6925"/>
    <cellStyle name="Comma 4 2 8 3 2" xfId="12292"/>
    <cellStyle name="Comma 4 2 8 3 2 2" xfId="18831"/>
    <cellStyle name="Comma 4 2 8 3 3" xfId="15979"/>
    <cellStyle name="Comma 4 2 8 4" xfId="9197"/>
    <cellStyle name="Comma 4 2 8 4 2" xfId="12863"/>
    <cellStyle name="Comma 4 2 8 4 2 2" xfId="19402"/>
    <cellStyle name="Comma 4 2 8 4 3" xfId="16550"/>
    <cellStyle name="Comma 4 2 8 5" xfId="3193"/>
    <cellStyle name="Comma 4 2 8 5 2" xfId="11150"/>
    <cellStyle name="Comma 4 2 8 5 2 2" xfId="17689"/>
    <cellStyle name="Comma 4 2 8 5 3" xfId="14837"/>
    <cellStyle name="Comma 4 2 8 6" xfId="2620"/>
    <cellStyle name="Comma 4 2 8 6 2" xfId="14268"/>
    <cellStyle name="Comma 4 2 8 7" xfId="10581"/>
    <cellStyle name="Comma 4 2 8 7 2" xfId="17120"/>
    <cellStyle name="Comma 4 2 8 8" xfId="13697"/>
    <cellStyle name="Comma 4 2 9" xfId="3518"/>
    <cellStyle name="Comma 4 2 9 2" xfId="11436"/>
    <cellStyle name="Comma 4 2 9 2 2" xfId="17975"/>
    <cellStyle name="Comma 4 2 9 3" xfId="15123"/>
    <cellStyle name="Comma 4 20" xfId="19779"/>
    <cellStyle name="Comma 4 21" xfId="19830"/>
    <cellStyle name="Comma 4 22" xfId="19886"/>
    <cellStyle name="Comma 4 3" xfId="171"/>
    <cellStyle name="Comma 4 3 10" xfId="2360"/>
    <cellStyle name="Comma 4 3 10 2" xfId="14008"/>
    <cellStyle name="Comma 4 3 11" xfId="10321"/>
    <cellStyle name="Comma 4 3 11 2" xfId="16860"/>
    <cellStyle name="Comma 4 3 12" xfId="13432"/>
    <cellStyle name="Comma 4 3 13" xfId="20092"/>
    <cellStyle name="Comma 4 3 2" xfId="409"/>
    <cellStyle name="Comma 4 3 2 10" xfId="13490"/>
    <cellStyle name="Comma 4 3 2 11" xfId="20256"/>
    <cellStyle name="Comma 4 3 2 2" xfId="863"/>
    <cellStyle name="Comma 4 3 2 2 2" xfId="1998"/>
    <cellStyle name="Comma 4 3 2 2 2 2" xfId="5418"/>
    <cellStyle name="Comma 4 3 2 2 2 2 2" xfId="11913"/>
    <cellStyle name="Comma 4 3 2 2 2 2 2 2" xfId="18452"/>
    <cellStyle name="Comma 4 3 2 2 2 2 3" xfId="15600"/>
    <cellStyle name="Comma 4 3 2 2 2 3" xfId="7690"/>
    <cellStyle name="Comma 4 3 2 2 2 3 2" xfId="12484"/>
    <cellStyle name="Comma 4 3 2 2 2 3 2 2" xfId="19023"/>
    <cellStyle name="Comma 4 3 2 2 2 3 3" xfId="16171"/>
    <cellStyle name="Comma 4 3 2 2 2 4" xfId="9962"/>
    <cellStyle name="Comma 4 3 2 2 2 4 2" xfId="13055"/>
    <cellStyle name="Comma 4 3 2 2 2 4 2 2" xfId="19594"/>
    <cellStyle name="Comma 4 3 2 2 2 4 3" xfId="16742"/>
    <cellStyle name="Comma 4 3 2 2 2 5" xfId="3385"/>
    <cellStyle name="Comma 4 3 2 2 2 5 2" xfId="11342"/>
    <cellStyle name="Comma 4 3 2 2 2 5 2 2" xfId="17881"/>
    <cellStyle name="Comma 4 3 2 2 2 5 3" xfId="15029"/>
    <cellStyle name="Comma 4 3 2 2 2 6" xfId="2809"/>
    <cellStyle name="Comma 4 3 2 2 2 6 2" xfId="14457"/>
    <cellStyle name="Comma 4 3 2 2 2 7" xfId="10770"/>
    <cellStyle name="Comma 4 3 2 2 2 7 2" xfId="17309"/>
    <cellStyle name="Comma 4 3 2 2 2 8" xfId="13889"/>
    <cellStyle name="Comma 4 3 2 2 3" xfId="4283"/>
    <cellStyle name="Comma 4 3 2 2 3 2" xfId="11628"/>
    <cellStyle name="Comma 4 3 2 2 3 2 2" xfId="18167"/>
    <cellStyle name="Comma 4 3 2 2 3 3" xfId="15315"/>
    <cellStyle name="Comma 4 3 2 2 4" xfId="6555"/>
    <cellStyle name="Comma 4 3 2 2 4 2" xfId="12199"/>
    <cellStyle name="Comma 4 3 2 2 4 2 2" xfId="18738"/>
    <cellStyle name="Comma 4 3 2 2 4 3" xfId="15886"/>
    <cellStyle name="Comma 4 3 2 2 5" xfId="8827"/>
    <cellStyle name="Comma 4 3 2 2 5 2" xfId="12770"/>
    <cellStyle name="Comma 4 3 2 2 5 2 2" xfId="19309"/>
    <cellStyle name="Comma 4 3 2 2 5 3" xfId="16457"/>
    <cellStyle name="Comma 4 3 2 2 6" xfId="3100"/>
    <cellStyle name="Comma 4 3 2 2 6 2" xfId="11057"/>
    <cellStyle name="Comma 4 3 2 2 6 2 2" xfId="17596"/>
    <cellStyle name="Comma 4 3 2 2 6 3" xfId="14744"/>
    <cellStyle name="Comma 4 3 2 2 7" xfId="2529"/>
    <cellStyle name="Comma 4 3 2 2 7 2" xfId="14177"/>
    <cellStyle name="Comma 4 3 2 2 8" xfId="10490"/>
    <cellStyle name="Comma 4 3 2 2 8 2" xfId="17029"/>
    <cellStyle name="Comma 4 3 2 2 9" xfId="13604"/>
    <cellStyle name="Comma 4 3 2 3" xfId="1544"/>
    <cellStyle name="Comma 4 3 2 3 2" xfId="4964"/>
    <cellStyle name="Comma 4 3 2 3 2 2" xfId="11799"/>
    <cellStyle name="Comma 4 3 2 3 2 2 2" xfId="18338"/>
    <cellStyle name="Comma 4 3 2 3 2 3" xfId="15486"/>
    <cellStyle name="Comma 4 3 2 3 3" xfId="7236"/>
    <cellStyle name="Comma 4 3 2 3 3 2" xfId="12370"/>
    <cellStyle name="Comma 4 3 2 3 3 2 2" xfId="18909"/>
    <cellStyle name="Comma 4 3 2 3 3 3" xfId="16057"/>
    <cellStyle name="Comma 4 3 2 3 4" xfId="9508"/>
    <cellStyle name="Comma 4 3 2 3 4 2" xfId="12941"/>
    <cellStyle name="Comma 4 3 2 3 4 2 2" xfId="19480"/>
    <cellStyle name="Comma 4 3 2 3 4 3" xfId="16628"/>
    <cellStyle name="Comma 4 3 2 3 5" xfId="3271"/>
    <cellStyle name="Comma 4 3 2 3 5 2" xfId="11228"/>
    <cellStyle name="Comma 4 3 2 3 5 2 2" xfId="17767"/>
    <cellStyle name="Comma 4 3 2 3 5 3" xfId="14915"/>
    <cellStyle name="Comma 4 3 2 3 6" xfId="2697"/>
    <cellStyle name="Comma 4 3 2 3 6 2" xfId="14345"/>
    <cellStyle name="Comma 4 3 2 3 7" xfId="10658"/>
    <cellStyle name="Comma 4 3 2 3 7 2" xfId="17197"/>
    <cellStyle name="Comma 4 3 2 3 8" xfId="13775"/>
    <cellStyle name="Comma 4 3 2 4" xfId="3829"/>
    <cellStyle name="Comma 4 3 2 4 2" xfId="11514"/>
    <cellStyle name="Comma 4 3 2 4 2 2" xfId="18053"/>
    <cellStyle name="Comma 4 3 2 4 3" xfId="15201"/>
    <cellStyle name="Comma 4 3 2 5" xfId="6101"/>
    <cellStyle name="Comma 4 3 2 5 2" xfId="12085"/>
    <cellStyle name="Comma 4 3 2 5 2 2" xfId="18624"/>
    <cellStyle name="Comma 4 3 2 5 3" xfId="15772"/>
    <cellStyle name="Comma 4 3 2 6" xfId="8373"/>
    <cellStyle name="Comma 4 3 2 6 2" xfId="12656"/>
    <cellStyle name="Comma 4 3 2 6 2 2" xfId="19195"/>
    <cellStyle name="Comma 4 3 2 6 3" xfId="16343"/>
    <cellStyle name="Comma 4 3 2 7" xfId="2986"/>
    <cellStyle name="Comma 4 3 2 7 2" xfId="10943"/>
    <cellStyle name="Comma 4 3 2 7 2 2" xfId="17482"/>
    <cellStyle name="Comma 4 3 2 7 3" xfId="14630"/>
    <cellStyle name="Comma 4 3 2 8" xfId="2417"/>
    <cellStyle name="Comma 4 3 2 8 2" xfId="14065"/>
    <cellStyle name="Comma 4 3 2 9" xfId="10378"/>
    <cellStyle name="Comma 4 3 2 9 2" xfId="16917"/>
    <cellStyle name="Comma 4 3 3" xfId="1090"/>
    <cellStyle name="Comma 4 3 3 10" xfId="20329"/>
    <cellStyle name="Comma 4 3 3 2" xfId="2225"/>
    <cellStyle name="Comma 4 3 3 2 2" xfId="5645"/>
    <cellStyle name="Comma 4 3 3 2 2 2" xfId="11970"/>
    <cellStyle name="Comma 4 3 3 2 2 2 2" xfId="18509"/>
    <cellStyle name="Comma 4 3 3 2 2 3" xfId="15657"/>
    <cellStyle name="Comma 4 3 3 2 3" xfId="7917"/>
    <cellStyle name="Comma 4 3 3 2 3 2" xfId="12541"/>
    <cellStyle name="Comma 4 3 3 2 3 2 2" xfId="19080"/>
    <cellStyle name="Comma 4 3 3 2 3 3" xfId="16228"/>
    <cellStyle name="Comma 4 3 3 2 4" xfId="10189"/>
    <cellStyle name="Comma 4 3 3 2 4 2" xfId="13112"/>
    <cellStyle name="Comma 4 3 3 2 4 2 2" xfId="19651"/>
    <cellStyle name="Comma 4 3 3 2 4 3" xfId="16799"/>
    <cellStyle name="Comma 4 3 3 2 5" xfId="3442"/>
    <cellStyle name="Comma 4 3 3 2 5 2" xfId="11399"/>
    <cellStyle name="Comma 4 3 3 2 5 2 2" xfId="17938"/>
    <cellStyle name="Comma 4 3 3 2 5 3" xfId="15086"/>
    <cellStyle name="Comma 4 3 3 2 6" xfId="2865"/>
    <cellStyle name="Comma 4 3 3 2 6 2" xfId="14513"/>
    <cellStyle name="Comma 4 3 3 2 7" xfId="10826"/>
    <cellStyle name="Comma 4 3 3 2 7 2" xfId="17365"/>
    <cellStyle name="Comma 4 3 3 2 8" xfId="13946"/>
    <cellStyle name="Comma 4 3 3 3" xfId="4510"/>
    <cellStyle name="Comma 4 3 3 3 2" xfId="11685"/>
    <cellStyle name="Comma 4 3 3 3 2 2" xfId="18224"/>
    <cellStyle name="Comma 4 3 3 3 3" xfId="15372"/>
    <cellStyle name="Comma 4 3 3 4" xfId="6782"/>
    <cellStyle name="Comma 4 3 3 4 2" xfId="12256"/>
    <cellStyle name="Comma 4 3 3 4 2 2" xfId="18795"/>
    <cellStyle name="Comma 4 3 3 4 3" xfId="15943"/>
    <cellStyle name="Comma 4 3 3 5" xfId="9054"/>
    <cellStyle name="Comma 4 3 3 5 2" xfId="12827"/>
    <cellStyle name="Comma 4 3 3 5 2 2" xfId="19366"/>
    <cellStyle name="Comma 4 3 3 5 3" xfId="16514"/>
    <cellStyle name="Comma 4 3 3 6" xfId="3157"/>
    <cellStyle name="Comma 4 3 3 6 2" xfId="11114"/>
    <cellStyle name="Comma 4 3 3 6 2 2" xfId="17653"/>
    <cellStyle name="Comma 4 3 3 6 3" xfId="14801"/>
    <cellStyle name="Comma 4 3 3 7" xfId="2585"/>
    <cellStyle name="Comma 4 3 3 7 2" xfId="14233"/>
    <cellStyle name="Comma 4 3 3 8" xfId="10546"/>
    <cellStyle name="Comma 4 3 3 8 2" xfId="17085"/>
    <cellStyle name="Comma 4 3 3 9" xfId="13661"/>
    <cellStyle name="Comma 4 3 4" xfId="636"/>
    <cellStyle name="Comma 4 3 4 2" xfId="1771"/>
    <cellStyle name="Comma 4 3 4 2 2" xfId="5191"/>
    <cellStyle name="Comma 4 3 4 2 2 2" xfId="11856"/>
    <cellStyle name="Comma 4 3 4 2 2 2 2" xfId="18395"/>
    <cellStyle name="Comma 4 3 4 2 2 3" xfId="15543"/>
    <cellStyle name="Comma 4 3 4 2 3" xfId="7463"/>
    <cellStyle name="Comma 4 3 4 2 3 2" xfId="12427"/>
    <cellStyle name="Comma 4 3 4 2 3 2 2" xfId="18966"/>
    <cellStyle name="Comma 4 3 4 2 3 3" xfId="16114"/>
    <cellStyle name="Comma 4 3 4 2 4" xfId="9735"/>
    <cellStyle name="Comma 4 3 4 2 4 2" xfId="12998"/>
    <cellStyle name="Comma 4 3 4 2 4 2 2" xfId="19537"/>
    <cellStyle name="Comma 4 3 4 2 4 3" xfId="16685"/>
    <cellStyle name="Comma 4 3 4 2 5" xfId="3328"/>
    <cellStyle name="Comma 4 3 4 2 5 2" xfId="11285"/>
    <cellStyle name="Comma 4 3 4 2 5 2 2" xfId="17824"/>
    <cellStyle name="Comma 4 3 4 2 5 3" xfId="14972"/>
    <cellStyle name="Comma 4 3 4 2 6" xfId="2753"/>
    <cellStyle name="Comma 4 3 4 2 6 2" xfId="14401"/>
    <cellStyle name="Comma 4 3 4 2 7" xfId="10714"/>
    <cellStyle name="Comma 4 3 4 2 7 2" xfId="17253"/>
    <cellStyle name="Comma 4 3 4 2 8" xfId="13832"/>
    <cellStyle name="Comma 4 3 4 3" xfId="4056"/>
    <cellStyle name="Comma 4 3 4 3 2" xfId="11571"/>
    <cellStyle name="Comma 4 3 4 3 2 2" xfId="18110"/>
    <cellStyle name="Comma 4 3 4 3 3" xfId="15258"/>
    <cellStyle name="Comma 4 3 4 4" xfId="6328"/>
    <cellStyle name="Comma 4 3 4 4 2" xfId="12142"/>
    <cellStyle name="Comma 4 3 4 4 2 2" xfId="18681"/>
    <cellStyle name="Comma 4 3 4 4 3" xfId="15829"/>
    <cellStyle name="Comma 4 3 4 5" xfId="8600"/>
    <cellStyle name="Comma 4 3 4 5 2" xfId="12713"/>
    <cellStyle name="Comma 4 3 4 5 2 2" xfId="19252"/>
    <cellStyle name="Comma 4 3 4 5 3" xfId="16400"/>
    <cellStyle name="Comma 4 3 4 6" xfId="3043"/>
    <cellStyle name="Comma 4 3 4 6 2" xfId="11000"/>
    <cellStyle name="Comma 4 3 4 6 2 2" xfId="17539"/>
    <cellStyle name="Comma 4 3 4 6 3" xfId="14687"/>
    <cellStyle name="Comma 4 3 4 7" xfId="2473"/>
    <cellStyle name="Comma 4 3 4 7 2" xfId="14121"/>
    <cellStyle name="Comma 4 3 4 8" xfId="10434"/>
    <cellStyle name="Comma 4 3 4 8 2" xfId="16973"/>
    <cellStyle name="Comma 4 3 4 9" xfId="13547"/>
    <cellStyle name="Comma 4 3 5" xfId="1317"/>
    <cellStyle name="Comma 4 3 5 2" xfId="4737"/>
    <cellStyle name="Comma 4 3 5 2 2" xfId="11742"/>
    <cellStyle name="Comma 4 3 5 2 2 2" xfId="18281"/>
    <cellStyle name="Comma 4 3 5 2 3" xfId="15429"/>
    <cellStyle name="Comma 4 3 5 3" xfId="7009"/>
    <cellStyle name="Comma 4 3 5 3 2" xfId="12313"/>
    <cellStyle name="Comma 4 3 5 3 2 2" xfId="18852"/>
    <cellStyle name="Comma 4 3 5 3 3" xfId="16000"/>
    <cellStyle name="Comma 4 3 5 4" xfId="9281"/>
    <cellStyle name="Comma 4 3 5 4 2" xfId="12884"/>
    <cellStyle name="Comma 4 3 5 4 2 2" xfId="19423"/>
    <cellStyle name="Comma 4 3 5 4 3" xfId="16571"/>
    <cellStyle name="Comma 4 3 5 5" xfId="3214"/>
    <cellStyle name="Comma 4 3 5 5 2" xfId="11171"/>
    <cellStyle name="Comma 4 3 5 5 2 2" xfId="17710"/>
    <cellStyle name="Comma 4 3 5 5 3" xfId="14858"/>
    <cellStyle name="Comma 4 3 5 6" xfId="2641"/>
    <cellStyle name="Comma 4 3 5 6 2" xfId="14289"/>
    <cellStyle name="Comma 4 3 5 7" xfId="10602"/>
    <cellStyle name="Comma 4 3 5 7 2" xfId="17141"/>
    <cellStyle name="Comma 4 3 5 8" xfId="13718"/>
    <cellStyle name="Comma 4 3 6" xfId="3602"/>
    <cellStyle name="Comma 4 3 6 2" xfId="11457"/>
    <cellStyle name="Comma 4 3 6 2 2" xfId="17996"/>
    <cellStyle name="Comma 4 3 6 3" xfId="15144"/>
    <cellStyle name="Comma 4 3 7" xfId="5874"/>
    <cellStyle name="Comma 4 3 7 2" xfId="12028"/>
    <cellStyle name="Comma 4 3 7 2 2" xfId="18567"/>
    <cellStyle name="Comma 4 3 7 3" xfId="15715"/>
    <cellStyle name="Comma 4 3 8" xfId="8146"/>
    <cellStyle name="Comma 4 3 8 2" xfId="12599"/>
    <cellStyle name="Comma 4 3 8 2 2" xfId="19138"/>
    <cellStyle name="Comma 4 3 8 3" xfId="16286"/>
    <cellStyle name="Comma 4 3 9" xfId="2926"/>
    <cellStyle name="Comma 4 3 9 2" xfId="10885"/>
    <cellStyle name="Comma 4 3 9 2 2" xfId="17424"/>
    <cellStyle name="Comma 4 3 9 3" xfId="14572"/>
    <cellStyle name="Comma 4 4" xfId="115"/>
    <cellStyle name="Comma 4 4 10" xfId="2346"/>
    <cellStyle name="Comma 4 4 10 2" xfId="13994"/>
    <cellStyle name="Comma 4 4 11" xfId="10307"/>
    <cellStyle name="Comma 4 4 11 2" xfId="16846"/>
    <cellStyle name="Comma 4 4 12" xfId="13418"/>
    <cellStyle name="Comma 4 4 13" xfId="20093"/>
    <cellStyle name="Comma 4 4 2" xfId="353"/>
    <cellStyle name="Comma 4 4 2 10" xfId="13476"/>
    <cellStyle name="Comma 4 4 2 11" xfId="20257"/>
    <cellStyle name="Comma 4 4 2 2" xfId="807"/>
    <cellStyle name="Comma 4 4 2 2 2" xfId="1942"/>
    <cellStyle name="Comma 4 4 2 2 2 2" xfId="5362"/>
    <cellStyle name="Comma 4 4 2 2 2 2 2" xfId="11899"/>
    <cellStyle name="Comma 4 4 2 2 2 2 2 2" xfId="18438"/>
    <cellStyle name="Comma 4 4 2 2 2 2 3" xfId="15586"/>
    <cellStyle name="Comma 4 4 2 2 2 3" xfId="7634"/>
    <cellStyle name="Comma 4 4 2 2 2 3 2" xfId="12470"/>
    <cellStyle name="Comma 4 4 2 2 2 3 2 2" xfId="19009"/>
    <cellStyle name="Comma 4 4 2 2 2 3 3" xfId="16157"/>
    <cellStyle name="Comma 4 4 2 2 2 4" xfId="9906"/>
    <cellStyle name="Comma 4 4 2 2 2 4 2" xfId="13041"/>
    <cellStyle name="Comma 4 4 2 2 2 4 2 2" xfId="19580"/>
    <cellStyle name="Comma 4 4 2 2 2 4 3" xfId="16728"/>
    <cellStyle name="Comma 4 4 2 2 2 5" xfId="3371"/>
    <cellStyle name="Comma 4 4 2 2 2 5 2" xfId="11328"/>
    <cellStyle name="Comma 4 4 2 2 2 5 2 2" xfId="17867"/>
    <cellStyle name="Comma 4 4 2 2 2 5 3" xfId="15015"/>
    <cellStyle name="Comma 4 4 2 2 2 6" xfId="2795"/>
    <cellStyle name="Comma 4 4 2 2 2 6 2" xfId="14443"/>
    <cellStyle name="Comma 4 4 2 2 2 7" xfId="10756"/>
    <cellStyle name="Comma 4 4 2 2 2 7 2" xfId="17295"/>
    <cellStyle name="Comma 4 4 2 2 2 8" xfId="13875"/>
    <cellStyle name="Comma 4 4 2 2 3" xfId="4227"/>
    <cellStyle name="Comma 4 4 2 2 3 2" xfId="11614"/>
    <cellStyle name="Comma 4 4 2 2 3 2 2" xfId="18153"/>
    <cellStyle name="Comma 4 4 2 2 3 3" xfId="15301"/>
    <cellStyle name="Comma 4 4 2 2 4" xfId="6499"/>
    <cellStyle name="Comma 4 4 2 2 4 2" xfId="12185"/>
    <cellStyle name="Comma 4 4 2 2 4 2 2" xfId="18724"/>
    <cellStyle name="Comma 4 4 2 2 4 3" xfId="15872"/>
    <cellStyle name="Comma 4 4 2 2 5" xfId="8771"/>
    <cellStyle name="Comma 4 4 2 2 5 2" xfId="12756"/>
    <cellStyle name="Comma 4 4 2 2 5 2 2" xfId="19295"/>
    <cellStyle name="Comma 4 4 2 2 5 3" xfId="16443"/>
    <cellStyle name="Comma 4 4 2 2 6" xfId="3086"/>
    <cellStyle name="Comma 4 4 2 2 6 2" xfId="11043"/>
    <cellStyle name="Comma 4 4 2 2 6 2 2" xfId="17582"/>
    <cellStyle name="Comma 4 4 2 2 6 3" xfId="14730"/>
    <cellStyle name="Comma 4 4 2 2 7" xfId="2515"/>
    <cellStyle name="Comma 4 4 2 2 7 2" xfId="14163"/>
    <cellStyle name="Comma 4 4 2 2 8" xfId="10476"/>
    <cellStyle name="Comma 4 4 2 2 8 2" xfId="17015"/>
    <cellStyle name="Comma 4 4 2 2 9" xfId="13590"/>
    <cellStyle name="Comma 4 4 2 3" xfId="1488"/>
    <cellStyle name="Comma 4 4 2 3 2" xfId="4908"/>
    <cellStyle name="Comma 4 4 2 3 2 2" xfId="11785"/>
    <cellStyle name="Comma 4 4 2 3 2 2 2" xfId="18324"/>
    <cellStyle name="Comma 4 4 2 3 2 3" xfId="15472"/>
    <cellStyle name="Comma 4 4 2 3 3" xfId="7180"/>
    <cellStyle name="Comma 4 4 2 3 3 2" xfId="12356"/>
    <cellStyle name="Comma 4 4 2 3 3 2 2" xfId="18895"/>
    <cellStyle name="Comma 4 4 2 3 3 3" xfId="16043"/>
    <cellStyle name="Comma 4 4 2 3 4" xfId="9452"/>
    <cellStyle name="Comma 4 4 2 3 4 2" xfId="12927"/>
    <cellStyle name="Comma 4 4 2 3 4 2 2" xfId="19466"/>
    <cellStyle name="Comma 4 4 2 3 4 3" xfId="16614"/>
    <cellStyle name="Comma 4 4 2 3 5" xfId="3257"/>
    <cellStyle name="Comma 4 4 2 3 5 2" xfId="11214"/>
    <cellStyle name="Comma 4 4 2 3 5 2 2" xfId="17753"/>
    <cellStyle name="Comma 4 4 2 3 5 3" xfId="14901"/>
    <cellStyle name="Comma 4 4 2 3 6" xfId="2683"/>
    <cellStyle name="Comma 4 4 2 3 6 2" xfId="14331"/>
    <cellStyle name="Comma 4 4 2 3 7" xfId="10644"/>
    <cellStyle name="Comma 4 4 2 3 7 2" xfId="17183"/>
    <cellStyle name="Comma 4 4 2 3 8" xfId="13761"/>
    <cellStyle name="Comma 4 4 2 4" xfId="3773"/>
    <cellStyle name="Comma 4 4 2 4 2" xfId="11500"/>
    <cellStyle name="Comma 4 4 2 4 2 2" xfId="18039"/>
    <cellStyle name="Comma 4 4 2 4 3" xfId="15187"/>
    <cellStyle name="Comma 4 4 2 5" xfId="6045"/>
    <cellStyle name="Comma 4 4 2 5 2" xfId="12071"/>
    <cellStyle name="Comma 4 4 2 5 2 2" xfId="18610"/>
    <cellStyle name="Comma 4 4 2 5 3" xfId="15758"/>
    <cellStyle name="Comma 4 4 2 6" xfId="8317"/>
    <cellStyle name="Comma 4 4 2 6 2" xfId="12642"/>
    <cellStyle name="Comma 4 4 2 6 2 2" xfId="19181"/>
    <cellStyle name="Comma 4 4 2 6 3" xfId="16329"/>
    <cellStyle name="Comma 4 4 2 7" xfId="2972"/>
    <cellStyle name="Comma 4 4 2 7 2" xfId="10929"/>
    <cellStyle name="Comma 4 4 2 7 2 2" xfId="17468"/>
    <cellStyle name="Comma 4 4 2 7 3" xfId="14616"/>
    <cellStyle name="Comma 4 4 2 8" xfId="2403"/>
    <cellStyle name="Comma 4 4 2 8 2" xfId="14051"/>
    <cellStyle name="Comma 4 4 2 9" xfId="10364"/>
    <cellStyle name="Comma 4 4 2 9 2" xfId="16903"/>
    <cellStyle name="Comma 4 4 3" xfId="1034"/>
    <cellStyle name="Comma 4 4 3 10" xfId="20330"/>
    <cellStyle name="Comma 4 4 3 2" xfId="2169"/>
    <cellStyle name="Comma 4 4 3 2 2" xfId="5589"/>
    <cellStyle name="Comma 4 4 3 2 2 2" xfId="11956"/>
    <cellStyle name="Comma 4 4 3 2 2 2 2" xfId="18495"/>
    <cellStyle name="Comma 4 4 3 2 2 3" xfId="15643"/>
    <cellStyle name="Comma 4 4 3 2 3" xfId="7861"/>
    <cellStyle name="Comma 4 4 3 2 3 2" xfId="12527"/>
    <cellStyle name="Comma 4 4 3 2 3 2 2" xfId="19066"/>
    <cellStyle name="Comma 4 4 3 2 3 3" xfId="16214"/>
    <cellStyle name="Comma 4 4 3 2 4" xfId="10133"/>
    <cellStyle name="Comma 4 4 3 2 4 2" xfId="13098"/>
    <cellStyle name="Comma 4 4 3 2 4 2 2" xfId="19637"/>
    <cellStyle name="Comma 4 4 3 2 4 3" xfId="16785"/>
    <cellStyle name="Comma 4 4 3 2 5" xfId="3428"/>
    <cellStyle name="Comma 4 4 3 2 5 2" xfId="11385"/>
    <cellStyle name="Comma 4 4 3 2 5 2 2" xfId="17924"/>
    <cellStyle name="Comma 4 4 3 2 5 3" xfId="15072"/>
    <cellStyle name="Comma 4 4 3 2 6" xfId="2851"/>
    <cellStyle name="Comma 4 4 3 2 6 2" xfId="14499"/>
    <cellStyle name="Comma 4 4 3 2 7" xfId="10812"/>
    <cellStyle name="Comma 4 4 3 2 7 2" xfId="17351"/>
    <cellStyle name="Comma 4 4 3 2 8" xfId="13932"/>
    <cellStyle name="Comma 4 4 3 3" xfId="4454"/>
    <cellStyle name="Comma 4 4 3 3 2" xfId="11671"/>
    <cellStyle name="Comma 4 4 3 3 2 2" xfId="18210"/>
    <cellStyle name="Comma 4 4 3 3 3" xfId="15358"/>
    <cellStyle name="Comma 4 4 3 4" xfId="6726"/>
    <cellStyle name="Comma 4 4 3 4 2" xfId="12242"/>
    <cellStyle name="Comma 4 4 3 4 2 2" xfId="18781"/>
    <cellStyle name="Comma 4 4 3 4 3" xfId="15929"/>
    <cellStyle name="Comma 4 4 3 5" xfId="8998"/>
    <cellStyle name="Comma 4 4 3 5 2" xfId="12813"/>
    <cellStyle name="Comma 4 4 3 5 2 2" xfId="19352"/>
    <cellStyle name="Comma 4 4 3 5 3" xfId="16500"/>
    <cellStyle name="Comma 4 4 3 6" xfId="3143"/>
    <cellStyle name="Comma 4 4 3 6 2" xfId="11100"/>
    <cellStyle name="Comma 4 4 3 6 2 2" xfId="17639"/>
    <cellStyle name="Comma 4 4 3 6 3" xfId="14787"/>
    <cellStyle name="Comma 4 4 3 7" xfId="2571"/>
    <cellStyle name="Comma 4 4 3 7 2" xfId="14219"/>
    <cellStyle name="Comma 4 4 3 8" xfId="10532"/>
    <cellStyle name="Comma 4 4 3 8 2" xfId="17071"/>
    <cellStyle name="Comma 4 4 3 9" xfId="13647"/>
    <cellStyle name="Comma 4 4 4" xfId="580"/>
    <cellStyle name="Comma 4 4 4 2" xfId="1715"/>
    <cellStyle name="Comma 4 4 4 2 2" xfId="5135"/>
    <cellStyle name="Comma 4 4 4 2 2 2" xfId="11842"/>
    <cellStyle name="Comma 4 4 4 2 2 2 2" xfId="18381"/>
    <cellStyle name="Comma 4 4 4 2 2 3" xfId="15529"/>
    <cellStyle name="Comma 4 4 4 2 3" xfId="7407"/>
    <cellStyle name="Comma 4 4 4 2 3 2" xfId="12413"/>
    <cellStyle name="Comma 4 4 4 2 3 2 2" xfId="18952"/>
    <cellStyle name="Comma 4 4 4 2 3 3" xfId="16100"/>
    <cellStyle name="Comma 4 4 4 2 4" xfId="9679"/>
    <cellStyle name="Comma 4 4 4 2 4 2" xfId="12984"/>
    <cellStyle name="Comma 4 4 4 2 4 2 2" xfId="19523"/>
    <cellStyle name="Comma 4 4 4 2 4 3" xfId="16671"/>
    <cellStyle name="Comma 4 4 4 2 5" xfId="3314"/>
    <cellStyle name="Comma 4 4 4 2 5 2" xfId="11271"/>
    <cellStyle name="Comma 4 4 4 2 5 2 2" xfId="17810"/>
    <cellStyle name="Comma 4 4 4 2 5 3" xfId="14958"/>
    <cellStyle name="Comma 4 4 4 2 6" xfId="2739"/>
    <cellStyle name="Comma 4 4 4 2 6 2" xfId="14387"/>
    <cellStyle name="Comma 4 4 4 2 7" xfId="10700"/>
    <cellStyle name="Comma 4 4 4 2 7 2" xfId="17239"/>
    <cellStyle name="Comma 4 4 4 2 8" xfId="13818"/>
    <cellStyle name="Comma 4 4 4 3" xfId="4000"/>
    <cellStyle name="Comma 4 4 4 3 2" xfId="11557"/>
    <cellStyle name="Comma 4 4 4 3 2 2" xfId="18096"/>
    <cellStyle name="Comma 4 4 4 3 3" xfId="15244"/>
    <cellStyle name="Comma 4 4 4 4" xfId="6272"/>
    <cellStyle name="Comma 4 4 4 4 2" xfId="12128"/>
    <cellStyle name="Comma 4 4 4 4 2 2" xfId="18667"/>
    <cellStyle name="Comma 4 4 4 4 3" xfId="15815"/>
    <cellStyle name="Comma 4 4 4 5" xfId="8544"/>
    <cellStyle name="Comma 4 4 4 5 2" xfId="12699"/>
    <cellStyle name="Comma 4 4 4 5 2 2" xfId="19238"/>
    <cellStyle name="Comma 4 4 4 5 3" xfId="16386"/>
    <cellStyle name="Comma 4 4 4 6" xfId="3029"/>
    <cellStyle name="Comma 4 4 4 6 2" xfId="10986"/>
    <cellStyle name="Comma 4 4 4 6 2 2" xfId="17525"/>
    <cellStyle name="Comma 4 4 4 6 3" xfId="14673"/>
    <cellStyle name="Comma 4 4 4 7" xfId="2459"/>
    <cellStyle name="Comma 4 4 4 7 2" xfId="14107"/>
    <cellStyle name="Comma 4 4 4 8" xfId="10420"/>
    <cellStyle name="Comma 4 4 4 8 2" xfId="16959"/>
    <cellStyle name="Comma 4 4 4 9" xfId="13533"/>
    <cellStyle name="Comma 4 4 5" xfId="1261"/>
    <cellStyle name="Comma 4 4 5 2" xfId="4681"/>
    <cellStyle name="Comma 4 4 5 2 2" xfId="11728"/>
    <cellStyle name="Comma 4 4 5 2 2 2" xfId="18267"/>
    <cellStyle name="Comma 4 4 5 2 3" xfId="15415"/>
    <cellStyle name="Comma 4 4 5 3" xfId="6953"/>
    <cellStyle name="Comma 4 4 5 3 2" xfId="12299"/>
    <cellStyle name="Comma 4 4 5 3 2 2" xfId="18838"/>
    <cellStyle name="Comma 4 4 5 3 3" xfId="15986"/>
    <cellStyle name="Comma 4 4 5 4" xfId="9225"/>
    <cellStyle name="Comma 4 4 5 4 2" xfId="12870"/>
    <cellStyle name="Comma 4 4 5 4 2 2" xfId="19409"/>
    <cellStyle name="Comma 4 4 5 4 3" xfId="16557"/>
    <cellStyle name="Comma 4 4 5 5" xfId="3200"/>
    <cellStyle name="Comma 4 4 5 5 2" xfId="11157"/>
    <cellStyle name="Comma 4 4 5 5 2 2" xfId="17696"/>
    <cellStyle name="Comma 4 4 5 5 3" xfId="14844"/>
    <cellStyle name="Comma 4 4 5 6" xfId="2627"/>
    <cellStyle name="Comma 4 4 5 6 2" xfId="14275"/>
    <cellStyle name="Comma 4 4 5 7" xfId="10588"/>
    <cellStyle name="Comma 4 4 5 7 2" xfId="17127"/>
    <cellStyle name="Comma 4 4 5 8" xfId="13704"/>
    <cellStyle name="Comma 4 4 6" xfId="3546"/>
    <cellStyle name="Comma 4 4 6 2" xfId="11443"/>
    <cellStyle name="Comma 4 4 6 2 2" xfId="17982"/>
    <cellStyle name="Comma 4 4 6 3" xfId="15130"/>
    <cellStyle name="Comma 4 4 7" xfId="5818"/>
    <cellStyle name="Comma 4 4 7 2" xfId="12014"/>
    <cellStyle name="Comma 4 4 7 2 2" xfId="18553"/>
    <cellStyle name="Comma 4 4 7 3" xfId="15701"/>
    <cellStyle name="Comma 4 4 8" xfId="8090"/>
    <cellStyle name="Comma 4 4 8 2" xfId="12585"/>
    <cellStyle name="Comma 4 4 8 2 2" xfId="19124"/>
    <cellStyle name="Comma 4 4 8 3" xfId="16272"/>
    <cellStyle name="Comma 4 4 9" xfId="2912"/>
    <cellStyle name="Comma 4 4 9 2" xfId="10871"/>
    <cellStyle name="Comma 4 4 9 2 2" xfId="17410"/>
    <cellStyle name="Comma 4 4 9 3" xfId="14558"/>
    <cellStyle name="Comma 4 5" xfId="241"/>
    <cellStyle name="Comma 4 5 10" xfId="2375"/>
    <cellStyle name="Comma 4 5 10 2" xfId="14023"/>
    <cellStyle name="Comma 4 5 11" xfId="10336"/>
    <cellStyle name="Comma 4 5 11 2" xfId="16875"/>
    <cellStyle name="Comma 4 5 12" xfId="13448"/>
    <cellStyle name="Comma 4 5 13" xfId="20090"/>
    <cellStyle name="Comma 4 5 2" xfId="468"/>
    <cellStyle name="Comma 4 5 2 10" xfId="13505"/>
    <cellStyle name="Comma 4 5 2 11" xfId="20254"/>
    <cellStyle name="Comma 4 5 2 2" xfId="922"/>
    <cellStyle name="Comma 4 5 2 2 2" xfId="2057"/>
    <cellStyle name="Comma 4 5 2 2 2 2" xfId="5477"/>
    <cellStyle name="Comma 4 5 2 2 2 2 2" xfId="11928"/>
    <cellStyle name="Comma 4 5 2 2 2 2 2 2" xfId="18467"/>
    <cellStyle name="Comma 4 5 2 2 2 2 3" xfId="15615"/>
    <cellStyle name="Comma 4 5 2 2 2 3" xfId="7749"/>
    <cellStyle name="Comma 4 5 2 2 2 3 2" xfId="12499"/>
    <cellStyle name="Comma 4 5 2 2 2 3 2 2" xfId="19038"/>
    <cellStyle name="Comma 4 5 2 2 2 3 3" xfId="16186"/>
    <cellStyle name="Comma 4 5 2 2 2 4" xfId="10021"/>
    <cellStyle name="Comma 4 5 2 2 2 4 2" xfId="13070"/>
    <cellStyle name="Comma 4 5 2 2 2 4 2 2" xfId="19609"/>
    <cellStyle name="Comma 4 5 2 2 2 4 3" xfId="16757"/>
    <cellStyle name="Comma 4 5 2 2 2 5" xfId="3400"/>
    <cellStyle name="Comma 4 5 2 2 2 5 2" xfId="11357"/>
    <cellStyle name="Comma 4 5 2 2 2 5 2 2" xfId="17896"/>
    <cellStyle name="Comma 4 5 2 2 2 5 3" xfId="15044"/>
    <cellStyle name="Comma 4 5 2 2 2 6" xfId="2823"/>
    <cellStyle name="Comma 4 5 2 2 2 6 2" xfId="14471"/>
    <cellStyle name="Comma 4 5 2 2 2 7" xfId="10784"/>
    <cellStyle name="Comma 4 5 2 2 2 7 2" xfId="17323"/>
    <cellStyle name="Comma 4 5 2 2 2 8" xfId="13904"/>
    <cellStyle name="Comma 4 5 2 2 3" xfId="4342"/>
    <cellStyle name="Comma 4 5 2 2 3 2" xfId="11643"/>
    <cellStyle name="Comma 4 5 2 2 3 2 2" xfId="18182"/>
    <cellStyle name="Comma 4 5 2 2 3 3" xfId="15330"/>
    <cellStyle name="Comma 4 5 2 2 4" xfId="6614"/>
    <cellStyle name="Comma 4 5 2 2 4 2" xfId="12214"/>
    <cellStyle name="Comma 4 5 2 2 4 2 2" xfId="18753"/>
    <cellStyle name="Comma 4 5 2 2 4 3" xfId="15901"/>
    <cellStyle name="Comma 4 5 2 2 5" xfId="8886"/>
    <cellStyle name="Comma 4 5 2 2 5 2" xfId="12785"/>
    <cellStyle name="Comma 4 5 2 2 5 2 2" xfId="19324"/>
    <cellStyle name="Comma 4 5 2 2 5 3" xfId="16472"/>
    <cellStyle name="Comma 4 5 2 2 6" xfId="3115"/>
    <cellStyle name="Comma 4 5 2 2 6 2" xfId="11072"/>
    <cellStyle name="Comma 4 5 2 2 6 2 2" xfId="17611"/>
    <cellStyle name="Comma 4 5 2 2 6 3" xfId="14759"/>
    <cellStyle name="Comma 4 5 2 2 7" xfId="2543"/>
    <cellStyle name="Comma 4 5 2 2 7 2" xfId="14191"/>
    <cellStyle name="Comma 4 5 2 2 8" xfId="10504"/>
    <cellStyle name="Comma 4 5 2 2 8 2" xfId="17043"/>
    <cellStyle name="Comma 4 5 2 2 9" xfId="13619"/>
    <cellStyle name="Comma 4 5 2 3" xfId="1603"/>
    <cellStyle name="Comma 4 5 2 3 2" xfId="5023"/>
    <cellStyle name="Comma 4 5 2 3 2 2" xfId="11814"/>
    <cellStyle name="Comma 4 5 2 3 2 2 2" xfId="18353"/>
    <cellStyle name="Comma 4 5 2 3 2 3" xfId="15501"/>
    <cellStyle name="Comma 4 5 2 3 3" xfId="7295"/>
    <cellStyle name="Comma 4 5 2 3 3 2" xfId="12385"/>
    <cellStyle name="Comma 4 5 2 3 3 2 2" xfId="18924"/>
    <cellStyle name="Comma 4 5 2 3 3 3" xfId="16072"/>
    <cellStyle name="Comma 4 5 2 3 4" xfId="9567"/>
    <cellStyle name="Comma 4 5 2 3 4 2" xfId="12956"/>
    <cellStyle name="Comma 4 5 2 3 4 2 2" xfId="19495"/>
    <cellStyle name="Comma 4 5 2 3 4 3" xfId="16643"/>
    <cellStyle name="Comma 4 5 2 3 5" xfId="3286"/>
    <cellStyle name="Comma 4 5 2 3 5 2" xfId="11243"/>
    <cellStyle name="Comma 4 5 2 3 5 2 2" xfId="17782"/>
    <cellStyle name="Comma 4 5 2 3 5 3" xfId="14930"/>
    <cellStyle name="Comma 4 5 2 3 6" xfId="2711"/>
    <cellStyle name="Comma 4 5 2 3 6 2" xfId="14359"/>
    <cellStyle name="Comma 4 5 2 3 7" xfId="10672"/>
    <cellStyle name="Comma 4 5 2 3 7 2" xfId="17211"/>
    <cellStyle name="Comma 4 5 2 3 8" xfId="13790"/>
    <cellStyle name="Comma 4 5 2 4" xfId="3888"/>
    <cellStyle name="Comma 4 5 2 4 2" xfId="11529"/>
    <cellStyle name="Comma 4 5 2 4 2 2" xfId="18068"/>
    <cellStyle name="Comma 4 5 2 4 3" xfId="15216"/>
    <cellStyle name="Comma 4 5 2 5" xfId="6160"/>
    <cellStyle name="Comma 4 5 2 5 2" xfId="12100"/>
    <cellStyle name="Comma 4 5 2 5 2 2" xfId="18639"/>
    <cellStyle name="Comma 4 5 2 5 3" xfId="15787"/>
    <cellStyle name="Comma 4 5 2 6" xfId="8432"/>
    <cellStyle name="Comma 4 5 2 6 2" xfId="12671"/>
    <cellStyle name="Comma 4 5 2 6 2 2" xfId="19210"/>
    <cellStyle name="Comma 4 5 2 6 3" xfId="16358"/>
    <cellStyle name="Comma 4 5 2 7" xfId="3001"/>
    <cellStyle name="Comma 4 5 2 7 2" xfId="10958"/>
    <cellStyle name="Comma 4 5 2 7 2 2" xfId="17497"/>
    <cellStyle name="Comma 4 5 2 7 3" xfId="14645"/>
    <cellStyle name="Comma 4 5 2 8" xfId="2431"/>
    <cellStyle name="Comma 4 5 2 8 2" xfId="14079"/>
    <cellStyle name="Comma 4 5 2 9" xfId="10392"/>
    <cellStyle name="Comma 4 5 2 9 2" xfId="16931"/>
    <cellStyle name="Comma 4 5 3" xfId="1149"/>
    <cellStyle name="Comma 4 5 3 10" xfId="20327"/>
    <cellStyle name="Comma 4 5 3 2" xfId="2284"/>
    <cellStyle name="Comma 4 5 3 2 2" xfId="5704"/>
    <cellStyle name="Comma 4 5 3 2 2 2" xfId="11985"/>
    <cellStyle name="Comma 4 5 3 2 2 2 2" xfId="18524"/>
    <cellStyle name="Comma 4 5 3 2 2 3" xfId="15672"/>
    <cellStyle name="Comma 4 5 3 2 3" xfId="7976"/>
    <cellStyle name="Comma 4 5 3 2 3 2" xfId="12556"/>
    <cellStyle name="Comma 4 5 3 2 3 2 2" xfId="19095"/>
    <cellStyle name="Comma 4 5 3 2 3 3" xfId="16243"/>
    <cellStyle name="Comma 4 5 3 2 4" xfId="10248"/>
    <cellStyle name="Comma 4 5 3 2 4 2" xfId="13127"/>
    <cellStyle name="Comma 4 5 3 2 4 2 2" xfId="19666"/>
    <cellStyle name="Comma 4 5 3 2 4 3" xfId="16814"/>
    <cellStyle name="Comma 4 5 3 2 5" xfId="3457"/>
    <cellStyle name="Comma 4 5 3 2 5 2" xfId="11414"/>
    <cellStyle name="Comma 4 5 3 2 5 2 2" xfId="17953"/>
    <cellStyle name="Comma 4 5 3 2 5 3" xfId="15101"/>
    <cellStyle name="Comma 4 5 3 2 6" xfId="2879"/>
    <cellStyle name="Comma 4 5 3 2 6 2" xfId="14527"/>
    <cellStyle name="Comma 4 5 3 2 7" xfId="10840"/>
    <cellStyle name="Comma 4 5 3 2 7 2" xfId="17379"/>
    <cellStyle name="Comma 4 5 3 2 8" xfId="13961"/>
    <cellStyle name="Comma 4 5 3 3" xfId="4569"/>
    <cellStyle name="Comma 4 5 3 3 2" xfId="11700"/>
    <cellStyle name="Comma 4 5 3 3 2 2" xfId="18239"/>
    <cellStyle name="Comma 4 5 3 3 3" xfId="15387"/>
    <cellStyle name="Comma 4 5 3 4" xfId="6841"/>
    <cellStyle name="Comma 4 5 3 4 2" xfId="12271"/>
    <cellStyle name="Comma 4 5 3 4 2 2" xfId="18810"/>
    <cellStyle name="Comma 4 5 3 4 3" xfId="15958"/>
    <cellStyle name="Comma 4 5 3 5" xfId="9113"/>
    <cellStyle name="Comma 4 5 3 5 2" xfId="12842"/>
    <cellStyle name="Comma 4 5 3 5 2 2" xfId="19381"/>
    <cellStyle name="Comma 4 5 3 5 3" xfId="16529"/>
    <cellStyle name="Comma 4 5 3 6" xfId="3172"/>
    <cellStyle name="Comma 4 5 3 6 2" xfId="11129"/>
    <cellStyle name="Comma 4 5 3 6 2 2" xfId="17668"/>
    <cellStyle name="Comma 4 5 3 6 3" xfId="14816"/>
    <cellStyle name="Comma 4 5 3 7" xfId="2599"/>
    <cellStyle name="Comma 4 5 3 7 2" xfId="14247"/>
    <cellStyle name="Comma 4 5 3 8" xfId="10560"/>
    <cellStyle name="Comma 4 5 3 8 2" xfId="17099"/>
    <cellStyle name="Comma 4 5 3 9" xfId="13676"/>
    <cellStyle name="Comma 4 5 4" xfId="695"/>
    <cellStyle name="Comma 4 5 4 2" xfId="1830"/>
    <cellStyle name="Comma 4 5 4 2 2" xfId="5250"/>
    <cellStyle name="Comma 4 5 4 2 2 2" xfId="11871"/>
    <cellStyle name="Comma 4 5 4 2 2 2 2" xfId="18410"/>
    <cellStyle name="Comma 4 5 4 2 2 3" xfId="15558"/>
    <cellStyle name="Comma 4 5 4 2 3" xfId="7522"/>
    <cellStyle name="Comma 4 5 4 2 3 2" xfId="12442"/>
    <cellStyle name="Comma 4 5 4 2 3 2 2" xfId="18981"/>
    <cellStyle name="Comma 4 5 4 2 3 3" xfId="16129"/>
    <cellStyle name="Comma 4 5 4 2 4" xfId="9794"/>
    <cellStyle name="Comma 4 5 4 2 4 2" xfId="13013"/>
    <cellStyle name="Comma 4 5 4 2 4 2 2" xfId="19552"/>
    <cellStyle name="Comma 4 5 4 2 4 3" xfId="16700"/>
    <cellStyle name="Comma 4 5 4 2 5" xfId="3343"/>
    <cellStyle name="Comma 4 5 4 2 5 2" xfId="11300"/>
    <cellStyle name="Comma 4 5 4 2 5 2 2" xfId="17839"/>
    <cellStyle name="Comma 4 5 4 2 5 3" xfId="14987"/>
    <cellStyle name="Comma 4 5 4 2 6" xfId="2767"/>
    <cellStyle name="Comma 4 5 4 2 6 2" xfId="14415"/>
    <cellStyle name="Comma 4 5 4 2 7" xfId="10728"/>
    <cellStyle name="Comma 4 5 4 2 7 2" xfId="17267"/>
    <cellStyle name="Comma 4 5 4 2 8" xfId="13847"/>
    <cellStyle name="Comma 4 5 4 3" xfId="4115"/>
    <cellStyle name="Comma 4 5 4 3 2" xfId="11586"/>
    <cellStyle name="Comma 4 5 4 3 2 2" xfId="18125"/>
    <cellStyle name="Comma 4 5 4 3 3" xfId="15273"/>
    <cellStyle name="Comma 4 5 4 4" xfId="6387"/>
    <cellStyle name="Comma 4 5 4 4 2" xfId="12157"/>
    <cellStyle name="Comma 4 5 4 4 2 2" xfId="18696"/>
    <cellStyle name="Comma 4 5 4 4 3" xfId="15844"/>
    <cellStyle name="Comma 4 5 4 5" xfId="8659"/>
    <cellStyle name="Comma 4 5 4 5 2" xfId="12728"/>
    <cellStyle name="Comma 4 5 4 5 2 2" xfId="19267"/>
    <cellStyle name="Comma 4 5 4 5 3" xfId="16415"/>
    <cellStyle name="Comma 4 5 4 6" xfId="3058"/>
    <cellStyle name="Comma 4 5 4 6 2" xfId="11015"/>
    <cellStyle name="Comma 4 5 4 6 2 2" xfId="17554"/>
    <cellStyle name="Comma 4 5 4 6 3" xfId="14702"/>
    <cellStyle name="Comma 4 5 4 7" xfId="2487"/>
    <cellStyle name="Comma 4 5 4 7 2" xfId="14135"/>
    <cellStyle name="Comma 4 5 4 8" xfId="10448"/>
    <cellStyle name="Comma 4 5 4 8 2" xfId="16987"/>
    <cellStyle name="Comma 4 5 4 9" xfId="13562"/>
    <cellStyle name="Comma 4 5 5" xfId="1376"/>
    <cellStyle name="Comma 4 5 5 2" xfId="4796"/>
    <cellStyle name="Comma 4 5 5 2 2" xfId="11757"/>
    <cellStyle name="Comma 4 5 5 2 2 2" xfId="18296"/>
    <cellStyle name="Comma 4 5 5 2 3" xfId="15444"/>
    <cellStyle name="Comma 4 5 5 3" xfId="7068"/>
    <cellStyle name="Comma 4 5 5 3 2" xfId="12328"/>
    <cellStyle name="Comma 4 5 5 3 2 2" xfId="18867"/>
    <cellStyle name="Comma 4 5 5 3 3" xfId="16015"/>
    <cellStyle name="Comma 4 5 5 4" xfId="9340"/>
    <cellStyle name="Comma 4 5 5 4 2" xfId="12899"/>
    <cellStyle name="Comma 4 5 5 4 2 2" xfId="19438"/>
    <cellStyle name="Comma 4 5 5 4 3" xfId="16586"/>
    <cellStyle name="Comma 4 5 5 5" xfId="3229"/>
    <cellStyle name="Comma 4 5 5 5 2" xfId="11186"/>
    <cellStyle name="Comma 4 5 5 5 2 2" xfId="17725"/>
    <cellStyle name="Comma 4 5 5 5 3" xfId="14873"/>
    <cellStyle name="Comma 4 5 5 6" xfId="2655"/>
    <cellStyle name="Comma 4 5 5 6 2" xfId="14303"/>
    <cellStyle name="Comma 4 5 5 7" xfId="10616"/>
    <cellStyle name="Comma 4 5 5 7 2" xfId="17155"/>
    <cellStyle name="Comma 4 5 5 8" xfId="13733"/>
    <cellStyle name="Comma 4 5 6" xfId="3661"/>
    <cellStyle name="Comma 4 5 6 2" xfId="11472"/>
    <cellStyle name="Comma 4 5 6 2 2" xfId="18011"/>
    <cellStyle name="Comma 4 5 6 3" xfId="15159"/>
    <cellStyle name="Comma 4 5 7" xfId="5933"/>
    <cellStyle name="Comma 4 5 7 2" xfId="12043"/>
    <cellStyle name="Comma 4 5 7 2 2" xfId="18582"/>
    <cellStyle name="Comma 4 5 7 3" xfId="15730"/>
    <cellStyle name="Comma 4 5 8" xfId="8205"/>
    <cellStyle name="Comma 4 5 8 2" xfId="12614"/>
    <cellStyle name="Comma 4 5 8 2 2" xfId="19153"/>
    <cellStyle name="Comma 4 5 8 3" xfId="16301"/>
    <cellStyle name="Comma 4 5 9" xfId="2944"/>
    <cellStyle name="Comma 4 5 9 2" xfId="10901"/>
    <cellStyle name="Comma 4 5 9 2 2" xfId="17440"/>
    <cellStyle name="Comma 4 5 9 3" xfId="14588"/>
    <cellStyle name="Comma 4 6" xfId="297"/>
    <cellStyle name="Comma 4 6 10" xfId="13462"/>
    <cellStyle name="Comma 4 6 11" xfId="20208"/>
    <cellStyle name="Comma 4 6 2" xfId="751"/>
    <cellStyle name="Comma 4 6 2 2" xfId="1886"/>
    <cellStyle name="Comma 4 6 2 2 2" xfId="5306"/>
    <cellStyle name="Comma 4 6 2 2 2 2" xfId="11885"/>
    <cellStyle name="Comma 4 6 2 2 2 2 2" xfId="18424"/>
    <cellStyle name="Comma 4 6 2 2 2 3" xfId="15572"/>
    <cellStyle name="Comma 4 6 2 2 3" xfId="7578"/>
    <cellStyle name="Comma 4 6 2 2 3 2" xfId="12456"/>
    <cellStyle name="Comma 4 6 2 2 3 2 2" xfId="18995"/>
    <cellStyle name="Comma 4 6 2 2 3 3" xfId="16143"/>
    <cellStyle name="Comma 4 6 2 2 4" xfId="9850"/>
    <cellStyle name="Comma 4 6 2 2 4 2" xfId="13027"/>
    <cellStyle name="Comma 4 6 2 2 4 2 2" xfId="19566"/>
    <cellStyle name="Comma 4 6 2 2 4 3" xfId="16714"/>
    <cellStyle name="Comma 4 6 2 2 5" xfId="3357"/>
    <cellStyle name="Comma 4 6 2 2 5 2" xfId="11314"/>
    <cellStyle name="Comma 4 6 2 2 5 2 2" xfId="17853"/>
    <cellStyle name="Comma 4 6 2 2 5 3" xfId="15001"/>
    <cellStyle name="Comma 4 6 2 2 6" xfId="2781"/>
    <cellStyle name="Comma 4 6 2 2 6 2" xfId="14429"/>
    <cellStyle name="Comma 4 6 2 2 7" xfId="10742"/>
    <cellStyle name="Comma 4 6 2 2 7 2" xfId="17281"/>
    <cellStyle name="Comma 4 6 2 2 8" xfId="13861"/>
    <cellStyle name="Comma 4 6 2 3" xfId="4171"/>
    <cellStyle name="Comma 4 6 2 3 2" xfId="11600"/>
    <cellStyle name="Comma 4 6 2 3 2 2" xfId="18139"/>
    <cellStyle name="Comma 4 6 2 3 3" xfId="15287"/>
    <cellStyle name="Comma 4 6 2 4" xfId="6443"/>
    <cellStyle name="Comma 4 6 2 4 2" xfId="12171"/>
    <cellStyle name="Comma 4 6 2 4 2 2" xfId="18710"/>
    <cellStyle name="Comma 4 6 2 4 3" xfId="15858"/>
    <cellStyle name="Comma 4 6 2 5" xfId="8715"/>
    <cellStyle name="Comma 4 6 2 5 2" xfId="12742"/>
    <cellStyle name="Comma 4 6 2 5 2 2" xfId="19281"/>
    <cellStyle name="Comma 4 6 2 5 3" xfId="16429"/>
    <cellStyle name="Comma 4 6 2 6" xfId="3072"/>
    <cellStyle name="Comma 4 6 2 6 2" xfId="11029"/>
    <cellStyle name="Comma 4 6 2 6 2 2" xfId="17568"/>
    <cellStyle name="Comma 4 6 2 6 3" xfId="14716"/>
    <cellStyle name="Comma 4 6 2 7" xfId="2501"/>
    <cellStyle name="Comma 4 6 2 7 2" xfId="14149"/>
    <cellStyle name="Comma 4 6 2 8" xfId="10462"/>
    <cellStyle name="Comma 4 6 2 8 2" xfId="17001"/>
    <cellStyle name="Comma 4 6 2 9" xfId="13576"/>
    <cellStyle name="Comma 4 6 3" xfId="1432"/>
    <cellStyle name="Comma 4 6 3 2" xfId="4852"/>
    <cellStyle name="Comma 4 6 3 2 2" xfId="11771"/>
    <cellStyle name="Comma 4 6 3 2 2 2" xfId="18310"/>
    <cellStyle name="Comma 4 6 3 2 3" xfId="15458"/>
    <cellStyle name="Comma 4 6 3 3" xfId="7124"/>
    <cellStyle name="Comma 4 6 3 3 2" xfId="12342"/>
    <cellStyle name="Comma 4 6 3 3 2 2" xfId="18881"/>
    <cellStyle name="Comma 4 6 3 3 3" xfId="16029"/>
    <cellStyle name="Comma 4 6 3 4" xfId="9396"/>
    <cellStyle name="Comma 4 6 3 4 2" xfId="12913"/>
    <cellStyle name="Comma 4 6 3 4 2 2" xfId="19452"/>
    <cellStyle name="Comma 4 6 3 4 3" xfId="16600"/>
    <cellStyle name="Comma 4 6 3 5" xfId="3243"/>
    <cellStyle name="Comma 4 6 3 5 2" xfId="11200"/>
    <cellStyle name="Comma 4 6 3 5 2 2" xfId="17739"/>
    <cellStyle name="Comma 4 6 3 5 3" xfId="14887"/>
    <cellStyle name="Comma 4 6 3 6" xfId="2669"/>
    <cellStyle name="Comma 4 6 3 6 2" xfId="14317"/>
    <cellStyle name="Comma 4 6 3 7" xfId="10630"/>
    <cellStyle name="Comma 4 6 3 7 2" xfId="17169"/>
    <cellStyle name="Comma 4 6 3 8" xfId="13747"/>
    <cellStyle name="Comma 4 6 4" xfId="3717"/>
    <cellStyle name="Comma 4 6 4 2" xfId="11486"/>
    <cellStyle name="Comma 4 6 4 2 2" xfId="18025"/>
    <cellStyle name="Comma 4 6 4 3" xfId="15173"/>
    <cellStyle name="Comma 4 6 5" xfId="5989"/>
    <cellStyle name="Comma 4 6 5 2" xfId="12057"/>
    <cellStyle name="Comma 4 6 5 2 2" xfId="18596"/>
    <cellStyle name="Comma 4 6 5 3" xfId="15744"/>
    <cellStyle name="Comma 4 6 6" xfId="8261"/>
    <cellStyle name="Comma 4 6 6 2" xfId="12628"/>
    <cellStyle name="Comma 4 6 6 2 2" xfId="19167"/>
    <cellStyle name="Comma 4 6 6 3" xfId="16315"/>
    <cellStyle name="Comma 4 6 7" xfId="2958"/>
    <cellStyle name="Comma 4 6 7 2" xfId="10915"/>
    <cellStyle name="Comma 4 6 7 2 2" xfId="17454"/>
    <cellStyle name="Comma 4 6 7 3" xfId="14602"/>
    <cellStyle name="Comma 4 6 8" xfId="2389"/>
    <cellStyle name="Comma 4 6 8 2" xfId="14037"/>
    <cellStyle name="Comma 4 6 9" xfId="10350"/>
    <cellStyle name="Comma 4 6 9 2" xfId="16889"/>
    <cellStyle name="Comma 4 7" xfId="978"/>
    <cellStyle name="Comma 4 7 10" xfId="20281"/>
    <cellStyle name="Comma 4 7 2" xfId="2113"/>
    <cellStyle name="Comma 4 7 2 2" xfId="5533"/>
    <cellStyle name="Comma 4 7 2 2 2" xfId="11942"/>
    <cellStyle name="Comma 4 7 2 2 2 2" xfId="18481"/>
    <cellStyle name="Comma 4 7 2 2 3" xfId="15629"/>
    <cellStyle name="Comma 4 7 2 3" xfId="7805"/>
    <cellStyle name="Comma 4 7 2 3 2" xfId="12513"/>
    <cellStyle name="Comma 4 7 2 3 2 2" xfId="19052"/>
    <cellStyle name="Comma 4 7 2 3 3" xfId="16200"/>
    <cellStyle name="Comma 4 7 2 4" xfId="10077"/>
    <cellStyle name="Comma 4 7 2 4 2" xfId="13084"/>
    <cellStyle name="Comma 4 7 2 4 2 2" xfId="19623"/>
    <cellStyle name="Comma 4 7 2 4 3" xfId="16771"/>
    <cellStyle name="Comma 4 7 2 5" xfId="3414"/>
    <cellStyle name="Comma 4 7 2 5 2" xfId="11371"/>
    <cellStyle name="Comma 4 7 2 5 2 2" xfId="17910"/>
    <cellStyle name="Comma 4 7 2 5 3" xfId="15058"/>
    <cellStyle name="Comma 4 7 2 6" xfId="2837"/>
    <cellStyle name="Comma 4 7 2 6 2" xfId="14485"/>
    <cellStyle name="Comma 4 7 2 7" xfId="10798"/>
    <cellStyle name="Comma 4 7 2 7 2" xfId="17337"/>
    <cellStyle name="Comma 4 7 2 8" xfId="13918"/>
    <cellStyle name="Comma 4 7 3" xfId="4398"/>
    <cellStyle name="Comma 4 7 3 2" xfId="11657"/>
    <cellStyle name="Comma 4 7 3 2 2" xfId="18196"/>
    <cellStyle name="Comma 4 7 3 3" xfId="15344"/>
    <cellStyle name="Comma 4 7 4" xfId="6670"/>
    <cellStyle name="Comma 4 7 4 2" xfId="12228"/>
    <cellStyle name="Comma 4 7 4 2 2" xfId="18767"/>
    <cellStyle name="Comma 4 7 4 3" xfId="15915"/>
    <cellStyle name="Comma 4 7 5" xfId="8942"/>
    <cellStyle name="Comma 4 7 5 2" xfId="12799"/>
    <cellStyle name="Comma 4 7 5 2 2" xfId="19338"/>
    <cellStyle name="Comma 4 7 5 3" xfId="16486"/>
    <cellStyle name="Comma 4 7 6" xfId="3129"/>
    <cellStyle name="Comma 4 7 6 2" xfId="11086"/>
    <cellStyle name="Comma 4 7 6 2 2" xfId="17625"/>
    <cellStyle name="Comma 4 7 6 3" xfId="14773"/>
    <cellStyle name="Comma 4 7 7" xfId="2557"/>
    <cellStyle name="Comma 4 7 7 2" xfId="14205"/>
    <cellStyle name="Comma 4 7 8" xfId="10518"/>
    <cellStyle name="Comma 4 7 8 2" xfId="17057"/>
    <cellStyle name="Comma 4 7 9" xfId="13633"/>
    <cellStyle name="Comma 4 8" xfId="524"/>
    <cellStyle name="Comma 4 8 2" xfId="1659"/>
    <cellStyle name="Comma 4 8 2 2" xfId="5079"/>
    <cellStyle name="Comma 4 8 2 2 2" xfId="11828"/>
    <cellStyle name="Comma 4 8 2 2 2 2" xfId="18367"/>
    <cellStyle name="Comma 4 8 2 2 3" xfId="15515"/>
    <cellStyle name="Comma 4 8 2 3" xfId="7351"/>
    <cellStyle name="Comma 4 8 2 3 2" xfId="12399"/>
    <cellStyle name="Comma 4 8 2 3 2 2" xfId="18938"/>
    <cellStyle name="Comma 4 8 2 3 3" xfId="16086"/>
    <cellStyle name="Comma 4 8 2 4" xfId="9623"/>
    <cellStyle name="Comma 4 8 2 4 2" xfId="12970"/>
    <cellStyle name="Comma 4 8 2 4 2 2" xfId="19509"/>
    <cellStyle name="Comma 4 8 2 4 3" xfId="16657"/>
    <cellStyle name="Comma 4 8 2 5" xfId="3300"/>
    <cellStyle name="Comma 4 8 2 5 2" xfId="11257"/>
    <cellStyle name="Comma 4 8 2 5 2 2" xfId="17796"/>
    <cellStyle name="Comma 4 8 2 5 3" xfId="14944"/>
    <cellStyle name="Comma 4 8 2 6" xfId="2725"/>
    <cellStyle name="Comma 4 8 2 6 2" xfId="14373"/>
    <cellStyle name="Comma 4 8 2 7" xfId="10686"/>
    <cellStyle name="Comma 4 8 2 7 2" xfId="17225"/>
    <cellStyle name="Comma 4 8 2 8" xfId="13804"/>
    <cellStyle name="Comma 4 8 3" xfId="3944"/>
    <cellStyle name="Comma 4 8 3 2" xfId="11543"/>
    <cellStyle name="Comma 4 8 3 2 2" xfId="18082"/>
    <cellStyle name="Comma 4 8 3 3" xfId="15230"/>
    <cellStyle name="Comma 4 8 4" xfId="6216"/>
    <cellStyle name="Comma 4 8 4 2" xfId="12114"/>
    <cellStyle name="Comma 4 8 4 2 2" xfId="18653"/>
    <cellStyle name="Comma 4 8 4 3" xfId="15801"/>
    <cellStyle name="Comma 4 8 5" xfId="8488"/>
    <cellStyle name="Comma 4 8 5 2" xfId="12685"/>
    <cellStyle name="Comma 4 8 5 2 2" xfId="19224"/>
    <cellStyle name="Comma 4 8 5 3" xfId="16372"/>
    <cellStyle name="Comma 4 8 6" xfId="3015"/>
    <cellStyle name="Comma 4 8 6 2" xfId="10972"/>
    <cellStyle name="Comma 4 8 6 2 2" xfId="17511"/>
    <cellStyle name="Comma 4 8 6 3" xfId="14659"/>
    <cellStyle name="Comma 4 8 7" xfId="2445"/>
    <cellStyle name="Comma 4 8 7 2" xfId="14093"/>
    <cellStyle name="Comma 4 8 8" xfId="10406"/>
    <cellStyle name="Comma 4 8 8 2" xfId="16945"/>
    <cellStyle name="Comma 4 8 9" xfId="13519"/>
    <cellStyle name="Comma 4 9" xfId="1205"/>
    <cellStyle name="Comma 4 9 2" xfId="4625"/>
    <cellStyle name="Comma 4 9 2 2" xfId="11714"/>
    <cellStyle name="Comma 4 9 2 2 2" xfId="18253"/>
    <cellStyle name="Comma 4 9 2 3" xfId="15401"/>
    <cellStyle name="Comma 4 9 3" xfId="6897"/>
    <cellStyle name="Comma 4 9 3 2" xfId="12285"/>
    <cellStyle name="Comma 4 9 3 2 2" xfId="18824"/>
    <cellStyle name="Comma 4 9 3 3" xfId="15972"/>
    <cellStyle name="Comma 4 9 4" xfId="9169"/>
    <cellStyle name="Comma 4 9 4 2" xfId="12856"/>
    <cellStyle name="Comma 4 9 4 2 2" xfId="19395"/>
    <cellStyle name="Comma 4 9 4 3" xfId="16543"/>
    <cellStyle name="Comma 4 9 5" xfId="3186"/>
    <cellStyle name="Comma 4 9 5 2" xfId="11143"/>
    <cellStyle name="Comma 4 9 5 2 2" xfId="17682"/>
    <cellStyle name="Comma 4 9 5 3" xfId="14830"/>
    <cellStyle name="Comma 4 9 6" xfId="2613"/>
    <cellStyle name="Comma 4 9 6 2" xfId="14261"/>
    <cellStyle name="Comma 4 9 7" xfId="10574"/>
    <cellStyle name="Comma 4 9 7 2" xfId="17113"/>
    <cellStyle name="Comma 4 9 8" xfId="13690"/>
    <cellStyle name="Comma 40" xfId="13229"/>
    <cellStyle name="Comma 40 2" xfId="19738"/>
    <cellStyle name="Comma 40 3" xfId="19832"/>
    <cellStyle name="Comma 41" xfId="13230"/>
    <cellStyle name="Comma 41 2" xfId="19739"/>
    <cellStyle name="Comma 41 3" xfId="19833"/>
    <cellStyle name="Comma 42" xfId="13231"/>
    <cellStyle name="Comma 42 10" xfId="13232"/>
    <cellStyle name="Comma 42 10 2" xfId="19741"/>
    <cellStyle name="Comma 42 10 3" xfId="19835"/>
    <cellStyle name="Comma 42 11" xfId="19740"/>
    <cellStyle name="Comma 42 12" xfId="19834"/>
    <cellStyle name="Comma 42 2" xfId="13233"/>
    <cellStyle name="Comma 42 2 2" xfId="19742"/>
    <cellStyle name="Comma 42 2 3" xfId="19836"/>
    <cellStyle name="Comma 42 3" xfId="13234"/>
    <cellStyle name="Comma 42 3 2" xfId="19743"/>
    <cellStyle name="Comma 42 3 3" xfId="19837"/>
    <cellStyle name="Comma 42 4" xfId="13235"/>
    <cellStyle name="Comma 42 4 2" xfId="19744"/>
    <cellStyle name="Comma 42 4 3" xfId="19838"/>
    <cellStyle name="Comma 42 5" xfId="13236"/>
    <cellStyle name="Comma 42 5 2" xfId="19745"/>
    <cellStyle name="Comma 42 5 3" xfId="19839"/>
    <cellStyle name="Comma 42 6" xfId="13237"/>
    <cellStyle name="Comma 42 6 2" xfId="19746"/>
    <cellStyle name="Comma 42 6 3" xfId="19840"/>
    <cellStyle name="Comma 42 7" xfId="13238"/>
    <cellStyle name="Comma 42 7 2" xfId="19747"/>
    <cellStyle name="Comma 42 7 3" xfId="19841"/>
    <cellStyle name="Comma 42 8" xfId="13239"/>
    <cellStyle name="Comma 42 8 2" xfId="19748"/>
    <cellStyle name="Comma 42 8 3" xfId="19842"/>
    <cellStyle name="Comma 42 9" xfId="13240"/>
    <cellStyle name="Comma 42 9 2" xfId="19749"/>
    <cellStyle name="Comma 42 9 3" xfId="19843"/>
    <cellStyle name="Comma 43" xfId="13241"/>
    <cellStyle name="Comma 43 2" xfId="19750"/>
    <cellStyle name="Comma 43 3" xfId="19844"/>
    <cellStyle name="Comma 44" xfId="13242"/>
    <cellStyle name="Comma 44 2" xfId="19751"/>
    <cellStyle name="Comma 44 3" xfId="19845"/>
    <cellStyle name="Comma 45" xfId="13188"/>
    <cellStyle name="Comma 45 2" xfId="13189"/>
    <cellStyle name="Comma 45 2 2" xfId="19698"/>
    <cellStyle name="Comma 45 3" xfId="19697"/>
    <cellStyle name="Comma 46" xfId="13243"/>
    <cellStyle name="Comma 46 2" xfId="19752"/>
    <cellStyle name="Comma 46 3" xfId="19846"/>
    <cellStyle name="Comma 47" xfId="13244"/>
    <cellStyle name="Comma 47 2" xfId="19753"/>
    <cellStyle name="Comma 47 3" xfId="19847"/>
    <cellStyle name="Comma 48" xfId="13245"/>
    <cellStyle name="Comma 48 2" xfId="19754"/>
    <cellStyle name="Comma 48 3" xfId="19848"/>
    <cellStyle name="Comma 49" xfId="13246"/>
    <cellStyle name="Comma 49 2" xfId="19755"/>
    <cellStyle name="Comma 49 3" xfId="19849"/>
    <cellStyle name="Comma 5" xfId="59"/>
    <cellStyle name="Comma 5 10" xfId="3492"/>
    <cellStyle name="Comma 5 10 2" xfId="11430"/>
    <cellStyle name="Comma 5 10 2 2" xfId="17969"/>
    <cellStyle name="Comma 5 10 3" xfId="15117"/>
    <cellStyle name="Comma 5 11" xfId="5764"/>
    <cellStyle name="Comma 5 11 2" xfId="12001"/>
    <cellStyle name="Comma 5 11 2 2" xfId="18540"/>
    <cellStyle name="Comma 5 11 3" xfId="15688"/>
    <cellStyle name="Comma 5 12" xfId="8036"/>
    <cellStyle name="Comma 5 12 2" xfId="12572"/>
    <cellStyle name="Comma 5 12 2 2" xfId="19111"/>
    <cellStyle name="Comma 5 12 3" xfId="16259"/>
    <cellStyle name="Comma 5 13" xfId="2897"/>
    <cellStyle name="Comma 5 13 2" xfId="10857"/>
    <cellStyle name="Comma 5 13 2 2" xfId="17396"/>
    <cellStyle name="Comma 5 13 3" xfId="14544"/>
    <cellStyle name="Comma 5 14" xfId="2332"/>
    <cellStyle name="Comma 5 14 2" xfId="13980"/>
    <cellStyle name="Comma 5 15" xfId="10293"/>
    <cellStyle name="Comma 5 15 2" xfId="16832"/>
    <cellStyle name="Comma 5 16" xfId="13178"/>
    <cellStyle name="Comma 5 16 2" xfId="19689"/>
    <cellStyle name="Comma 5 17" xfId="13247"/>
    <cellStyle name="Comma 5 17 2" xfId="19756"/>
    <cellStyle name="Comma 5 18" xfId="13404"/>
    <cellStyle name="Comma 5 19" xfId="19781"/>
    <cellStyle name="Comma 5 2" xfId="89"/>
    <cellStyle name="Comma 5 2 10" xfId="5792"/>
    <cellStyle name="Comma 5 2 10 2" xfId="12008"/>
    <cellStyle name="Comma 5 2 10 2 2" xfId="18547"/>
    <cellStyle name="Comma 5 2 10 3" xfId="15695"/>
    <cellStyle name="Comma 5 2 11" xfId="8064"/>
    <cellStyle name="Comma 5 2 11 2" xfId="12579"/>
    <cellStyle name="Comma 5 2 11 2 2" xfId="19118"/>
    <cellStyle name="Comma 5 2 11 3" xfId="16266"/>
    <cellStyle name="Comma 5 2 12" xfId="2906"/>
    <cellStyle name="Comma 5 2 12 2" xfId="10865"/>
    <cellStyle name="Comma 5 2 12 2 2" xfId="17404"/>
    <cellStyle name="Comma 5 2 12 3" xfId="14552"/>
    <cellStyle name="Comma 5 2 13" xfId="2340"/>
    <cellStyle name="Comma 5 2 13 2" xfId="13988"/>
    <cellStyle name="Comma 5 2 14" xfId="10301"/>
    <cellStyle name="Comma 5 2 14 2" xfId="16840"/>
    <cellStyle name="Comma 5 2 15" xfId="13248"/>
    <cellStyle name="Comma 5 2 15 2" xfId="19757"/>
    <cellStyle name="Comma 5 2 16" xfId="13412"/>
    <cellStyle name="Comma 5 2 17" xfId="19851"/>
    <cellStyle name="Comma 5 2 18" xfId="20095"/>
    <cellStyle name="Comma 5 2 2" xfId="201"/>
    <cellStyle name="Comma 5 2 2 10" xfId="2368"/>
    <cellStyle name="Comma 5 2 2 10 2" xfId="14016"/>
    <cellStyle name="Comma 5 2 2 11" xfId="10329"/>
    <cellStyle name="Comma 5 2 2 11 2" xfId="16868"/>
    <cellStyle name="Comma 5 2 2 12" xfId="13440"/>
    <cellStyle name="Comma 5 2 2 13" xfId="20259"/>
    <cellStyle name="Comma 5 2 2 2" xfId="439"/>
    <cellStyle name="Comma 5 2 2 2 10" xfId="13498"/>
    <cellStyle name="Comma 5 2 2 2 2" xfId="893"/>
    <cellStyle name="Comma 5 2 2 2 2 2" xfId="2028"/>
    <cellStyle name="Comma 5 2 2 2 2 2 2" xfId="5448"/>
    <cellStyle name="Comma 5 2 2 2 2 2 2 2" xfId="11921"/>
    <cellStyle name="Comma 5 2 2 2 2 2 2 2 2" xfId="18460"/>
    <cellStyle name="Comma 5 2 2 2 2 2 2 3" xfId="15608"/>
    <cellStyle name="Comma 5 2 2 2 2 2 3" xfId="7720"/>
    <cellStyle name="Comma 5 2 2 2 2 2 3 2" xfId="12492"/>
    <cellStyle name="Comma 5 2 2 2 2 2 3 2 2" xfId="19031"/>
    <cellStyle name="Comma 5 2 2 2 2 2 3 3" xfId="16179"/>
    <cellStyle name="Comma 5 2 2 2 2 2 4" xfId="9992"/>
    <cellStyle name="Comma 5 2 2 2 2 2 4 2" xfId="13063"/>
    <cellStyle name="Comma 5 2 2 2 2 2 4 2 2" xfId="19602"/>
    <cellStyle name="Comma 5 2 2 2 2 2 4 3" xfId="16750"/>
    <cellStyle name="Comma 5 2 2 2 2 2 5" xfId="3393"/>
    <cellStyle name="Comma 5 2 2 2 2 2 5 2" xfId="11350"/>
    <cellStyle name="Comma 5 2 2 2 2 2 5 2 2" xfId="17889"/>
    <cellStyle name="Comma 5 2 2 2 2 2 5 3" xfId="15037"/>
    <cellStyle name="Comma 5 2 2 2 2 2 6" xfId="2817"/>
    <cellStyle name="Comma 5 2 2 2 2 2 6 2" xfId="14465"/>
    <cellStyle name="Comma 5 2 2 2 2 2 7" xfId="10778"/>
    <cellStyle name="Comma 5 2 2 2 2 2 7 2" xfId="17317"/>
    <cellStyle name="Comma 5 2 2 2 2 2 8" xfId="13897"/>
    <cellStyle name="Comma 5 2 2 2 2 3" xfId="4313"/>
    <cellStyle name="Comma 5 2 2 2 2 3 2" xfId="11636"/>
    <cellStyle name="Comma 5 2 2 2 2 3 2 2" xfId="18175"/>
    <cellStyle name="Comma 5 2 2 2 2 3 3" xfId="15323"/>
    <cellStyle name="Comma 5 2 2 2 2 4" xfId="6585"/>
    <cellStyle name="Comma 5 2 2 2 2 4 2" xfId="12207"/>
    <cellStyle name="Comma 5 2 2 2 2 4 2 2" xfId="18746"/>
    <cellStyle name="Comma 5 2 2 2 2 4 3" xfId="15894"/>
    <cellStyle name="Comma 5 2 2 2 2 5" xfId="8857"/>
    <cellStyle name="Comma 5 2 2 2 2 5 2" xfId="12778"/>
    <cellStyle name="Comma 5 2 2 2 2 5 2 2" xfId="19317"/>
    <cellStyle name="Comma 5 2 2 2 2 5 3" xfId="16465"/>
    <cellStyle name="Comma 5 2 2 2 2 6" xfId="3108"/>
    <cellStyle name="Comma 5 2 2 2 2 6 2" xfId="11065"/>
    <cellStyle name="Comma 5 2 2 2 2 6 2 2" xfId="17604"/>
    <cellStyle name="Comma 5 2 2 2 2 6 3" xfId="14752"/>
    <cellStyle name="Comma 5 2 2 2 2 7" xfId="2537"/>
    <cellStyle name="Comma 5 2 2 2 2 7 2" xfId="14185"/>
    <cellStyle name="Comma 5 2 2 2 2 8" xfId="10498"/>
    <cellStyle name="Comma 5 2 2 2 2 8 2" xfId="17037"/>
    <cellStyle name="Comma 5 2 2 2 2 9" xfId="13612"/>
    <cellStyle name="Comma 5 2 2 2 3" xfId="1574"/>
    <cellStyle name="Comma 5 2 2 2 3 2" xfId="4994"/>
    <cellStyle name="Comma 5 2 2 2 3 2 2" xfId="11807"/>
    <cellStyle name="Comma 5 2 2 2 3 2 2 2" xfId="18346"/>
    <cellStyle name="Comma 5 2 2 2 3 2 3" xfId="15494"/>
    <cellStyle name="Comma 5 2 2 2 3 3" xfId="7266"/>
    <cellStyle name="Comma 5 2 2 2 3 3 2" xfId="12378"/>
    <cellStyle name="Comma 5 2 2 2 3 3 2 2" xfId="18917"/>
    <cellStyle name="Comma 5 2 2 2 3 3 3" xfId="16065"/>
    <cellStyle name="Comma 5 2 2 2 3 4" xfId="9538"/>
    <cellStyle name="Comma 5 2 2 2 3 4 2" xfId="12949"/>
    <cellStyle name="Comma 5 2 2 2 3 4 2 2" xfId="19488"/>
    <cellStyle name="Comma 5 2 2 2 3 4 3" xfId="16636"/>
    <cellStyle name="Comma 5 2 2 2 3 5" xfId="3279"/>
    <cellStyle name="Comma 5 2 2 2 3 5 2" xfId="11236"/>
    <cellStyle name="Comma 5 2 2 2 3 5 2 2" xfId="17775"/>
    <cellStyle name="Comma 5 2 2 2 3 5 3" xfId="14923"/>
    <cellStyle name="Comma 5 2 2 2 3 6" xfId="2705"/>
    <cellStyle name="Comma 5 2 2 2 3 6 2" xfId="14353"/>
    <cellStyle name="Comma 5 2 2 2 3 7" xfId="10666"/>
    <cellStyle name="Comma 5 2 2 2 3 7 2" xfId="17205"/>
    <cellStyle name="Comma 5 2 2 2 3 8" xfId="13783"/>
    <cellStyle name="Comma 5 2 2 2 4" xfId="3859"/>
    <cellStyle name="Comma 5 2 2 2 4 2" xfId="11522"/>
    <cellStyle name="Comma 5 2 2 2 4 2 2" xfId="18061"/>
    <cellStyle name="Comma 5 2 2 2 4 3" xfId="15209"/>
    <cellStyle name="Comma 5 2 2 2 5" xfId="6131"/>
    <cellStyle name="Comma 5 2 2 2 5 2" xfId="12093"/>
    <cellStyle name="Comma 5 2 2 2 5 2 2" xfId="18632"/>
    <cellStyle name="Comma 5 2 2 2 5 3" xfId="15780"/>
    <cellStyle name="Comma 5 2 2 2 6" xfId="8403"/>
    <cellStyle name="Comma 5 2 2 2 6 2" xfId="12664"/>
    <cellStyle name="Comma 5 2 2 2 6 2 2" xfId="19203"/>
    <cellStyle name="Comma 5 2 2 2 6 3" xfId="16351"/>
    <cellStyle name="Comma 5 2 2 2 7" xfId="2994"/>
    <cellStyle name="Comma 5 2 2 2 7 2" xfId="10951"/>
    <cellStyle name="Comma 5 2 2 2 7 2 2" xfId="17490"/>
    <cellStyle name="Comma 5 2 2 2 7 3" xfId="14638"/>
    <cellStyle name="Comma 5 2 2 2 8" xfId="2425"/>
    <cellStyle name="Comma 5 2 2 2 8 2" xfId="14073"/>
    <cellStyle name="Comma 5 2 2 2 9" xfId="10386"/>
    <cellStyle name="Comma 5 2 2 2 9 2" xfId="16925"/>
    <cellStyle name="Comma 5 2 2 3" xfId="1120"/>
    <cellStyle name="Comma 5 2 2 3 2" xfId="2255"/>
    <cellStyle name="Comma 5 2 2 3 2 2" xfId="5675"/>
    <cellStyle name="Comma 5 2 2 3 2 2 2" xfId="11978"/>
    <cellStyle name="Comma 5 2 2 3 2 2 2 2" xfId="18517"/>
    <cellStyle name="Comma 5 2 2 3 2 2 3" xfId="15665"/>
    <cellStyle name="Comma 5 2 2 3 2 3" xfId="7947"/>
    <cellStyle name="Comma 5 2 2 3 2 3 2" xfId="12549"/>
    <cellStyle name="Comma 5 2 2 3 2 3 2 2" xfId="19088"/>
    <cellStyle name="Comma 5 2 2 3 2 3 3" xfId="16236"/>
    <cellStyle name="Comma 5 2 2 3 2 4" xfId="10219"/>
    <cellStyle name="Comma 5 2 2 3 2 4 2" xfId="13120"/>
    <cellStyle name="Comma 5 2 2 3 2 4 2 2" xfId="19659"/>
    <cellStyle name="Comma 5 2 2 3 2 4 3" xfId="16807"/>
    <cellStyle name="Comma 5 2 2 3 2 5" xfId="3450"/>
    <cellStyle name="Comma 5 2 2 3 2 5 2" xfId="11407"/>
    <cellStyle name="Comma 5 2 2 3 2 5 2 2" xfId="17946"/>
    <cellStyle name="Comma 5 2 2 3 2 5 3" xfId="15094"/>
    <cellStyle name="Comma 5 2 2 3 2 6" xfId="2873"/>
    <cellStyle name="Comma 5 2 2 3 2 6 2" xfId="14521"/>
    <cellStyle name="Comma 5 2 2 3 2 7" xfId="10834"/>
    <cellStyle name="Comma 5 2 2 3 2 7 2" xfId="17373"/>
    <cellStyle name="Comma 5 2 2 3 2 8" xfId="13954"/>
    <cellStyle name="Comma 5 2 2 3 3" xfId="4540"/>
    <cellStyle name="Comma 5 2 2 3 3 2" xfId="11693"/>
    <cellStyle name="Comma 5 2 2 3 3 2 2" xfId="18232"/>
    <cellStyle name="Comma 5 2 2 3 3 3" xfId="15380"/>
    <cellStyle name="Comma 5 2 2 3 4" xfId="6812"/>
    <cellStyle name="Comma 5 2 2 3 4 2" xfId="12264"/>
    <cellStyle name="Comma 5 2 2 3 4 2 2" xfId="18803"/>
    <cellStyle name="Comma 5 2 2 3 4 3" xfId="15951"/>
    <cellStyle name="Comma 5 2 2 3 5" xfId="9084"/>
    <cellStyle name="Comma 5 2 2 3 5 2" xfId="12835"/>
    <cellStyle name="Comma 5 2 2 3 5 2 2" xfId="19374"/>
    <cellStyle name="Comma 5 2 2 3 5 3" xfId="16522"/>
    <cellStyle name="Comma 5 2 2 3 6" xfId="3165"/>
    <cellStyle name="Comma 5 2 2 3 6 2" xfId="11122"/>
    <cellStyle name="Comma 5 2 2 3 6 2 2" xfId="17661"/>
    <cellStyle name="Comma 5 2 2 3 6 3" xfId="14809"/>
    <cellStyle name="Comma 5 2 2 3 7" xfId="2593"/>
    <cellStyle name="Comma 5 2 2 3 7 2" xfId="14241"/>
    <cellStyle name="Comma 5 2 2 3 8" xfId="10554"/>
    <cellStyle name="Comma 5 2 2 3 8 2" xfId="17093"/>
    <cellStyle name="Comma 5 2 2 3 9" xfId="13669"/>
    <cellStyle name="Comma 5 2 2 4" xfId="666"/>
    <cellStyle name="Comma 5 2 2 4 2" xfId="1801"/>
    <cellStyle name="Comma 5 2 2 4 2 2" xfId="5221"/>
    <cellStyle name="Comma 5 2 2 4 2 2 2" xfId="11864"/>
    <cellStyle name="Comma 5 2 2 4 2 2 2 2" xfId="18403"/>
    <cellStyle name="Comma 5 2 2 4 2 2 3" xfId="15551"/>
    <cellStyle name="Comma 5 2 2 4 2 3" xfId="7493"/>
    <cellStyle name="Comma 5 2 2 4 2 3 2" xfId="12435"/>
    <cellStyle name="Comma 5 2 2 4 2 3 2 2" xfId="18974"/>
    <cellStyle name="Comma 5 2 2 4 2 3 3" xfId="16122"/>
    <cellStyle name="Comma 5 2 2 4 2 4" xfId="9765"/>
    <cellStyle name="Comma 5 2 2 4 2 4 2" xfId="13006"/>
    <cellStyle name="Comma 5 2 2 4 2 4 2 2" xfId="19545"/>
    <cellStyle name="Comma 5 2 2 4 2 4 3" xfId="16693"/>
    <cellStyle name="Comma 5 2 2 4 2 5" xfId="3336"/>
    <cellStyle name="Comma 5 2 2 4 2 5 2" xfId="11293"/>
    <cellStyle name="Comma 5 2 2 4 2 5 2 2" xfId="17832"/>
    <cellStyle name="Comma 5 2 2 4 2 5 3" xfId="14980"/>
    <cellStyle name="Comma 5 2 2 4 2 6" xfId="2761"/>
    <cellStyle name="Comma 5 2 2 4 2 6 2" xfId="14409"/>
    <cellStyle name="Comma 5 2 2 4 2 7" xfId="10722"/>
    <cellStyle name="Comma 5 2 2 4 2 7 2" xfId="17261"/>
    <cellStyle name="Comma 5 2 2 4 2 8" xfId="13840"/>
    <cellStyle name="Comma 5 2 2 4 3" xfId="4086"/>
    <cellStyle name="Comma 5 2 2 4 3 2" xfId="11579"/>
    <cellStyle name="Comma 5 2 2 4 3 2 2" xfId="18118"/>
    <cellStyle name="Comma 5 2 2 4 3 3" xfId="15266"/>
    <cellStyle name="Comma 5 2 2 4 4" xfId="6358"/>
    <cellStyle name="Comma 5 2 2 4 4 2" xfId="12150"/>
    <cellStyle name="Comma 5 2 2 4 4 2 2" xfId="18689"/>
    <cellStyle name="Comma 5 2 2 4 4 3" xfId="15837"/>
    <cellStyle name="Comma 5 2 2 4 5" xfId="8630"/>
    <cellStyle name="Comma 5 2 2 4 5 2" xfId="12721"/>
    <cellStyle name="Comma 5 2 2 4 5 2 2" xfId="19260"/>
    <cellStyle name="Comma 5 2 2 4 5 3" xfId="16408"/>
    <cellStyle name="Comma 5 2 2 4 6" xfId="3051"/>
    <cellStyle name="Comma 5 2 2 4 6 2" xfId="11008"/>
    <cellStyle name="Comma 5 2 2 4 6 2 2" xfId="17547"/>
    <cellStyle name="Comma 5 2 2 4 6 3" xfId="14695"/>
    <cellStyle name="Comma 5 2 2 4 7" xfId="2481"/>
    <cellStyle name="Comma 5 2 2 4 7 2" xfId="14129"/>
    <cellStyle name="Comma 5 2 2 4 8" xfId="10442"/>
    <cellStyle name="Comma 5 2 2 4 8 2" xfId="16981"/>
    <cellStyle name="Comma 5 2 2 4 9" xfId="13555"/>
    <cellStyle name="Comma 5 2 2 5" xfId="1347"/>
    <cellStyle name="Comma 5 2 2 5 2" xfId="4767"/>
    <cellStyle name="Comma 5 2 2 5 2 2" xfId="11750"/>
    <cellStyle name="Comma 5 2 2 5 2 2 2" xfId="18289"/>
    <cellStyle name="Comma 5 2 2 5 2 3" xfId="15437"/>
    <cellStyle name="Comma 5 2 2 5 3" xfId="7039"/>
    <cellStyle name="Comma 5 2 2 5 3 2" xfId="12321"/>
    <cellStyle name="Comma 5 2 2 5 3 2 2" xfId="18860"/>
    <cellStyle name="Comma 5 2 2 5 3 3" xfId="16008"/>
    <cellStyle name="Comma 5 2 2 5 4" xfId="9311"/>
    <cellStyle name="Comma 5 2 2 5 4 2" xfId="12892"/>
    <cellStyle name="Comma 5 2 2 5 4 2 2" xfId="19431"/>
    <cellStyle name="Comma 5 2 2 5 4 3" xfId="16579"/>
    <cellStyle name="Comma 5 2 2 5 5" xfId="3222"/>
    <cellStyle name="Comma 5 2 2 5 5 2" xfId="11179"/>
    <cellStyle name="Comma 5 2 2 5 5 2 2" xfId="17718"/>
    <cellStyle name="Comma 5 2 2 5 5 3" xfId="14866"/>
    <cellStyle name="Comma 5 2 2 5 6" xfId="2649"/>
    <cellStyle name="Comma 5 2 2 5 6 2" xfId="14297"/>
    <cellStyle name="Comma 5 2 2 5 7" xfId="10610"/>
    <cellStyle name="Comma 5 2 2 5 7 2" xfId="17149"/>
    <cellStyle name="Comma 5 2 2 5 8" xfId="13726"/>
    <cellStyle name="Comma 5 2 2 6" xfId="3632"/>
    <cellStyle name="Comma 5 2 2 6 2" xfId="11465"/>
    <cellStyle name="Comma 5 2 2 6 2 2" xfId="18004"/>
    <cellStyle name="Comma 5 2 2 6 3" xfId="15152"/>
    <cellStyle name="Comma 5 2 2 7" xfId="5904"/>
    <cellStyle name="Comma 5 2 2 7 2" xfId="12036"/>
    <cellStyle name="Comma 5 2 2 7 2 2" xfId="18575"/>
    <cellStyle name="Comma 5 2 2 7 3" xfId="15723"/>
    <cellStyle name="Comma 5 2 2 8" xfId="8176"/>
    <cellStyle name="Comma 5 2 2 8 2" xfId="12607"/>
    <cellStyle name="Comma 5 2 2 8 2 2" xfId="19146"/>
    <cellStyle name="Comma 5 2 2 8 3" xfId="16294"/>
    <cellStyle name="Comma 5 2 2 9" xfId="2934"/>
    <cellStyle name="Comma 5 2 2 9 2" xfId="10893"/>
    <cellStyle name="Comma 5 2 2 9 2 2" xfId="17432"/>
    <cellStyle name="Comma 5 2 2 9 3" xfId="14580"/>
    <cellStyle name="Comma 5 2 3" xfId="145"/>
    <cellStyle name="Comma 5 2 3 10" xfId="2354"/>
    <cellStyle name="Comma 5 2 3 10 2" xfId="14002"/>
    <cellStyle name="Comma 5 2 3 11" xfId="10315"/>
    <cellStyle name="Comma 5 2 3 11 2" xfId="16854"/>
    <cellStyle name="Comma 5 2 3 12" xfId="13426"/>
    <cellStyle name="Comma 5 2 3 13" xfId="20332"/>
    <cellStyle name="Comma 5 2 3 2" xfId="383"/>
    <cellStyle name="Comma 5 2 3 2 10" xfId="13484"/>
    <cellStyle name="Comma 5 2 3 2 2" xfId="837"/>
    <cellStyle name="Comma 5 2 3 2 2 2" xfId="1972"/>
    <cellStyle name="Comma 5 2 3 2 2 2 2" xfId="5392"/>
    <cellStyle name="Comma 5 2 3 2 2 2 2 2" xfId="11907"/>
    <cellStyle name="Comma 5 2 3 2 2 2 2 2 2" xfId="18446"/>
    <cellStyle name="Comma 5 2 3 2 2 2 2 3" xfId="15594"/>
    <cellStyle name="Comma 5 2 3 2 2 2 3" xfId="7664"/>
    <cellStyle name="Comma 5 2 3 2 2 2 3 2" xfId="12478"/>
    <cellStyle name="Comma 5 2 3 2 2 2 3 2 2" xfId="19017"/>
    <cellStyle name="Comma 5 2 3 2 2 2 3 3" xfId="16165"/>
    <cellStyle name="Comma 5 2 3 2 2 2 4" xfId="9936"/>
    <cellStyle name="Comma 5 2 3 2 2 2 4 2" xfId="13049"/>
    <cellStyle name="Comma 5 2 3 2 2 2 4 2 2" xfId="19588"/>
    <cellStyle name="Comma 5 2 3 2 2 2 4 3" xfId="16736"/>
    <cellStyle name="Comma 5 2 3 2 2 2 5" xfId="3379"/>
    <cellStyle name="Comma 5 2 3 2 2 2 5 2" xfId="11336"/>
    <cellStyle name="Comma 5 2 3 2 2 2 5 2 2" xfId="17875"/>
    <cellStyle name="Comma 5 2 3 2 2 2 5 3" xfId="15023"/>
    <cellStyle name="Comma 5 2 3 2 2 2 6" xfId="2803"/>
    <cellStyle name="Comma 5 2 3 2 2 2 6 2" xfId="14451"/>
    <cellStyle name="Comma 5 2 3 2 2 2 7" xfId="10764"/>
    <cellStyle name="Comma 5 2 3 2 2 2 7 2" xfId="17303"/>
    <cellStyle name="Comma 5 2 3 2 2 2 8" xfId="13883"/>
    <cellStyle name="Comma 5 2 3 2 2 3" xfId="4257"/>
    <cellStyle name="Comma 5 2 3 2 2 3 2" xfId="11622"/>
    <cellStyle name="Comma 5 2 3 2 2 3 2 2" xfId="18161"/>
    <cellStyle name="Comma 5 2 3 2 2 3 3" xfId="15309"/>
    <cellStyle name="Comma 5 2 3 2 2 4" xfId="6529"/>
    <cellStyle name="Comma 5 2 3 2 2 4 2" xfId="12193"/>
    <cellStyle name="Comma 5 2 3 2 2 4 2 2" xfId="18732"/>
    <cellStyle name="Comma 5 2 3 2 2 4 3" xfId="15880"/>
    <cellStyle name="Comma 5 2 3 2 2 5" xfId="8801"/>
    <cellStyle name="Comma 5 2 3 2 2 5 2" xfId="12764"/>
    <cellStyle name="Comma 5 2 3 2 2 5 2 2" xfId="19303"/>
    <cellStyle name="Comma 5 2 3 2 2 5 3" xfId="16451"/>
    <cellStyle name="Comma 5 2 3 2 2 6" xfId="3094"/>
    <cellStyle name="Comma 5 2 3 2 2 6 2" xfId="11051"/>
    <cellStyle name="Comma 5 2 3 2 2 6 2 2" xfId="17590"/>
    <cellStyle name="Comma 5 2 3 2 2 6 3" xfId="14738"/>
    <cellStyle name="Comma 5 2 3 2 2 7" xfId="2523"/>
    <cellStyle name="Comma 5 2 3 2 2 7 2" xfId="14171"/>
    <cellStyle name="Comma 5 2 3 2 2 8" xfId="10484"/>
    <cellStyle name="Comma 5 2 3 2 2 8 2" xfId="17023"/>
    <cellStyle name="Comma 5 2 3 2 2 9" xfId="13598"/>
    <cellStyle name="Comma 5 2 3 2 3" xfId="1518"/>
    <cellStyle name="Comma 5 2 3 2 3 2" xfId="4938"/>
    <cellStyle name="Comma 5 2 3 2 3 2 2" xfId="11793"/>
    <cellStyle name="Comma 5 2 3 2 3 2 2 2" xfId="18332"/>
    <cellStyle name="Comma 5 2 3 2 3 2 3" xfId="15480"/>
    <cellStyle name="Comma 5 2 3 2 3 3" xfId="7210"/>
    <cellStyle name="Comma 5 2 3 2 3 3 2" xfId="12364"/>
    <cellStyle name="Comma 5 2 3 2 3 3 2 2" xfId="18903"/>
    <cellStyle name="Comma 5 2 3 2 3 3 3" xfId="16051"/>
    <cellStyle name="Comma 5 2 3 2 3 4" xfId="9482"/>
    <cellStyle name="Comma 5 2 3 2 3 4 2" xfId="12935"/>
    <cellStyle name="Comma 5 2 3 2 3 4 2 2" xfId="19474"/>
    <cellStyle name="Comma 5 2 3 2 3 4 3" xfId="16622"/>
    <cellStyle name="Comma 5 2 3 2 3 5" xfId="3265"/>
    <cellStyle name="Comma 5 2 3 2 3 5 2" xfId="11222"/>
    <cellStyle name="Comma 5 2 3 2 3 5 2 2" xfId="17761"/>
    <cellStyle name="Comma 5 2 3 2 3 5 3" xfId="14909"/>
    <cellStyle name="Comma 5 2 3 2 3 6" xfId="2691"/>
    <cellStyle name="Comma 5 2 3 2 3 6 2" xfId="14339"/>
    <cellStyle name="Comma 5 2 3 2 3 7" xfId="10652"/>
    <cellStyle name="Comma 5 2 3 2 3 7 2" xfId="17191"/>
    <cellStyle name="Comma 5 2 3 2 3 8" xfId="13769"/>
    <cellStyle name="Comma 5 2 3 2 4" xfId="3803"/>
    <cellStyle name="Comma 5 2 3 2 4 2" xfId="11508"/>
    <cellStyle name="Comma 5 2 3 2 4 2 2" xfId="18047"/>
    <cellStyle name="Comma 5 2 3 2 4 3" xfId="15195"/>
    <cellStyle name="Comma 5 2 3 2 5" xfId="6075"/>
    <cellStyle name="Comma 5 2 3 2 5 2" xfId="12079"/>
    <cellStyle name="Comma 5 2 3 2 5 2 2" xfId="18618"/>
    <cellStyle name="Comma 5 2 3 2 5 3" xfId="15766"/>
    <cellStyle name="Comma 5 2 3 2 6" xfId="8347"/>
    <cellStyle name="Comma 5 2 3 2 6 2" xfId="12650"/>
    <cellStyle name="Comma 5 2 3 2 6 2 2" xfId="19189"/>
    <cellStyle name="Comma 5 2 3 2 6 3" xfId="16337"/>
    <cellStyle name="Comma 5 2 3 2 7" xfId="2980"/>
    <cellStyle name="Comma 5 2 3 2 7 2" xfId="10937"/>
    <cellStyle name="Comma 5 2 3 2 7 2 2" xfId="17476"/>
    <cellStyle name="Comma 5 2 3 2 7 3" xfId="14624"/>
    <cellStyle name="Comma 5 2 3 2 8" xfId="2411"/>
    <cellStyle name="Comma 5 2 3 2 8 2" xfId="14059"/>
    <cellStyle name="Comma 5 2 3 2 9" xfId="10372"/>
    <cellStyle name="Comma 5 2 3 2 9 2" xfId="16911"/>
    <cellStyle name="Comma 5 2 3 3" xfId="1064"/>
    <cellStyle name="Comma 5 2 3 3 2" xfId="2199"/>
    <cellStyle name="Comma 5 2 3 3 2 2" xfId="5619"/>
    <cellStyle name="Comma 5 2 3 3 2 2 2" xfId="11964"/>
    <cellStyle name="Comma 5 2 3 3 2 2 2 2" xfId="18503"/>
    <cellStyle name="Comma 5 2 3 3 2 2 3" xfId="15651"/>
    <cellStyle name="Comma 5 2 3 3 2 3" xfId="7891"/>
    <cellStyle name="Comma 5 2 3 3 2 3 2" xfId="12535"/>
    <cellStyle name="Comma 5 2 3 3 2 3 2 2" xfId="19074"/>
    <cellStyle name="Comma 5 2 3 3 2 3 3" xfId="16222"/>
    <cellStyle name="Comma 5 2 3 3 2 4" xfId="10163"/>
    <cellStyle name="Comma 5 2 3 3 2 4 2" xfId="13106"/>
    <cellStyle name="Comma 5 2 3 3 2 4 2 2" xfId="19645"/>
    <cellStyle name="Comma 5 2 3 3 2 4 3" xfId="16793"/>
    <cellStyle name="Comma 5 2 3 3 2 5" xfId="3436"/>
    <cellStyle name="Comma 5 2 3 3 2 5 2" xfId="11393"/>
    <cellStyle name="Comma 5 2 3 3 2 5 2 2" xfId="17932"/>
    <cellStyle name="Comma 5 2 3 3 2 5 3" xfId="15080"/>
    <cellStyle name="Comma 5 2 3 3 2 6" xfId="2859"/>
    <cellStyle name="Comma 5 2 3 3 2 6 2" xfId="14507"/>
    <cellStyle name="Comma 5 2 3 3 2 7" xfId="10820"/>
    <cellStyle name="Comma 5 2 3 3 2 7 2" xfId="17359"/>
    <cellStyle name="Comma 5 2 3 3 2 8" xfId="13940"/>
    <cellStyle name="Comma 5 2 3 3 3" xfId="4484"/>
    <cellStyle name="Comma 5 2 3 3 3 2" xfId="11679"/>
    <cellStyle name="Comma 5 2 3 3 3 2 2" xfId="18218"/>
    <cellStyle name="Comma 5 2 3 3 3 3" xfId="15366"/>
    <cellStyle name="Comma 5 2 3 3 4" xfId="6756"/>
    <cellStyle name="Comma 5 2 3 3 4 2" xfId="12250"/>
    <cellStyle name="Comma 5 2 3 3 4 2 2" xfId="18789"/>
    <cellStyle name="Comma 5 2 3 3 4 3" xfId="15937"/>
    <cellStyle name="Comma 5 2 3 3 5" xfId="9028"/>
    <cellStyle name="Comma 5 2 3 3 5 2" xfId="12821"/>
    <cellStyle name="Comma 5 2 3 3 5 2 2" xfId="19360"/>
    <cellStyle name="Comma 5 2 3 3 5 3" xfId="16508"/>
    <cellStyle name="Comma 5 2 3 3 6" xfId="3151"/>
    <cellStyle name="Comma 5 2 3 3 6 2" xfId="11108"/>
    <cellStyle name="Comma 5 2 3 3 6 2 2" xfId="17647"/>
    <cellStyle name="Comma 5 2 3 3 6 3" xfId="14795"/>
    <cellStyle name="Comma 5 2 3 3 7" xfId="2579"/>
    <cellStyle name="Comma 5 2 3 3 7 2" xfId="14227"/>
    <cellStyle name="Comma 5 2 3 3 8" xfId="10540"/>
    <cellStyle name="Comma 5 2 3 3 8 2" xfId="17079"/>
    <cellStyle name="Comma 5 2 3 3 9" xfId="13655"/>
    <cellStyle name="Comma 5 2 3 4" xfId="610"/>
    <cellStyle name="Comma 5 2 3 4 2" xfId="1745"/>
    <cellStyle name="Comma 5 2 3 4 2 2" xfId="5165"/>
    <cellStyle name="Comma 5 2 3 4 2 2 2" xfId="11850"/>
    <cellStyle name="Comma 5 2 3 4 2 2 2 2" xfId="18389"/>
    <cellStyle name="Comma 5 2 3 4 2 2 3" xfId="15537"/>
    <cellStyle name="Comma 5 2 3 4 2 3" xfId="7437"/>
    <cellStyle name="Comma 5 2 3 4 2 3 2" xfId="12421"/>
    <cellStyle name="Comma 5 2 3 4 2 3 2 2" xfId="18960"/>
    <cellStyle name="Comma 5 2 3 4 2 3 3" xfId="16108"/>
    <cellStyle name="Comma 5 2 3 4 2 4" xfId="9709"/>
    <cellStyle name="Comma 5 2 3 4 2 4 2" xfId="12992"/>
    <cellStyle name="Comma 5 2 3 4 2 4 2 2" xfId="19531"/>
    <cellStyle name="Comma 5 2 3 4 2 4 3" xfId="16679"/>
    <cellStyle name="Comma 5 2 3 4 2 5" xfId="3322"/>
    <cellStyle name="Comma 5 2 3 4 2 5 2" xfId="11279"/>
    <cellStyle name="Comma 5 2 3 4 2 5 2 2" xfId="17818"/>
    <cellStyle name="Comma 5 2 3 4 2 5 3" xfId="14966"/>
    <cellStyle name="Comma 5 2 3 4 2 6" xfId="2747"/>
    <cellStyle name="Comma 5 2 3 4 2 6 2" xfId="14395"/>
    <cellStyle name="Comma 5 2 3 4 2 7" xfId="10708"/>
    <cellStyle name="Comma 5 2 3 4 2 7 2" xfId="17247"/>
    <cellStyle name="Comma 5 2 3 4 2 8" xfId="13826"/>
    <cellStyle name="Comma 5 2 3 4 3" xfId="4030"/>
    <cellStyle name="Comma 5 2 3 4 3 2" xfId="11565"/>
    <cellStyle name="Comma 5 2 3 4 3 2 2" xfId="18104"/>
    <cellStyle name="Comma 5 2 3 4 3 3" xfId="15252"/>
    <cellStyle name="Comma 5 2 3 4 4" xfId="6302"/>
    <cellStyle name="Comma 5 2 3 4 4 2" xfId="12136"/>
    <cellStyle name="Comma 5 2 3 4 4 2 2" xfId="18675"/>
    <cellStyle name="Comma 5 2 3 4 4 3" xfId="15823"/>
    <cellStyle name="Comma 5 2 3 4 5" xfId="8574"/>
    <cellStyle name="Comma 5 2 3 4 5 2" xfId="12707"/>
    <cellStyle name="Comma 5 2 3 4 5 2 2" xfId="19246"/>
    <cellStyle name="Comma 5 2 3 4 5 3" xfId="16394"/>
    <cellStyle name="Comma 5 2 3 4 6" xfId="3037"/>
    <cellStyle name="Comma 5 2 3 4 6 2" xfId="10994"/>
    <cellStyle name="Comma 5 2 3 4 6 2 2" xfId="17533"/>
    <cellStyle name="Comma 5 2 3 4 6 3" xfId="14681"/>
    <cellStyle name="Comma 5 2 3 4 7" xfId="2467"/>
    <cellStyle name="Comma 5 2 3 4 7 2" xfId="14115"/>
    <cellStyle name="Comma 5 2 3 4 8" xfId="10428"/>
    <cellStyle name="Comma 5 2 3 4 8 2" xfId="16967"/>
    <cellStyle name="Comma 5 2 3 4 9" xfId="13541"/>
    <cellStyle name="Comma 5 2 3 5" xfId="1291"/>
    <cellStyle name="Comma 5 2 3 5 2" xfId="4711"/>
    <cellStyle name="Comma 5 2 3 5 2 2" xfId="11736"/>
    <cellStyle name="Comma 5 2 3 5 2 2 2" xfId="18275"/>
    <cellStyle name="Comma 5 2 3 5 2 3" xfId="15423"/>
    <cellStyle name="Comma 5 2 3 5 3" xfId="6983"/>
    <cellStyle name="Comma 5 2 3 5 3 2" xfId="12307"/>
    <cellStyle name="Comma 5 2 3 5 3 2 2" xfId="18846"/>
    <cellStyle name="Comma 5 2 3 5 3 3" xfId="15994"/>
    <cellStyle name="Comma 5 2 3 5 4" xfId="9255"/>
    <cellStyle name="Comma 5 2 3 5 4 2" xfId="12878"/>
    <cellStyle name="Comma 5 2 3 5 4 2 2" xfId="19417"/>
    <cellStyle name="Comma 5 2 3 5 4 3" xfId="16565"/>
    <cellStyle name="Comma 5 2 3 5 5" xfId="3208"/>
    <cellStyle name="Comma 5 2 3 5 5 2" xfId="11165"/>
    <cellStyle name="Comma 5 2 3 5 5 2 2" xfId="17704"/>
    <cellStyle name="Comma 5 2 3 5 5 3" xfId="14852"/>
    <cellStyle name="Comma 5 2 3 5 6" xfId="2635"/>
    <cellStyle name="Comma 5 2 3 5 6 2" xfId="14283"/>
    <cellStyle name="Comma 5 2 3 5 7" xfId="10596"/>
    <cellStyle name="Comma 5 2 3 5 7 2" xfId="17135"/>
    <cellStyle name="Comma 5 2 3 5 8" xfId="13712"/>
    <cellStyle name="Comma 5 2 3 6" xfId="3576"/>
    <cellStyle name="Comma 5 2 3 6 2" xfId="11451"/>
    <cellStyle name="Comma 5 2 3 6 2 2" xfId="17990"/>
    <cellStyle name="Comma 5 2 3 6 3" xfId="15138"/>
    <cellStyle name="Comma 5 2 3 7" xfId="5848"/>
    <cellStyle name="Comma 5 2 3 7 2" xfId="12022"/>
    <cellStyle name="Comma 5 2 3 7 2 2" xfId="18561"/>
    <cellStyle name="Comma 5 2 3 7 3" xfId="15709"/>
    <cellStyle name="Comma 5 2 3 8" xfId="8120"/>
    <cellStyle name="Comma 5 2 3 8 2" xfId="12593"/>
    <cellStyle name="Comma 5 2 3 8 2 2" xfId="19132"/>
    <cellStyle name="Comma 5 2 3 8 3" xfId="16280"/>
    <cellStyle name="Comma 5 2 3 9" xfId="2920"/>
    <cellStyle name="Comma 5 2 3 9 2" xfId="10879"/>
    <cellStyle name="Comma 5 2 3 9 2 2" xfId="17418"/>
    <cellStyle name="Comma 5 2 3 9 3" xfId="14566"/>
    <cellStyle name="Comma 5 2 4" xfId="271"/>
    <cellStyle name="Comma 5 2 4 10" xfId="2383"/>
    <cellStyle name="Comma 5 2 4 10 2" xfId="14031"/>
    <cellStyle name="Comma 5 2 4 11" xfId="10344"/>
    <cellStyle name="Comma 5 2 4 11 2" xfId="16883"/>
    <cellStyle name="Comma 5 2 4 12" xfId="13456"/>
    <cellStyle name="Comma 5 2 4 2" xfId="498"/>
    <cellStyle name="Comma 5 2 4 2 10" xfId="13513"/>
    <cellStyle name="Comma 5 2 4 2 2" xfId="952"/>
    <cellStyle name="Comma 5 2 4 2 2 2" xfId="2087"/>
    <cellStyle name="Comma 5 2 4 2 2 2 2" xfId="5507"/>
    <cellStyle name="Comma 5 2 4 2 2 2 2 2" xfId="11936"/>
    <cellStyle name="Comma 5 2 4 2 2 2 2 2 2" xfId="18475"/>
    <cellStyle name="Comma 5 2 4 2 2 2 2 3" xfId="15623"/>
    <cellStyle name="Comma 5 2 4 2 2 2 3" xfId="7779"/>
    <cellStyle name="Comma 5 2 4 2 2 2 3 2" xfId="12507"/>
    <cellStyle name="Comma 5 2 4 2 2 2 3 2 2" xfId="19046"/>
    <cellStyle name="Comma 5 2 4 2 2 2 3 3" xfId="16194"/>
    <cellStyle name="Comma 5 2 4 2 2 2 4" xfId="10051"/>
    <cellStyle name="Comma 5 2 4 2 2 2 4 2" xfId="13078"/>
    <cellStyle name="Comma 5 2 4 2 2 2 4 2 2" xfId="19617"/>
    <cellStyle name="Comma 5 2 4 2 2 2 4 3" xfId="16765"/>
    <cellStyle name="Comma 5 2 4 2 2 2 5" xfId="3408"/>
    <cellStyle name="Comma 5 2 4 2 2 2 5 2" xfId="11365"/>
    <cellStyle name="Comma 5 2 4 2 2 2 5 2 2" xfId="17904"/>
    <cellStyle name="Comma 5 2 4 2 2 2 5 3" xfId="15052"/>
    <cellStyle name="Comma 5 2 4 2 2 2 6" xfId="2831"/>
    <cellStyle name="Comma 5 2 4 2 2 2 6 2" xfId="14479"/>
    <cellStyle name="Comma 5 2 4 2 2 2 7" xfId="10792"/>
    <cellStyle name="Comma 5 2 4 2 2 2 7 2" xfId="17331"/>
    <cellStyle name="Comma 5 2 4 2 2 2 8" xfId="13912"/>
    <cellStyle name="Comma 5 2 4 2 2 3" xfId="4372"/>
    <cellStyle name="Comma 5 2 4 2 2 3 2" xfId="11651"/>
    <cellStyle name="Comma 5 2 4 2 2 3 2 2" xfId="18190"/>
    <cellStyle name="Comma 5 2 4 2 2 3 3" xfId="15338"/>
    <cellStyle name="Comma 5 2 4 2 2 4" xfId="6644"/>
    <cellStyle name="Comma 5 2 4 2 2 4 2" xfId="12222"/>
    <cellStyle name="Comma 5 2 4 2 2 4 2 2" xfId="18761"/>
    <cellStyle name="Comma 5 2 4 2 2 4 3" xfId="15909"/>
    <cellStyle name="Comma 5 2 4 2 2 5" xfId="8916"/>
    <cellStyle name="Comma 5 2 4 2 2 5 2" xfId="12793"/>
    <cellStyle name="Comma 5 2 4 2 2 5 2 2" xfId="19332"/>
    <cellStyle name="Comma 5 2 4 2 2 5 3" xfId="16480"/>
    <cellStyle name="Comma 5 2 4 2 2 6" xfId="3123"/>
    <cellStyle name="Comma 5 2 4 2 2 6 2" xfId="11080"/>
    <cellStyle name="Comma 5 2 4 2 2 6 2 2" xfId="17619"/>
    <cellStyle name="Comma 5 2 4 2 2 6 3" xfId="14767"/>
    <cellStyle name="Comma 5 2 4 2 2 7" xfId="2551"/>
    <cellStyle name="Comma 5 2 4 2 2 7 2" xfId="14199"/>
    <cellStyle name="Comma 5 2 4 2 2 8" xfId="10512"/>
    <cellStyle name="Comma 5 2 4 2 2 8 2" xfId="17051"/>
    <cellStyle name="Comma 5 2 4 2 2 9" xfId="13627"/>
    <cellStyle name="Comma 5 2 4 2 3" xfId="1633"/>
    <cellStyle name="Comma 5 2 4 2 3 2" xfId="5053"/>
    <cellStyle name="Comma 5 2 4 2 3 2 2" xfId="11822"/>
    <cellStyle name="Comma 5 2 4 2 3 2 2 2" xfId="18361"/>
    <cellStyle name="Comma 5 2 4 2 3 2 3" xfId="15509"/>
    <cellStyle name="Comma 5 2 4 2 3 3" xfId="7325"/>
    <cellStyle name="Comma 5 2 4 2 3 3 2" xfId="12393"/>
    <cellStyle name="Comma 5 2 4 2 3 3 2 2" xfId="18932"/>
    <cellStyle name="Comma 5 2 4 2 3 3 3" xfId="16080"/>
    <cellStyle name="Comma 5 2 4 2 3 4" xfId="9597"/>
    <cellStyle name="Comma 5 2 4 2 3 4 2" xfId="12964"/>
    <cellStyle name="Comma 5 2 4 2 3 4 2 2" xfId="19503"/>
    <cellStyle name="Comma 5 2 4 2 3 4 3" xfId="16651"/>
    <cellStyle name="Comma 5 2 4 2 3 5" xfId="3294"/>
    <cellStyle name="Comma 5 2 4 2 3 5 2" xfId="11251"/>
    <cellStyle name="Comma 5 2 4 2 3 5 2 2" xfId="17790"/>
    <cellStyle name="Comma 5 2 4 2 3 5 3" xfId="14938"/>
    <cellStyle name="Comma 5 2 4 2 3 6" xfId="2719"/>
    <cellStyle name="Comma 5 2 4 2 3 6 2" xfId="14367"/>
    <cellStyle name="Comma 5 2 4 2 3 7" xfId="10680"/>
    <cellStyle name="Comma 5 2 4 2 3 7 2" xfId="17219"/>
    <cellStyle name="Comma 5 2 4 2 3 8" xfId="13798"/>
    <cellStyle name="Comma 5 2 4 2 4" xfId="3918"/>
    <cellStyle name="Comma 5 2 4 2 4 2" xfId="11537"/>
    <cellStyle name="Comma 5 2 4 2 4 2 2" xfId="18076"/>
    <cellStyle name="Comma 5 2 4 2 4 3" xfId="15224"/>
    <cellStyle name="Comma 5 2 4 2 5" xfId="6190"/>
    <cellStyle name="Comma 5 2 4 2 5 2" xfId="12108"/>
    <cellStyle name="Comma 5 2 4 2 5 2 2" xfId="18647"/>
    <cellStyle name="Comma 5 2 4 2 5 3" xfId="15795"/>
    <cellStyle name="Comma 5 2 4 2 6" xfId="8462"/>
    <cellStyle name="Comma 5 2 4 2 6 2" xfId="12679"/>
    <cellStyle name="Comma 5 2 4 2 6 2 2" xfId="19218"/>
    <cellStyle name="Comma 5 2 4 2 6 3" xfId="16366"/>
    <cellStyle name="Comma 5 2 4 2 7" xfId="3009"/>
    <cellStyle name="Comma 5 2 4 2 7 2" xfId="10966"/>
    <cellStyle name="Comma 5 2 4 2 7 2 2" xfId="17505"/>
    <cellStyle name="Comma 5 2 4 2 7 3" xfId="14653"/>
    <cellStyle name="Comma 5 2 4 2 8" xfId="2439"/>
    <cellStyle name="Comma 5 2 4 2 8 2" xfId="14087"/>
    <cellStyle name="Comma 5 2 4 2 9" xfId="10400"/>
    <cellStyle name="Comma 5 2 4 2 9 2" xfId="16939"/>
    <cellStyle name="Comma 5 2 4 3" xfId="1179"/>
    <cellStyle name="Comma 5 2 4 3 2" xfId="2314"/>
    <cellStyle name="Comma 5 2 4 3 2 2" xfId="5734"/>
    <cellStyle name="Comma 5 2 4 3 2 2 2" xfId="11993"/>
    <cellStyle name="Comma 5 2 4 3 2 2 2 2" xfId="18532"/>
    <cellStyle name="Comma 5 2 4 3 2 2 3" xfId="15680"/>
    <cellStyle name="Comma 5 2 4 3 2 3" xfId="8006"/>
    <cellStyle name="Comma 5 2 4 3 2 3 2" xfId="12564"/>
    <cellStyle name="Comma 5 2 4 3 2 3 2 2" xfId="19103"/>
    <cellStyle name="Comma 5 2 4 3 2 3 3" xfId="16251"/>
    <cellStyle name="Comma 5 2 4 3 2 4" xfId="10278"/>
    <cellStyle name="Comma 5 2 4 3 2 4 2" xfId="13135"/>
    <cellStyle name="Comma 5 2 4 3 2 4 2 2" xfId="19674"/>
    <cellStyle name="Comma 5 2 4 3 2 4 3" xfId="16822"/>
    <cellStyle name="Comma 5 2 4 3 2 5" xfId="3465"/>
    <cellStyle name="Comma 5 2 4 3 2 5 2" xfId="11422"/>
    <cellStyle name="Comma 5 2 4 3 2 5 2 2" xfId="17961"/>
    <cellStyle name="Comma 5 2 4 3 2 5 3" xfId="15109"/>
    <cellStyle name="Comma 5 2 4 3 2 6" xfId="2887"/>
    <cellStyle name="Comma 5 2 4 3 2 6 2" xfId="14535"/>
    <cellStyle name="Comma 5 2 4 3 2 7" xfId="10848"/>
    <cellStyle name="Comma 5 2 4 3 2 7 2" xfId="17387"/>
    <cellStyle name="Comma 5 2 4 3 2 8" xfId="13969"/>
    <cellStyle name="Comma 5 2 4 3 3" xfId="4599"/>
    <cellStyle name="Comma 5 2 4 3 3 2" xfId="11708"/>
    <cellStyle name="Comma 5 2 4 3 3 2 2" xfId="18247"/>
    <cellStyle name="Comma 5 2 4 3 3 3" xfId="15395"/>
    <cellStyle name="Comma 5 2 4 3 4" xfId="6871"/>
    <cellStyle name="Comma 5 2 4 3 4 2" xfId="12279"/>
    <cellStyle name="Comma 5 2 4 3 4 2 2" xfId="18818"/>
    <cellStyle name="Comma 5 2 4 3 4 3" xfId="15966"/>
    <cellStyle name="Comma 5 2 4 3 5" xfId="9143"/>
    <cellStyle name="Comma 5 2 4 3 5 2" xfId="12850"/>
    <cellStyle name="Comma 5 2 4 3 5 2 2" xfId="19389"/>
    <cellStyle name="Comma 5 2 4 3 5 3" xfId="16537"/>
    <cellStyle name="Comma 5 2 4 3 6" xfId="3180"/>
    <cellStyle name="Comma 5 2 4 3 6 2" xfId="11137"/>
    <cellStyle name="Comma 5 2 4 3 6 2 2" xfId="17676"/>
    <cellStyle name="Comma 5 2 4 3 6 3" xfId="14824"/>
    <cellStyle name="Comma 5 2 4 3 7" xfId="2607"/>
    <cellStyle name="Comma 5 2 4 3 7 2" xfId="14255"/>
    <cellStyle name="Comma 5 2 4 3 8" xfId="10568"/>
    <cellStyle name="Comma 5 2 4 3 8 2" xfId="17107"/>
    <cellStyle name="Comma 5 2 4 3 9" xfId="13684"/>
    <cellStyle name="Comma 5 2 4 4" xfId="725"/>
    <cellStyle name="Comma 5 2 4 4 2" xfId="1860"/>
    <cellStyle name="Comma 5 2 4 4 2 2" xfId="5280"/>
    <cellStyle name="Comma 5 2 4 4 2 2 2" xfId="11879"/>
    <cellStyle name="Comma 5 2 4 4 2 2 2 2" xfId="18418"/>
    <cellStyle name="Comma 5 2 4 4 2 2 3" xfId="15566"/>
    <cellStyle name="Comma 5 2 4 4 2 3" xfId="7552"/>
    <cellStyle name="Comma 5 2 4 4 2 3 2" xfId="12450"/>
    <cellStyle name="Comma 5 2 4 4 2 3 2 2" xfId="18989"/>
    <cellStyle name="Comma 5 2 4 4 2 3 3" xfId="16137"/>
    <cellStyle name="Comma 5 2 4 4 2 4" xfId="9824"/>
    <cellStyle name="Comma 5 2 4 4 2 4 2" xfId="13021"/>
    <cellStyle name="Comma 5 2 4 4 2 4 2 2" xfId="19560"/>
    <cellStyle name="Comma 5 2 4 4 2 4 3" xfId="16708"/>
    <cellStyle name="Comma 5 2 4 4 2 5" xfId="3351"/>
    <cellStyle name="Comma 5 2 4 4 2 5 2" xfId="11308"/>
    <cellStyle name="Comma 5 2 4 4 2 5 2 2" xfId="17847"/>
    <cellStyle name="Comma 5 2 4 4 2 5 3" xfId="14995"/>
    <cellStyle name="Comma 5 2 4 4 2 6" xfId="2775"/>
    <cellStyle name="Comma 5 2 4 4 2 6 2" xfId="14423"/>
    <cellStyle name="Comma 5 2 4 4 2 7" xfId="10736"/>
    <cellStyle name="Comma 5 2 4 4 2 7 2" xfId="17275"/>
    <cellStyle name="Comma 5 2 4 4 2 8" xfId="13855"/>
    <cellStyle name="Comma 5 2 4 4 3" xfId="4145"/>
    <cellStyle name="Comma 5 2 4 4 3 2" xfId="11594"/>
    <cellStyle name="Comma 5 2 4 4 3 2 2" xfId="18133"/>
    <cellStyle name="Comma 5 2 4 4 3 3" xfId="15281"/>
    <cellStyle name="Comma 5 2 4 4 4" xfId="6417"/>
    <cellStyle name="Comma 5 2 4 4 4 2" xfId="12165"/>
    <cellStyle name="Comma 5 2 4 4 4 2 2" xfId="18704"/>
    <cellStyle name="Comma 5 2 4 4 4 3" xfId="15852"/>
    <cellStyle name="Comma 5 2 4 4 5" xfId="8689"/>
    <cellStyle name="Comma 5 2 4 4 5 2" xfId="12736"/>
    <cellStyle name="Comma 5 2 4 4 5 2 2" xfId="19275"/>
    <cellStyle name="Comma 5 2 4 4 5 3" xfId="16423"/>
    <cellStyle name="Comma 5 2 4 4 6" xfId="3066"/>
    <cellStyle name="Comma 5 2 4 4 6 2" xfId="11023"/>
    <cellStyle name="Comma 5 2 4 4 6 2 2" xfId="17562"/>
    <cellStyle name="Comma 5 2 4 4 6 3" xfId="14710"/>
    <cellStyle name="Comma 5 2 4 4 7" xfId="2495"/>
    <cellStyle name="Comma 5 2 4 4 7 2" xfId="14143"/>
    <cellStyle name="Comma 5 2 4 4 8" xfId="10456"/>
    <cellStyle name="Comma 5 2 4 4 8 2" xfId="16995"/>
    <cellStyle name="Comma 5 2 4 4 9" xfId="13570"/>
    <cellStyle name="Comma 5 2 4 5" xfId="1406"/>
    <cellStyle name="Comma 5 2 4 5 2" xfId="4826"/>
    <cellStyle name="Comma 5 2 4 5 2 2" xfId="11765"/>
    <cellStyle name="Comma 5 2 4 5 2 2 2" xfId="18304"/>
    <cellStyle name="Comma 5 2 4 5 2 3" xfId="15452"/>
    <cellStyle name="Comma 5 2 4 5 3" xfId="7098"/>
    <cellStyle name="Comma 5 2 4 5 3 2" xfId="12336"/>
    <cellStyle name="Comma 5 2 4 5 3 2 2" xfId="18875"/>
    <cellStyle name="Comma 5 2 4 5 3 3" xfId="16023"/>
    <cellStyle name="Comma 5 2 4 5 4" xfId="9370"/>
    <cellStyle name="Comma 5 2 4 5 4 2" xfId="12907"/>
    <cellStyle name="Comma 5 2 4 5 4 2 2" xfId="19446"/>
    <cellStyle name="Comma 5 2 4 5 4 3" xfId="16594"/>
    <cellStyle name="Comma 5 2 4 5 5" xfId="3237"/>
    <cellStyle name="Comma 5 2 4 5 5 2" xfId="11194"/>
    <cellStyle name="Comma 5 2 4 5 5 2 2" xfId="17733"/>
    <cellStyle name="Comma 5 2 4 5 5 3" xfId="14881"/>
    <cellStyle name="Comma 5 2 4 5 6" xfId="2663"/>
    <cellStyle name="Comma 5 2 4 5 6 2" xfId="14311"/>
    <cellStyle name="Comma 5 2 4 5 7" xfId="10624"/>
    <cellStyle name="Comma 5 2 4 5 7 2" xfId="17163"/>
    <cellStyle name="Comma 5 2 4 5 8" xfId="13741"/>
    <cellStyle name="Comma 5 2 4 6" xfId="3691"/>
    <cellStyle name="Comma 5 2 4 6 2" xfId="11480"/>
    <cellStyle name="Comma 5 2 4 6 2 2" xfId="18019"/>
    <cellStyle name="Comma 5 2 4 6 3" xfId="15167"/>
    <cellStyle name="Comma 5 2 4 7" xfId="5963"/>
    <cellStyle name="Comma 5 2 4 7 2" xfId="12051"/>
    <cellStyle name="Comma 5 2 4 7 2 2" xfId="18590"/>
    <cellStyle name="Comma 5 2 4 7 3" xfId="15738"/>
    <cellStyle name="Comma 5 2 4 8" xfId="8235"/>
    <cellStyle name="Comma 5 2 4 8 2" xfId="12622"/>
    <cellStyle name="Comma 5 2 4 8 2 2" xfId="19161"/>
    <cellStyle name="Comma 5 2 4 8 3" xfId="16309"/>
    <cellStyle name="Comma 5 2 4 9" xfId="2952"/>
    <cellStyle name="Comma 5 2 4 9 2" xfId="10909"/>
    <cellStyle name="Comma 5 2 4 9 2 2" xfId="17448"/>
    <cellStyle name="Comma 5 2 4 9 3" xfId="14596"/>
    <cellStyle name="Comma 5 2 5" xfId="327"/>
    <cellStyle name="Comma 5 2 5 10" xfId="13470"/>
    <cellStyle name="Comma 5 2 5 2" xfId="781"/>
    <cellStyle name="Comma 5 2 5 2 2" xfId="1916"/>
    <cellStyle name="Comma 5 2 5 2 2 2" xfId="5336"/>
    <cellStyle name="Comma 5 2 5 2 2 2 2" xfId="11893"/>
    <cellStyle name="Comma 5 2 5 2 2 2 2 2" xfId="18432"/>
    <cellStyle name="Comma 5 2 5 2 2 2 3" xfId="15580"/>
    <cellStyle name="Comma 5 2 5 2 2 3" xfId="7608"/>
    <cellStyle name="Comma 5 2 5 2 2 3 2" xfId="12464"/>
    <cellStyle name="Comma 5 2 5 2 2 3 2 2" xfId="19003"/>
    <cellStyle name="Comma 5 2 5 2 2 3 3" xfId="16151"/>
    <cellStyle name="Comma 5 2 5 2 2 4" xfId="9880"/>
    <cellStyle name="Comma 5 2 5 2 2 4 2" xfId="13035"/>
    <cellStyle name="Comma 5 2 5 2 2 4 2 2" xfId="19574"/>
    <cellStyle name="Comma 5 2 5 2 2 4 3" xfId="16722"/>
    <cellStyle name="Comma 5 2 5 2 2 5" xfId="3365"/>
    <cellStyle name="Comma 5 2 5 2 2 5 2" xfId="11322"/>
    <cellStyle name="Comma 5 2 5 2 2 5 2 2" xfId="17861"/>
    <cellStyle name="Comma 5 2 5 2 2 5 3" xfId="15009"/>
    <cellStyle name="Comma 5 2 5 2 2 6" xfId="2789"/>
    <cellStyle name="Comma 5 2 5 2 2 6 2" xfId="14437"/>
    <cellStyle name="Comma 5 2 5 2 2 7" xfId="10750"/>
    <cellStyle name="Comma 5 2 5 2 2 7 2" xfId="17289"/>
    <cellStyle name="Comma 5 2 5 2 2 8" xfId="13869"/>
    <cellStyle name="Comma 5 2 5 2 3" xfId="4201"/>
    <cellStyle name="Comma 5 2 5 2 3 2" xfId="11608"/>
    <cellStyle name="Comma 5 2 5 2 3 2 2" xfId="18147"/>
    <cellStyle name="Comma 5 2 5 2 3 3" xfId="15295"/>
    <cellStyle name="Comma 5 2 5 2 4" xfId="6473"/>
    <cellStyle name="Comma 5 2 5 2 4 2" xfId="12179"/>
    <cellStyle name="Comma 5 2 5 2 4 2 2" xfId="18718"/>
    <cellStyle name="Comma 5 2 5 2 4 3" xfId="15866"/>
    <cellStyle name="Comma 5 2 5 2 5" xfId="8745"/>
    <cellStyle name="Comma 5 2 5 2 5 2" xfId="12750"/>
    <cellStyle name="Comma 5 2 5 2 5 2 2" xfId="19289"/>
    <cellStyle name="Comma 5 2 5 2 5 3" xfId="16437"/>
    <cellStyle name="Comma 5 2 5 2 6" xfId="3080"/>
    <cellStyle name="Comma 5 2 5 2 6 2" xfId="11037"/>
    <cellStyle name="Comma 5 2 5 2 6 2 2" xfId="17576"/>
    <cellStyle name="Comma 5 2 5 2 6 3" xfId="14724"/>
    <cellStyle name="Comma 5 2 5 2 7" xfId="2509"/>
    <cellStyle name="Comma 5 2 5 2 7 2" xfId="14157"/>
    <cellStyle name="Comma 5 2 5 2 8" xfId="10470"/>
    <cellStyle name="Comma 5 2 5 2 8 2" xfId="17009"/>
    <cellStyle name="Comma 5 2 5 2 9" xfId="13584"/>
    <cellStyle name="Comma 5 2 5 3" xfId="1462"/>
    <cellStyle name="Comma 5 2 5 3 2" xfId="4882"/>
    <cellStyle name="Comma 5 2 5 3 2 2" xfId="11779"/>
    <cellStyle name="Comma 5 2 5 3 2 2 2" xfId="18318"/>
    <cellStyle name="Comma 5 2 5 3 2 3" xfId="15466"/>
    <cellStyle name="Comma 5 2 5 3 3" xfId="7154"/>
    <cellStyle name="Comma 5 2 5 3 3 2" xfId="12350"/>
    <cellStyle name="Comma 5 2 5 3 3 2 2" xfId="18889"/>
    <cellStyle name="Comma 5 2 5 3 3 3" xfId="16037"/>
    <cellStyle name="Comma 5 2 5 3 4" xfId="9426"/>
    <cellStyle name="Comma 5 2 5 3 4 2" xfId="12921"/>
    <cellStyle name="Comma 5 2 5 3 4 2 2" xfId="19460"/>
    <cellStyle name="Comma 5 2 5 3 4 3" xfId="16608"/>
    <cellStyle name="Comma 5 2 5 3 5" xfId="3251"/>
    <cellStyle name="Comma 5 2 5 3 5 2" xfId="11208"/>
    <cellStyle name="Comma 5 2 5 3 5 2 2" xfId="17747"/>
    <cellStyle name="Comma 5 2 5 3 5 3" xfId="14895"/>
    <cellStyle name="Comma 5 2 5 3 6" xfId="2677"/>
    <cellStyle name="Comma 5 2 5 3 6 2" xfId="14325"/>
    <cellStyle name="Comma 5 2 5 3 7" xfId="10638"/>
    <cellStyle name="Comma 5 2 5 3 7 2" xfId="17177"/>
    <cellStyle name="Comma 5 2 5 3 8" xfId="13755"/>
    <cellStyle name="Comma 5 2 5 4" xfId="3747"/>
    <cellStyle name="Comma 5 2 5 4 2" xfId="11494"/>
    <cellStyle name="Comma 5 2 5 4 2 2" xfId="18033"/>
    <cellStyle name="Comma 5 2 5 4 3" xfId="15181"/>
    <cellStyle name="Comma 5 2 5 5" xfId="6019"/>
    <cellStyle name="Comma 5 2 5 5 2" xfId="12065"/>
    <cellStyle name="Comma 5 2 5 5 2 2" xfId="18604"/>
    <cellStyle name="Comma 5 2 5 5 3" xfId="15752"/>
    <cellStyle name="Comma 5 2 5 6" xfId="8291"/>
    <cellStyle name="Comma 5 2 5 6 2" xfId="12636"/>
    <cellStyle name="Comma 5 2 5 6 2 2" xfId="19175"/>
    <cellStyle name="Comma 5 2 5 6 3" xfId="16323"/>
    <cellStyle name="Comma 5 2 5 7" xfId="2966"/>
    <cellStyle name="Comma 5 2 5 7 2" xfId="10923"/>
    <cellStyle name="Comma 5 2 5 7 2 2" xfId="17462"/>
    <cellStyle name="Comma 5 2 5 7 3" xfId="14610"/>
    <cellStyle name="Comma 5 2 5 8" xfId="2397"/>
    <cellStyle name="Comma 5 2 5 8 2" xfId="14045"/>
    <cellStyle name="Comma 5 2 5 9" xfId="10358"/>
    <cellStyle name="Comma 5 2 5 9 2" xfId="16897"/>
    <cellStyle name="Comma 5 2 6" xfId="1008"/>
    <cellStyle name="Comma 5 2 6 2" xfId="2143"/>
    <cellStyle name="Comma 5 2 6 2 2" xfId="5563"/>
    <cellStyle name="Comma 5 2 6 2 2 2" xfId="11950"/>
    <cellStyle name="Comma 5 2 6 2 2 2 2" xfId="18489"/>
    <cellStyle name="Comma 5 2 6 2 2 3" xfId="15637"/>
    <cellStyle name="Comma 5 2 6 2 3" xfId="7835"/>
    <cellStyle name="Comma 5 2 6 2 3 2" xfId="12521"/>
    <cellStyle name="Comma 5 2 6 2 3 2 2" xfId="19060"/>
    <cellStyle name="Comma 5 2 6 2 3 3" xfId="16208"/>
    <cellStyle name="Comma 5 2 6 2 4" xfId="10107"/>
    <cellStyle name="Comma 5 2 6 2 4 2" xfId="13092"/>
    <cellStyle name="Comma 5 2 6 2 4 2 2" xfId="19631"/>
    <cellStyle name="Comma 5 2 6 2 4 3" xfId="16779"/>
    <cellStyle name="Comma 5 2 6 2 5" xfId="3422"/>
    <cellStyle name="Comma 5 2 6 2 5 2" xfId="11379"/>
    <cellStyle name="Comma 5 2 6 2 5 2 2" xfId="17918"/>
    <cellStyle name="Comma 5 2 6 2 5 3" xfId="15066"/>
    <cellStyle name="Comma 5 2 6 2 6" xfId="2845"/>
    <cellStyle name="Comma 5 2 6 2 6 2" xfId="14493"/>
    <cellStyle name="Comma 5 2 6 2 7" xfId="10806"/>
    <cellStyle name="Comma 5 2 6 2 7 2" xfId="17345"/>
    <cellStyle name="Comma 5 2 6 2 8" xfId="13926"/>
    <cellStyle name="Comma 5 2 6 3" xfId="4428"/>
    <cellStyle name="Comma 5 2 6 3 2" xfId="11665"/>
    <cellStyle name="Comma 5 2 6 3 2 2" xfId="18204"/>
    <cellStyle name="Comma 5 2 6 3 3" xfId="15352"/>
    <cellStyle name="Comma 5 2 6 4" xfId="6700"/>
    <cellStyle name="Comma 5 2 6 4 2" xfId="12236"/>
    <cellStyle name="Comma 5 2 6 4 2 2" xfId="18775"/>
    <cellStyle name="Comma 5 2 6 4 3" xfId="15923"/>
    <cellStyle name="Comma 5 2 6 5" xfId="8972"/>
    <cellStyle name="Comma 5 2 6 5 2" xfId="12807"/>
    <cellStyle name="Comma 5 2 6 5 2 2" xfId="19346"/>
    <cellStyle name="Comma 5 2 6 5 3" xfId="16494"/>
    <cellStyle name="Comma 5 2 6 6" xfId="3137"/>
    <cellStyle name="Comma 5 2 6 6 2" xfId="11094"/>
    <cellStyle name="Comma 5 2 6 6 2 2" xfId="17633"/>
    <cellStyle name="Comma 5 2 6 6 3" xfId="14781"/>
    <cellStyle name="Comma 5 2 6 7" xfId="2565"/>
    <cellStyle name="Comma 5 2 6 7 2" xfId="14213"/>
    <cellStyle name="Comma 5 2 6 8" xfId="10526"/>
    <cellStyle name="Comma 5 2 6 8 2" xfId="17065"/>
    <cellStyle name="Comma 5 2 6 9" xfId="13641"/>
    <cellStyle name="Comma 5 2 7" xfId="554"/>
    <cellStyle name="Comma 5 2 7 2" xfId="1689"/>
    <cellStyle name="Comma 5 2 7 2 2" xfId="5109"/>
    <cellStyle name="Comma 5 2 7 2 2 2" xfId="11836"/>
    <cellStyle name="Comma 5 2 7 2 2 2 2" xfId="18375"/>
    <cellStyle name="Comma 5 2 7 2 2 3" xfId="15523"/>
    <cellStyle name="Comma 5 2 7 2 3" xfId="7381"/>
    <cellStyle name="Comma 5 2 7 2 3 2" xfId="12407"/>
    <cellStyle name="Comma 5 2 7 2 3 2 2" xfId="18946"/>
    <cellStyle name="Comma 5 2 7 2 3 3" xfId="16094"/>
    <cellStyle name="Comma 5 2 7 2 4" xfId="9653"/>
    <cellStyle name="Comma 5 2 7 2 4 2" xfId="12978"/>
    <cellStyle name="Comma 5 2 7 2 4 2 2" xfId="19517"/>
    <cellStyle name="Comma 5 2 7 2 4 3" xfId="16665"/>
    <cellStyle name="Comma 5 2 7 2 5" xfId="3308"/>
    <cellStyle name="Comma 5 2 7 2 5 2" xfId="11265"/>
    <cellStyle name="Comma 5 2 7 2 5 2 2" xfId="17804"/>
    <cellStyle name="Comma 5 2 7 2 5 3" xfId="14952"/>
    <cellStyle name="Comma 5 2 7 2 6" xfId="2733"/>
    <cellStyle name="Comma 5 2 7 2 6 2" xfId="14381"/>
    <cellStyle name="Comma 5 2 7 2 7" xfId="10694"/>
    <cellStyle name="Comma 5 2 7 2 7 2" xfId="17233"/>
    <cellStyle name="Comma 5 2 7 2 8" xfId="13812"/>
    <cellStyle name="Comma 5 2 7 3" xfId="3974"/>
    <cellStyle name="Comma 5 2 7 3 2" xfId="11551"/>
    <cellStyle name="Comma 5 2 7 3 2 2" xfId="18090"/>
    <cellStyle name="Comma 5 2 7 3 3" xfId="15238"/>
    <cellStyle name="Comma 5 2 7 4" xfId="6246"/>
    <cellStyle name="Comma 5 2 7 4 2" xfId="12122"/>
    <cellStyle name="Comma 5 2 7 4 2 2" xfId="18661"/>
    <cellStyle name="Comma 5 2 7 4 3" xfId="15809"/>
    <cellStyle name="Comma 5 2 7 5" xfId="8518"/>
    <cellStyle name="Comma 5 2 7 5 2" xfId="12693"/>
    <cellStyle name="Comma 5 2 7 5 2 2" xfId="19232"/>
    <cellStyle name="Comma 5 2 7 5 3" xfId="16380"/>
    <cellStyle name="Comma 5 2 7 6" xfId="3023"/>
    <cellStyle name="Comma 5 2 7 6 2" xfId="10980"/>
    <cellStyle name="Comma 5 2 7 6 2 2" xfId="17519"/>
    <cellStyle name="Comma 5 2 7 6 3" xfId="14667"/>
    <cellStyle name="Comma 5 2 7 7" xfId="2453"/>
    <cellStyle name="Comma 5 2 7 7 2" xfId="14101"/>
    <cellStyle name="Comma 5 2 7 8" xfId="10414"/>
    <cellStyle name="Comma 5 2 7 8 2" xfId="16953"/>
    <cellStyle name="Comma 5 2 7 9" xfId="13527"/>
    <cellStyle name="Comma 5 2 8" xfId="1235"/>
    <cellStyle name="Comma 5 2 8 2" xfId="4655"/>
    <cellStyle name="Comma 5 2 8 2 2" xfId="11722"/>
    <cellStyle name="Comma 5 2 8 2 2 2" xfId="18261"/>
    <cellStyle name="Comma 5 2 8 2 3" xfId="15409"/>
    <cellStyle name="Comma 5 2 8 3" xfId="6927"/>
    <cellStyle name="Comma 5 2 8 3 2" xfId="12293"/>
    <cellStyle name="Comma 5 2 8 3 2 2" xfId="18832"/>
    <cellStyle name="Comma 5 2 8 3 3" xfId="15980"/>
    <cellStyle name="Comma 5 2 8 4" xfId="9199"/>
    <cellStyle name="Comma 5 2 8 4 2" xfId="12864"/>
    <cellStyle name="Comma 5 2 8 4 2 2" xfId="19403"/>
    <cellStyle name="Comma 5 2 8 4 3" xfId="16551"/>
    <cellStyle name="Comma 5 2 8 5" xfId="3194"/>
    <cellStyle name="Comma 5 2 8 5 2" xfId="11151"/>
    <cellStyle name="Comma 5 2 8 5 2 2" xfId="17690"/>
    <cellStyle name="Comma 5 2 8 5 3" xfId="14838"/>
    <cellStyle name="Comma 5 2 8 6" xfId="2621"/>
    <cellStyle name="Comma 5 2 8 6 2" xfId="14269"/>
    <cellStyle name="Comma 5 2 8 7" xfId="10582"/>
    <cellStyle name="Comma 5 2 8 7 2" xfId="17121"/>
    <cellStyle name="Comma 5 2 8 8" xfId="13698"/>
    <cellStyle name="Comma 5 2 9" xfId="3520"/>
    <cellStyle name="Comma 5 2 9 2" xfId="11437"/>
    <cellStyle name="Comma 5 2 9 2 2" xfId="17976"/>
    <cellStyle name="Comma 5 2 9 3" xfId="15124"/>
    <cellStyle name="Comma 5 20" xfId="19850"/>
    <cellStyle name="Comma 5 21" xfId="19887"/>
    <cellStyle name="Comma 5 3" xfId="173"/>
    <cellStyle name="Comma 5 3 10" xfId="2361"/>
    <cellStyle name="Comma 5 3 10 2" xfId="14009"/>
    <cellStyle name="Comma 5 3 11" xfId="10322"/>
    <cellStyle name="Comma 5 3 11 2" xfId="16861"/>
    <cellStyle name="Comma 5 3 12" xfId="13433"/>
    <cellStyle name="Comma 5 3 13" xfId="20094"/>
    <cellStyle name="Comma 5 3 2" xfId="411"/>
    <cellStyle name="Comma 5 3 2 10" xfId="13491"/>
    <cellStyle name="Comma 5 3 2 11" xfId="20258"/>
    <cellStyle name="Comma 5 3 2 2" xfId="865"/>
    <cellStyle name="Comma 5 3 2 2 2" xfId="2000"/>
    <cellStyle name="Comma 5 3 2 2 2 2" xfId="5420"/>
    <cellStyle name="Comma 5 3 2 2 2 2 2" xfId="11914"/>
    <cellStyle name="Comma 5 3 2 2 2 2 2 2" xfId="18453"/>
    <cellStyle name="Comma 5 3 2 2 2 2 3" xfId="15601"/>
    <cellStyle name="Comma 5 3 2 2 2 3" xfId="7692"/>
    <cellStyle name="Comma 5 3 2 2 2 3 2" xfId="12485"/>
    <cellStyle name="Comma 5 3 2 2 2 3 2 2" xfId="19024"/>
    <cellStyle name="Comma 5 3 2 2 2 3 3" xfId="16172"/>
    <cellStyle name="Comma 5 3 2 2 2 4" xfId="9964"/>
    <cellStyle name="Comma 5 3 2 2 2 4 2" xfId="13056"/>
    <cellStyle name="Comma 5 3 2 2 2 4 2 2" xfId="19595"/>
    <cellStyle name="Comma 5 3 2 2 2 4 3" xfId="16743"/>
    <cellStyle name="Comma 5 3 2 2 2 5" xfId="3386"/>
    <cellStyle name="Comma 5 3 2 2 2 5 2" xfId="11343"/>
    <cellStyle name="Comma 5 3 2 2 2 5 2 2" xfId="17882"/>
    <cellStyle name="Comma 5 3 2 2 2 5 3" xfId="15030"/>
    <cellStyle name="Comma 5 3 2 2 2 6" xfId="2810"/>
    <cellStyle name="Comma 5 3 2 2 2 6 2" xfId="14458"/>
    <cellStyle name="Comma 5 3 2 2 2 7" xfId="10771"/>
    <cellStyle name="Comma 5 3 2 2 2 7 2" xfId="17310"/>
    <cellStyle name="Comma 5 3 2 2 2 8" xfId="13890"/>
    <cellStyle name="Comma 5 3 2 2 3" xfId="4285"/>
    <cellStyle name="Comma 5 3 2 2 3 2" xfId="11629"/>
    <cellStyle name="Comma 5 3 2 2 3 2 2" xfId="18168"/>
    <cellStyle name="Comma 5 3 2 2 3 3" xfId="15316"/>
    <cellStyle name="Comma 5 3 2 2 4" xfId="6557"/>
    <cellStyle name="Comma 5 3 2 2 4 2" xfId="12200"/>
    <cellStyle name="Comma 5 3 2 2 4 2 2" xfId="18739"/>
    <cellStyle name="Comma 5 3 2 2 4 3" xfId="15887"/>
    <cellStyle name="Comma 5 3 2 2 5" xfId="8829"/>
    <cellStyle name="Comma 5 3 2 2 5 2" xfId="12771"/>
    <cellStyle name="Comma 5 3 2 2 5 2 2" xfId="19310"/>
    <cellStyle name="Comma 5 3 2 2 5 3" xfId="16458"/>
    <cellStyle name="Comma 5 3 2 2 6" xfId="3101"/>
    <cellStyle name="Comma 5 3 2 2 6 2" xfId="11058"/>
    <cellStyle name="Comma 5 3 2 2 6 2 2" xfId="17597"/>
    <cellStyle name="Comma 5 3 2 2 6 3" xfId="14745"/>
    <cellStyle name="Comma 5 3 2 2 7" xfId="2530"/>
    <cellStyle name="Comma 5 3 2 2 7 2" xfId="14178"/>
    <cellStyle name="Comma 5 3 2 2 8" xfId="10491"/>
    <cellStyle name="Comma 5 3 2 2 8 2" xfId="17030"/>
    <cellStyle name="Comma 5 3 2 2 9" xfId="13605"/>
    <cellStyle name="Comma 5 3 2 3" xfId="1546"/>
    <cellStyle name="Comma 5 3 2 3 2" xfId="4966"/>
    <cellStyle name="Comma 5 3 2 3 2 2" xfId="11800"/>
    <cellStyle name="Comma 5 3 2 3 2 2 2" xfId="18339"/>
    <cellStyle name="Comma 5 3 2 3 2 3" xfId="15487"/>
    <cellStyle name="Comma 5 3 2 3 3" xfId="7238"/>
    <cellStyle name="Comma 5 3 2 3 3 2" xfId="12371"/>
    <cellStyle name="Comma 5 3 2 3 3 2 2" xfId="18910"/>
    <cellStyle name="Comma 5 3 2 3 3 3" xfId="16058"/>
    <cellStyle name="Comma 5 3 2 3 4" xfId="9510"/>
    <cellStyle name="Comma 5 3 2 3 4 2" xfId="12942"/>
    <cellStyle name="Comma 5 3 2 3 4 2 2" xfId="19481"/>
    <cellStyle name="Comma 5 3 2 3 4 3" xfId="16629"/>
    <cellStyle name="Comma 5 3 2 3 5" xfId="3272"/>
    <cellStyle name="Comma 5 3 2 3 5 2" xfId="11229"/>
    <cellStyle name="Comma 5 3 2 3 5 2 2" xfId="17768"/>
    <cellStyle name="Comma 5 3 2 3 5 3" xfId="14916"/>
    <cellStyle name="Comma 5 3 2 3 6" xfId="2698"/>
    <cellStyle name="Comma 5 3 2 3 6 2" xfId="14346"/>
    <cellStyle name="Comma 5 3 2 3 7" xfId="10659"/>
    <cellStyle name="Comma 5 3 2 3 7 2" xfId="17198"/>
    <cellStyle name="Comma 5 3 2 3 8" xfId="13776"/>
    <cellStyle name="Comma 5 3 2 4" xfId="3831"/>
    <cellStyle name="Comma 5 3 2 4 2" xfId="11515"/>
    <cellStyle name="Comma 5 3 2 4 2 2" xfId="18054"/>
    <cellStyle name="Comma 5 3 2 4 3" xfId="15202"/>
    <cellStyle name="Comma 5 3 2 5" xfId="6103"/>
    <cellStyle name="Comma 5 3 2 5 2" xfId="12086"/>
    <cellStyle name="Comma 5 3 2 5 2 2" xfId="18625"/>
    <cellStyle name="Comma 5 3 2 5 3" xfId="15773"/>
    <cellStyle name="Comma 5 3 2 6" xfId="8375"/>
    <cellStyle name="Comma 5 3 2 6 2" xfId="12657"/>
    <cellStyle name="Comma 5 3 2 6 2 2" xfId="19196"/>
    <cellStyle name="Comma 5 3 2 6 3" xfId="16344"/>
    <cellStyle name="Comma 5 3 2 7" xfId="2987"/>
    <cellStyle name="Comma 5 3 2 7 2" xfId="10944"/>
    <cellStyle name="Comma 5 3 2 7 2 2" xfId="17483"/>
    <cellStyle name="Comma 5 3 2 7 3" xfId="14631"/>
    <cellStyle name="Comma 5 3 2 8" xfId="2418"/>
    <cellStyle name="Comma 5 3 2 8 2" xfId="14066"/>
    <cellStyle name="Comma 5 3 2 9" xfId="10379"/>
    <cellStyle name="Comma 5 3 2 9 2" xfId="16918"/>
    <cellStyle name="Comma 5 3 3" xfId="1092"/>
    <cellStyle name="Comma 5 3 3 10" xfId="20331"/>
    <cellStyle name="Comma 5 3 3 2" xfId="2227"/>
    <cellStyle name="Comma 5 3 3 2 2" xfId="5647"/>
    <cellStyle name="Comma 5 3 3 2 2 2" xfId="11971"/>
    <cellStyle name="Comma 5 3 3 2 2 2 2" xfId="18510"/>
    <cellStyle name="Comma 5 3 3 2 2 3" xfId="15658"/>
    <cellStyle name="Comma 5 3 3 2 3" xfId="7919"/>
    <cellStyle name="Comma 5 3 3 2 3 2" xfId="12542"/>
    <cellStyle name="Comma 5 3 3 2 3 2 2" xfId="19081"/>
    <cellStyle name="Comma 5 3 3 2 3 3" xfId="16229"/>
    <cellStyle name="Comma 5 3 3 2 4" xfId="10191"/>
    <cellStyle name="Comma 5 3 3 2 4 2" xfId="13113"/>
    <cellStyle name="Comma 5 3 3 2 4 2 2" xfId="19652"/>
    <cellStyle name="Comma 5 3 3 2 4 3" xfId="16800"/>
    <cellStyle name="Comma 5 3 3 2 5" xfId="3443"/>
    <cellStyle name="Comma 5 3 3 2 5 2" xfId="11400"/>
    <cellStyle name="Comma 5 3 3 2 5 2 2" xfId="17939"/>
    <cellStyle name="Comma 5 3 3 2 5 3" xfId="15087"/>
    <cellStyle name="Comma 5 3 3 2 6" xfId="2866"/>
    <cellStyle name="Comma 5 3 3 2 6 2" xfId="14514"/>
    <cellStyle name="Comma 5 3 3 2 7" xfId="10827"/>
    <cellStyle name="Comma 5 3 3 2 7 2" xfId="17366"/>
    <cellStyle name="Comma 5 3 3 2 8" xfId="13947"/>
    <cellStyle name="Comma 5 3 3 3" xfId="4512"/>
    <cellStyle name="Comma 5 3 3 3 2" xfId="11686"/>
    <cellStyle name="Comma 5 3 3 3 2 2" xfId="18225"/>
    <cellStyle name="Comma 5 3 3 3 3" xfId="15373"/>
    <cellStyle name="Comma 5 3 3 4" xfId="6784"/>
    <cellStyle name="Comma 5 3 3 4 2" xfId="12257"/>
    <cellStyle name="Comma 5 3 3 4 2 2" xfId="18796"/>
    <cellStyle name="Comma 5 3 3 4 3" xfId="15944"/>
    <cellStyle name="Comma 5 3 3 5" xfId="9056"/>
    <cellStyle name="Comma 5 3 3 5 2" xfId="12828"/>
    <cellStyle name="Comma 5 3 3 5 2 2" xfId="19367"/>
    <cellStyle name="Comma 5 3 3 5 3" xfId="16515"/>
    <cellStyle name="Comma 5 3 3 6" xfId="3158"/>
    <cellStyle name="Comma 5 3 3 6 2" xfId="11115"/>
    <cellStyle name="Comma 5 3 3 6 2 2" xfId="17654"/>
    <cellStyle name="Comma 5 3 3 6 3" xfId="14802"/>
    <cellStyle name="Comma 5 3 3 7" xfId="2586"/>
    <cellStyle name="Comma 5 3 3 7 2" xfId="14234"/>
    <cellStyle name="Comma 5 3 3 8" xfId="10547"/>
    <cellStyle name="Comma 5 3 3 8 2" xfId="17086"/>
    <cellStyle name="Comma 5 3 3 9" xfId="13662"/>
    <cellStyle name="Comma 5 3 4" xfId="638"/>
    <cellStyle name="Comma 5 3 4 2" xfId="1773"/>
    <cellStyle name="Comma 5 3 4 2 2" xfId="5193"/>
    <cellStyle name="Comma 5 3 4 2 2 2" xfId="11857"/>
    <cellStyle name="Comma 5 3 4 2 2 2 2" xfId="18396"/>
    <cellStyle name="Comma 5 3 4 2 2 3" xfId="15544"/>
    <cellStyle name="Comma 5 3 4 2 3" xfId="7465"/>
    <cellStyle name="Comma 5 3 4 2 3 2" xfId="12428"/>
    <cellStyle name="Comma 5 3 4 2 3 2 2" xfId="18967"/>
    <cellStyle name="Comma 5 3 4 2 3 3" xfId="16115"/>
    <cellStyle name="Comma 5 3 4 2 4" xfId="9737"/>
    <cellStyle name="Comma 5 3 4 2 4 2" xfId="12999"/>
    <cellStyle name="Comma 5 3 4 2 4 2 2" xfId="19538"/>
    <cellStyle name="Comma 5 3 4 2 4 3" xfId="16686"/>
    <cellStyle name="Comma 5 3 4 2 5" xfId="3329"/>
    <cellStyle name="Comma 5 3 4 2 5 2" xfId="11286"/>
    <cellStyle name="Comma 5 3 4 2 5 2 2" xfId="17825"/>
    <cellStyle name="Comma 5 3 4 2 5 3" xfId="14973"/>
    <cellStyle name="Comma 5 3 4 2 6" xfId="2754"/>
    <cellStyle name="Comma 5 3 4 2 6 2" xfId="14402"/>
    <cellStyle name="Comma 5 3 4 2 7" xfId="10715"/>
    <cellStyle name="Comma 5 3 4 2 7 2" xfId="17254"/>
    <cellStyle name="Comma 5 3 4 2 8" xfId="13833"/>
    <cellStyle name="Comma 5 3 4 3" xfId="4058"/>
    <cellStyle name="Comma 5 3 4 3 2" xfId="11572"/>
    <cellStyle name="Comma 5 3 4 3 2 2" xfId="18111"/>
    <cellStyle name="Comma 5 3 4 3 3" xfId="15259"/>
    <cellStyle name="Comma 5 3 4 4" xfId="6330"/>
    <cellStyle name="Comma 5 3 4 4 2" xfId="12143"/>
    <cellStyle name="Comma 5 3 4 4 2 2" xfId="18682"/>
    <cellStyle name="Comma 5 3 4 4 3" xfId="15830"/>
    <cellStyle name="Comma 5 3 4 5" xfId="8602"/>
    <cellStyle name="Comma 5 3 4 5 2" xfId="12714"/>
    <cellStyle name="Comma 5 3 4 5 2 2" xfId="19253"/>
    <cellStyle name="Comma 5 3 4 5 3" xfId="16401"/>
    <cellStyle name="Comma 5 3 4 6" xfId="3044"/>
    <cellStyle name="Comma 5 3 4 6 2" xfId="11001"/>
    <cellStyle name="Comma 5 3 4 6 2 2" xfId="17540"/>
    <cellStyle name="Comma 5 3 4 6 3" xfId="14688"/>
    <cellStyle name="Comma 5 3 4 7" xfId="2474"/>
    <cellStyle name="Comma 5 3 4 7 2" xfId="14122"/>
    <cellStyle name="Comma 5 3 4 8" xfId="10435"/>
    <cellStyle name="Comma 5 3 4 8 2" xfId="16974"/>
    <cellStyle name="Comma 5 3 4 9" xfId="13548"/>
    <cellStyle name="Comma 5 3 5" xfId="1319"/>
    <cellStyle name="Comma 5 3 5 2" xfId="4739"/>
    <cellStyle name="Comma 5 3 5 2 2" xfId="11743"/>
    <cellStyle name="Comma 5 3 5 2 2 2" xfId="18282"/>
    <cellStyle name="Comma 5 3 5 2 3" xfId="15430"/>
    <cellStyle name="Comma 5 3 5 3" xfId="7011"/>
    <cellStyle name="Comma 5 3 5 3 2" xfId="12314"/>
    <cellStyle name="Comma 5 3 5 3 2 2" xfId="18853"/>
    <cellStyle name="Comma 5 3 5 3 3" xfId="16001"/>
    <cellStyle name="Comma 5 3 5 4" xfId="9283"/>
    <cellStyle name="Comma 5 3 5 4 2" xfId="12885"/>
    <cellStyle name="Comma 5 3 5 4 2 2" xfId="19424"/>
    <cellStyle name="Comma 5 3 5 4 3" xfId="16572"/>
    <cellStyle name="Comma 5 3 5 5" xfId="3215"/>
    <cellStyle name="Comma 5 3 5 5 2" xfId="11172"/>
    <cellStyle name="Comma 5 3 5 5 2 2" xfId="17711"/>
    <cellStyle name="Comma 5 3 5 5 3" xfId="14859"/>
    <cellStyle name="Comma 5 3 5 6" xfId="2642"/>
    <cellStyle name="Comma 5 3 5 6 2" xfId="14290"/>
    <cellStyle name="Comma 5 3 5 7" xfId="10603"/>
    <cellStyle name="Comma 5 3 5 7 2" xfId="17142"/>
    <cellStyle name="Comma 5 3 5 8" xfId="13719"/>
    <cellStyle name="Comma 5 3 6" xfId="3604"/>
    <cellStyle name="Comma 5 3 6 2" xfId="11458"/>
    <cellStyle name="Comma 5 3 6 2 2" xfId="17997"/>
    <cellStyle name="Comma 5 3 6 3" xfId="15145"/>
    <cellStyle name="Comma 5 3 7" xfId="5876"/>
    <cellStyle name="Comma 5 3 7 2" xfId="12029"/>
    <cellStyle name="Comma 5 3 7 2 2" xfId="18568"/>
    <cellStyle name="Comma 5 3 7 3" xfId="15716"/>
    <cellStyle name="Comma 5 3 8" xfId="8148"/>
    <cellStyle name="Comma 5 3 8 2" xfId="12600"/>
    <cellStyle name="Comma 5 3 8 2 2" xfId="19139"/>
    <cellStyle name="Comma 5 3 8 3" xfId="16287"/>
    <cellStyle name="Comma 5 3 9" xfId="2927"/>
    <cellStyle name="Comma 5 3 9 2" xfId="10886"/>
    <cellStyle name="Comma 5 3 9 2 2" xfId="17425"/>
    <cellStyle name="Comma 5 3 9 3" xfId="14573"/>
    <cellStyle name="Comma 5 4" xfId="117"/>
    <cellStyle name="Comma 5 4 10" xfId="2347"/>
    <cellStyle name="Comma 5 4 10 2" xfId="13995"/>
    <cellStyle name="Comma 5 4 11" xfId="10308"/>
    <cellStyle name="Comma 5 4 11 2" xfId="16847"/>
    <cellStyle name="Comma 5 4 12" xfId="13419"/>
    <cellStyle name="Comma 5 4 2" xfId="355"/>
    <cellStyle name="Comma 5 4 2 10" xfId="13477"/>
    <cellStyle name="Comma 5 4 2 2" xfId="809"/>
    <cellStyle name="Comma 5 4 2 2 2" xfId="1944"/>
    <cellStyle name="Comma 5 4 2 2 2 2" xfId="5364"/>
    <cellStyle name="Comma 5 4 2 2 2 2 2" xfId="11900"/>
    <cellStyle name="Comma 5 4 2 2 2 2 2 2" xfId="18439"/>
    <cellStyle name="Comma 5 4 2 2 2 2 3" xfId="15587"/>
    <cellStyle name="Comma 5 4 2 2 2 3" xfId="7636"/>
    <cellStyle name="Comma 5 4 2 2 2 3 2" xfId="12471"/>
    <cellStyle name="Comma 5 4 2 2 2 3 2 2" xfId="19010"/>
    <cellStyle name="Comma 5 4 2 2 2 3 3" xfId="16158"/>
    <cellStyle name="Comma 5 4 2 2 2 4" xfId="9908"/>
    <cellStyle name="Comma 5 4 2 2 2 4 2" xfId="13042"/>
    <cellStyle name="Comma 5 4 2 2 2 4 2 2" xfId="19581"/>
    <cellStyle name="Comma 5 4 2 2 2 4 3" xfId="16729"/>
    <cellStyle name="Comma 5 4 2 2 2 5" xfId="3372"/>
    <cellStyle name="Comma 5 4 2 2 2 5 2" xfId="11329"/>
    <cellStyle name="Comma 5 4 2 2 2 5 2 2" xfId="17868"/>
    <cellStyle name="Comma 5 4 2 2 2 5 3" xfId="15016"/>
    <cellStyle name="Comma 5 4 2 2 2 6" xfId="2796"/>
    <cellStyle name="Comma 5 4 2 2 2 6 2" xfId="14444"/>
    <cellStyle name="Comma 5 4 2 2 2 7" xfId="10757"/>
    <cellStyle name="Comma 5 4 2 2 2 7 2" xfId="17296"/>
    <cellStyle name="Comma 5 4 2 2 2 8" xfId="13876"/>
    <cellStyle name="Comma 5 4 2 2 3" xfId="4229"/>
    <cellStyle name="Comma 5 4 2 2 3 2" xfId="11615"/>
    <cellStyle name="Comma 5 4 2 2 3 2 2" xfId="18154"/>
    <cellStyle name="Comma 5 4 2 2 3 3" xfId="15302"/>
    <cellStyle name="Comma 5 4 2 2 4" xfId="6501"/>
    <cellStyle name="Comma 5 4 2 2 4 2" xfId="12186"/>
    <cellStyle name="Comma 5 4 2 2 4 2 2" xfId="18725"/>
    <cellStyle name="Comma 5 4 2 2 4 3" xfId="15873"/>
    <cellStyle name="Comma 5 4 2 2 5" xfId="8773"/>
    <cellStyle name="Comma 5 4 2 2 5 2" xfId="12757"/>
    <cellStyle name="Comma 5 4 2 2 5 2 2" xfId="19296"/>
    <cellStyle name="Comma 5 4 2 2 5 3" xfId="16444"/>
    <cellStyle name="Comma 5 4 2 2 6" xfId="3087"/>
    <cellStyle name="Comma 5 4 2 2 6 2" xfId="11044"/>
    <cellStyle name="Comma 5 4 2 2 6 2 2" xfId="17583"/>
    <cellStyle name="Comma 5 4 2 2 6 3" xfId="14731"/>
    <cellStyle name="Comma 5 4 2 2 7" xfId="2516"/>
    <cellStyle name="Comma 5 4 2 2 7 2" xfId="14164"/>
    <cellStyle name="Comma 5 4 2 2 8" xfId="10477"/>
    <cellStyle name="Comma 5 4 2 2 8 2" xfId="17016"/>
    <cellStyle name="Comma 5 4 2 2 9" xfId="13591"/>
    <cellStyle name="Comma 5 4 2 3" xfId="1490"/>
    <cellStyle name="Comma 5 4 2 3 2" xfId="4910"/>
    <cellStyle name="Comma 5 4 2 3 2 2" xfId="11786"/>
    <cellStyle name="Comma 5 4 2 3 2 2 2" xfId="18325"/>
    <cellStyle name="Comma 5 4 2 3 2 3" xfId="15473"/>
    <cellStyle name="Comma 5 4 2 3 3" xfId="7182"/>
    <cellStyle name="Comma 5 4 2 3 3 2" xfId="12357"/>
    <cellStyle name="Comma 5 4 2 3 3 2 2" xfId="18896"/>
    <cellStyle name="Comma 5 4 2 3 3 3" xfId="16044"/>
    <cellStyle name="Comma 5 4 2 3 4" xfId="9454"/>
    <cellStyle name="Comma 5 4 2 3 4 2" xfId="12928"/>
    <cellStyle name="Comma 5 4 2 3 4 2 2" xfId="19467"/>
    <cellStyle name="Comma 5 4 2 3 4 3" xfId="16615"/>
    <cellStyle name="Comma 5 4 2 3 5" xfId="3258"/>
    <cellStyle name="Comma 5 4 2 3 5 2" xfId="11215"/>
    <cellStyle name="Comma 5 4 2 3 5 2 2" xfId="17754"/>
    <cellStyle name="Comma 5 4 2 3 5 3" xfId="14902"/>
    <cellStyle name="Comma 5 4 2 3 6" xfId="2684"/>
    <cellStyle name="Comma 5 4 2 3 6 2" xfId="14332"/>
    <cellStyle name="Comma 5 4 2 3 7" xfId="10645"/>
    <cellStyle name="Comma 5 4 2 3 7 2" xfId="17184"/>
    <cellStyle name="Comma 5 4 2 3 8" xfId="13762"/>
    <cellStyle name="Comma 5 4 2 4" xfId="3775"/>
    <cellStyle name="Comma 5 4 2 4 2" xfId="11501"/>
    <cellStyle name="Comma 5 4 2 4 2 2" xfId="18040"/>
    <cellStyle name="Comma 5 4 2 4 3" xfId="15188"/>
    <cellStyle name="Comma 5 4 2 5" xfId="6047"/>
    <cellStyle name="Comma 5 4 2 5 2" xfId="12072"/>
    <cellStyle name="Comma 5 4 2 5 2 2" xfId="18611"/>
    <cellStyle name="Comma 5 4 2 5 3" xfId="15759"/>
    <cellStyle name="Comma 5 4 2 6" xfId="8319"/>
    <cellStyle name="Comma 5 4 2 6 2" xfId="12643"/>
    <cellStyle name="Comma 5 4 2 6 2 2" xfId="19182"/>
    <cellStyle name="Comma 5 4 2 6 3" xfId="16330"/>
    <cellStyle name="Comma 5 4 2 7" xfId="2973"/>
    <cellStyle name="Comma 5 4 2 7 2" xfId="10930"/>
    <cellStyle name="Comma 5 4 2 7 2 2" xfId="17469"/>
    <cellStyle name="Comma 5 4 2 7 3" xfId="14617"/>
    <cellStyle name="Comma 5 4 2 8" xfId="2404"/>
    <cellStyle name="Comma 5 4 2 8 2" xfId="14052"/>
    <cellStyle name="Comma 5 4 2 9" xfId="10365"/>
    <cellStyle name="Comma 5 4 2 9 2" xfId="16904"/>
    <cellStyle name="Comma 5 4 3" xfId="1036"/>
    <cellStyle name="Comma 5 4 3 2" xfId="2171"/>
    <cellStyle name="Comma 5 4 3 2 2" xfId="5591"/>
    <cellStyle name="Comma 5 4 3 2 2 2" xfId="11957"/>
    <cellStyle name="Comma 5 4 3 2 2 2 2" xfId="18496"/>
    <cellStyle name="Comma 5 4 3 2 2 3" xfId="15644"/>
    <cellStyle name="Comma 5 4 3 2 3" xfId="7863"/>
    <cellStyle name="Comma 5 4 3 2 3 2" xfId="12528"/>
    <cellStyle name="Comma 5 4 3 2 3 2 2" xfId="19067"/>
    <cellStyle name="Comma 5 4 3 2 3 3" xfId="16215"/>
    <cellStyle name="Comma 5 4 3 2 4" xfId="10135"/>
    <cellStyle name="Comma 5 4 3 2 4 2" xfId="13099"/>
    <cellStyle name="Comma 5 4 3 2 4 2 2" xfId="19638"/>
    <cellStyle name="Comma 5 4 3 2 4 3" xfId="16786"/>
    <cellStyle name="Comma 5 4 3 2 5" xfId="3429"/>
    <cellStyle name="Comma 5 4 3 2 5 2" xfId="11386"/>
    <cellStyle name="Comma 5 4 3 2 5 2 2" xfId="17925"/>
    <cellStyle name="Comma 5 4 3 2 5 3" xfId="15073"/>
    <cellStyle name="Comma 5 4 3 2 6" xfId="2852"/>
    <cellStyle name="Comma 5 4 3 2 6 2" xfId="14500"/>
    <cellStyle name="Comma 5 4 3 2 7" xfId="10813"/>
    <cellStyle name="Comma 5 4 3 2 7 2" xfId="17352"/>
    <cellStyle name="Comma 5 4 3 2 8" xfId="13933"/>
    <cellStyle name="Comma 5 4 3 3" xfId="4456"/>
    <cellStyle name="Comma 5 4 3 3 2" xfId="11672"/>
    <cellStyle name="Comma 5 4 3 3 2 2" xfId="18211"/>
    <cellStyle name="Comma 5 4 3 3 3" xfId="15359"/>
    <cellStyle name="Comma 5 4 3 4" xfId="6728"/>
    <cellStyle name="Comma 5 4 3 4 2" xfId="12243"/>
    <cellStyle name="Comma 5 4 3 4 2 2" xfId="18782"/>
    <cellStyle name="Comma 5 4 3 4 3" xfId="15930"/>
    <cellStyle name="Comma 5 4 3 5" xfId="9000"/>
    <cellStyle name="Comma 5 4 3 5 2" xfId="12814"/>
    <cellStyle name="Comma 5 4 3 5 2 2" xfId="19353"/>
    <cellStyle name="Comma 5 4 3 5 3" xfId="16501"/>
    <cellStyle name="Comma 5 4 3 6" xfId="3144"/>
    <cellStyle name="Comma 5 4 3 6 2" xfId="11101"/>
    <cellStyle name="Comma 5 4 3 6 2 2" xfId="17640"/>
    <cellStyle name="Comma 5 4 3 6 3" xfId="14788"/>
    <cellStyle name="Comma 5 4 3 7" xfId="2572"/>
    <cellStyle name="Comma 5 4 3 7 2" xfId="14220"/>
    <cellStyle name="Comma 5 4 3 8" xfId="10533"/>
    <cellStyle name="Comma 5 4 3 8 2" xfId="17072"/>
    <cellStyle name="Comma 5 4 3 9" xfId="13648"/>
    <cellStyle name="Comma 5 4 4" xfId="582"/>
    <cellStyle name="Comma 5 4 4 2" xfId="1717"/>
    <cellStyle name="Comma 5 4 4 2 2" xfId="5137"/>
    <cellStyle name="Comma 5 4 4 2 2 2" xfId="11843"/>
    <cellStyle name="Comma 5 4 4 2 2 2 2" xfId="18382"/>
    <cellStyle name="Comma 5 4 4 2 2 3" xfId="15530"/>
    <cellStyle name="Comma 5 4 4 2 3" xfId="7409"/>
    <cellStyle name="Comma 5 4 4 2 3 2" xfId="12414"/>
    <cellStyle name="Comma 5 4 4 2 3 2 2" xfId="18953"/>
    <cellStyle name="Comma 5 4 4 2 3 3" xfId="16101"/>
    <cellStyle name="Comma 5 4 4 2 4" xfId="9681"/>
    <cellStyle name="Comma 5 4 4 2 4 2" xfId="12985"/>
    <cellStyle name="Comma 5 4 4 2 4 2 2" xfId="19524"/>
    <cellStyle name="Comma 5 4 4 2 4 3" xfId="16672"/>
    <cellStyle name="Comma 5 4 4 2 5" xfId="3315"/>
    <cellStyle name="Comma 5 4 4 2 5 2" xfId="11272"/>
    <cellStyle name="Comma 5 4 4 2 5 2 2" xfId="17811"/>
    <cellStyle name="Comma 5 4 4 2 5 3" xfId="14959"/>
    <cellStyle name="Comma 5 4 4 2 6" xfId="2740"/>
    <cellStyle name="Comma 5 4 4 2 6 2" xfId="14388"/>
    <cellStyle name="Comma 5 4 4 2 7" xfId="10701"/>
    <cellStyle name="Comma 5 4 4 2 7 2" xfId="17240"/>
    <cellStyle name="Comma 5 4 4 2 8" xfId="13819"/>
    <cellStyle name="Comma 5 4 4 3" xfId="4002"/>
    <cellStyle name="Comma 5 4 4 3 2" xfId="11558"/>
    <cellStyle name="Comma 5 4 4 3 2 2" xfId="18097"/>
    <cellStyle name="Comma 5 4 4 3 3" xfId="15245"/>
    <cellStyle name="Comma 5 4 4 4" xfId="6274"/>
    <cellStyle name="Comma 5 4 4 4 2" xfId="12129"/>
    <cellStyle name="Comma 5 4 4 4 2 2" xfId="18668"/>
    <cellStyle name="Comma 5 4 4 4 3" xfId="15816"/>
    <cellStyle name="Comma 5 4 4 5" xfId="8546"/>
    <cellStyle name="Comma 5 4 4 5 2" xfId="12700"/>
    <cellStyle name="Comma 5 4 4 5 2 2" xfId="19239"/>
    <cellStyle name="Comma 5 4 4 5 3" xfId="16387"/>
    <cellStyle name="Comma 5 4 4 6" xfId="3030"/>
    <cellStyle name="Comma 5 4 4 6 2" xfId="10987"/>
    <cellStyle name="Comma 5 4 4 6 2 2" xfId="17526"/>
    <cellStyle name="Comma 5 4 4 6 3" xfId="14674"/>
    <cellStyle name="Comma 5 4 4 7" xfId="2460"/>
    <cellStyle name="Comma 5 4 4 7 2" xfId="14108"/>
    <cellStyle name="Comma 5 4 4 8" xfId="10421"/>
    <cellStyle name="Comma 5 4 4 8 2" xfId="16960"/>
    <cellStyle name="Comma 5 4 4 9" xfId="13534"/>
    <cellStyle name="Comma 5 4 5" xfId="1263"/>
    <cellStyle name="Comma 5 4 5 2" xfId="4683"/>
    <cellStyle name="Comma 5 4 5 2 2" xfId="11729"/>
    <cellStyle name="Comma 5 4 5 2 2 2" xfId="18268"/>
    <cellStyle name="Comma 5 4 5 2 3" xfId="15416"/>
    <cellStyle name="Comma 5 4 5 3" xfId="6955"/>
    <cellStyle name="Comma 5 4 5 3 2" xfId="12300"/>
    <cellStyle name="Comma 5 4 5 3 2 2" xfId="18839"/>
    <cellStyle name="Comma 5 4 5 3 3" xfId="15987"/>
    <cellStyle name="Comma 5 4 5 4" xfId="9227"/>
    <cellStyle name="Comma 5 4 5 4 2" xfId="12871"/>
    <cellStyle name="Comma 5 4 5 4 2 2" xfId="19410"/>
    <cellStyle name="Comma 5 4 5 4 3" xfId="16558"/>
    <cellStyle name="Comma 5 4 5 5" xfId="3201"/>
    <cellStyle name="Comma 5 4 5 5 2" xfId="11158"/>
    <cellStyle name="Comma 5 4 5 5 2 2" xfId="17697"/>
    <cellStyle name="Comma 5 4 5 5 3" xfId="14845"/>
    <cellStyle name="Comma 5 4 5 6" xfId="2628"/>
    <cellStyle name="Comma 5 4 5 6 2" xfId="14276"/>
    <cellStyle name="Comma 5 4 5 7" xfId="10589"/>
    <cellStyle name="Comma 5 4 5 7 2" xfId="17128"/>
    <cellStyle name="Comma 5 4 5 8" xfId="13705"/>
    <cellStyle name="Comma 5 4 6" xfId="3548"/>
    <cellStyle name="Comma 5 4 6 2" xfId="11444"/>
    <cellStyle name="Comma 5 4 6 2 2" xfId="17983"/>
    <cellStyle name="Comma 5 4 6 3" xfId="15131"/>
    <cellStyle name="Comma 5 4 7" xfId="5820"/>
    <cellStyle name="Comma 5 4 7 2" xfId="12015"/>
    <cellStyle name="Comma 5 4 7 2 2" xfId="18554"/>
    <cellStyle name="Comma 5 4 7 3" xfId="15702"/>
    <cellStyle name="Comma 5 4 8" xfId="8092"/>
    <cellStyle name="Comma 5 4 8 2" xfId="12586"/>
    <cellStyle name="Comma 5 4 8 2 2" xfId="19125"/>
    <cellStyle name="Comma 5 4 8 3" xfId="16273"/>
    <cellStyle name="Comma 5 4 9" xfId="2913"/>
    <cellStyle name="Comma 5 4 9 2" xfId="10872"/>
    <cellStyle name="Comma 5 4 9 2 2" xfId="17411"/>
    <cellStyle name="Comma 5 4 9 3" xfId="14559"/>
    <cellStyle name="Comma 5 5" xfId="243"/>
    <cellStyle name="Comma 5 5 10" xfId="2376"/>
    <cellStyle name="Comma 5 5 10 2" xfId="14024"/>
    <cellStyle name="Comma 5 5 11" xfId="10337"/>
    <cellStyle name="Comma 5 5 11 2" xfId="16876"/>
    <cellStyle name="Comma 5 5 12" xfId="13449"/>
    <cellStyle name="Comma 5 5 2" xfId="470"/>
    <cellStyle name="Comma 5 5 2 10" xfId="13506"/>
    <cellStyle name="Comma 5 5 2 2" xfId="924"/>
    <cellStyle name="Comma 5 5 2 2 2" xfId="2059"/>
    <cellStyle name="Comma 5 5 2 2 2 2" xfId="5479"/>
    <cellStyle name="Comma 5 5 2 2 2 2 2" xfId="11929"/>
    <cellStyle name="Comma 5 5 2 2 2 2 2 2" xfId="18468"/>
    <cellStyle name="Comma 5 5 2 2 2 2 3" xfId="15616"/>
    <cellStyle name="Comma 5 5 2 2 2 3" xfId="7751"/>
    <cellStyle name="Comma 5 5 2 2 2 3 2" xfId="12500"/>
    <cellStyle name="Comma 5 5 2 2 2 3 2 2" xfId="19039"/>
    <cellStyle name="Comma 5 5 2 2 2 3 3" xfId="16187"/>
    <cellStyle name="Comma 5 5 2 2 2 4" xfId="10023"/>
    <cellStyle name="Comma 5 5 2 2 2 4 2" xfId="13071"/>
    <cellStyle name="Comma 5 5 2 2 2 4 2 2" xfId="19610"/>
    <cellStyle name="Comma 5 5 2 2 2 4 3" xfId="16758"/>
    <cellStyle name="Comma 5 5 2 2 2 5" xfId="3401"/>
    <cellStyle name="Comma 5 5 2 2 2 5 2" xfId="11358"/>
    <cellStyle name="Comma 5 5 2 2 2 5 2 2" xfId="17897"/>
    <cellStyle name="Comma 5 5 2 2 2 5 3" xfId="15045"/>
    <cellStyle name="Comma 5 5 2 2 2 6" xfId="2824"/>
    <cellStyle name="Comma 5 5 2 2 2 6 2" xfId="14472"/>
    <cellStyle name="Comma 5 5 2 2 2 7" xfId="10785"/>
    <cellStyle name="Comma 5 5 2 2 2 7 2" xfId="17324"/>
    <cellStyle name="Comma 5 5 2 2 2 8" xfId="13905"/>
    <cellStyle name="Comma 5 5 2 2 3" xfId="4344"/>
    <cellStyle name="Comma 5 5 2 2 3 2" xfId="11644"/>
    <cellStyle name="Comma 5 5 2 2 3 2 2" xfId="18183"/>
    <cellStyle name="Comma 5 5 2 2 3 3" xfId="15331"/>
    <cellStyle name="Comma 5 5 2 2 4" xfId="6616"/>
    <cellStyle name="Comma 5 5 2 2 4 2" xfId="12215"/>
    <cellStyle name="Comma 5 5 2 2 4 2 2" xfId="18754"/>
    <cellStyle name="Comma 5 5 2 2 4 3" xfId="15902"/>
    <cellStyle name="Comma 5 5 2 2 5" xfId="8888"/>
    <cellStyle name="Comma 5 5 2 2 5 2" xfId="12786"/>
    <cellStyle name="Comma 5 5 2 2 5 2 2" xfId="19325"/>
    <cellStyle name="Comma 5 5 2 2 5 3" xfId="16473"/>
    <cellStyle name="Comma 5 5 2 2 6" xfId="3116"/>
    <cellStyle name="Comma 5 5 2 2 6 2" xfId="11073"/>
    <cellStyle name="Comma 5 5 2 2 6 2 2" xfId="17612"/>
    <cellStyle name="Comma 5 5 2 2 6 3" xfId="14760"/>
    <cellStyle name="Comma 5 5 2 2 7" xfId="2544"/>
    <cellStyle name="Comma 5 5 2 2 7 2" xfId="14192"/>
    <cellStyle name="Comma 5 5 2 2 8" xfId="10505"/>
    <cellStyle name="Comma 5 5 2 2 8 2" xfId="17044"/>
    <cellStyle name="Comma 5 5 2 2 9" xfId="13620"/>
    <cellStyle name="Comma 5 5 2 3" xfId="1605"/>
    <cellStyle name="Comma 5 5 2 3 2" xfId="5025"/>
    <cellStyle name="Comma 5 5 2 3 2 2" xfId="11815"/>
    <cellStyle name="Comma 5 5 2 3 2 2 2" xfId="18354"/>
    <cellStyle name="Comma 5 5 2 3 2 3" xfId="15502"/>
    <cellStyle name="Comma 5 5 2 3 3" xfId="7297"/>
    <cellStyle name="Comma 5 5 2 3 3 2" xfId="12386"/>
    <cellStyle name="Comma 5 5 2 3 3 2 2" xfId="18925"/>
    <cellStyle name="Comma 5 5 2 3 3 3" xfId="16073"/>
    <cellStyle name="Comma 5 5 2 3 4" xfId="9569"/>
    <cellStyle name="Comma 5 5 2 3 4 2" xfId="12957"/>
    <cellStyle name="Comma 5 5 2 3 4 2 2" xfId="19496"/>
    <cellStyle name="Comma 5 5 2 3 4 3" xfId="16644"/>
    <cellStyle name="Comma 5 5 2 3 5" xfId="3287"/>
    <cellStyle name="Comma 5 5 2 3 5 2" xfId="11244"/>
    <cellStyle name="Comma 5 5 2 3 5 2 2" xfId="17783"/>
    <cellStyle name="Comma 5 5 2 3 5 3" xfId="14931"/>
    <cellStyle name="Comma 5 5 2 3 6" xfId="2712"/>
    <cellStyle name="Comma 5 5 2 3 6 2" xfId="14360"/>
    <cellStyle name="Comma 5 5 2 3 7" xfId="10673"/>
    <cellStyle name="Comma 5 5 2 3 7 2" xfId="17212"/>
    <cellStyle name="Comma 5 5 2 3 8" xfId="13791"/>
    <cellStyle name="Comma 5 5 2 4" xfId="3890"/>
    <cellStyle name="Comma 5 5 2 4 2" xfId="11530"/>
    <cellStyle name="Comma 5 5 2 4 2 2" xfId="18069"/>
    <cellStyle name="Comma 5 5 2 4 3" xfId="15217"/>
    <cellStyle name="Comma 5 5 2 5" xfId="6162"/>
    <cellStyle name="Comma 5 5 2 5 2" xfId="12101"/>
    <cellStyle name="Comma 5 5 2 5 2 2" xfId="18640"/>
    <cellStyle name="Comma 5 5 2 5 3" xfId="15788"/>
    <cellStyle name="Comma 5 5 2 6" xfId="8434"/>
    <cellStyle name="Comma 5 5 2 6 2" xfId="12672"/>
    <cellStyle name="Comma 5 5 2 6 2 2" xfId="19211"/>
    <cellStyle name="Comma 5 5 2 6 3" xfId="16359"/>
    <cellStyle name="Comma 5 5 2 7" xfId="3002"/>
    <cellStyle name="Comma 5 5 2 7 2" xfId="10959"/>
    <cellStyle name="Comma 5 5 2 7 2 2" xfId="17498"/>
    <cellStyle name="Comma 5 5 2 7 3" xfId="14646"/>
    <cellStyle name="Comma 5 5 2 8" xfId="2432"/>
    <cellStyle name="Comma 5 5 2 8 2" xfId="14080"/>
    <cellStyle name="Comma 5 5 2 9" xfId="10393"/>
    <cellStyle name="Comma 5 5 2 9 2" xfId="16932"/>
    <cellStyle name="Comma 5 5 3" xfId="1151"/>
    <cellStyle name="Comma 5 5 3 2" xfId="2286"/>
    <cellStyle name="Comma 5 5 3 2 2" xfId="5706"/>
    <cellStyle name="Comma 5 5 3 2 2 2" xfId="11986"/>
    <cellStyle name="Comma 5 5 3 2 2 2 2" xfId="18525"/>
    <cellStyle name="Comma 5 5 3 2 2 3" xfId="15673"/>
    <cellStyle name="Comma 5 5 3 2 3" xfId="7978"/>
    <cellStyle name="Comma 5 5 3 2 3 2" xfId="12557"/>
    <cellStyle name="Comma 5 5 3 2 3 2 2" xfId="19096"/>
    <cellStyle name="Comma 5 5 3 2 3 3" xfId="16244"/>
    <cellStyle name="Comma 5 5 3 2 4" xfId="10250"/>
    <cellStyle name="Comma 5 5 3 2 4 2" xfId="13128"/>
    <cellStyle name="Comma 5 5 3 2 4 2 2" xfId="19667"/>
    <cellStyle name="Comma 5 5 3 2 4 3" xfId="16815"/>
    <cellStyle name="Comma 5 5 3 2 5" xfId="3458"/>
    <cellStyle name="Comma 5 5 3 2 5 2" xfId="11415"/>
    <cellStyle name="Comma 5 5 3 2 5 2 2" xfId="17954"/>
    <cellStyle name="Comma 5 5 3 2 5 3" xfId="15102"/>
    <cellStyle name="Comma 5 5 3 2 6" xfId="2880"/>
    <cellStyle name="Comma 5 5 3 2 6 2" xfId="14528"/>
    <cellStyle name="Comma 5 5 3 2 7" xfId="10841"/>
    <cellStyle name="Comma 5 5 3 2 7 2" xfId="17380"/>
    <cellStyle name="Comma 5 5 3 2 8" xfId="13962"/>
    <cellStyle name="Comma 5 5 3 3" xfId="4571"/>
    <cellStyle name="Comma 5 5 3 3 2" xfId="11701"/>
    <cellStyle name="Comma 5 5 3 3 2 2" xfId="18240"/>
    <cellStyle name="Comma 5 5 3 3 3" xfId="15388"/>
    <cellStyle name="Comma 5 5 3 4" xfId="6843"/>
    <cellStyle name="Comma 5 5 3 4 2" xfId="12272"/>
    <cellStyle name="Comma 5 5 3 4 2 2" xfId="18811"/>
    <cellStyle name="Comma 5 5 3 4 3" xfId="15959"/>
    <cellStyle name="Comma 5 5 3 5" xfId="9115"/>
    <cellStyle name="Comma 5 5 3 5 2" xfId="12843"/>
    <cellStyle name="Comma 5 5 3 5 2 2" xfId="19382"/>
    <cellStyle name="Comma 5 5 3 5 3" xfId="16530"/>
    <cellStyle name="Comma 5 5 3 6" xfId="3173"/>
    <cellStyle name="Comma 5 5 3 6 2" xfId="11130"/>
    <cellStyle name="Comma 5 5 3 6 2 2" xfId="17669"/>
    <cellStyle name="Comma 5 5 3 6 3" xfId="14817"/>
    <cellStyle name="Comma 5 5 3 7" xfId="2600"/>
    <cellStyle name="Comma 5 5 3 7 2" xfId="14248"/>
    <cellStyle name="Comma 5 5 3 8" xfId="10561"/>
    <cellStyle name="Comma 5 5 3 8 2" xfId="17100"/>
    <cellStyle name="Comma 5 5 3 9" xfId="13677"/>
    <cellStyle name="Comma 5 5 4" xfId="697"/>
    <cellStyle name="Comma 5 5 4 2" xfId="1832"/>
    <cellStyle name="Comma 5 5 4 2 2" xfId="5252"/>
    <cellStyle name="Comma 5 5 4 2 2 2" xfId="11872"/>
    <cellStyle name="Comma 5 5 4 2 2 2 2" xfId="18411"/>
    <cellStyle name="Comma 5 5 4 2 2 3" xfId="15559"/>
    <cellStyle name="Comma 5 5 4 2 3" xfId="7524"/>
    <cellStyle name="Comma 5 5 4 2 3 2" xfId="12443"/>
    <cellStyle name="Comma 5 5 4 2 3 2 2" xfId="18982"/>
    <cellStyle name="Comma 5 5 4 2 3 3" xfId="16130"/>
    <cellStyle name="Comma 5 5 4 2 4" xfId="9796"/>
    <cellStyle name="Comma 5 5 4 2 4 2" xfId="13014"/>
    <cellStyle name="Comma 5 5 4 2 4 2 2" xfId="19553"/>
    <cellStyle name="Comma 5 5 4 2 4 3" xfId="16701"/>
    <cellStyle name="Comma 5 5 4 2 5" xfId="3344"/>
    <cellStyle name="Comma 5 5 4 2 5 2" xfId="11301"/>
    <cellStyle name="Comma 5 5 4 2 5 2 2" xfId="17840"/>
    <cellStyle name="Comma 5 5 4 2 5 3" xfId="14988"/>
    <cellStyle name="Comma 5 5 4 2 6" xfId="2768"/>
    <cellStyle name="Comma 5 5 4 2 6 2" xfId="14416"/>
    <cellStyle name="Comma 5 5 4 2 7" xfId="10729"/>
    <cellStyle name="Comma 5 5 4 2 7 2" xfId="17268"/>
    <cellStyle name="Comma 5 5 4 2 8" xfId="13848"/>
    <cellStyle name="Comma 5 5 4 3" xfId="4117"/>
    <cellStyle name="Comma 5 5 4 3 2" xfId="11587"/>
    <cellStyle name="Comma 5 5 4 3 2 2" xfId="18126"/>
    <cellStyle name="Comma 5 5 4 3 3" xfId="15274"/>
    <cellStyle name="Comma 5 5 4 4" xfId="6389"/>
    <cellStyle name="Comma 5 5 4 4 2" xfId="12158"/>
    <cellStyle name="Comma 5 5 4 4 2 2" xfId="18697"/>
    <cellStyle name="Comma 5 5 4 4 3" xfId="15845"/>
    <cellStyle name="Comma 5 5 4 5" xfId="8661"/>
    <cellStyle name="Comma 5 5 4 5 2" xfId="12729"/>
    <cellStyle name="Comma 5 5 4 5 2 2" xfId="19268"/>
    <cellStyle name="Comma 5 5 4 5 3" xfId="16416"/>
    <cellStyle name="Comma 5 5 4 6" xfId="3059"/>
    <cellStyle name="Comma 5 5 4 6 2" xfId="11016"/>
    <cellStyle name="Comma 5 5 4 6 2 2" xfId="17555"/>
    <cellStyle name="Comma 5 5 4 6 3" xfId="14703"/>
    <cellStyle name="Comma 5 5 4 7" xfId="2488"/>
    <cellStyle name="Comma 5 5 4 7 2" xfId="14136"/>
    <cellStyle name="Comma 5 5 4 8" xfId="10449"/>
    <cellStyle name="Comma 5 5 4 8 2" xfId="16988"/>
    <cellStyle name="Comma 5 5 4 9" xfId="13563"/>
    <cellStyle name="Comma 5 5 5" xfId="1378"/>
    <cellStyle name="Comma 5 5 5 2" xfId="4798"/>
    <cellStyle name="Comma 5 5 5 2 2" xfId="11758"/>
    <cellStyle name="Comma 5 5 5 2 2 2" xfId="18297"/>
    <cellStyle name="Comma 5 5 5 2 3" xfId="15445"/>
    <cellStyle name="Comma 5 5 5 3" xfId="7070"/>
    <cellStyle name="Comma 5 5 5 3 2" xfId="12329"/>
    <cellStyle name="Comma 5 5 5 3 2 2" xfId="18868"/>
    <cellStyle name="Comma 5 5 5 3 3" xfId="16016"/>
    <cellStyle name="Comma 5 5 5 4" xfId="9342"/>
    <cellStyle name="Comma 5 5 5 4 2" xfId="12900"/>
    <cellStyle name="Comma 5 5 5 4 2 2" xfId="19439"/>
    <cellStyle name="Comma 5 5 5 4 3" xfId="16587"/>
    <cellStyle name="Comma 5 5 5 5" xfId="3230"/>
    <cellStyle name="Comma 5 5 5 5 2" xfId="11187"/>
    <cellStyle name="Comma 5 5 5 5 2 2" xfId="17726"/>
    <cellStyle name="Comma 5 5 5 5 3" xfId="14874"/>
    <cellStyle name="Comma 5 5 5 6" xfId="2656"/>
    <cellStyle name="Comma 5 5 5 6 2" xfId="14304"/>
    <cellStyle name="Comma 5 5 5 7" xfId="10617"/>
    <cellStyle name="Comma 5 5 5 7 2" xfId="17156"/>
    <cellStyle name="Comma 5 5 5 8" xfId="13734"/>
    <cellStyle name="Comma 5 5 6" xfId="3663"/>
    <cellStyle name="Comma 5 5 6 2" xfId="11473"/>
    <cellStyle name="Comma 5 5 6 2 2" xfId="18012"/>
    <cellStyle name="Comma 5 5 6 3" xfId="15160"/>
    <cellStyle name="Comma 5 5 7" xfId="5935"/>
    <cellStyle name="Comma 5 5 7 2" xfId="12044"/>
    <cellStyle name="Comma 5 5 7 2 2" xfId="18583"/>
    <cellStyle name="Comma 5 5 7 3" xfId="15731"/>
    <cellStyle name="Comma 5 5 8" xfId="8207"/>
    <cellStyle name="Comma 5 5 8 2" xfId="12615"/>
    <cellStyle name="Comma 5 5 8 2 2" xfId="19154"/>
    <cellStyle name="Comma 5 5 8 3" xfId="16302"/>
    <cellStyle name="Comma 5 5 9" xfId="2945"/>
    <cellStyle name="Comma 5 5 9 2" xfId="10902"/>
    <cellStyle name="Comma 5 5 9 2 2" xfId="17441"/>
    <cellStyle name="Comma 5 5 9 3" xfId="14589"/>
    <cellStyle name="Comma 5 6" xfId="299"/>
    <cellStyle name="Comma 5 6 10" xfId="13463"/>
    <cellStyle name="Comma 5 6 2" xfId="753"/>
    <cellStyle name="Comma 5 6 2 2" xfId="1888"/>
    <cellStyle name="Comma 5 6 2 2 2" xfId="5308"/>
    <cellStyle name="Comma 5 6 2 2 2 2" xfId="11886"/>
    <cellStyle name="Comma 5 6 2 2 2 2 2" xfId="18425"/>
    <cellStyle name="Comma 5 6 2 2 2 3" xfId="15573"/>
    <cellStyle name="Comma 5 6 2 2 3" xfId="7580"/>
    <cellStyle name="Comma 5 6 2 2 3 2" xfId="12457"/>
    <cellStyle name="Comma 5 6 2 2 3 2 2" xfId="18996"/>
    <cellStyle name="Comma 5 6 2 2 3 3" xfId="16144"/>
    <cellStyle name="Comma 5 6 2 2 4" xfId="9852"/>
    <cellStyle name="Comma 5 6 2 2 4 2" xfId="13028"/>
    <cellStyle name="Comma 5 6 2 2 4 2 2" xfId="19567"/>
    <cellStyle name="Comma 5 6 2 2 4 3" xfId="16715"/>
    <cellStyle name="Comma 5 6 2 2 5" xfId="3358"/>
    <cellStyle name="Comma 5 6 2 2 5 2" xfId="11315"/>
    <cellStyle name="Comma 5 6 2 2 5 2 2" xfId="17854"/>
    <cellStyle name="Comma 5 6 2 2 5 3" xfId="15002"/>
    <cellStyle name="Comma 5 6 2 2 6" xfId="2782"/>
    <cellStyle name="Comma 5 6 2 2 6 2" xfId="14430"/>
    <cellStyle name="Comma 5 6 2 2 7" xfId="10743"/>
    <cellStyle name="Comma 5 6 2 2 7 2" xfId="17282"/>
    <cellStyle name="Comma 5 6 2 2 8" xfId="13862"/>
    <cellStyle name="Comma 5 6 2 3" xfId="4173"/>
    <cellStyle name="Comma 5 6 2 3 2" xfId="11601"/>
    <cellStyle name="Comma 5 6 2 3 2 2" xfId="18140"/>
    <cellStyle name="Comma 5 6 2 3 3" xfId="15288"/>
    <cellStyle name="Comma 5 6 2 4" xfId="6445"/>
    <cellStyle name="Comma 5 6 2 4 2" xfId="12172"/>
    <cellStyle name="Comma 5 6 2 4 2 2" xfId="18711"/>
    <cellStyle name="Comma 5 6 2 4 3" xfId="15859"/>
    <cellStyle name="Comma 5 6 2 5" xfId="8717"/>
    <cellStyle name="Comma 5 6 2 5 2" xfId="12743"/>
    <cellStyle name="Comma 5 6 2 5 2 2" xfId="19282"/>
    <cellStyle name="Comma 5 6 2 5 3" xfId="16430"/>
    <cellStyle name="Comma 5 6 2 6" xfId="3073"/>
    <cellStyle name="Comma 5 6 2 6 2" xfId="11030"/>
    <cellStyle name="Comma 5 6 2 6 2 2" xfId="17569"/>
    <cellStyle name="Comma 5 6 2 6 3" xfId="14717"/>
    <cellStyle name="Comma 5 6 2 7" xfId="2502"/>
    <cellStyle name="Comma 5 6 2 7 2" xfId="14150"/>
    <cellStyle name="Comma 5 6 2 8" xfId="10463"/>
    <cellStyle name="Comma 5 6 2 8 2" xfId="17002"/>
    <cellStyle name="Comma 5 6 2 9" xfId="13577"/>
    <cellStyle name="Comma 5 6 3" xfId="1434"/>
    <cellStyle name="Comma 5 6 3 2" xfId="4854"/>
    <cellStyle name="Comma 5 6 3 2 2" xfId="11772"/>
    <cellStyle name="Comma 5 6 3 2 2 2" xfId="18311"/>
    <cellStyle name="Comma 5 6 3 2 3" xfId="15459"/>
    <cellStyle name="Comma 5 6 3 3" xfId="7126"/>
    <cellStyle name="Comma 5 6 3 3 2" xfId="12343"/>
    <cellStyle name="Comma 5 6 3 3 2 2" xfId="18882"/>
    <cellStyle name="Comma 5 6 3 3 3" xfId="16030"/>
    <cellStyle name="Comma 5 6 3 4" xfId="9398"/>
    <cellStyle name="Comma 5 6 3 4 2" xfId="12914"/>
    <cellStyle name="Comma 5 6 3 4 2 2" xfId="19453"/>
    <cellStyle name="Comma 5 6 3 4 3" xfId="16601"/>
    <cellStyle name="Comma 5 6 3 5" xfId="3244"/>
    <cellStyle name="Comma 5 6 3 5 2" xfId="11201"/>
    <cellStyle name="Comma 5 6 3 5 2 2" xfId="17740"/>
    <cellStyle name="Comma 5 6 3 5 3" xfId="14888"/>
    <cellStyle name="Comma 5 6 3 6" xfId="2670"/>
    <cellStyle name="Comma 5 6 3 6 2" xfId="14318"/>
    <cellStyle name="Comma 5 6 3 7" xfId="10631"/>
    <cellStyle name="Comma 5 6 3 7 2" xfId="17170"/>
    <cellStyle name="Comma 5 6 3 8" xfId="13748"/>
    <cellStyle name="Comma 5 6 4" xfId="3719"/>
    <cellStyle name="Comma 5 6 4 2" xfId="11487"/>
    <cellStyle name="Comma 5 6 4 2 2" xfId="18026"/>
    <cellStyle name="Comma 5 6 4 3" xfId="15174"/>
    <cellStyle name="Comma 5 6 5" xfId="5991"/>
    <cellStyle name="Comma 5 6 5 2" xfId="12058"/>
    <cellStyle name="Comma 5 6 5 2 2" xfId="18597"/>
    <cellStyle name="Comma 5 6 5 3" xfId="15745"/>
    <cellStyle name="Comma 5 6 6" xfId="8263"/>
    <cellStyle name="Comma 5 6 6 2" xfId="12629"/>
    <cellStyle name="Comma 5 6 6 2 2" xfId="19168"/>
    <cellStyle name="Comma 5 6 6 3" xfId="16316"/>
    <cellStyle name="Comma 5 6 7" xfId="2959"/>
    <cellStyle name="Comma 5 6 7 2" xfId="10916"/>
    <cellStyle name="Comma 5 6 7 2 2" xfId="17455"/>
    <cellStyle name="Comma 5 6 7 3" xfId="14603"/>
    <cellStyle name="Comma 5 6 8" xfId="2390"/>
    <cellStyle name="Comma 5 6 8 2" xfId="14038"/>
    <cellStyle name="Comma 5 6 9" xfId="10351"/>
    <cellStyle name="Comma 5 6 9 2" xfId="16890"/>
    <cellStyle name="Comma 5 7" xfId="980"/>
    <cellStyle name="Comma 5 7 2" xfId="2115"/>
    <cellStyle name="Comma 5 7 2 2" xfId="5535"/>
    <cellStyle name="Comma 5 7 2 2 2" xfId="11943"/>
    <cellStyle name="Comma 5 7 2 2 2 2" xfId="18482"/>
    <cellStyle name="Comma 5 7 2 2 3" xfId="15630"/>
    <cellStyle name="Comma 5 7 2 3" xfId="7807"/>
    <cellStyle name="Comma 5 7 2 3 2" xfId="12514"/>
    <cellStyle name="Comma 5 7 2 3 2 2" xfId="19053"/>
    <cellStyle name="Comma 5 7 2 3 3" xfId="16201"/>
    <cellStyle name="Comma 5 7 2 4" xfId="10079"/>
    <cellStyle name="Comma 5 7 2 4 2" xfId="13085"/>
    <cellStyle name="Comma 5 7 2 4 2 2" xfId="19624"/>
    <cellStyle name="Comma 5 7 2 4 3" xfId="16772"/>
    <cellStyle name="Comma 5 7 2 5" xfId="3415"/>
    <cellStyle name="Comma 5 7 2 5 2" xfId="11372"/>
    <cellStyle name="Comma 5 7 2 5 2 2" xfId="17911"/>
    <cellStyle name="Comma 5 7 2 5 3" xfId="15059"/>
    <cellStyle name="Comma 5 7 2 6" xfId="2838"/>
    <cellStyle name="Comma 5 7 2 6 2" xfId="14486"/>
    <cellStyle name="Comma 5 7 2 7" xfId="10799"/>
    <cellStyle name="Comma 5 7 2 7 2" xfId="17338"/>
    <cellStyle name="Comma 5 7 2 8" xfId="13919"/>
    <cellStyle name="Comma 5 7 3" xfId="4400"/>
    <cellStyle name="Comma 5 7 3 2" xfId="11658"/>
    <cellStyle name="Comma 5 7 3 2 2" xfId="18197"/>
    <cellStyle name="Comma 5 7 3 3" xfId="15345"/>
    <cellStyle name="Comma 5 7 4" xfId="6672"/>
    <cellStyle name="Comma 5 7 4 2" xfId="12229"/>
    <cellStyle name="Comma 5 7 4 2 2" xfId="18768"/>
    <cellStyle name="Comma 5 7 4 3" xfId="15916"/>
    <cellStyle name="Comma 5 7 5" xfId="8944"/>
    <cellStyle name="Comma 5 7 5 2" xfId="12800"/>
    <cellStyle name="Comma 5 7 5 2 2" xfId="19339"/>
    <cellStyle name="Comma 5 7 5 3" xfId="16487"/>
    <cellStyle name="Comma 5 7 6" xfId="3130"/>
    <cellStyle name="Comma 5 7 6 2" xfId="11087"/>
    <cellStyle name="Comma 5 7 6 2 2" xfId="17626"/>
    <cellStyle name="Comma 5 7 6 3" xfId="14774"/>
    <cellStyle name="Comma 5 7 7" xfId="2558"/>
    <cellStyle name="Comma 5 7 7 2" xfId="14206"/>
    <cellStyle name="Comma 5 7 8" xfId="10519"/>
    <cellStyle name="Comma 5 7 8 2" xfId="17058"/>
    <cellStyle name="Comma 5 7 9" xfId="13634"/>
    <cellStyle name="Comma 5 8" xfId="526"/>
    <cellStyle name="Comma 5 8 2" xfId="1661"/>
    <cellStyle name="Comma 5 8 2 2" xfId="5081"/>
    <cellStyle name="Comma 5 8 2 2 2" xfId="11829"/>
    <cellStyle name="Comma 5 8 2 2 2 2" xfId="18368"/>
    <cellStyle name="Comma 5 8 2 2 3" xfId="15516"/>
    <cellStyle name="Comma 5 8 2 3" xfId="7353"/>
    <cellStyle name="Comma 5 8 2 3 2" xfId="12400"/>
    <cellStyle name="Comma 5 8 2 3 2 2" xfId="18939"/>
    <cellStyle name="Comma 5 8 2 3 3" xfId="16087"/>
    <cellStyle name="Comma 5 8 2 4" xfId="9625"/>
    <cellStyle name="Comma 5 8 2 4 2" xfId="12971"/>
    <cellStyle name="Comma 5 8 2 4 2 2" xfId="19510"/>
    <cellStyle name="Comma 5 8 2 4 3" xfId="16658"/>
    <cellStyle name="Comma 5 8 2 5" xfId="3301"/>
    <cellStyle name="Comma 5 8 2 5 2" xfId="11258"/>
    <cellStyle name="Comma 5 8 2 5 2 2" xfId="17797"/>
    <cellStyle name="Comma 5 8 2 5 3" xfId="14945"/>
    <cellStyle name="Comma 5 8 2 6" xfId="2726"/>
    <cellStyle name="Comma 5 8 2 6 2" xfId="14374"/>
    <cellStyle name="Comma 5 8 2 7" xfId="10687"/>
    <cellStyle name="Comma 5 8 2 7 2" xfId="17226"/>
    <cellStyle name="Comma 5 8 2 8" xfId="13805"/>
    <cellStyle name="Comma 5 8 3" xfId="3946"/>
    <cellStyle name="Comma 5 8 3 2" xfId="11544"/>
    <cellStyle name="Comma 5 8 3 2 2" xfId="18083"/>
    <cellStyle name="Comma 5 8 3 3" xfId="15231"/>
    <cellStyle name="Comma 5 8 4" xfId="6218"/>
    <cellStyle name="Comma 5 8 4 2" xfId="12115"/>
    <cellStyle name="Comma 5 8 4 2 2" xfId="18654"/>
    <cellStyle name="Comma 5 8 4 3" xfId="15802"/>
    <cellStyle name="Comma 5 8 5" xfId="8490"/>
    <cellStyle name="Comma 5 8 5 2" xfId="12686"/>
    <cellStyle name="Comma 5 8 5 2 2" xfId="19225"/>
    <cellStyle name="Comma 5 8 5 3" xfId="16373"/>
    <cellStyle name="Comma 5 8 6" xfId="3016"/>
    <cellStyle name="Comma 5 8 6 2" xfId="10973"/>
    <cellStyle name="Comma 5 8 6 2 2" xfId="17512"/>
    <cellStyle name="Comma 5 8 6 3" xfId="14660"/>
    <cellStyle name="Comma 5 8 7" xfId="2446"/>
    <cellStyle name="Comma 5 8 7 2" xfId="14094"/>
    <cellStyle name="Comma 5 8 8" xfId="10407"/>
    <cellStyle name="Comma 5 8 8 2" xfId="16946"/>
    <cellStyle name="Comma 5 8 9" xfId="13520"/>
    <cellStyle name="Comma 5 9" xfId="1207"/>
    <cellStyle name="Comma 5 9 2" xfId="4627"/>
    <cellStyle name="Comma 5 9 2 2" xfId="11715"/>
    <cellStyle name="Comma 5 9 2 2 2" xfId="18254"/>
    <cellStyle name="Comma 5 9 2 3" xfId="15402"/>
    <cellStyle name="Comma 5 9 3" xfId="6899"/>
    <cellStyle name="Comma 5 9 3 2" xfId="12286"/>
    <cellStyle name="Comma 5 9 3 2 2" xfId="18825"/>
    <cellStyle name="Comma 5 9 3 3" xfId="15973"/>
    <cellStyle name="Comma 5 9 4" xfId="9171"/>
    <cellStyle name="Comma 5 9 4 2" xfId="12857"/>
    <cellStyle name="Comma 5 9 4 2 2" xfId="19396"/>
    <cellStyle name="Comma 5 9 4 3" xfId="16544"/>
    <cellStyle name="Comma 5 9 5" xfId="3187"/>
    <cellStyle name="Comma 5 9 5 2" xfId="11144"/>
    <cellStyle name="Comma 5 9 5 2 2" xfId="17683"/>
    <cellStyle name="Comma 5 9 5 3" xfId="14831"/>
    <cellStyle name="Comma 5 9 6" xfId="2614"/>
    <cellStyle name="Comma 5 9 6 2" xfId="14262"/>
    <cellStyle name="Comma 5 9 7" xfId="10575"/>
    <cellStyle name="Comma 5 9 7 2" xfId="17114"/>
    <cellStyle name="Comma 5 9 8" xfId="13691"/>
    <cellStyle name="Comma 50" xfId="13249"/>
    <cellStyle name="Comma 50 2" xfId="19758"/>
    <cellStyle name="Comma 50 3" xfId="19852"/>
    <cellStyle name="Comma 51" xfId="13250"/>
    <cellStyle name="Comma 51 2" xfId="19759"/>
    <cellStyle name="Comma 51 3" xfId="19853"/>
    <cellStyle name="Comma 52" xfId="13251"/>
    <cellStyle name="Comma 52 2" xfId="19760"/>
    <cellStyle name="Comma 52 3" xfId="19854"/>
    <cellStyle name="Comma 53" xfId="13252"/>
    <cellStyle name="Comma 53 2" xfId="19761"/>
    <cellStyle name="Comma 53 3" xfId="19855"/>
    <cellStyle name="Comma 54" xfId="13253"/>
    <cellStyle name="Comma 54 2" xfId="19762"/>
    <cellStyle name="Comma 54 3" xfId="19856"/>
    <cellStyle name="Comma 55" xfId="13254"/>
    <cellStyle name="Comma 55 2" xfId="19763"/>
    <cellStyle name="Comma 55 3" xfId="19857"/>
    <cellStyle name="Comma 56" xfId="13255"/>
    <cellStyle name="Comma 56 2" xfId="19764"/>
    <cellStyle name="Comma 56 3" xfId="19858"/>
    <cellStyle name="Comma 57" xfId="13256"/>
    <cellStyle name="Comma 57 2" xfId="19765"/>
    <cellStyle name="Comma 57 3" xfId="19859"/>
    <cellStyle name="Comma 58" xfId="13257"/>
    <cellStyle name="Comma 58 2" xfId="19766"/>
    <cellStyle name="Comma 58 3" xfId="19860"/>
    <cellStyle name="Comma 59" xfId="13258"/>
    <cellStyle name="Comma 59 2" xfId="19767"/>
    <cellStyle name="Comma 59 3" xfId="19861"/>
    <cellStyle name="Comma 6" xfId="61"/>
    <cellStyle name="Comma 6 10" xfId="3494"/>
    <cellStyle name="Comma 6 10 2" xfId="11431"/>
    <cellStyle name="Comma 6 10 2 2" xfId="17970"/>
    <cellStyle name="Comma 6 10 3" xfId="15118"/>
    <cellStyle name="Comma 6 11" xfId="5766"/>
    <cellStyle name="Comma 6 11 2" xfId="12002"/>
    <cellStyle name="Comma 6 11 2 2" xfId="18541"/>
    <cellStyle name="Comma 6 11 3" xfId="15689"/>
    <cellStyle name="Comma 6 12" xfId="8038"/>
    <cellStyle name="Comma 6 12 2" xfId="12573"/>
    <cellStyle name="Comma 6 12 2 2" xfId="19112"/>
    <cellStyle name="Comma 6 12 3" xfId="16260"/>
    <cellStyle name="Comma 6 13" xfId="2898"/>
    <cellStyle name="Comma 6 13 2" xfId="10858"/>
    <cellStyle name="Comma 6 13 2 2" xfId="17397"/>
    <cellStyle name="Comma 6 13 3" xfId="14545"/>
    <cellStyle name="Comma 6 14" xfId="2333"/>
    <cellStyle name="Comma 6 14 2" xfId="13981"/>
    <cellStyle name="Comma 6 15" xfId="10294"/>
    <cellStyle name="Comma 6 15 2" xfId="16833"/>
    <cellStyle name="Comma 6 16" xfId="13259"/>
    <cellStyle name="Comma 6 16 2" xfId="19768"/>
    <cellStyle name="Comma 6 17" xfId="13405"/>
    <cellStyle name="Comma 6 18" xfId="19862"/>
    <cellStyle name="Comma 6 19" xfId="19874"/>
    <cellStyle name="Comma 6 2" xfId="91"/>
    <cellStyle name="Comma 6 2 10" xfId="5794"/>
    <cellStyle name="Comma 6 2 10 2" xfId="12009"/>
    <cellStyle name="Comma 6 2 10 2 2" xfId="18548"/>
    <cellStyle name="Comma 6 2 10 3" xfId="15696"/>
    <cellStyle name="Comma 6 2 11" xfId="8066"/>
    <cellStyle name="Comma 6 2 11 2" xfId="12580"/>
    <cellStyle name="Comma 6 2 11 2 2" xfId="19119"/>
    <cellStyle name="Comma 6 2 11 3" xfId="16267"/>
    <cellStyle name="Comma 6 2 12" xfId="2907"/>
    <cellStyle name="Comma 6 2 12 2" xfId="10866"/>
    <cellStyle name="Comma 6 2 12 2 2" xfId="17405"/>
    <cellStyle name="Comma 6 2 12 3" xfId="14553"/>
    <cellStyle name="Comma 6 2 13" xfId="2341"/>
    <cellStyle name="Comma 6 2 13 2" xfId="13989"/>
    <cellStyle name="Comma 6 2 14" xfId="10302"/>
    <cellStyle name="Comma 6 2 14 2" xfId="16841"/>
    <cellStyle name="Comma 6 2 15" xfId="13260"/>
    <cellStyle name="Comma 6 2 15 2" xfId="19769"/>
    <cellStyle name="Comma 6 2 16" xfId="13413"/>
    <cellStyle name="Comma 6 2 17" xfId="19863"/>
    <cellStyle name="Comma 6 2 18" xfId="20096"/>
    <cellStyle name="Comma 6 2 2" xfId="203"/>
    <cellStyle name="Comma 6 2 2 10" xfId="2369"/>
    <cellStyle name="Comma 6 2 2 10 2" xfId="14017"/>
    <cellStyle name="Comma 6 2 2 11" xfId="10330"/>
    <cellStyle name="Comma 6 2 2 11 2" xfId="16869"/>
    <cellStyle name="Comma 6 2 2 12" xfId="13441"/>
    <cellStyle name="Comma 6 2 2 13" xfId="20260"/>
    <cellStyle name="Comma 6 2 2 2" xfId="441"/>
    <cellStyle name="Comma 6 2 2 2 10" xfId="13499"/>
    <cellStyle name="Comma 6 2 2 2 2" xfId="895"/>
    <cellStyle name="Comma 6 2 2 2 2 2" xfId="2030"/>
    <cellStyle name="Comma 6 2 2 2 2 2 2" xfId="5450"/>
    <cellStyle name="Comma 6 2 2 2 2 2 2 2" xfId="11922"/>
    <cellStyle name="Comma 6 2 2 2 2 2 2 2 2" xfId="18461"/>
    <cellStyle name="Comma 6 2 2 2 2 2 2 3" xfId="15609"/>
    <cellStyle name="Comma 6 2 2 2 2 2 3" xfId="7722"/>
    <cellStyle name="Comma 6 2 2 2 2 2 3 2" xfId="12493"/>
    <cellStyle name="Comma 6 2 2 2 2 2 3 2 2" xfId="19032"/>
    <cellStyle name="Comma 6 2 2 2 2 2 3 3" xfId="16180"/>
    <cellStyle name="Comma 6 2 2 2 2 2 4" xfId="9994"/>
    <cellStyle name="Comma 6 2 2 2 2 2 4 2" xfId="13064"/>
    <cellStyle name="Comma 6 2 2 2 2 2 4 2 2" xfId="19603"/>
    <cellStyle name="Comma 6 2 2 2 2 2 4 3" xfId="16751"/>
    <cellStyle name="Comma 6 2 2 2 2 2 5" xfId="3394"/>
    <cellStyle name="Comma 6 2 2 2 2 2 5 2" xfId="11351"/>
    <cellStyle name="Comma 6 2 2 2 2 2 5 2 2" xfId="17890"/>
    <cellStyle name="Comma 6 2 2 2 2 2 5 3" xfId="15038"/>
    <cellStyle name="Comma 6 2 2 2 2 2 6" xfId="2818"/>
    <cellStyle name="Comma 6 2 2 2 2 2 6 2" xfId="14466"/>
    <cellStyle name="Comma 6 2 2 2 2 2 7" xfId="10779"/>
    <cellStyle name="Comma 6 2 2 2 2 2 7 2" xfId="17318"/>
    <cellStyle name="Comma 6 2 2 2 2 2 8" xfId="13898"/>
    <cellStyle name="Comma 6 2 2 2 2 3" xfId="4315"/>
    <cellStyle name="Comma 6 2 2 2 2 3 2" xfId="11637"/>
    <cellStyle name="Comma 6 2 2 2 2 3 2 2" xfId="18176"/>
    <cellStyle name="Comma 6 2 2 2 2 3 3" xfId="15324"/>
    <cellStyle name="Comma 6 2 2 2 2 4" xfId="6587"/>
    <cellStyle name="Comma 6 2 2 2 2 4 2" xfId="12208"/>
    <cellStyle name="Comma 6 2 2 2 2 4 2 2" xfId="18747"/>
    <cellStyle name="Comma 6 2 2 2 2 4 3" xfId="15895"/>
    <cellStyle name="Comma 6 2 2 2 2 5" xfId="8859"/>
    <cellStyle name="Comma 6 2 2 2 2 5 2" xfId="12779"/>
    <cellStyle name="Comma 6 2 2 2 2 5 2 2" xfId="19318"/>
    <cellStyle name="Comma 6 2 2 2 2 5 3" xfId="16466"/>
    <cellStyle name="Comma 6 2 2 2 2 6" xfId="3109"/>
    <cellStyle name="Comma 6 2 2 2 2 6 2" xfId="11066"/>
    <cellStyle name="Comma 6 2 2 2 2 6 2 2" xfId="17605"/>
    <cellStyle name="Comma 6 2 2 2 2 6 3" xfId="14753"/>
    <cellStyle name="Comma 6 2 2 2 2 7" xfId="2538"/>
    <cellStyle name="Comma 6 2 2 2 2 7 2" xfId="14186"/>
    <cellStyle name="Comma 6 2 2 2 2 8" xfId="10499"/>
    <cellStyle name="Comma 6 2 2 2 2 8 2" xfId="17038"/>
    <cellStyle name="Comma 6 2 2 2 2 9" xfId="13613"/>
    <cellStyle name="Comma 6 2 2 2 3" xfId="1576"/>
    <cellStyle name="Comma 6 2 2 2 3 2" xfId="4996"/>
    <cellStyle name="Comma 6 2 2 2 3 2 2" xfId="11808"/>
    <cellStyle name="Comma 6 2 2 2 3 2 2 2" xfId="18347"/>
    <cellStyle name="Comma 6 2 2 2 3 2 3" xfId="15495"/>
    <cellStyle name="Comma 6 2 2 2 3 3" xfId="7268"/>
    <cellStyle name="Comma 6 2 2 2 3 3 2" xfId="12379"/>
    <cellStyle name="Comma 6 2 2 2 3 3 2 2" xfId="18918"/>
    <cellStyle name="Comma 6 2 2 2 3 3 3" xfId="16066"/>
    <cellStyle name="Comma 6 2 2 2 3 4" xfId="9540"/>
    <cellStyle name="Comma 6 2 2 2 3 4 2" xfId="12950"/>
    <cellStyle name="Comma 6 2 2 2 3 4 2 2" xfId="19489"/>
    <cellStyle name="Comma 6 2 2 2 3 4 3" xfId="16637"/>
    <cellStyle name="Comma 6 2 2 2 3 5" xfId="3280"/>
    <cellStyle name="Comma 6 2 2 2 3 5 2" xfId="11237"/>
    <cellStyle name="Comma 6 2 2 2 3 5 2 2" xfId="17776"/>
    <cellStyle name="Comma 6 2 2 2 3 5 3" xfId="14924"/>
    <cellStyle name="Comma 6 2 2 2 3 6" xfId="2706"/>
    <cellStyle name="Comma 6 2 2 2 3 6 2" xfId="14354"/>
    <cellStyle name="Comma 6 2 2 2 3 7" xfId="10667"/>
    <cellStyle name="Comma 6 2 2 2 3 7 2" xfId="17206"/>
    <cellStyle name="Comma 6 2 2 2 3 8" xfId="13784"/>
    <cellStyle name="Comma 6 2 2 2 4" xfId="3861"/>
    <cellStyle name="Comma 6 2 2 2 4 2" xfId="11523"/>
    <cellStyle name="Comma 6 2 2 2 4 2 2" xfId="18062"/>
    <cellStyle name="Comma 6 2 2 2 4 3" xfId="15210"/>
    <cellStyle name="Comma 6 2 2 2 5" xfId="6133"/>
    <cellStyle name="Comma 6 2 2 2 5 2" xfId="12094"/>
    <cellStyle name="Comma 6 2 2 2 5 2 2" xfId="18633"/>
    <cellStyle name="Comma 6 2 2 2 5 3" xfId="15781"/>
    <cellStyle name="Comma 6 2 2 2 6" xfId="8405"/>
    <cellStyle name="Comma 6 2 2 2 6 2" xfId="12665"/>
    <cellStyle name="Comma 6 2 2 2 6 2 2" xfId="19204"/>
    <cellStyle name="Comma 6 2 2 2 6 3" xfId="16352"/>
    <cellStyle name="Comma 6 2 2 2 7" xfId="2995"/>
    <cellStyle name="Comma 6 2 2 2 7 2" xfId="10952"/>
    <cellStyle name="Comma 6 2 2 2 7 2 2" xfId="17491"/>
    <cellStyle name="Comma 6 2 2 2 7 3" xfId="14639"/>
    <cellStyle name="Comma 6 2 2 2 8" xfId="2426"/>
    <cellStyle name="Comma 6 2 2 2 8 2" xfId="14074"/>
    <cellStyle name="Comma 6 2 2 2 9" xfId="10387"/>
    <cellStyle name="Comma 6 2 2 2 9 2" xfId="16926"/>
    <cellStyle name="Comma 6 2 2 3" xfId="1122"/>
    <cellStyle name="Comma 6 2 2 3 2" xfId="2257"/>
    <cellStyle name="Comma 6 2 2 3 2 2" xfId="5677"/>
    <cellStyle name="Comma 6 2 2 3 2 2 2" xfId="11979"/>
    <cellStyle name="Comma 6 2 2 3 2 2 2 2" xfId="18518"/>
    <cellStyle name="Comma 6 2 2 3 2 2 3" xfId="15666"/>
    <cellStyle name="Comma 6 2 2 3 2 3" xfId="7949"/>
    <cellStyle name="Comma 6 2 2 3 2 3 2" xfId="12550"/>
    <cellStyle name="Comma 6 2 2 3 2 3 2 2" xfId="19089"/>
    <cellStyle name="Comma 6 2 2 3 2 3 3" xfId="16237"/>
    <cellStyle name="Comma 6 2 2 3 2 4" xfId="10221"/>
    <cellStyle name="Comma 6 2 2 3 2 4 2" xfId="13121"/>
    <cellStyle name="Comma 6 2 2 3 2 4 2 2" xfId="19660"/>
    <cellStyle name="Comma 6 2 2 3 2 4 3" xfId="16808"/>
    <cellStyle name="Comma 6 2 2 3 2 5" xfId="3451"/>
    <cellStyle name="Comma 6 2 2 3 2 5 2" xfId="11408"/>
    <cellStyle name="Comma 6 2 2 3 2 5 2 2" xfId="17947"/>
    <cellStyle name="Comma 6 2 2 3 2 5 3" xfId="15095"/>
    <cellStyle name="Comma 6 2 2 3 2 6" xfId="2874"/>
    <cellStyle name="Comma 6 2 2 3 2 6 2" xfId="14522"/>
    <cellStyle name="Comma 6 2 2 3 2 7" xfId="10835"/>
    <cellStyle name="Comma 6 2 2 3 2 7 2" xfId="17374"/>
    <cellStyle name="Comma 6 2 2 3 2 8" xfId="13955"/>
    <cellStyle name="Comma 6 2 2 3 3" xfId="4542"/>
    <cellStyle name="Comma 6 2 2 3 3 2" xfId="11694"/>
    <cellStyle name="Comma 6 2 2 3 3 2 2" xfId="18233"/>
    <cellStyle name="Comma 6 2 2 3 3 3" xfId="15381"/>
    <cellStyle name="Comma 6 2 2 3 4" xfId="6814"/>
    <cellStyle name="Comma 6 2 2 3 4 2" xfId="12265"/>
    <cellStyle name="Comma 6 2 2 3 4 2 2" xfId="18804"/>
    <cellStyle name="Comma 6 2 2 3 4 3" xfId="15952"/>
    <cellStyle name="Comma 6 2 2 3 5" xfId="9086"/>
    <cellStyle name="Comma 6 2 2 3 5 2" xfId="12836"/>
    <cellStyle name="Comma 6 2 2 3 5 2 2" xfId="19375"/>
    <cellStyle name="Comma 6 2 2 3 5 3" xfId="16523"/>
    <cellStyle name="Comma 6 2 2 3 6" xfId="3166"/>
    <cellStyle name="Comma 6 2 2 3 6 2" xfId="11123"/>
    <cellStyle name="Comma 6 2 2 3 6 2 2" xfId="17662"/>
    <cellStyle name="Comma 6 2 2 3 6 3" xfId="14810"/>
    <cellStyle name="Comma 6 2 2 3 7" xfId="2594"/>
    <cellStyle name="Comma 6 2 2 3 7 2" xfId="14242"/>
    <cellStyle name="Comma 6 2 2 3 8" xfId="10555"/>
    <cellStyle name="Comma 6 2 2 3 8 2" xfId="17094"/>
    <cellStyle name="Comma 6 2 2 3 9" xfId="13670"/>
    <cellStyle name="Comma 6 2 2 4" xfId="668"/>
    <cellStyle name="Comma 6 2 2 4 2" xfId="1803"/>
    <cellStyle name="Comma 6 2 2 4 2 2" xfId="5223"/>
    <cellStyle name="Comma 6 2 2 4 2 2 2" xfId="11865"/>
    <cellStyle name="Comma 6 2 2 4 2 2 2 2" xfId="18404"/>
    <cellStyle name="Comma 6 2 2 4 2 2 3" xfId="15552"/>
    <cellStyle name="Comma 6 2 2 4 2 3" xfId="7495"/>
    <cellStyle name="Comma 6 2 2 4 2 3 2" xfId="12436"/>
    <cellStyle name="Comma 6 2 2 4 2 3 2 2" xfId="18975"/>
    <cellStyle name="Comma 6 2 2 4 2 3 3" xfId="16123"/>
    <cellStyle name="Comma 6 2 2 4 2 4" xfId="9767"/>
    <cellStyle name="Comma 6 2 2 4 2 4 2" xfId="13007"/>
    <cellStyle name="Comma 6 2 2 4 2 4 2 2" xfId="19546"/>
    <cellStyle name="Comma 6 2 2 4 2 4 3" xfId="16694"/>
    <cellStyle name="Comma 6 2 2 4 2 5" xfId="3337"/>
    <cellStyle name="Comma 6 2 2 4 2 5 2" xfId="11294"/>
    <cellStyle name="Comma 6 2 2 4 2 5 2 2" xfId="17833"/>
    <cellStyle name="Comma 6 2 2 4 2 5 3" xfId="14981"/>
    <cellStyle name="Comma 6 2 2 4 2 6" xfId="2762"/>
    <cellStyle name="Comma 6 2 2 4 2 6 2" xfId="14410"/>
    <cellStyle name="Comma 6 2 2 4 2 7" xfId="10723"/>
    <cellStyle name="Comma 6 2 2 4 2 7 2" xfId="17262"/>
    <cellStyle name="Comma 6 2 2 4 2 8" xfId="13841"/>
    <cellStyle name="Comma 6 2 2 4 3" xfId="4088"/>
    <cellStyle name="Comma 6 2 2 4 3 2" xfId="11580"/>
    <cellStyle name="Comma 6 2 2 4 3 2 2" xfId="18119"/>
    <cellStyle name="Comma 6 2 2 4 3 3" xfId="15267"/>
    <cellStyle name="Comma 6 2 2 4 4" xfId="6360"/>
    <cellStyle name="Comma 6 2 2 4 4 2" xfId="12151"/>
    <cellStyle name="Comma 6 2 2 4 4 2 2" xfId="18690"/>
    <cellStyle name="Comma 6 2 2 4 4 3" xfId="15838"/>
    <cellStyle name="Comma 6 2 2 4 5" xfId="8632"/>
    <cellStyle name="Comma 6 2 2 4 5 2" xfId="12722"/>
    <cellStyle name="Comma 6 2 2 4 5 2 2" xfId="19261"/>
    <cellStyle name="Comma 6 2 2 4 5 3" xfId="16409"/>
    <cellStyle name="Comma 6 2 2 4 6" xfId="3052"/>
    <cellStyle name="Comma 6 2 2 4 6 2" xfId="11009"/>
    <cellStyle name="Comma 6 2 2 4 6 2 2" xfId="17548"/>
    <cellStyle name="Comma 6 2 2 4 6 3" xfId="14696"/>
    <cellStyle name="Comma 6 2 2 4 7" xfId="2482"/>
    <cellStyle name="Comma 6 2 2 4 7 2" xfId="14130"/>
    <cellStyle name="Comma 6 2 2 4 8" xfId="10443"/>
    <cellStyle name="Comma 6 2 2 4 8 2" xfId="16982"/>
    <cellStyle name="Comma 6 2 2 4 9" xfId="13556"/>
    <cellStyle name="Comma 6 2 2 5" xfId="1349"/>
    <cellStyle name="Comma 6 2 2 5 2" xfId="4769"/>
    <cellStyle name="Comma 6 2 2 5 2 2" xfId="11751"/>
    <cellStyle name="Comma 6 2 2 5 2 2 2" xfId="18290"/>
    <cellStyle name="Comma 6 2 2 5 2 3" xfId="15438"/>
    <cellStyle name="Comma 6 2 2 5 3" xfId="7041"/>
    <cellStyle name="Comma 6 2 2 5 3 2" xfId="12322"/>
    <cellStyle name="Comma 6 2 2 5 3 2 2" xfId="18861"/>
    <cellStyle name="Comma 6 2 2 5 3 3" xfId="16009"/>
    <cellStyle name="Comma 6 2 2 5 4" xfId="9313"/>
    <cellStyle name="Comma 6 2 2 5 4 2" xfId="12893"/>
    <cellStyle name="Comma 6 2 2 5 4 2 2" xfId="19432"/>
    <cellStyle name="Comma 6 2 2 5 4 3" xfId="16580"/>
    <cellStyle name="Comma 6 2 2 5 5" xfId="3223"/>
    <cellStyle name="Comma 6 2 2 5 5 2" xfId="11180"/>
    <cellStyle name="Comma 6 2 2 5 5 2 2" xfId="17719"/>
    <cellStyle name="Comma 6 2 2 5 5 3" xfId="14867"/>
    <cellStyle name="Comma 6 2 2 5 6" xfId="2650"/>
    <cellStyle name="Comma 6 2 2 5 6 2" xfId="14298"/>
    <cellStyle name="Comma 6 2 2 5 7" xfId="10611"/>
    <cellStyle name="Comma 6 2 2 5 7 2" xfId="17150"/>
    <cellStyle name="Comma 6 2 2 5 8" xfId="13727"/>
    <cellStyle name="Comma 6 2 2 6" xfId="3634"/>
    <cellStyle name="Comma 6 2 2 6 2" xfId="11466"/>
    <cellStyle name="Comma 6 2 2 6 2 2" xfId="18005"/>
    <cellStyle name="Comma 6 2 2 6 3" xfId="15153"/>
    <cellStyle name="Comma 6 2 2 7" xfId="5906"/>
    <cellStyle name="Comma 6 2 2 7 2" xfId="12037"/>
    <cellStyle name="Comma 6 2 2 7 2 2" xfId="18576"/>
    <cellStyle name="Comma 6 2 2 7 3" xfId="15724"/>
    <cellStyle name="Comma 6 2 2 8" xfId="8178"/>
    <cellStyle name="Comma 6 2 2 8 2" xfId="12608"/>
    <cellStyle name="Comma 6 2 2 8 2 2" xfId="19147"/>
    <cellStyle name="Comma 6 2 2 8 3" xfId="16295"/>
    <cellStyle name="Comma 6 2 2 9" xfId="2935"/>
    <cellStyle name="Comma 6 2 2 9 2" xfId="10894"/>
    <cellStyle name="Comma 6 2 2 9 2 2" xfId="17433"/>
    <cellStyle name="Comma 6 2 2 9 3" xfId="14581"/>
    <cellStyle name="Comma 6 2 3" xfId="147"/>
    <cellStyle name="Comma 6 2 3 10" xfId="2355"/>
    <cellStyle name="Comma 6 2 3 10 2" xfId="14003"/>
    <cellStyle name="Comma 6 2 3 11" xfId="10316"/>
    <cellStyle name="Comma 6 2 3 11 2" xfId="16855"/>
    <cellStyle name="Comma 6 2 3 12" xfId="13427"/>
    <cellStyle name="Comma 6 2 3 13" xfId="20333"/>
    <cellStyle name="Comma 6 2 3 2" xfId="385"/>
    <cellStyle name="Comma 6 2 3 2 10" xfId="13485"/>
    <cellStyle name="Comma 6 2 3 2 2" xfId="839"/>
    <cellStyle name="Comma 6 2 3 2 2 2" xfId="1974"/>
    <cellStyle name="Comma 6 2 3 2 2 2 2" xfId="5394"/>
    <cellStyle name="Comma 6 2 3 2 2 2 2 2" xfId="11908"/>
    <cellStyle name="Comma 6 2 3 2 2 2 2 2 2" xfId="18447"/>
    <cellStyle name="Comma 6 2 3 2 2 2 2 3" xfId="15595"/>
    <cellStyle name="Comma 6 2 3 2 2 2 3" xfId="7666"/>
    <cellStyle name="Comma 6 2 3 2 2 2 3 2" xfId="12479"/>
    <cellStyle name="Comma 6 2 3 2 2 2 3 2 2" xfId="19018"/>
    <cellStyle name="Comma 6 2 3 2 2 2 3 3" xfId="16166"/>
    <cellStyle name="Comma 6 2 3 2 2 2 4" xfId="9938"/>
    <cellStyle name="Comma 6 2 3 2 2 2 4 2" xfId="13050"/>
    <cellStyle name="Comma 6 2 3 2 2 2 4 2 2" xfId="19589"/>
    <cellStyle name="Comma 6 2 3 2 2 2 4 3" xfId="16737"/>
    <cellStyle name="Comma 6 2 3 2 2 2 5" xfId="3380"/>
    <cellStyle name="Comma 6 2 3 2 2 2 5 2" xfId="11337"/>
    <cellStyle name="Comma 6 2 3 2 2 2 5 2 2" xfId="17876"/>
    <cellStyle name="Comma 6 2 3 2 2 2 5 3" xfId="15024"/>
    <cellStyle name="Comma 6 2 3 2 2 2 6" xfId="2804"/>
    <cellStyle name="Comma 6 2 3 2 2 2 6 2" xfId="14452"/>
    <cellStyle name="Comma 6 2 3 2 2 2 7" xfId="10765"/>
    <cellStyle name="Comma 6 2 3 2 2 2 7 2" xfId="17304"/>
    <cellStyle name="Comma 6 2 3 2 2 2 8" xfId="13884"/>
    <cellStyle name="Comma 6 2 3 2 2 3" xfId="4259"/>
    <cellStyle name="Comma 6 2 3 2 2 3 2" xfId="11623"/>
    <cellStyle name="Comma 6 2 3 2 2 3 2 2" xfId="18162"/>
    <cellStyle name="Comma 6 2 3 2 2 3 3" xfId="15310"/>
    <cellStyle name="Comma 6 2 3 2 2 4" xfId="6531"/>
    <cellStyle name="Comma 6 2 3 2 2 4 2" xfId="12194"/>
    <cellStyle name="Comma 6 2 3 2 2 4 2 2" xfId="18733"/>
    <cellStyle name="Comma 6 2 3 2 2 4 3" xfId="15881"/>
    <cellStyle name="Comma 6 2 3 2 2 5" xfId="8803"/>
    <cellStyle name="Comma 6 2 3 2 2 5 2" xfId="12765"/>
    <cellStyle name="Comma 6 2 3 2 2 5 2 2" xfId="19304"/>
    <cellStyle name="Comma 6 2 3 2 2 5 3" xfId="16452"/>
    <cellStyle name="Comma 6 2 3 2 2 6" xfId="3095"/>
    <cellStyle name="Comma 6 2 3 2 2 6 2" xfId="11052"/>
    <cellStyle name="Comma 6 2 3 2 2 6 2 2" xfId="17591"/>
    <cellStyle name="Comma 6 2 3 2 2 6 3" xfId="14739"/>
    <cellStyle name="Comma 6 2 3 2 2 7" xfId="2524"/>
    <cellStyle name="Comma 6 2 3 2 2 7 2" xfId="14172"/>
    <cellStyle name="Comma 6 2 3 2 2 8" xfId="10485"/>
    <cellStyle name="Comma 6 2 3 2 2 8 2" xfId="17024"/>
    <cellStyle name="Comma 6 2 3 2 2 9" xfId="13599"/>
    <cellStyle name="Comma 6 2 3 2 3" xfId="1520"/>
    <cellStyle name="Comma 6 2 3 2 3 2" xfId="4940"/>
    <cellStyle name="Comma 6 2 3 2 3 2 2" xfId="11794"/>
    <cellStyle name="Comma 6 2 3 2 3 2 2 2" xfId="18333"/>
    <cellStyle name="Comma 6 2 3 2 3 2 3" xfId="15481"/>
    <cellStyle name="Comma 6 2 3 2 3 3" xfId="7212"/>
    <cellStyle name="Comma 6 2 3 2 3 3 2" xfId="12365"/>
    <cellStyle name="Comma 6 2 3 2 3 3 2 2" xfId="18904"/>
    <cellStyle name="Comma 6 2 3 2 3 3 3" xfId="16052"/>
    <cellStyle name="Comma 6 2 3 2 3 4" xfId="9484"/>
    <cellStyle name="Comma 6 2 3 2 3 4 2" xfId="12936"/>
    <cellStyle name="Comma 6 2 3 2 3 4 2 2" xfId="19475"/>
    <cellStyle name="Comma 6 2 3 2 3 4 3" xfId="16623"/>
    <cellStyle name="Comma 6 2 3 2 3 5" xfId="3266"/>
    <cellStyle name="Comma 6 2 3 2 3 5 2" xfId="11223"/>
    <cellStyle name="Comma 6 2 3 2 3 5 2 2" xfId="17762"/>
    <cellStyle name="Comma 6 2 3 2 3 5 3" xfId="14910"/>
    <cellStyle name="Comma 6 2 3 2 3 6" xfId="2692"/>
    <cellStyle name="Comma 6 2 3 2 3 6 2" xfId="14340"/>
    <cellStyle name="Comma 6 2 3 2 3 7" xfId="10653"/>
    <cellStyle name="Comma 6 2 3 2 3 7 2" xfId="17192"/>
    <cellStyle name="Comma 6 2 3 2 3 8" xfId="13770"/>
    <cellStyle name="Comma 6 2 3 2 4" xfId="3805"/>
    <cellStyle name="Comma 6 2 3 2 4 2" xfId="11509"/>
    <cellStyle name="Comma 6 2 3 2 4 2 2" xfId="18048"/>
    <cellStyle name="Comma 6 2 3 2 4 3" xfId="15196"/>
    <cellStyle name="Comma 6 2 3 2 5" xfId="6077"/>
    <cellStyle name="Comma 6 2 3 2 5 2" xfId="12080"/>
    <cellStyle name="Comma 6 2 3 2 5 2 2" xfId="18619"/>
    <cellStyle name="Comma 6 2 3 2 5 3" xfId="15767"/>
    <cellStyle name="Comma 6 2 3 2 6" xfId="8349"/>
    <cellStyle name="Comma 6 2 3 2 6 2" xfId="12651"/>
    <cellStyle name="Comma 6 2 3 2 6 2 2" xfId="19190"/>
    <cellStyle name="Comma 6 2 3 2 6 3" xfId="16338"/>
    <cellStyle name="Comma 6 2 3 2 7" xfId="2981"/>
    <cellStyle name="Comma 6 2 3 2 7 2" xfId="10938"/>
    <cellStyle name="Comma 6 2 3 2 7 2 2" xfId="17477"/>
    <cellStyle name="Comma 6 2 3 2 7 3" xfId="14625"/>
    <cellStyle name="Comma 6 2 3 2 8" xfId="2412"/>
    <cellStyle name="Comma 6 2 3 2 8 2" xfId="14060"/>
    <cellStyle name="Comma 6 2 3 2 9" xfId="10373"/>
    <cellStyle name="Comma 6 2 3 2 9 2" xfId="16912"/>
    <cellStyle name="Comma 6 2 3 3" xfId="1066"/>
    <cellStyle name="Comma 6 2 3 3 2" xfId="2201"/>
    <cellStyle name="Comma 6 2 3 3 2 2" xfId="5621"/>
    <cellStyle name="Comma 6 2 3 3 2 2 2" xfId="11965"/>
    <cellStyle name="Comma 6 2 3 3 2 2 2 2" xfId="18504"/>
    <cellStyle name="Comma 6 2 3 3 2 2 3" xfId="15652"/>
    <cellStyle name="Comma 6 2 3 3 2 3" xfId="7893"/>
    <cellStyle name="Comma 6 2 3 3 2 3 2" xfId="12536"/>
    <cellStyle name="Comma 6 2 3 3 2 3 2 2" xfId="19075"/>
    <cellStyle name="Comma 6 2 3 3 2 3 3" xfId="16223"/>
    <cellStyle name="Comma 6 2 3 3 2 4" xfId="10165"/>
    <cellStyle name="Comma 6 2 3 3 2 4 2" xfId="13107"/>
    <cellStyle name="Comma 6 2 3 3 2 4 2 2" xfId="19646"/>
    <cellStyle name="Comma 6 2 3 3 2 4 3" xfId="16794"/>
    <cellStyle name="Comma 6 2 3 3 2 5" xfId="3437"/>
    <cellStyle name="Comma 6 2 3 3 2 5 2" xfId="11394"/>
    <cellStyle name="Comma 6 2 3 3 2 5 2 2" xfId="17933"/>
    <cellStyle name="Comma 6 2 3 3 2 5 3" xfId="15081"/>
    <cellStyle name="Comma 6 2 3 3 2 6" xfId="2860"/>
    <cellStyle name="Comma 6 2 3 3 2 6 2" xfId="14508"/>
    <cellStyle name="Comma 6 2 3 3 2 7" xfId="10821"/>
    <cellStyle name="Comma 6 2 3 3 2 7 2" xfId="17360"/>
    <cellStyle name="Comma 6 2 3 3 2 8" xfId="13941"/>
    <cellStyle name="Comma 6 2 3 3 3" xfId="4486"/>
    <cellStyle name="Comma 6 2 3 3 3 2" xfId="11680"/>
    <cellStyle name="Comma 6 2 3 3 3 2 2" xfId="18219"/>
    <cellStyle name="Comma 6 2 3 3 3 3" xfId="15367"/>
    <cellStyle name="Comma 6 2 3 3 4" xfId="6758"/>
    <cellStyle name="Comma 6 2 3 3 4 2" xfId="12251"/>
    <cellStyle name="Comma 6 2 3 3 4 2 2" xfId="18790"/>
    <cellStyle name="Comma 6 2 3 3 4 3" xfId="15938"/>
    <cellStyle name="Comma 6 2 3 3 5" xfId="9030"/>
    <cellStyle name="Comma 6 2 3 3 5 2" xfId="12822"/>
    <cellStyle name="Comma 6 2 3 3 5 2 2" xfId="19361"/>
    <cellStyle name="Comma 6 2 3 3 5 3" xfId="16509"/>
    <cellStyle name="Comma 6 2 3 3 6" xfId="3152"/>
    <cellStyle name="Comma 6 2 3 3 6 2" xfId="11109"/>
    <cellStyle name="Comma 6 2 3 3 6 2 2" xfId="17648"/>
    <cellStyle name="Comma 6 2 3 3 6 3" xfId="14796"/>
    <cellStyle name="Comma 6 2 3 3 7" xfId="2580"/>
    <cellStyle name="Comma 6 2 3 3 7 2" xfId="14228"/>
    <cellStyle name="Comma 6 2 3 3 8" xfId="10541"/>
    <cellStyle name="Comma 6 2 3 3 8 2" xfId="17080"/>
    <cellStyle name="Comma 6 2 3 3 9" xfId="13656"/>
    <cellStyle name="Comma 6 2 3 4" xfId="612"/>
    <cellStyle name="Comma 6 2 3 4 2" xfId="1747"/>
    <cellStyle name="Comma 6 2 3 4 2 2" xfId="5167"/>
    <cellStyle name="Comma 6 2 3 4 2 2 2" xfId="11851"/>
    <cellStyle name="Comma 6 2 3 4 2 2 2 2" xfId="18390"/>
    <cellStyle name="Comma 6 2 3 4 2 2 3" xfId="15538"/>
    <cellStyle name="Comma 6 2 3 4 2 3" xfId="7439"/>
    <cellStyle name="Comma 6 2 3 4 2 3 2" xfId="12422"/>
    <cellStyle name="Comma 6 2 3 4 2 3 2 2" xfId="18961"/>
    <cellStyle name="Comma 6 2 3 4 2 3 3" xfId="16109"/>
    <cellStyle name="Comma 6 2 3 4 2 4" xfId="9711"/>
    <cellStyle name="Comma 6 2 3 4 2 4 2" xfId="12993"/>
    <cellStyle name="Comma 6 2 3 4 2 4 2 2" xfId="19532"/>
    <cellStyle name="Comma 6 2 3 4 2 4 3" xfId="16680"/>
    <cellStyle name="Comma 6 2 3 4 2 5" xfId="3323"/>
    <cellStyle name="Comma 6 2 3 4 2 5 2" xfId="11280"/>
    <cellStyle name="Comma 6 2 3 4 2 5 2 2" xfId="17819"/>
    <cellStyle name="Comma 6 2 3 4 2 5 3" xfId="14967"/>
    <cellStyle name="Comma 6 2 3 4 2 6" xfId="2748"/>
    <cellStyle name="Comma 6 2 3 4 2 6 2" xfId="14396"/>
    <cellStyle name="Comma 6 2 3 4 2 7" xfId="10709"/>
    <cellStyle name="Comma 6 2 3 4 2 7 2" xfId="17248"/>
    <cellStyle name="Comma 6 2 3 4 2 8" xfId="13827"/>
    <cellStyle name="Comma 6 2 3 4 3" xfId="4032"/>
    <cellStyle name="Comma 6 2 3 4 3 2" xfId="11566"/>
    <cellStyle name="Comma 6 2 3 4 3 2 2" xfId="18105"/>
    <cellStyle name="Comma 6 2 3 4 3 3" xfId="15253"/>
    <cellStyle name="Comma 6 2 3 4 4" xfId="6304"/>
    <cellStyle name="Comma 6 2 3 4 4 2" xfId="12137"/>
    <cellStyle name="Comma 6 2 3 4 4 2 2" xfId="18676"/>
    <cellStyle name="Comma 6 2 3 4 4 3" xfId="15824"/>
    <cellStyle name="Comma 6 2 3 4 5" xfId="8576"/>
    <cellStyle name="Comma 6 2 3 4 5 2" xfId="12708"/>
    <cellStyle name="Comma 6 2 3 4 5 2 2" xfId="19247"/>
    <cellStyle name="Comma 6 2 3 4 5 3" xfId="16395"/>
    <cellStyle name="Comma 6 2 3 4 6" xfId="3038"/>
    <cellStyle name="Comma 6 2 3 4 6 2" xfId="10995"/>
    <cellStyle name="Comma 6 2 3 4 6 2 2" xfId="17534"/>
    <cellStyle name="Comma 6 2 3 4 6 3" xfId="14682"/>
    <cellStyle name="Comma 6 2 3 4 7" xfId="2468"/>
    <cellStyle name="Comma 6 2 3 4 7 2" xfId="14116"/>
    <cellStyle name="Comma 6 2 3 4 8" xfId="10429"/>
    <cellStyle name="Comma 6 2 3 4 8 2" xfId="16968"/>
    <cellStyle name="Comma 6 2 3 4 9" xfId="13542"/>
    <cellStyle name="Comma 6 2 3 5" xfId="1293"/>
    <cellStyle name="Comma 6 2 3 5 2" xfId="4713"/>
    <cellStyle name="Comma 6 2 3 5 2 2" xfId="11737"/>
    <cellStyle name="Comma 6 2 3 5 2 2 2" xfId="18276"/>
    <cellStyle name="Comma 6 2 3 5 2 3" xfId="15424"/>
    <cellStyle name="Comma 6 2 3 5 3" xfId="6985"/>
    <cellStyle name="Comma 6 2 3 5 3 2" xfId="12308"/>
    <cellStyle name="Comma 6 2 3 5 3 2 2" xfId="18847"/>
    <cellStyle name="Comma 6 2 3 5 3 3" xfId="15995"/>
    <cellStyle name="Comma 6 2 3 5 4" xfId="9257"/>
    <cellStyle name="Comma 6 2 3 5 4 2" xfId="12879"/>
    <cellStyle name="Comma 6 2 3 5 4 2 2" xfId="19418"/>
    <cellStyle name="Comma 6 2 3 5 4 3" xfId="16566"/>
    <cellStyle name="Comma 6 2 3 5 5" xfId="3209"/>
    <cellStyle name="Comma 6 2 3 5 5 2" xfId="11166"/>
    <cellStyle name="Comma 6 2 3 5 5 2 2" xfId="17705"/>
    <cellStyle name="Comma 6 2 3 5 5 3" xfId="14853"/>
    <cellStyle name="Comma 6 2 3 5 6" xfId="2636"/>
    <cellStyle name="Comma 6 2 3 5 6 2" xfId="14284"/>
    <cellStyle name="Comma 6 2 3 5 7" xfId="10597"/>
    <cellStyle name="Comma 6 2 3 5 7 2" xfId="17136"/>
    <cellStyle name="Comma 6 2 3 5 8" xfId="13713"/>
    <cellStyle name="Comma 6 2 3 6" xfId="3578"/>
    <cellStyle name="Comma 6 2 3 6 2" xfId="11452"/>
    <cellStyle name="Comma 6 2 3 6 2 2" xfId="17991"/>
    <cellStyle name="Comma 6 2 3 6 3" xfId="15139"/>
    <cellStyle name="Comma 6 2 3 7" xfId="5850"/>
    <cellStyle name="Comma 6 2 3 7 2" xfId="12023"/>
    <cellStyle name="Comma 6 2 3 7 2 2" xfId="18562"/>
    <cellStyle name="Comma 6 2 3 7 3" xfId="15710"/>
    <cellStyle name="Comma 6 2 3 8" xfId="8122"/>
    <cellStyle name="Comma 6 2 3 8 2" xfId="12594"/>
    <cellStyle name="Comma 6 2 3 8 2 2" xfId="19133"/>
    <cellStyle name="Comma 6 2 3 8 3" xfId="16281"/>
    <cellStyle name="Comma 6 2 3 9" xfId="2921"/>
    <cellStyle name="Comma 6 2 3 9 2" xfId="10880"/>
    <cellStyle name="Comma 6 2 3 9 2 2" xfId="17419"/>
    <cellStyle name="Comma 6 2 3 9 3" xfId="14567"/>
    <cellStyle name="Comma 6 2 4" xfId="273"/>
    <cellStyle name="Comma 6 2 4 10" xfId="2384"/>
    <cellStyle name="Comma 6 2 4 10 2" xfId="14032"/>
    <cellStyle name="Comma 6 2 4 11" xfId="10345"/>
    <cellStyle name="Comma 6 2 4 11 2" xfId="16884"/>
    <cellStyle name="Comma 6 2 4 12" xfId="13457"/>
    <cellStyle name="Comma 6 2 4 2" xfId="500"/>
    <cellStyle name="Comma 6 2 4 2 10" xfId="13514"/>
    <cellStyle name="Comma 6 2 4 2 2" xfId="954"/>
    <cellStyle name="Comma 6 2 4 2 2 2" xfId="2089"/>
    <cellStyle name="Comma 6 2 4 2 2 2 2" xfId="5509"/>
    <cellStyle name="Comma 6 2 4 2 2 2 2 2" xfId="11937"/>
    <cellStyle name="Comma 6 2 4 2 2 2 2 2 2" xfId="18476"/>
    <cellStyle name="Comma 6 2 4 2 2 2 2 3" xfId="15624"/>
    <cellStyle name="Comma 6 2 4 2 2 2 3" xfId="7781"/>
    <cellStyle name="Comma 6 2 4 2 2 2 3 2" xfId="12508"/>
    <cellStyle name="Comma 6 2 4 2 2 2 3 2 2" xfId="19047"/>
    <cellStyle name="Comma 6 2 4 2 2 2 3 3" xfId="16195"/>
    <cellStyle name="Comma 6 2 4 2 2 2 4" xfId="10053"/>
    <cellStyle name="Comma 6 2 4 2 2 2 4 2" xfId="13079"/>
    <cellStyle name="Comma 6 2 4 2 2 2 4 2 2" xfId="19618"/>
    <cellStyle name="Comma 6 2 4 2 2 2 4 3" xfId="16766"/>
    <cellStyle name="Comma 6 2 4 2 2 2 5" xfId="3409"/>
    <cellStyle name="Comma 6 2 4 2 2 2 5 2" xfId="11366"/>
    <cellStyle name="Comma 6 2 4 2 2 2 5 2 2" xfId="17905"/>
    <cellStyle name="Comma 6 2 4 2 2 2 5 3" xfId="15053"/>
    <cellStyle name="Comma 6 2 4 2 2 2 6" xfId="2832"/>
    <cellStyle name="Comma 6 2 4 2 2 2 6 2" xfId="14480"/>
    <cellStyle name="Comma 6 2 4 2 2 2 7" xfId="10793"/>
    <cellStyle name="Comma 6 2 4 2 2 2 7 2" xfId="17332"/>
    <cellStyle name="Comma 6 2 4 2 2 2 8" xfId="13913"/>
    <cellStyle name="Comma 6 2 4 2 2 3" xfId="4374"/>
    <cellStyle name="Comma 6 2 4 2 2 3 2" xfId="11652"/>
    <cellStyle name="Comma 6 2 4 2 2 3 2 2" xfId="18191"/>
    <cellStyle name="Comma 6 2 4 2 2 3 3" xfId="15339"/>
    <cellStyle name="Comma 6 2 4 2 2 4" xfId="6646"/>
    <cellStyle name="Comma 6 2 4 2 2 4 2" xfId="12223"/>
    <cellStyle name="Comma 6 2 4 2 2 4 2 2" xfId="18762"/>
    <cellStyle name="Comma 6 2 4 2 2 4 3" xfId="15910"/>
    <cellStyle name="Comma 6 2 4 2 2 5" xfId="8918"/>
    <cellStyle name="Comma 6 2 4 2 2 5 2" xfId="12794"/>
    <cellStyle name="Comma 6 2 4 2 2 5 2 2" xfId="19333"/>
    <cellStyle name="Comma 6 2 4 2 2 5 3" xfId="16481"/>
    <cellStyle name="Comma 6 2 4 2 2 6" xfId="3124"/>
    <cellStyle name="Comma 6 2 4 2 2 6 2" xfId="11081"/>
    <cellStyle name="Comma 6 2 4 2 2 6 2 2" xfId="17620"/>
    <cellStyle name="Comma 6 2 4 2 2 6 3" xfId="14768"/>
    <cellStyle name="Comma 6 2 4 2 2 7" xfId="2552"/>
    <cellStyle name="Comma 6 2 4 2 2 7 2" xfId="14200"/>
    <cellStyle name="Comma 6 2 4 2 2 8" xfId="10513"/>
    <cellStyle name="Comma 6 2 4 2 2 8 2" xfId="17052"/>
    <cellStyle name="Comma 6 2 4 2 2 9" xfId="13628"/>
    <cellStyle name="Comma 6 2 4 2 3" xfId="1635"/>
    <cellStyle name="Comma 6 2 4 2 3 2" xfId="5055"/>
    <cellStyle name="Comma 6 2 4 2 3 2 2" xfId="11823"/>
    <cellStyle name="Comma 6 2 4 2 3 2 2 2" xfId="18362"/>
    <cellStyle name="Comma 6 2 4 2 3 2 3" xfId="15510"/>
    <cellStyle name="Comma 6 2 4 2 3 3" xfId="7327"/>
    <cellStyle name="Comma 6 2 4 2 3 3 2" xfId="12394"/>
    <cellStyle name="Comma 6 2 4 2 3 3 2 2" xfId="18933"/>
    <cellStyle name="Comma 6 2 4 2 3 3 3" xfId="16081"/>
    <cellStyle name="Comma 6 2 4 2 3 4" xfId="9599"/>
    <cellStyle name="Comma 6 2 4 2 3 4 2" xfId="12965"/>
    <cellStyle name="Comma 6 2 4 2 3 4 2 2" xfId="19504"/>
    <cellStyle name="Comma 6 2 4 2 3 4 3" xfId="16652"/>
    <cellStyle name="Comma 6 2 4 2 3 5" xfId="3295"/>
    <cellStyle name="Comma 6 2 4 2 3 5 2" xfId="11252"/>
    <cellStyle name="Comma 6 2 4 2 3 5 2 2" xfId="17791"/>
    <cellStyle name="Comma 6 2 4 2 3 5 3" xfId="14939"/>
    <cellStyle name="Comma 6 2 4 2 3 6" xfId="2720"/>
    <cellStyle name="Comma 6 2 4 2 3 6 2" xfId="14368"/>
    <cellStyle name="Comma 6 2 4 2 3 7" xfId="10681"/>
    <cellStyle name="Comma 6 2 4 2 3 7 2" xfId="17220"/>
    <cellStyle name="Comma 6 2 4 2 3 8" xfId="13799"/>
    <cellStyle name="Comma 6 2 4 2 4" xfId="3920"/>
    <cellStyle name="Comma 6 2 4 2 4 2" xfId="11538"/>
    <cellStyle name="Comma 6 2 4 2 4 2 2" xfId="18077"/>
    <cellStyle name="Comma 6 2 4 2 4 3" xfId="15225"/>
    <cellStyle name="Comma 6 2 4 2 5" xfId="6192"/>
    <cellStyle name="Comma 6 2 4 2 5 2" xfId="12109"/>
    <cellStyle name="Comma 6 2 4 2 5 2 2" xfId="18648"/>
    <cellStyle name="Comma 6 2 4 2 5 3" xfId="15796"/>
    <cellStyle name="Comma 6 2 4 2 6" xfId="8464"/>
    <cellStyle name="Comma 6 2 4 2 6 2" xfId="12680"/>
    <cellStyle name="Comma 6 2 4 2 6 2 2" xfId="19219"/>
    <cellStyle name="Comma 6 2 4 2 6 3" xfId="16367"/>
    <cellStyle name="Comma 6 2 4 2 7" xfId="3010"/>
    <cellStyle name="Comma 6 2 4 2 7 2" xfId="10967"/>
    <cellStyle name="Comma 6 2 4 2 7 2 2" xfId="17506"/>
    <cellStyle name="Comma 6 2 4 2 7 3" xfId="14654"/>
    <cellStyle name="Comma 6 2 4 2 8" xfId="2440"/>
    <cellStyle name="Comma 6 2 4 2 8 2" xfId="14088"/>
    <cellStyle name="Comma 6 2 4 2 9" xfId="10401"/>
    <cellStyle name="Comma 6 2 4 2 9 2" xfId="16940"/>
    <cellStyle name="Comma 6 2 4 3" xfId="1181"/>
    <cellStyle name="Comma 6 2 4 3 2" xfId="2316"/>
    <cellStyle name="Comma 6 2 4 3 2 2" xfId="5736"/>
    <cellStyle name="Comma 6 2 4 3 2 2 2" xfId="11994"/>
    <cellStyle name="Comma 6 2 4 3 2 2 2 2" xfId="18533"/>
    <cellStyle name="Comma 6 2 4 3 2 2 3" xfId="15681"/>
    <cellStyle name="Comma 6 2 4 3 2 3" xfId="8008"/>
    <cellStyle name="Comma 6 2 4 3 2 3 2" xfId="12565"/>
    <cellStyle name="Comma 6 2 4 3 2 3 2 2" xfId="19104"/>
    <cellStyle name="Comma 6 2 4 3 2 3 3" xfId="16252"/>
    <cellStyle name="Comma 6 2 4 3 2 4" xfId="10280"/>
    <cellStyle name="Comma 6 2 4 3 2 4 2" xfId="13136"/>
    <cellStyle name="Comma 6 2 4 3 2 4 2 2" xfId="19675"/>
    <cellStyle name="Comma 6 2 4 3 2 4 3" xfId="16823"/>
    <cellStyle name="Comma 6 2 4 3 2 5" xfId="3466"/>
    <cellStyle name="Comma 6 2 4 3 2 5 2" xfId="11423"/>
    <cellStyle name="Comma 6 2 4 3 2 5 2 2" xfId="17962"/>
    <cellStyle name="Comma 6 2 4 3 2 5 3" xfId="15110"/>
    <cellStyle name="Comma 6 2 4 3 2 6" xfId="2888"/>
    <cellStyle name="Comma 6 2 4 3 2 6 2" xfId="14536"/>
    <cellStyle name="Comma 6 2 4 3 2 7" xfId="10849"/>
    <cellStyle name="Comma 6 2 4 3 2 7 2" xfId="17388"/>
    <cellStyle name="Comma 6 2 4 3 2 8" xfId="13970"/>
    <cellStyle name="Comma 6 2 4 3 3" xfId="4601"/>
    <cellStyle name="Comma 6 2 4 3 3 2" xfId="11709"/>
    <cellStyle name="Comma 6 2 4 3 3 2 2" xfId="18248"/>
    <cellStyle name="Comma 6 2 4 3 3 3" xfId="15396"/>
    <cellStyle name="Comma 6 2 4 3 4" xfId="6873"/>
    <cellStyle name="Comma 6 2 4 3 4 2" xfId="12280"/>
    <cellStyle name="Comma 6 2 4 3 4 2 2" xfId="18819"/>
    <cellStyle name="Comma 6 2 4 3 4 3" xfId="15967"/>
    <cellStyle name="Comma 6 2 4 3 5" xfId="9145"/>
    <cellStyle name="Comma 6 2 4 3 5 2" xfId="12851"/>
    <cellStyle name="Comma 6 2 4 3 5 2 2" xfId="19390"/>
    <cellStyle name="Comma 6 2 4 3 5 3" xfId="16538"/>
    <cellStyle name="Comma 6 2 4 3 6" xfId="3181"/>
    <cellStyle name="Comma 6 2 4 3 6 2" xfId="11138"/>
    <cellStyle name="Comma 6 2 4 3 6 2 2" xfId="17677"/>
    <cellStyle name="Comma 6 2 4 3 6 3" xfId="14825"/>
    <cellStyle name="Comma 6 2 4 3 7" xfId="2608"/>
    <cellStyle name="Comma 6 2 4 3 7 2" xfId="14256"/>
    <cellStyle name="Comma 6 2 4 3 8" xfId="10569"/>
    <cellStyle name="Comma 6 2 4 3 8 2" xfId="17108"/>
    <cellStyle name="Comma 6 2 4 3 9" xfId="13685"/>
    <cellStyle name="Comma 6 2 4 4" xfId="727"/>
    <cellStyle name="Comma 6 2 4 4 2" xfId="1862"/>
    <cellStyle name="Comma 6 2 4 4 2 2" xfId="5282"/>
    <cellStyle name="Comma 6 2 4 4 2 2 2" xfId="11880"/>
    <cellStyle name="Comma 6 2 4 4 2 2 2 2" xfId="18419"/>
    <cellStyle name="Comma 6 2 4 4 2 2 3" xfId="15567"/>
    <cellStyle name="Comma 6 2 4 4 2 3" xfId="7554"/>
    <cellStyle name="Comma 6 2 4 4 2 3 2" xfId="12451"/>
    <cellStyle name="Comma 6 2 4 4 2 3 2 2" xfId="18990"/>
    <cellStyle name="Comma 6 2 4 4 2 3 3" xfId="16138"/>
    <cellStyle name="Comma 6 2 4 4 2 4" xfId="9826"/>
    <cellStyle name="Comma 6 2 4 4 2 4 2" xfId="13022"/>
    <cellStyle name="Comma 6 2 4 4 2 4 2 2" xfId="19561"/>
    <cellStyle name="Comma 6 2 4 4 2 4 3" xfId="16709"/>
    <cellStyle name="Comma 6 2 4 4 2 5" xfId="3352"/>
    <cellStyle name="Comma 6 2 4 4 2 5 2" xfId="11309"/>
    <cellStyle name="Comma 6 2 4 4 2 5 2 2" xfId="17848"/>
    <cellStyle name="Comma 6 2 4 4 2 5 3" xfId="14996"/>
    <cellStyle name="Comma 6 2 4 4 2 6" xfId="2776"/>
    <cellStyle name="Comma 6 2 4 4 2 6 2" xfId="14424"/>
    <cellStyle name="Comma 6 2 4 4 2 7" xfId="10737"/>
    <cellStyle name="Comma 6 2 4 4 2 7 2" xfId="17276"/>
    <cellStyle name="Comma 6 2 4 4 2 8" xfId="13856"/>
    <cellStyle name="Comma 6 2 4 4 3" xfId="4147"/>
    <cellStyle name="Comma 6 2 4 4 3 2" xfId="11595"/>
    <cellStyle name="Comma 6 2 4 4 3 2 2" xfId="18134"/>
    <cellStyle name="Comma 6 2 4 4 3 3" xfId="15282"/>
    <cellStyle name="Comma 6 2 4 4 4" xfId="6419"/>
    <cellStyle name="Comma 6 2 4 4 4 2" xfId="12166"/>
    <cellStyle name="Comma 6 2 4 4 4 2 2" xfId="18705"/>
    <cellStyle name="Comma 6 2 4 4 4 3" xfId="15853"/>
    <cellStyle name="Comma 6 2 4 4 5" xfId="8691"/>
    <cellStyle name="Comma 6 2 4 4 5 2" xfId="12737"/>
    <cellStyle name="Comma 6 2 4 4 5 2 2" xfId="19276"/>
    <cellStyle name="Comma 6 2 4 4 5 3" xfId="16424"/>
    <cellStyle name="Comma 6 2 4 4 6" xfId="3067"/>
    <cellStyle name="Comma 6 2 4 4 6 2" xfId="11024"/>
    <cellStyle name="Comma 6 2 4 4 6 2 2" xfId="17563"/>
    <cellStyle name="Comma 6 2 4 4 6 3" xfId="14711"/>
    <cellStyle name="Comma 6 2 4 4 7" xfId="2496"/>
    <cellStyle name="Comma 6 2 4 4 7 2" xfId="14144"/>
    <cellStyle name="Comma 6 2 4 4 8" xfId="10457"/>
    <cellStyle name="Comma 6 2 4 4 8 2" xfId="16996"/>
    <cellStyle name="Comma 6 2 4 4 9" xfId="13571"/>
    <cellStyle name="Comma 6 2 4 5" xfId="1408"/>
    <cellStyle name="Comma 6 2 4 5 2" xfId="4828"/>
    <cellStyle name="Comma 6 2 4 5 2 2" xfId="11766"/>
    <cellStyle name="Comma 6 2 4 5 2 2 2" xfId="18305"/>
    <cellStyle name="Comma 6 2 4 5 2 3" xfId="15453"/>
    <cellStyle name="Comma 6 2 4 5 3" xfId="7100"/>
    <cellStyle name="Comma 6 2 4 5 3 2" xfId="12337"/>
    <cellStyle name="Comma 6 2 4 5 3 2 2" xfId="18876"/>
    <cellStyle name="Comma 6 2 4 5 3 3" xfId="16024"/>
    <cellStyle name="Comma 6 2 4 5 4" xfId="9372"/>
    <cellStyle name="Comma 6 2 4 5 4 2" xfId="12908"/>
    <cellStyle name="Comma 6 2 4 5 4 2 2" xfId="19447"/>
    <cellStyle name="Comma 6 2 4 5 4 3" xfId="16595"/>
    <cellStyle name="Comma 6 2 4 5 5" xfId="3238"/>
    <cellStyle name="Comma 6 2 4 5 5 2" xfId="11195"/>
    <cellStyle name="Comma 6 2 4 5 5 2 2" xfId="17734"/>
    <cellStyle name="Comma 6 2 4 5 5 3" xfId="14882"/>
    <cellStyle name="Comma 6 2 4 5 6" xfId="2664"/>
    <cellStyle name="Comma 6 2 4 5 6 2" xfId="14312"/>
    <cellStyle name="Comma 6 2 4 5 7" xfId="10625"/>
    <cellStyle name="Comma 6 2 4 5 7 2" xfId="17164"/>
    <cellStyle name="Comma 6 2 4 5 8" xfId="13742"/>
    <cellStyle name="Comma 6 2 4 6" xfId="3693"/>
    <cellStyle name="Comma 6 2 4 6 2" xfId="11481"/>
    <cellStyle name="Comma 6 2 4 6 2 2" xfId="18020"/>
    <cellStyle name="Comma 6 2 4 6 3" xfId="15168"/>
    <cellStyle name="Comma 6 2 4 7" xfId="5965"/>
    <cellStyle name="Comma 6 2 4 7 2" xfId="12052"/>
    <cellStyle name="Comma 6 2 4 7 2 2" xfId="18591"/>
    <cellStyle name="Comma 6 2 4 7 3" xfId="15739"/>
    <cellStyle name="Comma 6 2 4 8" xfId="8237"/>
    <cellStyle name="Comma 6 2 4 8 2" xfId="12623"/>
    <cellStyle name="Comma 6 2 4 8 2 2" xfId="19162"/>
    <cellStyle name="Comma 6 2 4 8 3" xfId="16310"/>
    <cellStyle name="Comma 6 2 4 9" xfId="2953"/>
    <cellStyle name="Comma 6 2 4 9 2" xfId="10910"/>
    <cellStyle name="Comma 6 2 4 9 2 2" xfId="17449"/>
    <cellStyle name="Comma 6 2 4 9 3" xfId="14597"/>
    <cellStyle name="Comma 6 2 5" xfId="329"/>
    <cellStyle name="Comma 6 2 5 10" xfId="13471"/>
    <cellStyle name="Comma 6 2 5 2" xfId="783"/>
    <cellStyle name="Comma 6 2 5 2 2" xfId="1918"/>
    <cellStyle name="Comma 6 2 5 2 2 2" xfId="5338"/>
    <cellStyle name="Comma 6 2 5 2 2 2 2" xfId="11894"/>
    <cellStyle name="Comma 6 2 5 2 2 2 2 2" xfId="18433"/>
    <cellStyle name="Comma 6 2 5 2 2 2 3" xfId="15581"/>
    <cellStyle name="Comma 6 2 5 2 2 3" xfId="7610"/>
    <cellStyle name="Comma 6 2 5 2 2 3 2" xfId="12465"/>
    <cellStyle name="Comma 6 2 5 2 2 3 2 2" xfId="19004"/>
    <cellStyle name="Comma 6 2 5 2 2 3 3" xfId="16152"/>
    <cellStyle name="Comma 6 2 5 2 2 4" xfId="9882"/>
    <cellStyle name="Comma 6 2 5 2 2 4 2" xfId="13036"/>
    <cellStyle name="Comma 6 2 5 2 2 4 2 2" xfId="19575"/>
    <cellStyle name="Comma 6 2 5 2 2 4 3" xfId="16723"/>
    <cellStyle name="Comma 6 2 5 2 2 5" xfId="3366"/>
    <cellStyle name="Comma 6 2 5 2 2 5 2" xfId="11323"/>
    <cellStyle name="Comma 6 2 5 2 2 5 2 2" xfId="17862"/>
    <cellStyle name="Comma 6 2 5 2 2 5 3" xfId="15010"/>
    <cellStyle name="Comma 6 2 5 2 2 6" xfId="2790"/>
    <cellStyle name="Comma 6 2 5 2 2 6 2" xfId="14438"/>
    <cellStyle name="Comma 6 2 5 2 2 7" xfId="10751"/>
    <cellStyle name="Comma 6 2 5 2 2 7 2" xfId="17290"/>
    <cellStyle name="Comma 6 2 5 2 2 8" xfId="13870"/>
    <cellStyle name="Comma 6 2 5 2 3" xfId="4203"/>
    <cellStyle name="Comma 6 2 5 2 3 2" xfId="11609"/>
    <cellStyle name="Comma 6 2 5 2 3 2 2" xfId="18148"/>
    <cellStyle name="Comma 6 2 5 2 3 3" xfId="15296"/>
    <cellStyle name="Comma 6 2 5 2 4" xfId="6475"/>
    <cellStyle name="Comma 6 2 5 2 4 2" xfId="12180"/>
    <cellStyle name="Comma 6 2 5 2 4 2 2" xfId="18719"/>
    <cellStyle name="Comma 6 2 5 2 4 3" xfId="15867"/>
    <cellStyle name="Comma 6 2 5 2 5" xfId="8747"/>
    <cellStyle name="Comma 6 2 5 2 5 2" xfId="12751"/>
    <cellStyle name="Comma 6 2 5 2 5 2 2" xfId="19290"/>
    <cellStyle name="Comma 6 2 5 2 5 3" xfId="16438"/>
    <cellStyle name="Comma 6 2 5 2 6" xfId="3081"/>
    <cellStyle name="Comma 6 2 5 2 6 2" xfId="11038"/>
    <cellStyle name="Comma 6 2 5 2 6 2 2" xfId="17577"/>
    <cellStyle name="Comma 6 2 5 2 6 3" xfId="14725"/>
    <cellStyle name="Comma 6 2 5 2 7" xfId="2510"/>
    <cellStyle name="Comma 6 2 5 2 7 2" xfId="14158"/>
    <cellStyle name="Comma 6 2 5 2 8" xfId="10471"/>
    <cellStyle name="Comma 6 2 5 2 8 2" xfId="17010"/>
    <cellStyle name="Comma 6 2 5 2 9" xfId="13585"/>
    <cellStyle name="Comma 6 2 5 3" xfId="1464"/>
    <cellStyle name="Comma 6 2 5 3 2" xfId="4884"/>
    <cellStyle name="Comma 6 2 5 3 2 2" xfId="11780"/>
    <cellStyle name="Comma 6 2 5 3 2 2 2" xfId="18319"/>
    <cellStyle name="Comma 6 2 5 3 2 3" xfId="15467"/>
    <cellStyle name="Comma 6 2 5 3 3" xfId="7156"/>
    <cellStyle name="Comma 6 2 5 3 3 2" xfId="12351"/>
    <cellStyle name="Comma 6 2 5 3 3 2 2" xfId="18890"/>
    <cellStyle name="Comma 6 2 5 3 3 3" xfId="16038"/>
    <cellStyle name="Comma 6 2 5 3 4" xfId="9428"/>
    <cellStyle name="Comma 6 2 5 3 4 2" xfId="12922"/>
    <cellStyle name="Comma 6 2 5 3 4 2 2" xfId="19461"/>
    <cellStyle name="Comma 6 2 5 3 4 3" xfId="16609"/>
    <cellStyle name="Comma 6 2 5 3 5" xfId="3252"/>
    <cellStyle name="Comma 6 2 5 3 5 2" xfId="11209"/>
    <cellStyle name="Comma 6 2 5 3 5 2 2" xfId="17748"/>
    <cellStyle name="Comma 6 2 5 3 5 3" xfId="14896"/>
    <cellStyle name="Comma 6 2 5 3 6" xfId="2678"/>
    <cellStyle name="Comma 6 2 5 3 6 2" xfId="14326"/>
    <cellStyle name="Comma 6 2 5 3 7" xfId="10639"/>
    <cellStyle name="Comma 6 2 5 3 7 2" xfId="17178"/>
    <cellStyle name="Comma 6 2 5 3 8" xfId="13756"/>
    <cellStyle name="Comma 6 2 5 4" xfId="3749"/>
    <cellStyle name="Comma 6 2 5 4 2" xfId="11495"/>
    <cellStyle name="Comma 6 2 5 4 2 2" xfId="18034"/>
    <cellStyle name="Comma 6 2 5 4 3" xfId="15182"/>
    <cellStyle name="Comma 6 2 5 5" xfId="6021"/>
    <cellStyle name="Comma 6 2 5 5 2" xfId="12066"/>
    <cellStyle name="Comma 6 2 5 5 2 2" xfId="18605"/>
    <cellStyle name="Comma 6 2 5 5 3" xfId="15753"/>
    <cellStyle name="Comma 6 2 5 6" xfId="8293"/>
    <cellStyle name="Comma 6 2 5 6 2" xfId="12637"/>
    <cellStyle name="Comma 6 2 5 6 2 2" xfId="19176"/>
    <cellStyle name="Comma 6 2 5 6 3" xfId="16324"/>
    <cellStyle name="Comma 6 2 5 7" xfId="2967"/>
    <cellStyle name="Comma 6 2 5 7 2" xfId="10924"/>
    <cellStyle name="Comma 6 2 5 7 2 2" xfId="17463"/>
    <cellStyle name="Comma 6 2 5 7 3" xfId="14611"/>
    <cellStyle name="Comma 6 2 5 8" xfId="2398"/>
    <cellStyle name="Comma 6 2 5 8 2" xfId="14046"/>
    <cellStyle name="Comma 6 2 5 9" xfId="10359"/>
    <cellStyle name="Comma 6 2 5 9 2" xfId="16898"/>
    <cellStyle name="Comma 6 2 6" xfId="1010"/>
    <cellStyle name="Comma 6 2 6 2" xfId="2145"/>
    <cellStyle name="Comma 6 2 6 2 2" xfId="5565"/>
    <cellStyle name="Comma 6 2 6 2 2 2" xfId="11951"/>
    <cellStyle name="Comma 6 2 6 2 2 2 2" xfId="18490"/>
    <cellStyle name="Comma 6 2 6 2 2 3" xfId="15638"/>
    <cellStyle name="Comma 6 2 6 2 3" xfId="7837"/>
    <cellStyle name="Comma 6 2 6 2 3 2" xfId="12522"/>
    <cellStyle name="Comma 6 2 6 2 3 2 2" xfId="19061"/>
    <cellStyle name="Comma 6 2 6 2 3 3" xfId="16209"/>
    <cellStyle name="Comma 6 2 6 2 4" xfId="10109"/>
    <cellStyle name="Comma 6 2 6 2 4 2" xfId="13093"/>
    <cellStyle name="Comma 6 2 6 2 4 2 2" xfId="19632"/>
    <cellStyle name="Comma 6 2 6 2 4 3" xfId="16780"/>
    <cellStyle name="Comma 6 2 6 2 5" xfId="3423"/>
    <cellStyle name="Comma 6 2 6 2 5 2" xfId="11380"/>
    <cellStyle name="Comma 6 2 6 2 5 2 2" xfId="17919"/>
    <cellStyle name="Comma 6 2 6 2 5 3" xfId="15067"/>
    <cellStyle name="Comma 6 2 6 2 6" xfId="2846"/>
    <cellStyle name="Comma 6 2 6 2 6 2" xfId="14494"/>
    <cellStyle name="Comma 6 2 6 2 7" xfId="10807"/>
    <cellStyle name="Comma 6 2 6 2 7 2" xfId="17346"/>
    <cellStyle name="Comma 6 2 6 2 8" xfId="13927"/>
    <cellStyle name="Comma 6 2 6 3" xfId="4430"/>
    <cellStyle name="Comma 6 2 6 3 2" xfId="11666"/>
    <cellStyle name="Comma 6 2 6 3 2 2" xfId="18205"/>
    <cellStyle name="Comma 6 2 6 3 3" xfId="15353"/>
    <cellStyle name="Comma 6 2 6 4" xfId="6702"/>
    <cellStyle name="Comma 6 2 6 4 2" xfId="12237"/>
    <cellStyle name="Comma 6 2 6 4 2 2" xfId="18776"/>
    <cellStyle name="Comma 6 2 6 4 3" xfId="15924"/>
    <cellStyle name="Comma 6 2 6 5" xfId="8974"/>
    <cellStyle name="Comma 6 2 6 5 2" xfId="12808"/>
    <cellStyle name="Comma 6 2 6 5 2 2" xfId="19347"/>
    <cellStyle name="Comma 6 2 6 5 3" xfId="16495"/>
    <cellStyle name="Comma 6 2 6 6" xfId="3138"/>
    <cellStyle name="Comma 6 2 6 6 2" xfId="11095"/>
    <cellStyle name="Comma 6 2 6 6 2 2" xfId="17634"/>
    <cellStyle name="Comma 6 2 6 6 3" xfId="14782"/>
    <cellStyle name="Comma 6 2 6 7" xfId="2566"/>
    <cellStyle name="Comma 6 2 6 7 2" xfId="14214"/>
    <cellStyle name="Comma 6 2 6 8" xfId="10527"/>
    <cellStyle name="Comma 6 2 6 8 2" xfId="17066"/>
    <cellStyle name="Comma 6 2 6 9" xfId="13642"/>
    <cellStyle name="Comma 6 2 7" xfId="556"/>
    <cellStyle name="Comma 6 2 7 2" xfId="1691"/>
    <cellStyle name="Comma 6 2 7 2 2" xfId="5111"/>
    <cellStyle name="Comma 6 2 7 2 2 2" xfId="11837"/>
    <cellStyle name="Comma 6 2 7 2 2 2 2" xfId="18376"/>
    <cellStyle name="Comma 6 2 7 2 2 3" xfId="15524"/>
    <cellStyle name="Comma 6 2 7 2 3" xfId="7383"/>
    <cellStyle name="Comma 6 2 7 2 3 2" xfId="12408"/>
    <cellStyle name="Comma 6 2 7 2 3 2 2" xfId="18947"/>
    <cellStyle name="Comma 6 2 7 2 3 3" xfId="16095"/>
    <cellStyle name="Comma 6 2 7 2 4" xfId="9655"/>
    <cellStyle name="Comma 6 2 7 2 4 2" xfId="12979"/>
    <cellStyle name="Comma 6 2 7 2 4 2 2" xfId="19518"/>
    <cellStyle name="Comma 6 2 7 2 4 3" xfId="16666"/>
    <cellStyle name="Comma 6 2 7 2 5" xfId="3309"/>
    <cellStyle name="Comma 6 2 7 2 5 2" xfId="11266"/>
    <cellStyle name="Comma 6 2 7 2 5 2 2" xfId="17805"/>
    <cellStyle name="Comma 6 2 7 2 5 3" xfId="14953"/>
    <cellStyle name="Comma 6 2 7 2 6" xfId="2734"/>
    <cellStyle name="Comma 6 2 7 2 6 2" xfId="14382"/>
    <cellStyle name="Comma 6 2 7 2 7" xfId="10695"/>
    <cellStyle name="Comma 6 2 7 2 7 2" xfId="17234"/>
    <cellStyle name="Comma 6 2 7 2 8" xfId="13813"/>
    <cellStyle name="Comma 6 2 7 3" xfId="3976"/>
    <cellStyle name="Comma 6 2 7 3 2" xfId="11552"/>
    <cellStyle name="Comma 6 2 7 3 2 2" xfId="18091"/>
    <cellStyle name="Comma 6 2 7 3 3" xfId="15239"/>
    <cellStyle name="Comma 6 2 7 4" xfId="6248"/>
    <cellStyle name="Comma 6 2 7 4 2" xfId="12123"/>
    <cellStyle name="Comma 6 2 7 4 2 2" xfId="18662"/>
    <cellStyle name="Comma 6 2 7 4 3" xfId="15810"/>
    <cellStyle name="Comma 6 2 7 5" xfId="8520"/>
    <cellStyle name="Comma 6 2 7 5 2" xfId="12694"/>
    <cellStyle name="Comma 6 2 7 5 2 2" xfId="19233"/>
    <cellStyle name="Comma 6 2 7 5 3" xfId="16381"/>
    <cellStyle name="Comma 6 2 7 6" xfId="3024"/>
    <cellStyle name="Comma 6 2 7 6 2" xfId="10981"/>
    <cellStyle name="Comma 6 2 7 6 2 2" xfId="17520"/>
    <cellStyle name="Comma 6 2 7 6 3" xfId="14668"/>
    <cellStyle name="Comma 6 2 7 7" xfId="2454"/>
    <cellStyle name="Comma 6 2 7 7 2" xfId="14102"/>
    <cellStyle name="Comma 6 2 7 8" xfId="10415"/>
    <cellStyle name="Comma 6 2 7 8 2" xfId="16954"/>
    <cellStyle name="Comma 6 2 7 9" xfId="13528"/>
    <cellStyle name="Comma 6 2 8" xfId="1237"/>
    <cellStyle name="Comma 6 2 8 2" xfId="4657"/>
    <cellStyle name="Comma 6 2 8 2 2" xfId="11723"/>
    <cellStyle name="Comma 6 2 8 2 2 2" xfId="18262"/>
    <cellStyle name="Comma 6 2 8 2 3" xfId="15410"/>
    <cellStyle name="Comma 6 2 8 3" xfId="6929"/>
    <cellStyle name="Comma 6 2 8 3 2" xfId="12294"/>
    <cellStyle name="Comma 6 2 8 3 2 2" xfId="18833"/>
    <cellStyle name="Comma 6 2 8 3 3" xfId="15981"/>
    <cellStyle name="Comma 6 2 8 4" xfId="9201"/>
    <cellStyle name="Comma 6 2 8 4 2" xfId="12865"/>
    <cellStyle name="Comma 6 2 8 4 2 2" xfId="19404"/>
    <cellStyle name="Comma 6 2 8 4 3" xfId="16552"/>
    <cellStyle name="Comma 6 2 8 5" xfId="3195"/>
    <cellStyle name="Comma 6 2 8 5 2" xfId="11152"/>
    <cellStyle name="Comma 6 2 8 5 2 2" xfId="17691"/>
    <cellStyle name="Comma 6 2 8 5 3" xfId="14839"/>
    <cellStyle name="Comma 6 2 8 6" xfId="2622"/>
    <cellStyle name="Comma 6 2 8 6 2" xfId="14270"/>
    <cellStyle name="Comma 6 2 8 7" xfId="10583"/>
    <cellStyle name="Comma 6 2 8 7 2" xfId="17122"/>
    <cellStyle name="Comma 6 2 8 8" xfId="13699"/>
    <cellStyle name="Comma 6 2 9" xfId="3522"/>
    <cellStyle name="Comma 6 2 9 2" xfId="11438"/>
    <cellStyle name="Comma 6 2 9 2 2" xfId="17977"/>
    <cellStyle name="Comma 6 2 9 3" xfId="15125"/>
    <cellStyle name="Comma 6 3" xfId="175"/>
    <cellStyle name="Comma 6 3 10" xfId="2362"/>
    <cellStyle name="Comma 6 3 10 2" xfId="14010"/>
    <cellStyle name="Comma 6 3 11" xfId="10323"/>
    <cellStyle name="Comma 6 3 11 2" xfId="16862"/>
    <cellStyle name="Comma 6 3 12" xfId="13434"/>
    <cellStyle name="Comma 6 3 13" xfId="20202"/>
    <cellStyle name="Comma 6 3 2" xfId="413"/>
    <cellStyle name="Comma 6 3 2 10" xfId="13492"/>
    <cellStyle name="Comma 6 3 2 2" xfId="867"/>
    <cellStyle name="Comma 6 3 2 2 2" xfId="2002"/>
    <cellStyle name="Comma 6 3 2 2 2 2" xfId="5422"/>
    <cellStyle name="Comma 6 3 2 2 2 2 2" xfId="11915"/>
    <cellStyle name="Comma 6 3 2 2 2 2 2 2" xfId="18454"/>
    <cellStyle name="Comma 6 3 2 2 2 2 3" xfId="15602"/>
    <cellStyle name="Comma 6 3 2 2 2 3" xfId="7694"/>
    <cellStyle name="Comma 6 3 2 2 2 3 2" xfId="12486"/>
    <cellStyle name="Comma 6 3 2 2 2 3 2 2" xfId="19025"/>
    <cellStyle name="Comma 6 3 2 2 2 3 3" xfId="16173"/>
    <cellStyle name="Comma 6 3 2 2 2 4" xfId="9966"/>
    <cellStyle name="Comma 6 3 2 2 2 4 2" xfId="13057"/>
    <cellStyle name="Comma 6 3 2 2 2 4 2 2" xfId="19596"/>
    <cellStyle name="Comma 6 3 2 2 2 4 3" xfId="16744"/>
    <cellStyle name="Comma 6 3 2 2 2 5" xfId="3387"/>
    <cellStyle name="Comma 6 3 2 2 2 5 2" xfId="11344"/>
    <cellStyle name="Comma 6 3 2 2 2 5 2 2" xfId="17883"/>
    <cellStyle name="Comma 6 3 2 2 2 5 3" xfId="15031"/>
    <cellStyle name="Comma 6 3 2 2 2 6" xfId="2811"/>
    <cellStyle name="Comma 6 3 2 2 2 6 2" xfId="14459"/>
    <cellStyle name="Comma 6 3 2 2 2 7" xfId="10772"/>
    <cellStyle name="Comma 6 3 2 2 2 7 2" xfId="17311"/>
    <cellStyle name="Comma 6 3 2 2 2 8" xfId="13891"/>
    <cellStyle name="Comma 6 3 2 2 3" xfId="4287"/>
    <cellStyle name="Comma 6 3 2 2 3 2" xfId="11630"/>
    <cellStyle name="Comma 6 3 2 2 3 2 2" xfId="18169"/>
    <cellStyle name="Comma 6 3 2 2 3 3" xfId="15317"/>
    <cellStyle name="Comma 6 3 2 2 4" xfId="6559"/>
    <cellStyle name="Comma 6 3 2 2 4 2" xfId="12201"/>
    <cellStyle name="Comma 6 3 2 2 4 2 2" xfId="18740"/>
    <cellStyle name="Comma 6 3 2 2 4 3" xfId="15888"/>
    <cellStyle name="Comma 6 3 2 2 5" xfId="8831"/>
    <cellStyle name="Comma 6 3 2 2 5 2" xfId="12772"/>
    <cellStyle name="Comma 6 3 2 2 5 2 2" xfId="19311"/>
    <cellStyle name="Comma 6 3 2 2 5 3" xfId="16459"/>
    <cellStyle name="Comma 6 3 2 2 6" xfId="3102"/>
    <cellStyle name="Comma 6 3 2 2 6 2" xfId="11059"/>
    <cellStyle name="Comma 6 3 2 2 6 2 2" xfId="17598"/>
    <cellStyle name="Comma 6 3 2 2 6 3" xfId="14746"/>
    <cellStyle name="Comma 6 3 2 2 7" xfId="2531"/>
    <cellStyle name="Comma 6 3 2 2 7 2" xfId="14179"/>
    <cellStyle name="Comma 6 3 2 2 8" xfId="10492"/>
    <cellStyle name="Comma 6 3 2 2 8 2" xfId="17031"/>
    <cellStyle name="Comma 6 3 2 2 9" xfId="13606"/>
    <cellStyle name="Comma 6 3 2 3" xfId="1548"/>
    <cellStyle name="Comma 6 3 2 3 2" xfId="4968"/>
    <cellStyle name="Comma 6 3 2 3 2 2" xfId="11801"/>
    <cellStyle name="Comma 6 3 2 3 2 2 2" xfId="18340"/>
    <cellStyle name="Comma 6 3 2 3 2 3" xfId="15488"/>
    <cellStyle name="Comma 6 3 2 3 3" xfId="7240"/>
    <cellStyle name="Comma 6 3 2 3 3 2" xfId="12372"/>
    <cellStyle name="Comma 6 3 2 3 3 2 2" xfId="18911"/>
    <cellStyle name="Comma 6 3 2 3 3 3" xfId="16059"/>
    <cellStyle name="Comma 6 3 2 3 4" xfId="9512"/>
    <cellStyle name="Comma 6 3 2 3 4 2" xfId="12943"/>
    <cellStyle name="Comma 6 3 2 3 4 2 2" xfId="19482"/>
    <cellStyle name="Comma 6 3 2 3 4 3" xfId="16630"/>
    <cellStyle name="Comma 6 3 2 3 5" xfId="3273"/>
    <cellStyle name="Comma 6 3 2 3 5 2" xfId="11230"/>
    <cellStyle name="Comma 6 3 2 3 5 2 2" xfId="17769"/>
    <cellStyle name="Comma 6 3 2 3 5 3" xfId="14917"/>
    <cellStyle name="Comma 6 3 2 3 6" xfId="2699"/>
    <cellStyle name="Comma 6 3 2 3 6 2" xfId="14347"/>
    <cellStyle name="Comma 6 3 2 3 7" xfId="10660"/>
    <cellStyle name="Comma 6 3 2 3 7 2" xfId="17199"/>
    <cellStyle name="Comma 6 3 2 3 8" xfId="13777"/>
    <cellStyle name="Comma 6 3 2 4" xfId="3833"/>
    <cellStyle name="Comma 6 3 2 4 2" xfId="11516"/>
    <cellStyle name="Comma 6 3 2 4 2 2" xfId="18055"/>
    <cellStyle name="Comma 6 3 2 4 3" xfId="15203"/>
    <cellStyle name="Comma 6 3 2 5" xfId="6105"/>
    <cellStyle name="Comma 6 3 2 5 2" xfId="12087"/>
    <cellStyle name="Comma 6 3 2 5 2 2" xfId="18626"/>
    <cellStyle name="Comma 6 3 2 5 3" xfId="15774"/>
    <cellStyle name="Comma 6 3 2 6" xfId="8377"/>
    <cellStyle name="Comma 6 3 2 6 2" xfId="12658"/>
    <cellStyle name="Comma 6 3 2 6 2 2" xfId="19197"/>
    <cellStyle name="Comma 6 3 2 6 3" xfId="16345"/>
    <cellStyle name="Comma 6 3 2 7" xfId="2988"/>
    <cellStyle name="Comma 6 3 2 7 2" xfId="10945"/>
    <cellStyle name="Comma 6 3 2 7 2 2" xfId="17484"/>
    <cellStyle name="Comma 6 3 2 7 3" xfId="14632"/>
    <cellStyle name="Comma 6 3 2 8" xfId="2419"/>
    <cellStyle name="Comma 6 3 2 8 2" xfId="14067"/>
    <cellStyle name="Comma 6 3 2 9" xfId="10380"/>
    <cellStyle name="Comma 6 3 2 9 2" xfId="16919"/>
    <cellStyle name="Comma 6 3 3" xfId="1094"/>
    <cellStyle name="Comma 6 3 3 2" xfId="2229"/>
    <cellStyle name="Comma 6 3 3 2 2" xfId="5649"/>
    <cellStyle name="Comma 6 3 3 2 2 2" xfId="11972"/>
    <cellStyle name="Comma 6 3 3 2 2 2 2" xfId="18511"/>
    <cellStyle name="Comma 6 3 3 2 2 3" xfId="15659"/>
    <cellStyle name="Comma 6 3 3 2 3" xfId="7921"/>
    <cellStyle name="Comma 6 3 3 2 3 2" xfId="12543"/>
    <cellStyle name="Comma 6 3 3 2 3 2 2" xfId="19082"/>
    <cellStyle name="Comma 6 3 3 2 3 3" xfId="16230"/>
    <cellStyle name="Comma 6 3 3 2 4" xfId="10193"/>
    <cellStyle name="Comma 6 3 3 2 4 2" xfId="13114"/>
    <cellStyle name="Comma 6 3 3 2 4 2 2" xfId="19653"/>
    <cellStyle name="Comma 6 3 3 2 4 3" xfId="16801"/>
    <cellStyle name="Comma 6 3 3 2 5" xfId="3444"/>
    <cellStyle name="Comma 6 3 3 2 5 2" xfId="11401"/>
    <cellStyle name="Comma 6 3 3 2 5 2 2" xfId="17940"/>
    <cellStyle name="Comma 6 3 3 2 5 3" xfId="15088"/>
    <cellStyle name="Comma 6 3 3 2 6" xfId="2867"/>
    <cellStyle name="Comma 6 3 3 2 6 2" xfId="14515"/>
    <cellStyle name="Comma 6 3 3 2 7" xfId="10828"/>
    <cellStyle name="Comma 6 3 3 2 7 2" xfId="17367"/>
    <cellStyle name="Comma 6 3 3 2 8" xfId="13948"/>
    <cellStyle name="Comma 6 3 3 3" xfId="4514"/>
    <cellStyle name="Comma 6 3 3 3 2" xfId="11687"/>
    <cellStyle name="Comma 6 3 3 3 2 2" xfId="18226"/>
    <cellStyle name="Comma 6 3 3 3 3" xfId="15374"/>
    <cellStyle name="Comma 6 3 3 4" xfId="6786"/>
    <cellStyle name="Comma 6 3 3 4 2" xfId="12258"/>
    <cellStyle name="Comma 6 3 3 4 2 2" xfId="18797"/>
    <cellStyle name="Comma 6 3 3 4 3" xfId="15945"/>
    <cellStyle name="Comma 6 3 3 5" xfId="9058"/>
    <cellStyle name="Comma 6 3 3 5 2" xfId="12829"/>
    <cellStyle name="Comma 6 3 3 5 2 2" xfId="19368"/>
    <cellStyle name="Comma 6 3 3 5 3" xfId="16516"/>
    <cellStyle name="Comma 6 3 3 6" xfId="3159"/>
    <cellStyle name="Comma 6 3 3 6 2" xfId="11116"/>
    <cellStyle name="Comma 6 3 3 6 2 2" xfId="17655"/>
    <cellStyle name="Comma 6 3 3 6 3" xfId="14803"/>
    <cellStyle name="Comma 6 3 3 7" xfId="2587"/>
    <cellStyle name="Comma 6 3 3 7 2" xfId="14235"/>
    <cellStyle name="Comma 6 3 3 8" xfId="10548"/>
    <cellStyle name="Comma 6 3 3 8 2" xfId="17087"/>
    <cellStyle name="Comma 6 3 3 9" xfId="13663"/>
    <cellStyle name="Comma 6 3 4" xfId="640"/>
    <cellStyle name="Comma 6 3 4 2" xfId="1775"/>
    <cellStyle name="Comma 6 3 4 2 2" xfId="5195"/>
    <cellStyle name="Comma 6 3 4 2 2 2" xfId="11858"/>
    <cellStyle name="Comma 6 3 4 2 2 2 2" xfId="18397"/>
    <cellStyle name="Comma 6 3 4 2 2 3" xfId="15545"/>
    <cellStyle name="Comma 6 3 4 2 3" xfId="7467"/>
    <cellStyle name="Comma 6 3 4 2 3 2" xfId="12429"/>
    <cellStyle name="Comma 6 3 4 2 3 2 2" xfId="18968"/>
    <cellStyle name="Comma 6 3 4 2 3 3" xfId="16116"/>
    <cellStyle name="Comma 6 3 4 2 4" xfId="9739"/>
    <cellStyle name="Comma 6 3 4 2 4 2" xfId="13000"/>
    <cellStyle name="Comma 6 3 4 2 4 2 2" xfId="19539"/>
    <cellStyle name="Comma 6 3 4 2 4 3" xfId="16687"/>
    <cellStyle name="Comma 6 3 4 2 5" xfId="3330"/>
    <cellStyle name="Comma 6 3 4 2 5 2" xfId="11287"/>
    <cellStyle name="Comma 6 3 4 2 5 2 2" xfId="17826"/>
    <cellStyle name="Comma 6 3 4 2 5 3" xfId="14974"/>
    <cellStyle name="Comma 6 3 4 2 6" xfId="2755"/>
    <cellStyle name="Comma 6 3 4 2 6 2" xfId="14403"/>
    <cellStyle name="Comma 6 3 4 2 7" xfId="10716"/>
    <cellStyle name="Comma 6 3 4 2 7 2" xfId="17255"/>
    <cellStyle name="Comma 6 3 4 2 8" xfId="13834"/>
    <cellStyle name="Comma 6 3 4 3" xfId="4060"/>
    <cellStyle name="Comma 6 3 4 3 2" xfId="11573"/>
    <cellStyle name="Comma 6 3 4 3 2 2" xfId="18112"/>
    <cellStyle name="Comma 6 3 4 3 3" xfId="15260"/>
    <cellStyle name="Comma 6 3 4 4" xfId="6332"/>
    <cellStyle name="Comma 6 3 4 4 2" xfId="12144"/>
    <cellStyle name="Comma 6 3 4 4 2 2" xfId="18683"/>
    <cellStyle name="Comma 6 3 4 4 3" xfId="15831"/>
    <cellStyle name="Comma 6 3 4 5" xfId="8604"/>
    <cellStyle name="Comma 6 3 4 5 2" xfId="12715"/>
    <cellStyle name="Comma 6 3 4 5 2 2" xfId="19254"/>
    <cellStyle name="Comma 6 3 4 5 3" xfId="16402"/>
    <cellStyle name="Comma 6 3 4 6" xfId="3045"/>
    <cellStyle name="Comma 6 3 4 6 2" xfId="11002"/>
    <cellStyle name="Comma 6 3 4 6 2 2" xfId="17541"/>
    <cellStyle name="Comma 6 3 4 6 3" xfId="14689"/>
    <cellStyle name="Comma 6 3 4 7" xfId="2475"/>
    <cellStyle name="Comma 6 3 4 7 2" xfId="14123"/>
    <cellStyle name="Comma 6 3 4 8" xfId="10436"/>
    <cellStyle name="Comma 6 3 4 8 2" xfId="16975"/>
    <cellStyle name="Comma 6 3 4 9" xfId="13549"/>
    <cellStyle name="Comma 6 3 5" xfId="1321"/>
    <cellStyle name="Comma 6 3 5 2" xfId="4741"/>
    <cellStyle name="Comma 6 3 5 2 2" xfId="11744"/>
    <cellStyle name="Comma 6 3 5 2 2 2" xfId="18283"/>
    <cellStyle name="Comma 6 3 5 2 3" xfId="15431"/>
    <cellStyle name="Comma 6 3 5 3" xfId="7013"/>
    <cellStyle name="Comma 6 3 5 3 2" xfId="12315"/>
    <cellStyle name="Comma 6 3 5 3 2 2" xfId="18854"/>
    <cellStyle name="Comma 6 3 5 3 3" xfId="16002"/>
    <cellStyle name="Comma 6 3 5 4" xfId="9285"/>
    <cellStyle name="Comma 6 3 5 4 2" xfId="12886"/>
    <cellStyle name="Comma 6 3 5 4 2 2" xfId="19425"/>
    <cellStyle name="Comma 6 3 5 4 3" xfId="16573"/>
    <cellStyle name="Comma 6 3 5 5" xfId="3216"/>
    <cellStyle name="Comma 6 3 5 5 2" xfId="11173"/>
    <cellStyle name="Comma 6 3 5 5 2 2" xfId="17712"/>
    <cellStyle name="Comma 6 3 5 5 3" xfId="14860"/>
    <cellStyle name="Comma 6 3 5 6" xfId="2643"/>
    <cellStyle name="Comma 6 3 5 6 2" xfId="14291"/>
    <cellStyle name="Comma 6 3 5 7" xfId="10604"/>
    <cellStyle name="Comma 6 3 5 7 2" xfId="17143"/>
    <cellStyle name="Comma 6 3 5 8" xfId="13720"/>
    <cellStyle name="Comma 6 3 6" xfId="3606"/>
    <cellStyle name="Comma 6 3 6 2" xfId="11459"/>
    <cellStyle name="Comma 6 3 6 2 2" xfId="17998"/>
    <cellStyle name="Comma 6 3 6 3" xfId="15146"/>
    <cellStyle name="Comma 6 3 7" xfId="5878"/>
    <cellStyle name="Comma 6 3 7 2" xfId="12030"/>
    <cellStyle name="Comma 6 3 7 2 2" xfId="18569"/>
    <cellStyle name="Comma 6 3 7 3" xfId="15717"/>
    <cellStyle name="Comma 6 3 8" xfId="8150"/>
    <cellStyle name="Comma 6 3 8 2" xfId="12601"/>
    <cellStyle name="Comma 6 3 8 2 2" xfId="19140"/>
    <cellStyle name="Comma 6 3 8 3" xfId="16288"/>
    <cellStyle name="Comma 6 3 9" xfId="2928"/>
    <cellStyle name="Comma 6 3 9 2" xfId="10887"/>
    <cellStyle name="Comma 6 3 9 2 2" xfId="17426"/>
    <cellStyle name="Comma 6 3 9 3" xfId="14574"/>
    <cellStyle name="Comma 6 4" xfId="119"/>
    <cellStyle name="Comma 6 4 10" xfId="2348"/>
    <cellStyle name="Comma 6 4 10 2" xfId="13996"/>
    <cellStyle name="Comma 6 4 11" xfId="10309"/>
    <cellStyle name="Comma 6 4 11 2" xfId="16848"/>
    <cellStyle name="Comma 6 4 12" xfId="13420"/>
    <cellStyle name="Comma 6 4 13" xfId="20275"/>
    <cellStyle name="Comma 6 4 2" xfId="357"/>
    <cellStyle name="Comma 6 4 2 10" xfId="13478"/>
    <cellStyle name="Comma 6 4 2 2" xfId="811"/>
    <cellStyle name="Comma 6 4 2 2 2" xfId="1946"/>
    <cellStyle name="Comma 6 4 2 2 2 2" xfId="5366"/>
    <cellStyle name="Comma 6 4 2 2 2 2 2" xfId="11901"/>
    <cellStyle name="Comma 6 4 2 2 2 2 2 2" xfId="18440"/>
    <cellStyle name="Comma 6 4 2 2 2 2 3" xfId="15588"/>
    <cellStyle name="Comma 6 4 2 2 2 3" xfId="7638"/>
    <cellStyle name="Comma 6 4 2 2 2 3 2" xfId="12472"/>
    <cellStyle name="Comma 6 4 2 2 2 3 2 2" xfId="19011"/>
    <cellStyle name="Comma 6 4 2 2 2 3 3" xfId="16159"/>
    <cellStyle name="Comma 6 4 2 2 2 4" xfId="9910"/>
    <cellStyle name="Comma 6 4 2 2 2 4 2" xfId="13043"/>
    <cellStyle name="Comma 6 4 2 2 2 4 2 2" xfId="19582"/>
    <cellStyle name="Comma 6 4 2 2 2 4 3" xfId="16730"/>
    <cellStyle name="Comma 6 4 2 2 2 5" xfId="3373"/>
    <cellStyle name="Comma 6 4 2 2 2 5 2" xfId="11330"/>
    <cellStyle name="Comma 6 4 2 2 2 5 2 2" xfId="17869"/>
    <cellStyle name="Comma 6 4 2 2 2 5 3" xfId="15017"/>
    <cellStyle name="Comma 6 4 2 2 2 6" xfId="2797"/>
    <cellStyle name="Comma 6 4 2 2 2 6 2" xfId="14445"/>
    <cellStyle name="Comma 6 4 2 2 2 7" xfId="10758"/>
    <cellStyle name="Comma 6 4 2 2 2 7 2" xfId="17297"/>
    <cellStyle name="Comma 6 4 2 2 2 8" xfId="13877"/>
    <cellStyle name="Comma 6 4 2 2 3" xfId="4231"/>
    <cellStyle name="Comma 6 4 2 2 3 2" xfId="11616"/>
    <cellStyle name="Comma 6 4 2 2 3 2 2" xfId="18155"/>
    <cellStyle name="Comma 6 4 2 2 3 3" xfId="15303"/>
    <cellStyle name="Comma 6 4 2 2 4" xfId="6503"/>
    <cellStyle name="Comma 6 4 2 2 4 2" xfId="12187"/>
    <cellStyle name="Comma 6 4 2 2 4 2 2" xfId="18726"/>
    <cellStyle name="Comma 6 4 2 2 4 3" xfId="15874"/>
    <cellStyle name="Comma 6 4 2 2 5" xfId="8775"/>
    <cellStyle name="Comma 6 4 2 2 5 2" xfId="12758"/>
    <cellStyle name="Comma 6 4 2 2 5 2 2" xfId="19297"/>
    <cellStyle name="Comma 6 4 2 2 5 3" xfId="16445"/>
    <cellStyle name="Comma 6 4 2 2 6" xfId="3088"/>
    <cellStyle name="Comma 6 4 2 2 6 2" xfId="11045"/>
    <cellStyle name="Comma 6 4 2 2 6 2 2" xfId="17584"/>
    <cellStyle name="Comma 6 4 2 2 6 3" xfId="14732"/>
    <cellStyle name="Comma 6 4 2 2 7" xfId="2517"/>
    <cellStyle name="Comma 6 4 2 2 7 2" xfId="14165"/>
    <cellStyle name="Comma 6 4 2 2 8" xfId="10478"/>
    <cellStyle name="Comma 6 4 2 2 8 2" xfId="17017"/>
    <cellStyle name="Comma 6 4 2 2 9" xfId="13592"/>
    <cellStyle name="Comma 6 4 2 3" xfId="1492"/>
    <cellStyle name="Comma 6 4 2 3 2" xfId="4912"/>
    <cellStyle name="Comma 6 4 2 3 2 2" xfId="11787"/>
    <cellStyle name="Comma 6 4 2 3 2 2 2" xfId="18326"/>
    <cellStyle name="Comma 6 4 2 3 2 3" xfId="15474"/>
    <cellStyle name="Comma 6 4 2 3 3" xfId="7184"/>
    <cellStyle name="Comma 6 4 2 3 3 2" xfId="12358"/>
    <cellStyle name="Comma 6 4 2 3 3 2 2" xfId="18897"/>
    <cellStyle name="Comma 6 4 2 3 3 3" xfId="16045"/>
    <cellStyle name="Comma 6 4 2 3 4" xfId="9456"/>
    <cellStyle name="Comma 6 4 2 3 4 2" xfId="12929"/>
    <cellStyle name="Comma 6 4 2 3 4 2 2" xfId="19468"/>
    <cellStyle name="Comma 6 4 2 3 4 3" xfId="16616"/>
    <cellStyle name="Comma 6 4 2 3 5" xfId="3259"/>
    <cellStyle name="Comma 6 4 2 3 5 2" xfId="11216"/>
    <cellStyle name="Comma 6 4 2 3 5 2 2" xfId="17755"/>
    <cellStyle name="Comma 6 4 2 3 5 3" xfId="14903"/>
    <cellStyle name="Comma 6 4 2 3 6" xfId="2685"/>
    <cellStyle name="Comma 6 4 2 3 6 2" xfId="14333"/>
    <cellStyle name="Comma 6 4 2 3 7" xfId="10646"/>
    <cellStyle name="Comma 6 4 2 3 7 2" xfId="17185"/>
    <cellStyle name="Comma 6 4 2 3 8" xfId="13763"/>
    <cellStyle name="Comma 6 4 2 4" xfId="3777"/>
    <cellStyle name="Comma 6 4 2 4 2" xfId="11502"/>
    <cellStyle name="Comma 6 4 2 4 2 2" xfId="18041"/>
    <cellStyle name="Comma 6 4 2 4 3" xfId="15189"/>
    <cellStyle name="Comma 6 4 2 5" xfId="6049"/>
    <cellStyle name="Comma 6 4 2 5 2" xfId="12073"/>
    <cellStyle name="Comma 6 4 2 5 2 2" xfId="18612"/>
    <cellStyle name="Comma 6 4 2 5 3" xfId="15760"/>
    <cellStyle name="Comma 6 4 2 6" xfId="8321"/>
    <cellStyle name="Comma 6 4 2 6 2" xfId="12644"/>
    <cellStyle name="Comma 6 4 2 6 2 2" xfId="19183"/>
    <cellStyle name="Comma 6 4 2 6 3" xfId="16331"/>
    <cellStyle name="Comma 6 4 2 7" xfId="2974"/>
    <cellStyle name="Comma 6 4 2 7 2" xfId="10931"/>
    <cellStyle name="Comma 6 4 2 7 2 2" xfId="17470"/>
    <cellStyle name="Comma 6 4 2 7 3" xfId="14618"/>
    <cellStyle name="Comma 6 4 2 8" xfId="2405"/>
    <cellStyle name="Comma 6 4 2 8 2" xfId="14053"/>
    <cellStyle name="Comma 6 4 2 9" xfId="10366"/>
    <cellStyle name="Comma 6 4 2 9 2" xfId="16905"/>
    <cellStyle name="Comma 6 4 3" xfId="1038"/>
    <cellStyle name="Comma 6 4 3 2" xfId="2173"/>
    <cellStyle name="Comma 6 4 3 2 2" xfId="5593"/>
    <cellStyle name="Comma 6 4 3 2 2 2" xfId="11958"/>
    <cellStyle name="Comma 6 4 3 2 2 2 2" xfId="18497"/>
    <cellStyle name="Comma 6 4 3 2 2 3" xfId="15645"/>
    <cellStyle name="Comma 6 4 3 2 3" xfId="7865"/>
    <cellStyle name="Comma 6 4 3 2 3 2" xfId="12529"/>
    <cellStyle name="Comma 6 4 3 2 3 2 2" xfId="19068"/>
    <cellStyle name="Comma 6 4 3 2 3 3" xfId="16216"/>
    <cellStyle name="Comma 6 4 3 2 4" xfId="10137"/>
    <cellStyle name="Comma 6 4 3 2 4 2" xfId="13100"/>
    <cellStyle name="Comma 6 4 3 2 4 2 2" xfId="19639"/>
    <cellStyle name="Comma 6 4 3 2 4 3" xfId="16787"/>
    <cellStyle name="Comma 6 4 3 2 5" xfId="3430"/>
    <cellStyle name="Comma 6 4 3 2 5 2" xfId="11387"/>
    <cellStyle name="Comma 6 4 3 2 5 2 2" xfId="17926"/>
    <cellStyle name="Comma 6 4 3 2 5 3" xfId="15074"/>
    <cellStyle name="Comma 6 4 3 2 6" xfId="2853"/>
    <cellStyle name="Comma 6 4 3 2 6 2" xfId="14501"/>
    <cellStyle name="Comma 6 4 3 2 7" xfId="10814"/>
    <cellStyle name="Comma 6 4 3 2 7 2" xfId="17353"/>
    <cellStyle name="Comma 6 4 3 2 8" xfId="13934"/>
    <cellStyle name="Comma 6 4 3 3" xfId="4458"/>
    <cellStyle name="Comma 6 4 3 3 2" xfId="11673"/>
    <cellStyle name="Comma 6 4 3 3 2 2" xfId="18212"/>
    <cellStyle name="Comma 6 4 3 3 3" xfId="15360"/>
    <cellStyle name="Comma 6 4 3 4" xfId="6730"/>
    <cellStyle name="Comma 6 4 3 4 2" xfId="12244"/>
    <cellStyle name="Comma 6 4 3 4 2 2" xfId="18783"/>
    <cellStyle name="Comma 6 4 3 4 3" xfId="15931"/>
    <cellStyle name="Comma 6 4 3 5" xfId="9002"/>
    <cellStyle name="Comma 6 4 3 5 2" xfId="12815"/>
    <cellStyle name="Comma 6 4 3 5 2 2" xfId="19354"/>
    <cellStyle name="Comma 6 4 3 5 3" xfId="16502"/>
    <cellStyle name="Comma 6 4 3 6" xfId="3145"/>
    <cellStyle name="Comma 6 4 3 6 2" xfId="11102"/>
    <cellStyle name="Comma 6 4 3 6 2 2" xfId="17641"/>
    <cellStyle name="Comma 6 4 3 6 3" xfId="14789"/>
    <cellStyle name="Comma 6 4 3 7" xfId="2573"/>
    <cellStyle name="Comma 6 4 3 7 2" xfId="14221"/>
    <cellStyle name="Comma 6 4 3 8" xfId="10534"/>
    <cellStyle name="Comma 6 4 3 8 2" xfId="17073"/>
    <cellStyle name="Comma 6 4 3 9" xfId="13649"/>
    <cellStyle name="Comma 6 4 4" xfId="584"/>
    <cellStyle name="Comma 6 4 4 2" xfId="1719"/>
    <cellStyle name="Comma 6 4 4 2 2" xfId="5139"/>
    <cellStyle name="Comma 6 4 4 2 2 2" xfId="11844"/>
    <cellStyle name="Comma 6 4 4 2 2 2 2" xfId="18383"/>
    <cellStyle name="Comma 6 4 4 2 2 3" xfId="15531"/>
    <cellStyle name="Comma 6 4 4 2 3" xfId="7411"/>
    <cellStyle name="Comma 6 4 4 2 3 2" xfId="12415"/>
    <cellStyle name="Comma 6 4 4 2 3 2 2" xfId="18954"/>
    <cellStyle name="Comma 6 4 4 2 3 3" xfId="16102"/>
    <cellStyle name="Comma 6 4 4 2 4" xfId="9683"/>
    <cellStyle name="Comma 6 4 4 2 4 2" xfId="12986"/>
    <cellStyle name="Comma 6 4 4 2 4 2 2" xfId="19525"/>
    <cellStyle name="Comma 6 4 4 2 4 3" xfId="16673"/>
    <cellStyle name="Comma 6 4 4 2 5" xfId="3316"/>
    <cellStyle name="Comma 6 4 4 2 5 2" xfId="11273"/>
    <cellStyle name="Comma 6 4 4 2 5 2 2" xfId="17812"/>
    <cellStyle name="Comma 6 4 4 2 5 3" xfId="14960"/>
    <cellStyle name="Comma 6 4 4 2 6" xfId="2741"/>
    <cellStyle name="Comma 6 4 4 2 6 2" xfId="14389"/>
    <cellStyle name="Comma 6 4 4 2 7" xfId="10702"/>
    <cellStyle name="Comma 6 4 4 2 7 2" xfId="17241"/>
    <cellStyle name="Comma 6 4 4 2 8" xfId="13820"/>
    <cellStyle name="Comma 6 4 4 3" xfId="4004"/>
    <cellStyle name="Comma 6 4 4 3 2" xfId="11559"/>
    <cellStyle name="Comma 6 4 4 3 2 2" xfId="18098"/>
    <cellStyle name="Comma 6 4 4 3 3" xfId="15246"/>
    <cellStyle name="Comma 6 4 4 4" xfId="6276"/>
    <cellStyle name="Comma 6 4 4 4 2" xfId="12130"/>
    <cellStyle name="Comma 6 4 4 4 2 2" xfId="18669"/>
    <cellStyle name="Comma 6 4 4 4 3" xfId="15817"/>
    <cellStyle name="Comma 6 4 4 5" xfId="8548"/>
    <cellStyle name="Comma 6 4 4 5 2" xfId="12701"/>
    <cellStyle name="Comma 6 4 4 5 2 2" xfId="19240"/>
    <cellStyle name="Comma 6 4 4 5 3" xfId="16388"/>
    <cellStyle name="Comma 6 4 4 6" xfId="3031"/>
    <cellStyle name="Comma 6 4 4 6 2" xfId="10988"/>
    <cellStyle name="Comma 6 4 4 6 2 2" xfId="17527"/>
    <cellStyle name="Comma 6 4 4 6 3" xfId="14675"/>
    <cellStyle name="Comma 6 4 4 7" xfId="2461"/>
    <cellStyle name="Comma 6 4 4 7 2" xfId="14109"/>
    <cellStyle name="Comma 6 4 4 8" xfId="10422"/>
    <cellStyle name="Comma 6 4 4 8 2" xfId="16961"/>
    <cellStyle name="Comma 6 4 4 9" xfId="13535"/>
    <cellStyle name="Comma 6 4 5" xfId="1265"/>
    <cellStyle name="Comma 6 4 5 2" xfId="4685"/>
    <cellStyle name="Comma 6 4 5 2 2" xfId="11730"/>
    <cellStyle name="Comma 6 4 5 2 2 2" xfId="18269"/>
    <cellStyle name="Comma 6 4 5 2 3" xfId="15417"/>
    <cellStyle name="Comma 6 4 5 3" xfId="6957"/>
    <cellStyle name="Comma 6 4 5 3 2" xfId="12301"/>
    <cellStyle name="Comma 6 4 5 3 2 2" xfId="18840"/>
    <cellStyle name="Comma 6 4 5 3 3" xfId="15988"/>
    <cellStyle name="Comma 6 4 5 4" xfId="9229"/>
    <cellStyle name="Comma 6 4 5 4 2" xfId="12872"/>
    <cellStyle name="Comma 6 4 5 4 2 2" xfId="19411"/>
    <cellStyle name="Comma 6 4 5 4 3" xfId="16559"/>
    <cellStyle name="Comma 6 4 5 5" xfId="3202"/>
    <cellStyle name="Comma 6 4 5 5 2" xfId="11159"/>
    <cellStyle name="Comma 6 4 5 5 2 2" xfId="17698"/>
    <cellStyle name="Comma 6 4 5 5 3" xfId="14846"/>
    <cellStyle name="Comma 6 4 5 6" xfId="2629"/>
    <cellStyle name="Comma 6 4 5 6 2" xfId="14277"/>
    <cellStyle name="Comma 6 4 5 7" xfId="10590"/>
    <cellStyle name="Comma 6 4 5 7 2" xfId="17129"/>
    <cellStyle name="Comma 6 4 5 8" xfId="13706"/>
    <cellStyle name="Comma 6 4 6" xfId="3550"/>
    <cellStyle name="Comma 6 4 6 2" xfId="11445"/>
    <cellStyle name="Comma 6 4 6 2 2" xfId="17984"/>
    <cellStyle name="Comma 6 4 6 3" xfId="15132"/>
    <cellStyle name="Comma 6 4 7" xfId="5822"/>
    <cellStyle name="Comma 6 4 7 2" xfId="12016"/>
    <cellStyle name="Comma 6 4 7 2 2" xfId="18555"/>
    <cellStyle name="Comma 6 4 7 3" xfId="15703"/>
    <cellStyle name="Comma 6 4 8" xfId="8094"/>
    <cellStyle name="Comma 6 4 8 2" xfId="12587"/>
    <cellStyle name="Comma 6 4 8 2 2" xfId="19126"/>
    <cellStyle name="Comma 6 4 8 3" xfId="16274"/>
    <cellStyle name="Comma 6 4 9" xfId="2914"/>
    <cellStyle name="Comma 6 4 9 2" xfId="10873"/>
    <cellStyle name="Comma 6 4 9 2 2" xfId="17412"/>
    <cellStyle name="Comma 6 4 9 3" xfId="14560"/>
    <cellStyle name="Comma 6 5" xfId="245"/>
    <cellStyle name="Comma 6 5 10" xfId="2377"/>
    <cellStyle name="Comma 6 5 10 2" xfId="14025"/>
    <cellStyle name="Comma 6 5 11" xfId="10338"/>
    <cellStyle name="Comma 6 5 11 2" xfId="16877"/>
    <cellStyle name="Comma 6 5 12" xfId="13450"/>
    <cellStyle name="Comma 6 5 2" xfId="472"/>
    <cellStyle name="Comma 6 5 2 10" xfId="13507"/>
    <cellStyle name="Comma 6 5 2 2" xfId="926"/>
    <cellStyle name="Comma 6 5 2 2 2" xfId="2061"/>
    <cellStyle name="Comma 6 5 2 2 2 2" xfId="5481"/>
    <cellStyle name="Comma 6 5 2 2 2 2 2" xfId="11930"/>
    <cellStyle name="Comma 6 5 2 2 2 2 2 2" xfId="18469"/>
    <cellStyle name="Comma 6 5 2 2 2 2 3" xfId="15617"/>
    <cellStyle name="Comma 6 5 2 2 2 3" xfId="7753"/>
    <cellStyle name="Comma 6 5 2 2 2 3 2" xfId="12501"/>
    <cellStyle name="Comma 6 5 2 2 2 3 2 2" xfId="19040"/>
    <cellStyle name="Comma 6 5 2 2 2 3 3" xfId="16188"/>
    <cellStyle name="Comma 6 5 2 2 2 4" xfId="10025"/>
    <cellStyle name="Comma 6 5 2 2 2 4 2" xfId="13072"/>
    <cellStyle name="Comma 6 5 2 2 2 4 2 2" xfId="19611"/>
    <cellStyle name="Comma 6 5 2 2 2 4 3" xfId="16759"/>
    <cellStyle name="Comma 6 5 2 2 2 5" xfId="3402"/>
    <cellStyle name="Comma 6 5 2 2 2 5 2" xfId="11359"/>
    <cellStyle name="Comma 6 5 2 2 2 5 2 2" xfId="17898"/>
    <cellStyle name="Comma 6 5 2 2 2 5 3" xfId="15046"/>
    <cellStyle name="Comma 6 5 2 2 2 6" xfId="2825"/>
    <cellStyle name="Comma 6 5 2 2 2 6 2" xfId="14473"/>
    <cellStyle name="Comma 6 5 2 2 2 7" xfId="10786"/>
    <cellStyle name="Comma 6 5 2 2 2 7 2" xfId="17325"/>
    <cellStyle name="Comma 6 5 2 2 2 8" xfId="13906"/>
    <cellStyle name="Comma 6 5 2 2 3" xfId="4346"/>
    <cellStyle name="Comma 6 5 2 2 3 2" xfId="11645"/>
    <cellStyle name="Comma 6 5 2 2 3 2 2" xfId="18184"/>
    <cellStyle name="Comma 6 5 2 2 3 3" xfId="15332"/>
    <cellStyle name="Comma 6 5 2 2 4" xfId="6618"/>
    <cellStyle name="Comma 6 5 2 2 4 2" xfId="12216"/>
    <cellStyle name="Comma 6 5 2 2 4 2 2" xfId="18755"/>
    <cellStyle name="Comma 6 5 2 2 4 3" xfId="15903"/>
    <cellStyle name="Comma 6 5 2 2 5" xfId="8890"/>
    <cellStyle name="Comma 6 5 2 2 5 2" xfId="12787"/>
    <cellStyle name="Comma 6 5 2 2 5 2 2" xfId="19326"/>
    <cellStyle name="Comma 6 5 2 2 5 3" xfId="16474"/>
    <cellStyle name="Comma 6 5 2 2 6" xfId="3117"/>
    <cellStyle name="Comma 6 5 2 2 6 2" xfId="11074"/>
    <cellStyle name="Comma 6 5 2 2 6 2 2" xfId="17613"/>
    <cellStyle name="Comma 6 5 2 2 6 3" xfId="14761"/>
    <cellStyle name="Comma 6 5 2 2 7" xfId="2545"/>
    <cellStyle name="Comma 6 5 2 2 7 2" xfId="14193"/>
    <cellStyle name="Comma 6 5 2 2 8" xfId="10506"/>
    <cellStyle name="Comma 6 5 2 2 8 2" xfId="17045"/>
    <cellStyle name="Comma 6 5 2 2 9" xfId="13621"/>
    <cellStyle name="Comma 6 5 2 3" xfId="1607"/>
    <cellStyle name="Comma 6 5 2 3 2" xfId="5027"/>
    <cellStyle name="Comma 6 5 2 3 2 2" xfId="11816"/>
    <cellStyle name="Comma 6 5 2 3 2 2 2" xfId="18355"/>
    <cellStyle name="Comma 6 5 2 3 2 3" xfId="15503"/>
    <cellStyle name="Comma 6 5 2 3 3" xfId="7299"/>
    <cellStyle name="Comma 6 5 2 3 3 2" xfId="12387"/>
    <cellStyle name="Comma 6 5 2 3 3 2 2" xfId="18926"/>
    <cellStyle name="Comma 6 5 2 3 3 3" xfId="16074"/>
    <cellStyle name="Comma 6 5 2 3 4" xfId="9571"/>
    <cellStyle name="Comma 6 5 2 3 4 2" xfId="12958"/>
    <cellStyle name="Comma 6 5 2 3 4 2 2" xfId="19497"/>
    <cellStyle name="Comma 6 5 2 3 4 3" xfId="16645"/>
    <cellStyle name="Comma 6 5 2 3 5" xfId="3288"/>
    <cellStyle name="Comma 6 5 2 3 5 2" xfId="11245"/>
    <cellStyle name="Comma 6 5 2 3 5 2 2" xfId="17784"/>
    <cellStyle name="Comma 6 5 2 3 5 3" xfId="14932"/>
    <cellStyle name="Comma 6 5 2 3 6" xfId="2713"/>
    <cellStyle name="Comma 6 5 2 3 6 2" xfId="14361"/>
    <cellStyle name="Comma 6 5 2 3 7" xfId="10674"/>
    <cellStyle name="Comma 6 5 2 3 7 2" xfId="17213"/>
    <cellStyle name="Comma 6 5 2 3 8" xfId="13792"/>
    <cellStyle name="Comma 6 5 2 4" xfId="3892"/>
    <cellStyle name="Comma 6 5 2 4 2" xfId="11531"/>
    <cellStyle name="Comma 6 5 2 4 2 2" xfId="18070"/>
    <cellStyle name="Comma 6 5 2 4 3" xfId="15218"/>
    <cellStyle name="Comma 6 5 2 5" xfId="6164"/>
    <cellStyle name="Comma 6 5 2 5 2" xfId="12102"/>
    <cellStyle name="Comma 6 5 2 5 2 2" xfId="18641"/>
    <cellStyle name="Comma 6 5 2 5 3" xfId="15789"/>
    <cellStyle name="Comma 6 5 2 6" xfId="8436"/>
    <cellStyle name="Comma 6 5 2 6 2" xfId="12673"/>
    <cellStyle name="Comma 6 5 2 6 2 2" xfId="19212"/>
    <cellStyle name="Comma 6 5 2 6 3" xfId="16360"/>
    <cellStyle name="Comma 6 5 2 7" xfId="3003"/>
    <cellStyle name="Comma 6 5 2 7 2" xfId="10960"/>
    <cellStyle name="Comma 6 5 2 7 2 2" xfId="17499"/>
    <cellStyle name="Comma 6 5 2 7 3" xfId="14647"/>
    <cellStyle name="Comma 6 5 2 8" xfId="2433"/>
    <cellStyle name="Comma 6 5 2 8 2" xfId="14081"/>
    <cellStyle name="Comma 6 5 2 9" xfId="10394"/>
    <cellStyle name="Comma 6 5 2 9 2" xfId="16933"/>
    <cellStyle name="Comma 6 5 3" xfId="1153"/>
    <cellStyle name="Comma 6 5 3 2" xfId="2288"/>
    <cellStyle name="Comma 6 5 3 2 2" xfId="5708"/>
    <cellStyle name="Comma 6 5 3 2 2 2" xfId="11987"/>
    <cellStyle name="Comma 6 5 3 2 2 2 2" xfId="18526"/>
    <cellStyle name="Comma 6 5 3 2 2 3" xfId="15674"/>
    <cellStyle name="Comma 6 5 3 2 3" xfId="7980"/>
    <cellStyle name="Comma 6 5 3 2 3 2" xfId="12558"/>
    <cellStyle name="Comma 6 5 3 2 3 2 2" xfId="19097"/>
    <cellStyle name="Comma 6 5 3 2 3 3" xfId="16245"/>
    <cellStyle name="Comma 6 5 3 2 4" xfId="10252"/>
    <cellStyle name="Comma 6 5 3 2 4 2" xfId="13129"/>
    <cellStyle name="Comma 6 5 3 2 4 2 2" xfId="19668"/>
    <cellStyle name="Comma 6 5 3 2 4 3" xfId="16816"/>
    <cellStyle name="Comma 6 5 3 2 5" xfId="3459"/>
    <cellStyle name="Comma 6 5 3 2 5 2" xfId="11416"/>
    <cellStyle name="Comma 6 5 3 2 5 2 2" xfId="17955"/>
    <cellStyle name="Comma 6 5 3 2 5 3" xfId="15103"/>
    <cellStyle name="Comma 6 5 3 2 6" xfId="2881"/>
    <cellStyle name="Comma 6 5 3 2 6 2" xfId="14529"/>
    <cellStyle name="Comma 6 5 3 2 7" xfId="10842"/>
    <cellStyle name="Comma 6 5 3 2 7 2" xfId="17381"/>
    <cellStyle name="Comma 6 5 3 2 8" xfId="13963"/>
    <cellStyle name="Comma 6 5 3 3" xfId="4573"/>
    <cellStyle name="Comma 6 5 3 3 2" xfId="11702"/>
    <cellStyle name="Comma 6 5 3 3 2 2" xfId="18241"/>
    <cellStyle name="Comma 6 5 3 3 3" xfId="15389"/>
    <cellStyle name="Comma 6 5 3 4" xfId="6845"/>
    <cellStyle name="Comma 6 5 3 4 2" xfId="12273"/>
    <cellStyle name="Comma 6 5 3 4 2 2" xfId="18812"/>
    <cellStyle name="Comma 6 5 3 4 3" xfId="15960"/>
    <cellStyle name="Comma 6 5 3 5" xfId="9117"/>
    <cellStyle name="Comma 6 5 3 5 2" xfId="12844"/>
    <cellStyle name="Comma 6 5 3 5 2 2" xfId="19383"/>
    <cellStyle name="Comma 6 5 3 5 3" xfId="16531"/>
    <cellStyle name="Comma 6 5 3 6" xfId="3174"/>
    <cellStyle name="Comma 6 5 3 6 2" xfId="11131"/>
    <cellStyle name="Comma 6 5 3 6 2 2" xfId="17670"/>
    <cellStyle name="Comma 6 5 3 6 3" xfId="14818"/>
    <cellStyle name="Comma 6 5 3 7" xfId="2601"/>
    <cellStyle name="Comma 6 5 3 7 2" xfId="14249"/>
    <cellStyle name="Comma 6 5 3 8" xfId="10562"/>
    <cellStyle name="Comma 6 5 3 8 2" xfId="17101"/>
    <cellStyle name="Comma 6 5 3 9" xfId="13678"/>
    <cellStyle name="Comma 6 5 4" xfId="699"/>
    <cellStyle name="Comma 6 5 4 2" xfId="1834"/>
    <cellStyle name="Comma 6 5 4 2 2" xfId="5254"/>
    <cellStyle name="Comma 6 5 4 2 2 2" xfId="11873"/>
    <cellStyle name="Comma 6 5 4 2 2 2 2" xfId="18412"/>
    <cellStyle name="Comma 6 5 4 2 2 3" xfId="15560"/>
    <cellStyle name="Comma 6 5 4 2 3" xfId="7526"/>
    <cellStyle name="Comma 6 5 4 2 3 2" xfId="12444"/>
    <cellStyle name="Comma 6 5 4 2 3 2 2" xfId="18983"/>
    <cellStyle name="Comma 6 5 4 2 3 3" xfId="16131"/>
    <cellStyle name="Comma 6 5 4 2 4" xfId="9798"/>
    <cellStyle name="Comma 6 5 4 2 4 2" xfId="13015"/>
    <cellStyle name="Comma 6 5 4 2 4 2 2" xfId="19554"/>
    <cellStyle name="Comma 6 5 4 2 4 3" xfId="16702"/>
    <cellStyle name="Comma 6 5 4 2 5" xfId="3345"/>
    <cellStyle name="Comma 6 5 4 2 5 2" xfId="11302"/>
    <cellStyle name="Comma 6 5 4 2 5 2 2" xfId="17841"/>
    <cellStyle name="Comma 6 5 4 2 5 3" xfId="14989"/>
    <cellStyle name="Comma 6 5 4 2 6" xfId="2769"/>
    <cellStyle name="Comma 6 5 4 2 6 2" xfId="14417"/>
    <cellStyle name="Comma 6 5 4 2 7" xfId="10730"/>
    <cellStyle name="Comma 6 5 4 2 7 2" xfId="17269"/>
    <cellStyle name="Comma 6 5 4 2 8" xfId="13849"/>
    <cellStyle name="Comma 6 5 4 3" xfId="4119"/>
    <cellStyle name="Comma 6 5 4 3 2" xfId="11588"/>
    <cellStyle name="Comma 6 5 4 3 2 2" xfId="18127"/>
    <cellStyle name="Comma 6 5 4 3 3" xfId="15275"/>
    <cellStyle name="Comma 6 5 4 4" xfId="6391"/>
    <cellStyle name="Comma 6 5 4 4 2" xfId="12159"/>
    <cellStyle name="Comma 6 5 4 4 2 2" xfId="18698"/>
    <cellStyle name="Comma 6 5 4 4 3" xfId="15846"/>
    <cellStyle name="Comma 6 5 4 5" xfId="8663"/>
    <cellStyle name="Comma 6 5 4 5 2" xfId="12730"/>
    <cellStyle name="Comma 6 5 4 5 2 2" xfId="19269"/>
    <cellStyle name="Comma 6 5 4 5 3" xfId="16417"/>
    <cellStyle name="Comma 6 5 4 6" xfId="3060"/>
    <cellStyle name="Comma 6 5 4 6 2" xfId="11017"/>
    <cellStyle name="Comma 6 5 4 6 2 2" xfId="17556"/>
    <cellStyle name="Comma 6 5 4 6 3" xfId="14704"/>
    <cellStyle name="Comma 6 5 4 7" xfId="2489"/>
    <cellStyle name="Comma 6 5 4 7 2" xfId="14137"/>
    <cellStyle name="Comma 6 5 4 8" xfId="10450"/>
    <cellStyle name="Comma 6 5 4 8 2" xfId="16989"/>
    <cellStyle name="Comma 6 5 4 9" xfId="13564"/>
    <cellStyle name="Comma 6 5 5" xfId="1380"/>
    <cellStyle name="Comma 6 5 5 2" xfId="4800"/>
    <cellStyle name="Comma 6 5 5 2 2" xfId="11759"/>
    <cellStyle name="Comma 6 5 5 2 2 2" xfId="18298"/>
    <cellStyle name="Comma 6 5 5 2 3" xfId="15446"/>
    <cellStyle name="Comma 6 5 5 3" xfId="7072"/>
    <cellStyle name="Comma 6 5 5 3 2" xfId="12330"/>
    <cellStyle name="Comma 6 5 5 3 2 2" xfId="18869"/>
    <cellStyle name="Comma 6 5 5 3 3" xfId="16017"/>
    <cellStyle name="Comma 6 5 5 4" xfId="9344"/>
    <cellStyle name="Comma 6 5 5 4 2" xfId="12901"/>
    <cellStyle name="Comma 6 5 5 4 2 2" xfId="19440"/>
    <cellStyle name="Comma 6 5 5 4 3" xfId="16588"/>
    <cellStyle name="Comma 6 5 5 5" xfId="3231"/>
    <cellStyle name="Comma 6 5 5 5 2" xfId="11188"/>
    <cellStyle name="Comma 6 5 5 5 2 2" xfId="17727"/>
    <cellStyle name="Comma 6 5 5 5 3" xfId="14875"/>
    <cellStyle name="Comma 6 5 5 6" xfId="2657"/>
    <cellStyle name="Comma 6 5 5 6 2" xfId="14305"/>
    <cellStyle name="Comma 6 5 5 7" xfId="10618"/>
    <cellStyle name="Comma 6 5 5 7 2" xfId="17157"/>
    <cellStyle name="Comma 6 5 5 8" xfId="13735"/>
    <cellStyle name="Comma 6 5 6" xfId="3665"/>
    <cellStyle name="Comma 6 5 6 2" xfId="11474"/>
    <cellStyle name="Comma 6 5 6 2 2" xfId="18013"/>
    <cellStyle name="Comma 6 5 6 3" xfId="15161"/>
    <cellStyle name="Comma 6 5 7" xfId="5937"/>
    <cellStyle name="Comma 6 5 7 2" xfId="12045"/>
    <cellStyle name="Comma 6 5 7 2 2" xfId="18584"/>
    <cellStyle name="Comma 6 5 7 3" xfId="15732"/>
    <cellStyle name="Comma 6 5 8" xfId="8209"/>
    <cellStyle name="Comma 6 5 8 2" xfId="12616"/>
    <cellStyle name="Comma 6 5 8 2 2" xfId="19155"/>
    <cellStyle name="Comma 6 5 8 3" xfId="16303"/>
    <cellStyle name="Comma 6 5 9" xfId="2946"/>
    <cellStyle name="Comma 6 5 9 2" xfId="10903"/>
    <cellStyle name="Comma 6 5 9 2 2" xfId="17442"/>
    <cellStyle name="Comma 6 5 9 3" xfId="14590"/>
    <cellStyle name="Comma 6 6" xfId="301"/>
    <cellStyle name="Comma 6 6 10" xfId="13464"/>
    <cellStyle name="Comma 6 6 2" xfId="755"/>
    <cellStyle name="Comma 6 6 2 2" xfId="1890"/>
    <cellStyle name="Comma 6 6 2 2 2" xfId="5310"/>
    <cellStyle name="Comma 6 6 2 2 2 2" xfId="11887"/>
    <cellStyle name="Comma 6 6 2 2 2 2 2" xfId="18426"/>
    <cellStyle name="Comma 6 6 2 2 2 3" xfId="15574"/>
    <cellStyle name="Comma 6 6 2 2 3" xfId="7582"/>
    <cellStyle name="Comma 6 6 2 2 3 2" xfId="12458"/>
    <cellStyle name="Comma 6 6 2 2 3 2 2" xfId="18997"/>
    <cellStyle name="Comma 6 6 2 2 3 3" xfId="16145"/>
    <cellStyle name="Comma 6 6 2 2 4" xfId="9854"/>
    <cellStyle name="Comma 6 6 2 2 4 2" xfId="13029"/>
    <cellStyle name="Comma 6 6 2 2 4 2 2" xfId="19568"/>
    <cellStyle name="Comma 6 6 2 2 4 3" xfId="16716"/>
    <cellStyle name="Comma 6 6 2 2 5" xfId="3359"/>
    <cellStyle name="Comma 6 6 2 2 5 2" xfId="11316"/>
    <cellStyle name="Comma 6 6 2 2 5 2 2" xfId="17855"/>
    <cellStyle name="Comma 6 6 2 2 5 3" xfId="15003"/>
    <cellStyle name="Comma 6 6 2 2 6" xfId="2783"/>
    <cellStyle name="Comma 6 6 2 2 6 2" xfId="14431"/>
    <cellStyle name="Comma 6 6 2 2 7" xfId="10744"/>
    <cellStyle name="Comma 6 6 2 2 7 2" xfId="17283"/>
    <cellStyle name="Comma 6 6 2 2 8" xfId="13863"/>
    <cellStyle name="Comma 6 6 2 3" xfId="4175"/>
    <cellStyle name="Comma 6 6 2 3 2" xfId="11602"/>
    <cellStyle name="Comma 6 6 2 3 2 2" xfId="18141"/>
    <cellStyle name="Comma 6 6 2 3 3" xfId="15289"/>
    <cellStyle name="Comma 6 6 2 4" xfId="6447"/>
    <cellStyle name="Comma 6 6 2 4 2" xfId="12173"/>
    <cellStyle name="Comma 6 6 2 4 2 2" xfId="18712"/>
    <cellStyle name="Comma 6 6 2 4 3" xfId="15860"/>
    <cellStyle name="Comma 6 6 2 5" xfId="8719"/>
    <cellStyle name="Comma 6 6 2 5 2" xfId="12744"/>
    <cellStyle name="Comma 6 6 2 5 2 2" xfId="19283"/>
    <cellStyle name="Comma 6 6 2 5 3" xfId="16431"/>
    <cellStyle name="Comma 6 6 2 6" xfId="3074"/>
    <cellStyle name="Comma 6 6 2 6 2" xfId="11031"/>
    <cellStyle name="Comma 6 6 2 6 2 2" xfId="17570"/>
    <cellStyle name="Comma 6 6 2 6 3" xfId="14718"/>
    <cellStyle name="Comma 6 6 2 7" xfId="2503"/>
    <cellStyle name="Comma 6 6 2 7 2" xfId="14151"/>
    <cellStyle name="Comma 6 6 2 8" xfId="10464"/>
    <cellStyle name="Comma 6 6 2 8 2" xfId="17003"/>
    <cellStyle name="Comma 6 6 2 9" xfId="13578"/>
    <cellStyle name="Comma 6 6 3" xfId="1436"/>
    <cellStyle name="Comma 6 6 3 2" xfId="4856"/>
    <cellStyle name="Comma 6 6 3 2 2" xfId="11773"/>
    <cellStyle name="Comma 6 6 3 2 2 2" xfId="18312"/>
    <cellStyle name="Comma 6 6 3 2 3" xfId="15460"/>
    <cellStyle name="Comma 6 6 3 3" xfId="7128"/>
    <cellStyle name="Comma 6 6 3 3 2" xfId="12344"/>
    <cellStyle name="Comma 6 6 3 3 2 2" xfId="18883"/>
    <cellStyle name="Comma 6 6 3 3 3" xfId="16031"/>
    <cellStyle name="Comma 6 6 3 4" xfId="9400"/>
    <cellStyle name="Comma 6 6 3 4 2" xfId="12915"/>
    <cellStyle name="Comma 6 6 3 4 2 2" xfId="19454"/>
    <cellStyle name="Comma 6 6 3 4 3" xfId="16602"/>
    <cellStyle name="Comma 6 6 3 5" xfId="3245"/>
    <cellStyle name="Comma 6 6 3 5 2" xfId="11202"/>
    <cellStyle name="Comma 6 6 3 5 2 2" xfId="17741"/>
    <cellStyle name="Comma 6 6 3 5 3" xfId="14889"/>
    <cellStyle name="Comma 6 6 3 6" xfId="2671"/>
    <cellStyle name="Comma 6 6 3 6 2" xfId="14319"/>
    <cellStyle name="Comma 6 6 3 7" xfId="10632"/>
    <cellStyle name="Comma 6 6 3 7 2" xfId="17171"/>
    <cellStyle name="Comma 6 6 3 8" xfId="13749"/>
    <cellStyle name="Comma 6 6 4" xfId="3721"/>
    <cellStyle name="Comma 6 6 4 2" xfId="11488"/>
    <cellStyle name="Comma 6 6 4 2 2" xfId="18027"/>
    <cellStyle name="Comma 6 6 4 3" xfId="15175"/>
    <cellStyle name="Comma 6 6 5" xfId="5993"/>
    <cellStyle name="Comma 6 6 5 2" xfId="12059"/>
    <cellStyle name="Comma 6 6 5 2 2" xfId="18598"/>
    <cellStyle name="Comma 6 6 5 3" xfId="15746"/>
    <cellStyle name="Comma 6 6 6" xfId="8265"/>
    <cellStyle name="Comma 6 6 6 2" xfId="12630"/>
    <cellStyle name="Comma 6 6 6 2 2" xfId="19169"/>
    <cellStyle name="Comma 6 6 6 3" xfId="16317"/>
    <cellStyle name="Comma 6 6 7" xfId="2960"/>
    <cellStyle name="Comma 6 6 7 2" xfId="10917"/>
    <cellStyle name="Comma 6 6 7 2 2" xfId="17456"/>
    <cellStyle name="Comma 6 6 7 3" xfId="14604"/>
    <cellStyle name="Comma 6 6 8" xfId="2391"/>
    <cellStyle name="Comma 6 6 8 2" xfId="14039"/>
    <cellStyle name="Comma 6 6 9" xfId="10352"/>
    <cellStyle name="Comma 6 6 9 2" xfId="16891"/>
    <cellStyle name="Comma 6 7" xfId="982"/>
    <cellStyle name="Comma 6 7 2" xfId="2117"/>
    <cellStyle name="Comma 6 7 2 2" xfId="5537"/>
    <cellStyle name="Comma 6 7 2 2 2" xfId="11944"/>
    <cellStyle name="Comma 6 7 2 2 2 2" xfId="18483"/>
    <cellStyle name="Comma 6 7 2 2 3" xfId="15631"/>
    <cellStyle name="Comma 6 7 2 3" xfId="7809"/>
    <cellStyle name="Comma 6 7 2 3 2" xfId="12515"/>
    <cellStyle name="Comma 6 7 2 3 2 2" xfId="19054"/>
    <cellStyle name="Comma 6 7 2 3 3" xfId="16202"/>
    <cellStyle name="Comma 6 7 2 4" xfId="10081"/>
    <cellStyle name="Comma 6 7 2 4 2" xfId="13086"/>
    <cellStyle name="Comma 6 7 2 4 2 2" xfId="19625"/>
    <cellStyle name="Comma 6 7 2 4 3" xfId="16773"/>
    <cellStyle name="Comma 6 7 2 5" xfId="3416"/>
    <cellStyle name="Comma 6 7 2 5 2" xfId="11373"/>
    <cellStyle name="Comma 6 7 2 5 2 2" xfId="17912"/>
    <cellStyle name="Comma 6 7 2 5 3" xfId="15060"/>
    <cellStyle name="Comma 6 7 2 6" xfId="2839"/>
    <cellStyle name="Comma 6 7 2 6 2" xfId="14487"/>
    <cellStyle name="Comma 6 7 2 7" xfId="10800"/>
    <cellStyle name="Comma 6 7 2 7 2" xfId="17339"/>
    <cellStyle name="Comma 6 7 2 8" xfId="13920"/>
    <cellStyle name="Comma 6 7 3" xfId="4402"/>
    <cellStyle name="Comma 6 7 3 2" xfId="11659"/>
    <cellStyle name="Comma 6 7 3 2 2" xfId="18198"/>
    <cellStyle name="Comma 6 7 3 3" xfId="15346"/>
    <cellStyle name="Comma 6 7 4" xfId="6674"/>
    <cellStyle name="Comma 6 7 4 2" xfId="12230"/>
    <cellStyle name="Comma 6 7 4 2 2" xfId="18769"/>
    <cellStyle name="Comma 6 7 4 3" xfId="15917"/>
    <cellStyle name="Comma 6 7 5" xfId="8946"/>
    <cellStyle name="Comma 6 7 5 2" xfId="12801"/>
    <cellStyle name="Comma 6 7 5 2 2" xfId="19340"/>
    <cellStyle name="Comma 6 7 5 3" xfId="16488"/>
    <cellStyle name="Comma 6 7 6" xfId="3131"/>
    <cellStyle name="Comma 6 7 6 2" xfId="11088"/>
    <cellStyle name="Comma 6 7 6 2 2" xfId="17627"/>
    <cellStyle name="Comma 6 7 6 3" xfId="14775"/>
    <cellStyle name="Comma 6 7 7" xfId="2559"/>
    <cellStyle name="Comma 6 7 7 2" xfId="14207"/>
    <cellStyle name="Comma 6 7 8" xfId="10520"/>
    <cellStyle name="Comma 6 7 8 2" xfId="17059"/>
    <cellStyle name="Comma 6 7 9" xfId="13635"/>
    <cellStyle name="Comma 6 8" xfId="528"/>
    <cellStyle name="Comma 6 8 2" xfId="1663"/>
    <cellStyle name="Comma 6 8 2 2" xfId="5083"/>
    <cellStyle name="Comma 6 8 2 2 2" xfId="11830"/>
    <cellStyle name="Comma 6 8 2 2 2 2" xfId="18369"/>
    <cellStyle name="Comma 6 8 2 2 3" xfId="15517"/>
    <cellStyle name="Comma 6 8 2 3" xfId="7355"/>
    <cellStyle name="Comma 6 8 2 3 2" xfId="12401"/>
    <cellStyle name="Comma 6 8 2 3 2 2" xfId="18940"/>
    <cellStyle name="Comma 6 8 2 3 3" xfId="16088"/>
    <cellStyle name="Comma 6 8 2 4" xfId="9627"/>
    <cellStyle name="Comma 6 8 2 4 2" xfId="12972"/>
    <cellStyle name="Comma 6 8 2 4 2 2" xfId="19511"/>
    <cellStyle name="Comma 6 8 2 4 3" xfId="16659"/>
    <cellStyle name="Comma 6 8 2 5" xfId="3302"/>
    <cellStyle name="Comma 6 8 2 5 2" xfId="11259"/>
    <cellStyle name="Comma 6 8 2 5 2 2" xfId="17798"/>
    <cellStyle name="Comma 6 8 2 5 3" xfId="14946"/>
    <cellStyle name="Comma 6 8 2 6" xfId="2727"/>
    <cellStyle name="Comma 6 8 2 6 2" xfId="14375"/>
    <cellStyle name="Comma 6 8 2 7" xfId="10688"/>
    <cellStyle name="Comma 6 8 2 7 2" xfId="17227"/>
    <cellStyle name="Comma 6 8 2 8" xfId="13806"/>
    <cellStyle name="Comma 6 8 3" xfId="3948"/>
    <cellStyle name="Comma 6 8 3 2" xfId="11545"/>
    <cellStyle name="Comma 6 8 3 2 2" xfId="18084"/>
    <cellStyle name="Comma 6 8 3 3" xfId="15232"/>
    <cellStyle name="Comma 6 8 4" xfId="6220"/>
    <cellStyle name="Comma 6 8 4 2" xfId="12116"/>
    <cellStyle name="Comma 6 8 4 2 2" xfId="18655"/>
    <cellStyle name="Comma 6 8 4 3" xfId="15803"/>
    <cellStyle name="Comma 6 8 5" xfId="8492"/>
    <cellStyle name="Comma 6 8 5 2" xfId="12687"/>
    <cellStyle name="Comma 6 8 5 2 2" xfId="19226"/>
    <cellStyle name="Comma 6 8 5 3" xfId="16374"/>
    <cellStyle name="Comma 6 8 6" xfId="3017"/>
    <cellStyle name="Comma 6 8 6 2" xfId="10974"/>
    <cellStyle name="Comma 6 8 6 2 2" xfId="17513"/>
    <cellStyle name="Comma 6 8 6 3" xfId="14661"/>
    <cellStyle name="Comma 6 8 7" xfId="2447"/>
    <cellStyle name="Comma 6 8 7 2" xfId="14095"/>
    <cellStyle name="Comma 6 8 8" xfId="10408"/>
    <cellStyle name="Comma 6 8 8 2" xfId="16947"/>
    <cellStyle name="Comma 6 8 9" xfId="13521"/>
    <cellStyle name="Comma 6 9" xfId="1209"/>
    <cellStyle name="Comma 6 9 2" xfId="4629"/>
    <cellStyle name="Comma 6 9 2 2" xfId="11716"/>
    <cellStyle name="Comma 6 9 2 2 2" xfId="18255"/>
    <cellStyle name="Comma 6 9 2 3" xfId="15403"/>
    <cellStyle name="Comma 6 9 3" xfId="6901"/>
    <cellStyle name="Comma 6 9 3 2" xfId="12287"/>
    <cellStyle name="Comma 6 9 3 2 2" xfId="18826"/>
    <cellStyle name="Comma 6 9 3 3" xfId="15974"/>
    <cellStyle name="Comma 6 9 4" xfId="9173"/>
    <cellStyle name="Comma 6 9 4 2" xfId="12858"/>
    <cellStyle name="Comma 6 9 4 2 2" xfId="19397"/>
    <cellStyle name="Comma 6 9 4 3" xfId="16545"/>
    <cellStyle name="Comma 6 9 5" xfId="3188"/>
    <cellStyle name="Comma 6 9 5 2" xfId="11145"/>
    <cellStyle name="Comma 6 9 5 2 2" xfId="17684"/>
    <cellStyle name="Comma 6 9 5 3" xfId="14832"/>
    <cellStyle name="Comma 6 9 6" xfId="2615"/>
    <cellStyle name="Comma 6 9 6 2" xfId="14263"/>
    <cellStyle name="Comma 6 9 7" xfId="10576"/>
    <cellStyle name="Comma 6 9 7 2" xfId="17115"/>
    <cellStyle name="Comma 6 9 8" xfId="13692"/>
    <cellStyle name="Comma 60" xfId="19790"/>
    <cellStyle name="Comma 61" xfId="19870"/>
    <cellStyle name="Comma 7" xfId="63"/>
    <cellStyle name="Comma 7 10" xfId="3496"/>
    <cellStyle name="Comma 7 10 2" xfId="11432"/>
    <cellStyle name="Comma 7 10 2 2" xfId="17971"/>
    <cellStyle name="Comma 7 10 3" xfId="15119"/>
    <cellStyle name="Comma 7 11" xfId="5768"/>
    <cellStyle name="Comma 7 11 2" xfId="12003"/>
    <cellStyle name="Comma 7 11 2 2" xfId="18542"/>
    <cellStyle name="Comma 7 11 3" xfId="15690"/>
    <cellStyle name="Comma 7 12" xfId="8040"/>
    <cellStyle name="Comma 7 12 2" xfId="12574"/>
    <cellStyle name="Comma 7 12 2 2" xfId="19113"/>
    <cellStyle name="Comma 7 12 3" xfId="16261"/>
    <cellStyle name="Comma 7 13" xfId="2899"/>
    <cellStyle name="Comma 7 13 2" xfId="10859"/>
    <cellStyle name="Comma 7 13 2 2" xfId="17398"/>
    <cellStyle name="Comma 7 13 3" xfId="14546"/>
    <cellStyle name="Comma 7 14" xfId="2334"/>
    <cellStyle name="Comma 7 14 2" xfId="13982"/>
    <cellStyle name="Comma 7 15" xfId="10295"/>
    <cellStyle name="Comma 7 15 2" xfId="16834"/>
    <cellStyle name="Comma 7 16" xfId="13261"/>
    <cellStyle name="Comma 7 16 2" xfId="19770"/>
    <cellStyle name="Comma 7 17" xfId="13406"/>
    <cellStyle name="Comma 7 18" xfId="19864"/>
    <cellStyle name="Comma 7 19" xfId="20097"/>
    <cellStyle name="Comma 7 2" xfId="93"/>
    <cellStyle name="Comma 7 2 10" xfId="5796"/>
    <cellStyle name="Comma 7 2 10 2" xfId="12010"/>
    <cellStyle name="Comma 7 2 10 2 2" xfId="18549"/>
    <cellStyle name="Comma 7 2 10 3" xfId="15697"/>
    <cellStyle name="Comma 7 2 11" xfId="8068"/>
    <cellStyle name="Comma 7 2 11 2" xfId="12581"/>
    <cellStyle name="Comma 7 2 11 2 2" xfId="19120"/>
    <cellStyle name="Comma 7 2 11 3" xfId="16268"/>
    <cellStyle name="Comma 7 2 12" xfId="2908"/>
    <cellStyle name="Comma 7 2 12 2" xfId="10867"/>
    <cellStyle name="Comma 7 2 12 2 2" xfId="17406"/>
    <cellStyle name="Comma 7 2 12 3" xfId="14554"/>
    <cellStyle name="Comma 7 2 13" xfId="2342"/>
    <cellStyle name="Comma 7 2 13 2" xfId="13990"/>
    <cellStyle name="Comma 7 2 14" xfId="10303"/>
    <cellStyle name="Comma 7 2 14 2" xfId="16842"/>
    <cellStyle name="Comma 7 2 15" xfId="13262"/>
    <cellStyle name="Comma 7 2 15 2" xfId="19771"/>
    <cellStyle name="Comma 7 2 16" xfId="13414"/>
    <cellStyle name="Comma 7 2 17" xfId="19784"/>
    <cellStyle name="Comma 7 2 18" xfId="19865"/>
    <cellStyle name="Comma 7 2 19" xfId="20098"/>
    <cellStyle name="Comma 7 2 2" xfId="205"/>
    <cellStyle name="Comma 7 2 2 10" xfId="2370"/>
    <cellStyle name="Comma 7 2 2 10 2" xfId="14018"/>
    <cellStyle name="Comma 7 2 2 11" xfId="10331"/>
    <cellStyle name="Comma 7 2 2 11 2" xfId="16870"/>
    <cellStyle name="Comma 7 2 2 12" xfId="13442"/>
    <cellStyle name="Comma 7 2 2 2" xfId="443"/>
    <cellStyle name="Comma 7 2 2 2 10" xfId="13500"/>
    <cellStyle name="Comma 7 2 2 2 2" xfId="897"/>
    <cellStyle name="Comma 7 2 2 2 2 2" xfId="2032"/>
    <cellStyle name="Comma 7 2 2 2 2 2 2" xfId="5452"/>
    <cellStyle name="Comma 7 2 2 2 2 2 2 2" xfId="11923"/>
    <cellStyle name="Comma 7 2 2 2 2 2 2 2 2" xfId="18462"/>
    <cellStyle name="Comma 7 2 2 2 2 2 2 3" xfId="15610"/>
    <cellStyle name="Comma 7 2 2 2 2 2 3" xfId="7724"/>
    <cellStyle name="Comma 7 2 2 2 2 2 3 2" xfId="12494"/>
    <cellStyle name="Comma 7 2 2 2 2 2 3 2 2" xfId="19033"/>
    <cellStyle name="Comma 7 2 2 2 2 2 3 3" xfId="16181"/>
    <cellStyle name="Comma 7 2 2 2 2 2 4" xfId="9996"/>
    <cellStyle name="Comma 7 2 2 2 2 2 4 2" xfId="13065"/>
    <cellStyle name="Comma 7 2 2 2 2 2 4 2 2" xfId="19604"/>
    <cellStyle name="Comma 7 2 2 2 2 2 4 3" xfId="16752"/>
    <cellStyle name="Comma 7 2 2 2 2 2 5" xfId="3395"/>
    <cellStyle name="Comma 7 2 2 2 2 2 5 2" xfId="11352"/>
    <cellStyle name="Comma 7 2 2 2 2 2 5 2 2" xfId="17891"/>
    <cellStyle name="Comma 7 2 2 2 2 2 5 3" xfId="15039"/>
    <cellStyle name="Comma 7 2 2 2 2 2 6" xfId="2819"/>
    <cellStyle name="Comma 7 2 2 2 2 2 6 2" xfId="14467"/>
    <cellStyle name="Comma 7 2 2 2 2 2 7" xfId="10780"/>
    <cellStyle name="Comma 7 2 2 2 2 2 7 2" xfId="17319"/>
    <cellStyle name="Comma 7 2 2 2 2 2 8" xfId="13899"/>
    <cellStyle name="Comma 7 2 2 2 2 3" xfId="4317"/>
    <cellStyle name="Comma 7 2 2 2 2 3 2" xfId="11638"/>
    <cellStyle name="Comma 7 2 2 2 2 3 2 2" xfId="18177"/>
    <cellStyle name="Comma 7 2 2 2 2 3 3" xfId="15325"/>
    <cellStyle name="Comma 7 2 2 2 2 4" xfId="6589"/>
    <cellStyle name="Comma 7 2 2 2 2 4 2" xfId="12209"/>
    <cellStyle name="Comma 7 2 2 2 2 4 2 2" xfId="18748"/>
    <cellStyle name="Comma 7 2 2 2 2 4 3" xfId="15896"/>
    <cellStyle name="Comma 7 2 2 2 2 5" xfId="8861"/>
    <cellStyle name="Comma 7 2 2 2 2 5 2" xfId="12780"/>
    <cellStyle name="Comma 7 2 2 2 2 5 2 2" xfId="19319"/>
    <cellStyle name="Comma 7 2 2 2 2 5 3" xfId="16467"/>
    <cellStyle name="Comma 7 2 2 2 2 6" xfId="3110"/>
    <cellStyle name="Comma 7 2 2 2 2 6 2" xfId="11067"/>
    <cellStyle name="Comma 7 2 2 2 2 6 2 2" xfId="17606"/>
    <cellStyle name="Comma 7 2 2 2 2 6 3" xfId="14754"/>
    <cellStyle name="Comma 7 2 2 2 2 7" xfId="2539"/>
    <cellStyle name="Comma 7 2 2 2 2 7 2" xfId="14187"/>
    <cellStyle name="Comma 7 2 2 2 2 8" xfId="10500"/>
    <cellStyle name="Comma 7 2 2 2 2 8 2" xfId="17039"/>
    <cellStyle name="Comma 7 2 2 2 2 9" xfId="13614"/>
    <cellStyle name="Comma 7 2 2 2 3" xfId="1578"/>
    <cellStyle name="Comma 7 2 2 2 3 2" xfId="4998"/>
    <cellStyle name="Comma 7 2 2 2 3 2 2" xfId="11809"/>
    <cellStyle name="Comma 7 2 2 2 3 2 2 2" xfId="18348"/>
    <cellStyle name="Comma 7 2 2 2 3 2 3" xfId="15496"/>
    <cellStyle name="Comma 7 2 2 2 3 3" xfId="7270"/>
    <cellStyle name="Comma 7 2 2 2 3 3 2" xfId="12380"/>
    <cellStyle name="Comma 7 2 2 2 3 3 2 2" xfId="18919"/>
    <cellStyle name="Comma 7 2 2 2 3 3 3" xfId="16067"/>
    <cellStyle name="Comma 7 2 2 2 3 4" xfId="9542"/>
    <cellStyle name="Comma 7 2 2 2 3 4 2" xfId="12951"/>
    <cellStyle name="Comma 7 2 2 2 3 4 2 2" xfId="19490"/>
    <cellStyle name="Comma 7 2 2 2 3 4 3" xfId="16638"/>
    <cellStyle name="Comma 7 2 2 2 3 5" xfId="3281"/>
    <cellStyle name="Comma 7 2 2 2 3 5 2" xfId="11238"/>
    <cellStyle name="Comma 7 2 2 2 3 5 2 2" xfId="17777"/>
    <cellStyle name="Comma 7 2 2 2 3 5 3" xfId="14925"/>
    <cellStyle name="Comma 7 2 2 2 3 6" xfId="2707"/>
    <cellStyle name="Comma 7 2 2 2 3 6 2" xfId="14355"/>
    <cellStyle name="Comma 7 2 2 2 3 7" xfId="10668"/>
    <cellStyle name="Comma 7 2 2 2 3 7 2" xfId="17207"/>
    <cellStyle name="Comma 7 2 2 2 3 8" xfId="13785"/>
    <cellStyle name="Comma 7 2 2 2 4" xfId="3863"/>
    <cellStyle name="Comma 7 2 2 2 4 2" xfId="11524"/>
    <cellStyle name="Comma 7 2 2 2 4 2 2" xfId="18063"/>
    <cellStyle name="Comma 7 2 2 2 4 3" xfId="15211"/>
    <cellStyle name="Comma 7 2 2 2 5" xfId="6135"/>
    <cellStyle name="Comma 7 2 2 2 5 2" xfId="12095"/>
    <cellStyle name="Comma 7 2 2 2 5 2 2" xfId="18634"/>
    <cellStyle name="Comma 7 2 2 2 5 3" xfId="15782"/>
    <cellStyle name="Comma 7 2 2 2 6" xfId="8407"/>
    <cellStyle name="Comma 7 2 2 2 6 2" xfId="12666"/>
    <cellStyle name="Comma 7 2 2 2 6 2 2" xfId="19205"/>
    <cellStyle name="Comma 7 2 2 2 6 3" xfId="16353"/>
    <cellStyle name="Comma 7 2 2 2 7" xfId="2996"/>
    <cellStyle name="Comma 7 2 2 2 7 2" xfId="10953"/>
    <cellStyle name="Comma 7 2 2 2 7 2 2" xfId="17492"/>
    <cellStyle name="Comma 7 2 2 2 7 3" xfId="14640"/>
    <cellStyle name="Comma 7 2 2 2 8" xfId="2427"/>
    <cellStyle name="Comma 7 2 2 2 8 2" xfId="14075"/>
    <cellStyle name="Comma 7 2 2 2 9" xfId="10388"/>
    <cellStyle name="Comma 7 2 2 2 9 2" xfId="16927"/>
    <cellStyle name="Comma 7 2 2 3" xfId="1124"/>
    <cellStyle name="Comma 7 2 2 3 2" xfId="2259"/>
    <cellStyle name="Comma 7 2 2 3 2 2" xfId="5679"/>
    <cellStyle name="Comma 7 2 2 3 2 2 2" xfId="11980"/>
    <cellStyle name="Comma 7 2 2 3 2 2 2 2" xfId="18519"/>
    <cellStyle name="Comma 7 2 2 3 2 2 3" xfId="15667"/>
    <cellStyle name="Comma 7 2 2 3 2 3" xfId="7951"/>
    <cellStyle name="Comma 7 2 2 3 2 3 2" xfId="12551"/>
    <cellStyle name="Comma 7 2 2 3 2 3 2 2" xfId="19090"/>
    <cellStyle name="Comma 7 2 2 3 2 3 3" xfId="16238"/>
    <cellStyle name="Comma 7 2 2 3 2 4" xfId="10223"/>
    <cellStyle name="Comma 7 2 2 3 2 4 2" xfId="13122"/>
    <cellStyle name="Comma 7 2 2 3 2 4 2 2" xfId="19661"/>
    <cellStyle name="Comma 7 2 2 3 2 4 3" xfId="16809"/>
    <cellStyle name="Comma 7 2 2 3 2 5" xfId="3452"/>
    <cellStyle name="Comma 7 2 2 3 2 5 2" xfId="11409"/>
    <cellStyle name="Comma 7 2 2 3 2 5 2 2" xfId="17948"/>
    <cellStyle name="Comma 7 2 2 3 2 5 3" xfId="15096"/>
    <cellStyle name="Comma 7 2 2 3 2 6" xfId="2875"/>
    <cellStyle name="Comma 7 2 2 3 2 6 2" xfId="14523"/>
    <cellStyle name="Comma 7 2 2 3 2 7" xfId="10836"/>
    <cellStyle name="Comma 7 2 2 3 2 7 2" xfId="17375"/>
    <cellStyle name="Comma 7 2 2 3 2 8" xfId="13956"/>
    <cellStyle name="Comma 7 2 2 3 3" xfId="4544"/>
    <cellStyle name="Comma 7 2 2 3 3 2" xfId="11695"/>
    <cellStyle name="Comma 7 2 2 3 3 2 2" xfId="18234"/>
    <cellStyle name="Comma 7 2 2 3 3 3" xfId="15382"/>
    <cellStyle name="Comma 7 2 2 3 4" xfId="6816"/>
    <cellStyle name="Comma 7 2 2 3 4 2" xfId="12266"/>
    <cellStyle name="Comma 7 2 2 3 4 2 2" xfId="18805"/>
    <cellStyle name="Comma 7 2 2 3 4 3" xfId="15953"/>
    <cellStyle name="Comma 7 2 2 3 5" xfId="9088"/>
    <cellStyle name="Comma 7 2 2 3 5 2" xfId="12837"/>
    <cellStyle name="Comma 7 2 2 3 5 2 2" xfId="19376"/>
    <cellStyle name="Comma 7 2 2 3 5 3" xfId="16524"/>
    <cellStyle name="Comma 7 2 2 3 6" xfId="3167"/>
    <cellStyle name="Comma 7 2 2 3 6 2" xfId="11124"/>
    <cellStyle name="Comma 7 2 2 3 6 2 2" xfId="17663"/>
    <cellStyle name="Comma 7 2 2 3 6 3" xfId="14811"/>
    <cellStyle name="Comma 7 2 2 3 7" xfId="2595"/>
    <cellStyle name="Comma 7 2 2 3 7 2" xfId="14243"/>
    <cellStyle name="Comma 7 2 2 3 8" xfId="10556"/>
    <cellStyle name="Comma 7 2 2 3 8 2" xfId="17095"/>
    <cellStyle name="Comma 7 2 2 3 9" xfId="13671"/>
    <cellStyle name="Comma 7 2 2 4" xfId="670"/>
    <cellStyle name="Comma 7 2 2 4 2" xfId="1805"/>
    <cellStyle name="Comma 7 2 2 4 2 2" xfId="5225"/>
    <cellStyle name="Comma 7 2 2 4 2 2 2" xfId="11866"/>
    <cellStyle name="Comma 7 2 2 4 2 2 2 2" xfId="18405"/>
    <cellStyle name="Comma 7 2 2 4 2 2 3" xfId="15553"/>
    <cellStyle name="Comma 7 2 2 4 2 3" xfId="7497"/>
    <cellStyle name="Comma 7 2 2 4 2 3 2" xfId="12437"/>
    <cellStyle name="Comma 7 2 2 4 2 3 2 2" xfId="18976"/>
    <cellStyle name="Comma 7 2 2 4 2 3 3" xfId="16124"/>
    <cellStyle name="Comma 7 2 2 4 2 4" xfId="9769"/>
    <cellStyle name="Comma 7 2 2 4 2 4 2" xfId="13008"/>
    <cellStyle name="Comma 7 2 2 4 2 4 2 2" xfId="19547"/>
    <cellStyle name="Comma 7 2 2 4 2 4 3" xfId="16695"/>
    <cellStyle name="Comma 7 2 2 4 2 5" xfId="3338"/>
    <cellStyle name="Comma 7 2 2 4 2 5 2" xfId="11295"/>
    <cellStyle name="Comma 7 2 2 4 2 5 2 2" xfId="17834"/>
    <cellStyle name="Comma 7 2 2 4 2 5 3" xfId="14982"/>
    <cellStyle name="Comma 7 2 2 4 2 6" xfId="2763"/>
    <cellStyle name="Comma 7 2 2 4 2 6 2" xfId="14411"/>
    <cellStyle name="Comma 7 2 2 4 2 7" xfId="10724"/>
    <cellStyle name="Comma 7 2 2 4 2 7 2" xfId="17263"/>
    <cellStyle name="Comma 7 2 2 4 2 8" xfId="13842"/>
    <cellStyle name="Comma 7 2 2 4 3" xfId="4090"/>
    <cellStyle name="Comma 7 2 2 4 3 2" xfId="11581"/>
    <cellStyle name="Comma 7 2 2 4 3 2 2" xfId="18120"/>
    <cellStyle name="Comma 7 2 2 4 3 3" xfId="15268"/>
    <cellStyle name="Comma 7 2 2 4 4" xfId="6362"/>
    <cellStyle name="Comma 7 2 2 4 4 2" xfId="12152"/>
    <cellStyle name="Comma 7 2 2 4 4 2 2" xfId="18691"/>
    <cellStyle name="Comma 7 2 2 4 4 3" xfId="15839"/>
    <cellStyle name="Comma 7 2 2 4 5" xfId="8634"/>
    <cellStyle name="Comma 7 2 2 4 5 2" xfId="12723"/>
    <cellStyle name="Comma 7 2 2 4 5 2 2" xfId="19262"/>
    <cellStyle name="Comma 7 2 2 4 5 3" xfId="16410"/>
    <cellStyle name="Comma 7 2 2 4 6" xfId="3053"/>
    <cellStyle name="Comma 7 2 2 4 6 2" xfId="11010"/>
    <cellStyle name="Comma 7 2 2 4 6 2 2" xfId="17549"/>
    <cellStyle name="Comma 7 2 2 4 6 3" xfId="14697"/>
    <cellStyle name="Comma 7 2 2 4 7" xfId="2483"/>
    <cellStyle name="Comma 7 2 2 4 7 2" xfId="14131"/>
    <cellStyle name="Comma 7 2 2 4 8" xfId="10444"/>
    <cellStyle name="Comma 7 2 2 4 8 2" xfId="16983"/>
    <cellStyle name="Comma 7 2 2 4 9" xfId="13557"/>
    <cellStyle name="Comma 7 2 2 5" xfId="1351"/>
    <cellStyle name="Comma 7 2 2 5 2" xfId="4771"/>
    <cellStyle name="Comma 7 2 2 5 2 2" xfId="11752"/>
    <cellStyle name="Comma 7 2 2 5 2 2 2" xfId="18291"/>
    <cellStyle name="Comma 7 2 2 5 2 3" xfId="15439"/>
    <cellStyle name="Comma 7 2 2 5 3" xfId="7043"/>
    <cellStyle name="Comma 7 2 2 5 3 2" xfId="12323"/>
    <cellStyle name="Comma 7 2 2 5 3 2 2" xfId="18862"/>
    <cellStyle name="Comma 7 2 2 5 3 3" xfId="16010"/>
    <cellStyle name="Comma 7 2 2 5 4" xfId="9315"/>
    <cellStyle name="Comma 7 2 2 5 4 2" xfId="12894"/>
    <cellStyle name="Comma 7 2 2 5 4 2 2" xfId="19433"/>
    <cellStyle name="Comma 7 2 2 5 4 3" xfId="16581"/>
    <cellStyle name="Comma 7 2 2 5 5" xfId="3224"/>
    <cellStyle name="Comma 7 2 2 5 5 2" xfId="11181"/>
    <cellStyle name="Comma 7 2 2 5 5 2 2" xfId="17720"/>
    <cellStyle name="Comma 7 2 2 5 5 3" xfId="14868"/>
    <cellStyle name="Comma 7 2 2 5 6" xfId="2651"/>
    <cellStyle name="Comma 7 2 2 5 6 2" xfId="14299"/>
    <cellStyle name="Comma 7 2 2 5 7" xfId="10612"/>
    <cellStyle name="Comma 7 2 2 5 7 2" xfId="17151"/>
    <cellStyle name="Comma 7 2 2 5 8" xfId="13728"/>
    <cellStyle name="Comma 7 2 2 6" xfId="3636"/>
    <cellStyle name="Comma 7 2 2 6 2" xfId="11467"/>
    <cellStyle name="Comma 7 2 2 6 2 2" xfId="18006"/>
    <cellStyle name="Comma 7 2 2 6 3" xfId="15154"/>
    <cellStyle name="Comma 7 2 2 7" xfId="5908"/>
    <cellStyle name="Comma 7 2 2 7 2" xfId="12038"/>
    <cellStyle name="Comma 7 2 2 7 2 2" xfId="18577"/>
    <cellStyle name="Comma 7 2 2 7 3" xfId="15725"/>
    <cellStyle name="Comma 7 2 2 8" xfId="8180"/>
    <cellStyle name="Comma 7 2 2 8 2" xfId="12609"/>
    <cellStyle name="Comma 7 2 2 8 2 2" xfId="19148"/>
    <cellStyle name="Comma 7 2 2 8 3" xfId="16296"/>
    <cellStyle name="Comma 7 2 2 9" xfId="2936"/>
    <cellStyle name="Comma 7 2 2 9 2" xfId="10895"/>
    <cellStyle name="Comma 7 2 2 9 2 2" xfId="17434"/>
    <cellStyle name="Comma 7 2 2 9 3" xfId="14582"/>
    <cellStyle name="Comma 7 2 3" xfId="149"/>
    <cellStyle name="Comma 7 2 3 10" xfId="2356"/>
    <cellStyle name="Comma 7 2 3 10 2" xfId="14004"/>
    <cellStyle name="Comma 7 2 3 11" xfId="10317"/>
    <cellStyle name="Comma 7 2 3 11 2" xfId="16856"/>
    <cellStyle name="Comma 7 2 3 12" xfId="13428"/>
    <cellStyle name="Comma 7 2 3 2" xfId="387"/>
    <cellStyle name="Comma 7 2 3 2 10" xfId="13486"/>
    <cellStyle name="Comma 7 2 3 2 2" xfId="841"/>
    <cellStyle name="Comma 7 2 3 2 2 2" xfId="1976"/>
    <cellStyle name="Comma 7 2 3 2 2 2 2" xfId="5396"/>
    <cellStyle name="Comma 7 2 3 2 2 2 2 2" xfId="11909"/>
    <cellStyle name="Comma 7 2 3 2 2 2 2 2 2" xfId="18448"/>
    <cellStyle name="Comma 7 2 3 2 2 2 2 3" xfId="15596"/>
    <cellStyle name="Comma 7 2 3 2 2 2 3" xfId="7668"/>
    <cellStyle name="Comma 7 2 3 2 2 2 3 2" xfId="12480"/>
    <cellStyle name="Comma 7 2 3 2 2 2 3 2 2" xfId="19019"/>
    <cellStyle name="Comma 7 2 3 2 2 2 3 3" xfId="16167"/>
    <cellStyle name="Comma 7 2 3 2 2 2 4" xfId="9940"/>
    <cellStyle name="Comma 7 2 3 2 2 2 4 2" xfId="13051"/>
    <cellStyle name="Comma 7 2 3 2 2 2 4 2 2" xfId="19590"/>
    <cellStyle name="Comma 7 2 3 2 2 2 4 3" xfId="16738"/>
    <cellStyle name="Comma 7 2 3 2 2 2 5" xfId="3381"/>
    <cellStyle name="Comma 7 2 3 2 2 2 5 2" xfId="11338"/>
    <cellStyle name="Comma 7 2 3 2 2 2 5 2 2" xfId="17877"/>
    <cellStyle name="Comma 7 2 3 2 2 2 5 3" xfId="15025"/>
    <cellStyle name="Comma 7 2 3 2 2 2 6" xfId="2805"/>
    <cellStyle name="Comma 7 2 3 2 2 2 6 2" xfId="14453"/>
    <cellStyle name="Comma 7 2 3 2 2 2 7" xfId="10766"/>
    <cellStyle name="Comma 7 2 3 2 2 2 7 2" xfId="17305"/>
    <cellStyle name="Comma 7 2 3 2 2 2 8" xfId="13885"/>
    <cellStyle name="Comma 7 2 3 2 2 3" xfId="4261"/>
    <cellStyle name="Comma 7 2 3 2 2 3 2" xfId="11624"/>
    <cellStyle name="Comma 7 2 3 2 2 3 2 2" xfId="18163"/>
    <cellStyle name="Comma 7 2 3 2 2 3 3" xfId="15311"/>
    <cellStyle name="Comma 7 2 3 2 2 4" xfId="6533"/>
    <cellStyle name="Comma 7 2 3 2 2 4 2" xfId="12195"/>
    <cellStyle name="Comma 7 2 3 2 2 4 2 2" xfId="18734"/>
    <cellStyle name="Comma 7 2 3 2 2 4 3" xfId="15882"/>
    <cellStyle name="Comma 7 2 3 2 2 5" xfId="8805"/>
    <cellStyle name="Comma 7 2 3 2 2 5 2" xfId="12766"/>
    <cellStyle name="Comma 7 2 3 2 2 5 2 2" xfId="19305"/>
    <cellStyle name="Comma 7 2 3 2 2 5 3" xfId="16453"/>
    <cellStyle name="Comma 7 2 3 2 2 6" xfId="3096"/>
    <cellStyle name="Comma 7 2 3 2 2 6 2" xfId="11053"/>
    <cellStyle name="Comma 7 2 3 2 2 6 2 2" xfId="17592"/>
    <cellStyle name="Comma 7 2 3 2 2 6 3" xfId="14740"/>
    <cellStyle name="Comma 7 2 3 2 2 7" xfId="2525"/>
    <cellStyle name="Comma 7 2 3 2 2 7 2" xfId="14173"/>
    <cellStyle name="Comma 7 2 3 2 2 8" xfId="10486"/>
    <cellStyle name="Comma 7 2 3 2 2 8 2" xfId="17025"/>
    <cellStyle name="Comma 7 2 3 2 2 9" xfId="13600"/>
    <cellStyle name="Comma 7 2 3 2 3" xfId="1522"/>
    <cellStyle name="Comma 7 2 3 2 3 2" xfId="4942"/>
    <cellStyle name="Comma 7 2 3 2 3 2 2" xfId="11795"/>
    <cellStyle name="Comma 7 2 3 2 3 2 2 2" xfId="18334"/>
    <cellStyle name="Comma 7 2 3 2 3 2 3" xfId="15482"/>
    <cellStyle name="Comma 7 2 3 2 3 3" xfId="7214"/>
    <cellStyle name="Comma 7 2 3 2 3 3 2" xfId="12366"/>
    <cellStyle name="Comma 7 2 3 2 3 3 2 2" xfId="18905"/>
    <cellStyle name="Comma 7 2 3 2 3 3 3" xfId="16053"/>
    <cellStyle name="Comma 7 2 3 2 3 4" xfId="9486"/>
    <cellStyle name="Comma 7 2 3 2 3 4 2" xfId="12937"/>
    <cellStyle name="Comma 7 2 3 2 3 4 2 2" xfId="19476"/>
    <cellStyle name="Comma 7 2 3 2 3 4 3" xfId="16624"/>
    <cellStyle name="Comma 7 2 3 2 3 5" xfId="3267"/>
    <cellStyle name="Comma 7 2 3 2 3 5 2" xfId="11224"/>
    <cellStyle name="Comma 7 2 3 2 3 5 2 2" xfId="17763"/>
    <cellStyle name="Comma 7 2 3 2 3 5 3" xfId="14911"/>
    <cellStyle name="Comma 7 2 3 2 3 6" xfId="2693"/>
    <cellStyle name="Comma 7 2 3 2 3 6 2" xfId="14341"/>
    <cellStyle name="Comma 7 2 3 2 3 7" xfId="10654"/>
    <cellStyle name="Comma 7 2 3 2 3 7 2" xfId="17193"/>
    <cellStyle name="Comma 7 2 3 2 3 8" xfId="13771"/>
    <cellStyle name="Comma 7 2 3 2 4" xfId="3807"/>
    <cellStyle name="Comma 7 2 3 2 4 2" xfId="11510"/>
    <cellStyle name="Comma 7 2 3 2 4 2 2" xfId="18049"/>
    <cellStyle name="Comma 7 2 3 2 4 3" xfId="15197"/>
    <cellStyle name="Comma 7 2 3 2 5" xfId="6079"/>
    <cellStyle name="Comma 7 2 3 2 5 2" xfId="12081"/>
    <cellStyle name="Comma 7 2 3 2 5 2 2" xfId="18620"/>
    <cellStyle name="Comma 7 2 3 2 5 3" xfId="15768"/>
    <cellStyle name="Comma 7 2 3 2 6" xfId="8351"/>
    <cellStyle name="Comma 7 2 3 2 6 2" xfId="12652"/>
    <cellStyle name="Comma 7 2 3 2 6 2 2" xfId="19191"/>
    <cellStyle name="Comma 7 2 3 2 6 3" xfId="16339"/>
    <cellStyle name="Comma 7 2 3 2 7" xfId="2982"/>
    <cellStyle name="Comma 7 2 3 2 7 2" xfId="10939"/>
    <cellStyle name="Comma 7 2 3 2 7 2 2" xfId="17478"/>
    <cellStyle name="Comma 7 2 3 2 7 3" xfId="14626"/>
    <cellStyle name="Comma 7 2 3 2 8" xfId="2413"/>
    <cellStyle name="Comma 7 2 3 2 8 2" xfId="14061"/>
    <cellStyle name="Comma 7 2 3 2 9" xfId="10374"/>
    <cellStyle name="Comma 7 2 3 2 9 2" xfId="16913"/>
    <cellStyle name="Comma 7 2 3 3" xfId="1068"/>
    <cellStyle name="Comma 7 2 3 3 2" xfId="2203"/>
    <cellStyle name="Comma 7 2 3 3 2 2" xfId="5623"/>
    <cellStyle name="Comma 7 2 3 3 2 2 2" xfId="11966"/>
    <cellStyle name="Comma 7 2 3 3 2 2 2 2" xfId="18505"/>
    <cellStyle name="Comma 7 2 3 3 2 2 3" xfId="15653"/>
    <cellStyle name="Comma 7 2 3 3 2 3" xfId="7895"/>
    <cellStyle name="Comma 7 2 3 3 2 3 2" xfId="12537"/>
    <cellStyle name="Comma 7 2 3 3 2 3 2 2" xfId="19076"/>
    <cellStyle name="Comma 7 2 3 3 2 3 3" xfId="16224"/>
    <cellStyle name="Comma 7 2 3 3 2 4" xfId="10167"/>
    <cellStyle name="Comma 7 2 3 3 2 4 2" xfId="13108"/>
    <cellStyle name="Comma 7 2 3 3 2 4 2 2" xfId="19647"/>
    <cellStyle name="Comma 7 2 3 3 2 4 3" xfId="16795"/>
    <cellStyle name="Comma 7 2 3 3 2 5" xfId="3438"/>
    <cellStyle name="Comma 7 2 3 3 2 5 2" xfId="11395"/>
    <cellStyle name="Comma 7 2 3 3 2 5 2 2" xfId="17934"/>
    <cellStyle name="Comma 7 2 3 3 2 5 3" xfId="15082"/>
    <cellStyle name="Comma 7 2 3 3 2 6" xfId="2861"/>
    <cellStyle name="Comma 7 2 3 3 2 6 2" xfId="14509"/>
    <cellStyle name="Comma 7 2 3 3 2 7" xfId="10822"/>
    <cellStyle name="Comma 7 2 3 3 2 7 2" xfId="17361"/>
    <cellStyle name="Comma 7 2 3 3 2 8" xfId="13942"/>
    <cellStyle name="Comma 7 2 3 3 3" xfId="4488"/>
    <cellStyle name="Comma 7 2 3 3 3 2" xfId="11681"/>
    <cellStyle name="Comma 7 2 3 3 3 2 2" xfId="18220"/>
    <cellStyle name="Comma 7 2 3 3 3 3" xfId="15368"/>
    <cellStyle name="Comma 7 2 3 3 4" xfId="6760"/>
    <cellStyle name="Comma 7 2 3 3 4 2" xfId="12252"/>
    <cellStyle name="Comma 7 2 3 3 4 2 2" xfId="18791"/>
    <cellStyle name="Comma 7 2 3 3 4 3" xfId="15939"/>
    <cellStyle name="Comma 7 2 3 3 5" xfId="9032"/>
    <cellStyle name="Comma 7 2 3 3 5 2" xfId="12823"/>
    <cellStyle name="Comma 7 2 3 3 5 2 2" xfId="19362"/>
    <cellStyle name="Comma 7 2 3 3 5 3" xfId="16510"/>
    <cellStyle name="Comma 7 2 3 3 6" xfId="3153"/>
    <cellStyle name="Comma 7 2 3 3 6 2" xfId="11110"/>
    <cellStyle name="Comma 7 2 3 3 6 2 2" xfId="17649"/>
    <cellStyle name="Comma 7 2 3 3 6 3" xfId="14797"/>
    <cellStyle name="Comma 7 2 3 3 7" xfId="2581"/>
    <cellStyle name="Comma 7 2 3 3 7 2" xfId="14229"/>
    <cellStyle name="Comma 7 2 3 3 8" xfId="10542"/>
    <cellStyle name="Comma 7 2 3 3 8 2" xfId="17081"/>
    <cellStyle name="Comma 7 2 3 3 9" xfId="13657"/>
    <cellStyle name="Comma 7 2 3 4" xfId="614"/>
    <cellStyle name="Comma 7 2 3 4 2" xfId="1749"/>
    <cellStyle name="Comma 7 2 3 4 2 2" xfId="5169"/>
    <cellStyle name="Comma 7 2 3 4 2 2 2" xfId="11852"/>
    <cellStyle name="Comma 7 2 3 4 2 2 2 2" xfId="18391"/>
    <cellStyle name="Comma 7 2 3 4 2 2 3" xfId="15539"/>
    <cellStyle name="Comma 7 2 3 4 2 3" xfId="7441"/>
    <cellStyle name="Comma 7 2 3 4 2 3 2" xfId="12423"/>
    <cellStyle name="Comma 7 2 3 4 2 3 2 2" xfId="18962"/>
    <cellStyle name="Comma 7 2 3 4 2 3 3" xfId="16110"/>
    <cellStyle name="Comma 7 2 3 4 2 4" xfId="9713"/>
    <cellStyle name="Comma 7 2 3 4 2 4 2" xfId="12994"/>
    <cellStyle name="Comma 7 2 3 4 2 4 2 2" xfId="19533"/>
    <cellStyle name="Comma 7 2 3 4 2 4 3" xfId="16681"/>
    <cellStyle name="Comma 7 2 3 4 2 5" xfId="3324"/>
    <cellStyle name="Comma 7 2 3 4 2 5 2" xfId="11281"/>
    <cellStyle name="Comma 7 2 3 4 2 5 2 2" xfId="17820"/>
    <cellStyle name="Comma 7 2 3 4 2 5 3" xfId="14968"/>
    <cellStyle name="Comma 7 2 3 4 2 6" xfId="2749"/>
    <cellStyle name="Comma 7 2 3 4 2 6 2" xfId="14397"/>
    <cellStyle name="Comma 7 2 3 4 2 7" xfId="10710"/>
    <cellStyle name="Comma 7 2 3 4 2 7 2" xfId="17249"/>
    <cellStyle name="Comma 7 2 3 4 2 8" xfId="13828"/>
    <cellStyle name="Comma 7 2 3 4 3" xfId="4034"/>
    <cellStyle name="Comma 7 2 3 4 3 2" xfId="11567"/>
    <cellStyle name="Comma 7 2 3 4 3 2 2" xfId="18106"/>
    <cellStyle name="Comma 7 2 3 4 3 3" xfId="15254"/>
    <cellStyle name="Comma 7 2 3 4 4" xfId="6306"/>
    <cellStyle name="Comma 7 2 3 4 4 2" xfId="12138"/>
    <cellStyle name="Comma 7 2 3 4 4 2 2" xfId="18677"/>
    <cellStyle name="Comma 7 2 3 4 4 3" xfId="15825"/>
    <cellStyle name="Comma 7 2 3 4 5" xfId="8578"/>
    <cellStyle name="Comma 7 2 3 4 5 2" xfId="12709"/>
    <cellStyle name="Comma 7 2 3 4 5 2 2" xfId="19248"/>
    <cellStyle name="Comma 7 2 3 4 5 3" xfId="16396"/>
    <cellStyle name="Comma 7 2 3 4 6" xfId="3039"/>
    <cellStyle name="Comma 7 2 3 4 6 2" xfId="10996"/>
    <cellStyle name="Comma 7 2 3 4 6 2 2" xfId="17535"/>
    <cellStyle name="Comma 7 2 3 4 6 3" xfId="14683"/>
    <cellStyle name="Comma 7 2 3 4 7" xfId="2469"/>
    <cellStyle name="Comma 7 2 3 4 7 2" xfId="14117"/>
    <cellStyle name="Comma 7 2 3 4 8" xfId="10430"/>
    <cellStyle name="Comma 7 2 3 4 8 2" xfId="16969"/>
    <cellStyle name="Comma 7 2 3 4 9" xfId="13543"/>
    <cellStyle name="Comma 7 2 3 5" xfId="1295"/>
    <cellStyle name="Comma 7 2 3 5 2" xfId="4715"/>
    <cellStyle name="Comma 7 2 3 5 2 2" xfId="11738"/>
    <cellStyle name="Comma 7 2 3 5 2 2 2" xfId="18277"/>
    <cellStyle name="Comma 7 2 3 5 2 3" xfId="15425"/>
    <cellStyle name="Comma 7 2 3 5 3" xfId="6987"/>
    <cellStyle name="Comma 7 2 3 5 3 2" xfId="12309"/>
    <cellStyle name="Comma 7 2 3 5 3 2 2" xfId="18848"/>
    <cellStyle name="Comma 7 2 3 5 3 3" xfId="15996"/>
    <cellStyle name="Comma 7 2 3 5 4" xfId="9259"/>
    <cellStyle name="Comma 7 2 3 5 4 2" xfId="12880"/>
    <cellStyle name="Comma 7 2 3 5 4 2 2" xfId="19419"/>
    <cellStyle name="Comma 7 2 3 5 4 3" xfId="16567"/>
    <cellStyle name="Comma 7 2 3 5 5" xfId="3210"/>
    <cellStyle name="Comma 7 2 3 5 5 2" xfId="11167"/>
    <cellStyle name="Comma 7 2 3 5 5 2 2" xfId="17706"/>
    <cellStyle name="Comma 7 2 3 5 5 3" xfId="14854"/>
    <cellStyle name="Comma 7 2 3 5 6" xfId="2637"/>
    <cellStyle name="Comma 7 2 3 5 6 2" xfId="14285"/>
    <cellStyle name="Comma 7 2 3 5 7" xfId="10598"/>
    <cellStyle name="Comma 7 2 3 5 7 2" xfId="17137"/>
    <cellStyle name="Comma 7 2 3 5 8" xfId="13714"/>
    <cellStyle name="Comma 7 2 3 6" xfId="3580"/>
    <cellStyle name="Comma 7 2 3 6 2" xfId="11453"/>
    <cellStyle name="Comma 7 2 3 6 2 2" xfId="17992"/>
    <cellStyle name="Comma 7 2 3 6 3" xfId="15140"/>
    <cellStyle name="Comma 7 2 3 7" xfId="5852"/>
    <cellStyle name="Comma 7 2 3 7 2" xfId="12024"/>
    <cellStyle name="Comma 7 2 3 7 2 2" xfId="18563"/>
    <cellStyle name="Comma 7 2 3 7 3" xfId="15711"/>
    <cellStyle name="Comma 7 2 3 8" xfId="8124"/>
    <cellStyle name="Comma 7 2 3 8 2" xfId="12595"/>
    <cellStyle name="Comma 7 2 3 8 2 2" xfId="19134"/>
    <cellStyle name="Comma 7 2 3 8 3" xfId="16282"/>
    <cellStyle name="Comma 7 2 3 9" xfId="2922"/>
    <cellStyle name="Comma 7 2 3 9 2" xfId="10881"/>
    <cellStyle name="Comma 7 2 3 9 2 2" xfId="17420"/>
    <cellStyle name="Comma 7 2 3 9 3" xfId="14568"/>
    <cellStyle name="Comma 7 2 4" xfId="275"/>
    <cellStyle name="Comma 7 2 4 10" xfId="2385"/>
    <cellStyle name="Comma 7 2 4 10 2" xfId="14033"/>
    <cellStyle name="Comma 7 2 4 11" xfId="10346"/>
    <cellStyle name="Comma 7 2 4 11 2" xfId="16885"/>
    <cellStyle name="Comma 7 2 4 12" xfId="13458"/>
    <cellStyle name="Comma 7 2 4 2" xfId="502"/>
    <cellStyle name="Comma 7 2 4 2 10" xfId="13515"/>
    <cellStyle name="Comma 7 2 4 2 2" xfId="956"/>
    <cellStyle name="Comma 7 2 4 2 2 2" xfId="2091"/>
    <cellStyle name="Comma 7 2 4 2 2 2 2" xfId="5511"/>
    <cellStyle name="Comma 7 2 4 2 2 2 2 2" xfId="11938"/>
    <cellStyle name="Comma 7 2 4 2 2 2 2 2 2" xfId="18477"/>
    <cellStyle name="Comma 7 2 4 2 2 2 2 3" xfId="15625"/>
    <cellStyle name="Comma 7 2 4 2 2 2 3" xfId="7783"/>
    <cellStyle name="Comma 7 2 4 2 2 2 3 2" xfId="12509"/>
    <cellStyle name="Comma 7 2 4 2 2 2 3 2 2" xfId="19048"/>
    <cellStyle name="Comma 7 2 4 2 2 2 3 3" xfId="16196"/>
    <cellStyle name="Comma 7 2 4 2 2 2 4" xfId="10055"/>
    <cellStyle name="Comma 7 2 4 2 2 2 4 2" xfId="13080"/>
    <cellStyle name="Comma 7 2 4 2 2 2 4 2 2" xfId="19619"/>
    <cellStyle name="Comma 7 2 4 2 2 2 4 3" xfId="16767"/>
    <cellStyle name="Comma 7 2 4 2 2 2 5" xfId="3410"/>
    <cellStyle name="Comma 7 2 4 2 2 2 5 2" xfId="11367"/>
    <cellStyle name="Comma 7 2 4 2 2 2 5 2 2" xfId="17906"/>
    <cellStyle name="Comma 7 2 4 2 2 2 5 3" xfId="15054"/>
    <cellStyle name="Comma 7 2 4 2 2 2 6" xfId="2833"/>
    <cellStyle name="Comma 7 2 4 2 2 2 6 2" xfId="14481"/>
    <cellStyle name="Comma 7 2 4 2 2 2 7" xfId="10794"/>
    <cellStyle name="Comma 7 2 4 2 2 2 7 2" xfId="17333"/>
    <cellStyle name="Comma 7 2 4 2 2 2 8" xfId="13914"/>
    <cellStyle name="Comma 7 2 4 2 2 3" xfId="4376"/>
    <cellStyle name="Comma 7 2 4 2 2 3 2" xfId="11653"/>
    <cellStyle name="Comma 7 2 4 2 2 3 2 2" xfId="18192"/>
    <cellStyle name="Comma 7 2 4 2 2 3 3" xfId="15340"/>
    <cellStyle name="Comma 7 2 4 2 2 4" xfId="6648"/>
    <cellStyle name="Comma 7 2 4 2 2 4 2" xfId="12224"/>
    <cellStyle name="Comma 7 2 4 2 2 4 2 2" xfId="18763"/>
    <cellStyle name="Comma 7 2 4 2 2 4 3" xfId="15911"/>
    <cellStyle name="Comma 7 2 4 2 2 5" xfId="8920"/>
    <cellStyle name="Comma 7 2 4 2 2 5 2" xfId="12795"/>
    <cellStyle name="Comma 7 2 4 2 2 5 2 2" xfId="19334"/>
    <cellStyle name="Comma 7 2 4 2 2 5 3" xfId="16482"/>
    <cellStyle name="Comma 7 2 4 2 2 6" xfId="3125"/>
    <cellStyle name="Comma 7 2 4 2 2 6 2" xfId="11082"/>
    <cellStyle name="Comma 7 2 4 2 2 6 2 2" xfId="17621"/>
    <cellStyle name="Comma 7 2 4 2 2 6 3" xfId="14769"/>
    <cellStyle name="Comma 7 2 4 2 2 7" xfId="2553"/>
    <cellStyle name="Comma 7 2 4 2 2 7 2" xfId="14201"/>
    <cellStyle name="Comma 7 2 4 2 2 8" xfId="10514"/>
    <cellStyle name="Comma 7 2 4 2 2 8 2" xfId="17053"/>
    <cellStyle name="Comma 7 2 4 2 2 9" xfId="13629"/>
    <cellStyle name="Comma 7 2 4 2 3" xfId="1637"/>
    <cellStyle name="Comma 7 2 4 2 3 2" xfId="5057"/>
    <cellStyle name="Comma 7 2 4 2 3 2 2" xfId="11824"/>
    <cellStyle name="Comma 7 2 4 2 3 2 2 2" xfId="18363"/>
    <cellStyle name="Comma 7 2 4 2 3 2 3" xfId="15511"/>
    <cellStyle name="Comma 7 2 4 2 3 3" xfId="7329"/>
    <cellStyle name="Comma 7 2 4 2 3 3 2" xfId="12395"/>
    <cellStyle name="Comma 7 2 4 2 3 3 2 2" xfId="18934"/>
    <cellStyle name="Comma 7 2 4 2 3 3 3" xfId="16082"/>
    <cellStyle name="Comma 7 2 4 2 3 4" xfId="9601"/>
    <cellStyle name="Comma 7 2 4 2 3 4 2" xfId="12966"/>
    <cellStyle name="Comma 7 2 4 2 3 4 2 2" xfId="19505"/>
    <cellStyle name="Comma 7 2 4 2 3 4 3" xfId="16653"/>
    <cellStyle name="Comma 7 2 4 2 3 5" xfId="3296"/>
    <cellStyle name="Comma 7 2 4 2 3 5 2" xfId="11253"/>
    <cellStyle name="Comma 7 2 4 2 3 5 2 2" xfId="17792"/>
    <cellStyle name="Comma 7 2 4 2 3 5 3" xfId="14940"/>
    <cellStyle name="Comma 7 2 4 2 3 6" xfId="2721"/>
    <cellStyle name="Comma 7 2 4 2 3 6 2" xfId="14369"/>
    <cellStyle name="Comma 7 2 4 2 3 7" xfId="10682"/>
    <cellStyle name="Comma 7 2 4 2 3 7 2" xfId="17221"/>
    <cellStyle name="Comma 7 2 4 2 3 8" xfId="13800"/>
    <cellStyle name="Comma 7 2 4 2 4" xfId="3922"/>
    <cellStyle name="Comma 7 2 4 2 4 2" xfId="11539"/>
    <cellStyle name="Comma 7 2 4 2 4 2 2" xfId="18078"/>
    <cellStyle name="Comma 7 2 4 2 4 3" xfId="15226"/>
    <cellStyle name="Comma 7 2 4 2 5" xfId="6194"/>
    <cellStyle name="Comma 7 2 4 2 5 2" xfId="12110"/>
    <cellStyle name="Comma 7 2 4 2 5 2 2" xfId="18649"/>
    <cellStyle name="Comma 7 2 4 2 5 3" xfId="15797"/>
    <cellStyle name="Comma 7 2 4 2 6" xfId="8466"/>
    <cellStyle name="Comma 7 2 4 2 6 2" xfId="12681"/>
    <cellStyle name="Comma 7 2 4 2 6 2 2" xfId="19220"/>
    <cellStyle name="Comma 7 2 4 2 6 3" xfId="16368"/>
    <cellStyle name="Comma 7 2 4 2 7" xfId="3011"/>
    <cellStyle name="Comma 7 2 4 2 7 2" xfId="10968"/>
    <cellStyle name="Comma 7 2 4 2 7 2 2" xfId="17507"/>
    <cellStyle name="Comma 7 2 4 2 7 3" xfId="14655"/>
    <cellStyle name="Comma 7 2 4 2 8" xfId="2441"/>
    <cellStyle name="Comma 7 2 4 2 8 2" xfId="14089"/>
    <cellStyle name="Comma 7 2 4 2 9" xfId="10402"/>
    <cellStyle name="Comma 7 2 4 2 9 2" xfId="16941"/>
    <cellStyle name="Comma 7 2 4 3" xfId="1183"/>
    <cellStyle name="Comma 7 2 4 3 2" xfId="2318"/>
    <cellStyle name="Comma 7 2 4 3 2 2" xfId="5738"/>
    <cellStyle name="Comma 7 2 4 3 2 2 2" xfId="11995"/>
    <cellStyle name="Comma 7 2 4 3 2 2 2 2" xfId="18534"/>
    <cellStyle name="Comma 7 2 4 3 2 2 3" xfId="15682"/>
    <cellStyle name="Comma 7 2 4 3 2 3" xfId="8010"/>
    <cellStyle name="Comma 7 2 4 3 2 3 2" xfId="12566"/>
    <cellStyle name="Comma 7 2 4 3 2 3 2 2" xfId="19105"/>
    <cellStyle name="Comma 7 2 4 3 2 3 3" xfId="16253"/>
    <cellStyle name="Comma 7 2 4 3 2 4" xfId="10282"/>
    <cellStyle name="Comma 7 2 4 3 2 4 2" xfId="13137"/>
    <cellStyle name="Comma 7 2 4 3 2 4 2 2" xfId="19676"/>
    <cellStyle name="Comma 7 2 4 3 2 4 3" xfId="16824"/>
    <cellStyle name="Comma 7 2 4 3 2 5" xfId="3467"/>
    <cellStyle name="Comma 7 2 4 3 2 5 2" xfId="11424"/>
    <cellStyle name="Comma 7 2 4 3 2 5 2 2" xfId="17963"/>
    <cellStyle name="Comma 7 2 4 3 2 5 3" xfId="15111"/>
    <cellStyle name="Comma 7 2 4 3 2 6" xfId="2889"/>
    <cellStyle name="Comma 7 2 4 3 2 6 2" xfId="14537"/>
    <cellStyle name="Comma 7 2 4 3 2 7" xfId="10850"/>
    <cellStyle name="Comma 7 2 4 3 2 7 2" xfId="17389"/>
    <cellStyle name="Comma 7 2 4 3 2 8" xfId="13971"/>
    <cellStyle name="Comma 7 2 4 3 3" xfId="4603"/>
    <cellStyle name="Comma 7 2 4 3 3 2" xfId="11710"/>
    <cellStyle name="Comma 7 2 4 3 3 2 2" xfId="18249"/>
    <cellStyle name="Comma 7 2 4 3 3 3" xfId="15397"/>
    <cellStyle name="Comma 7 2 4 3 4" xfId="6875"/>
    <cellStyle name="Comma 7 2 4 3 4 2" xfId="12281"/>
    <cellStyle name="Comma 7 2 4 3 4 2 2" xfId="18820"/>
    <cellStyle name="Comma 7 2 4 3 4 3" xfId="15968"/>
    <cellStyle name="Comma 7 2 4 3 5" xfId="9147"/>
    <cellStyle name="Comma 7 2 4 3 5 2" xfId="12852"/>
    <cellStyle name="Comma 7 2 4 3 5 2 2" xfId="19391"/>
    <cellStyle name="Comma 7 2 4 3 5 3" xfId="16539"/>
    <cellStyle name="Comma 7 2 4 3 6" xfId="3182"/>
    <cellStyle name="Comma 7 2 4 3 6 2" xfId="11139"/>
    <cellStyle name="Comma 7 2 4 3 6 2 2" xfId="17678"/>
    <cellStyle name="Comma 7 2 4 3 6 3" xfId="14826"/>
    <cellStyle name="Comma 7 2 4 3 7" xfId="2609"/>
    <cellStyle name="Comma 7 2 4 3 7 2" xfId="14257"/>
    <cellStyle name="Comma 7 2 4 3 8" xfId="10570"/>
    <cellStyle name="Comma 7 2 4 3 8 2" xfId="17109"/>
    <cellStyle name="Comma 7 2 4 3 9" xfId="13686"/>
    <cellStyle name="Comma 7 2 4 4" xfId="729"/>
    <cellStyle name="Comma 7 2 4 4 2" xfId="1864"/>
    <cellStyle name="Comma 7 2 4 4 2 2" xfId="5284"/>
    <cellStyle name="Comma 7 2 4 4 2 2 2" xfId="11881"/>
    <cellStyle name="Comma 7 2 4 4 2 2 2 2" xfId="18420"/>
    <cellStyle name="Comma 7 2 4 4 2 2 3" xfId="15568"/>
    <cellStyle name="Comma 7 2 4 4 2 3" xfId="7556"/>
    <cellStyle name="Comma 7 2 4 4 2 3 2" xfId="12452"/>
    <cellStyle name="Comma 7 2 4 4 2 3 2 2" xfId="18991"/>
    <cellStyle name="Comma 7 2 4 4 2 3 3" xfId="16139"/>
    <cellStyle name="Comma 7 2 4 4 2 4" xfId="9828"/>
    <cellStyle name="Comma 7 2 4 4 2 4 2" xfId="13023"/>
    <cellStyle name="Comma 7 2 4 4 2 4 2 2" xfId="19562"/>
    <cellStyle name="Comma 7 2 4 4 2 4 3" xfId="16710"/>
    <cellStyle name="Comma 7 2 4 4 2 5" xfId="3353"/>
    <cellStyle name="Comma 7 2 4 4 2 5 2" xfId="11310"/>
    <cellStyle name="Comma 7 2 4 4 2 5 2 2" xfId="17849"/>
    <cellStyle name="Comma 7 2 4 4 2 5 3" xfId="14997"/>
    <cellStyle name="Comma 7 2 4 4 2 6" xfId="2777"/>
    <cellStyle name="Comma 7 2 4 4 2 6 2" xfId="14425"/>
    <cellStyle name="Comma 7 2 4 4 2 7" xfId="10738"/>
    <cellStyle name="Comma 7 2 4 4 2 7 2" xfId="17277"/>
    <cellStyle name="Comma 7 2 4 4 2 8" xfId="13857"/>
    <cellStyle name="Comma 7 2 4 4 3" xfId="4149"/>
    <cellStyle name="Comma 7 2 4 4 3 2" xfId="11596"/>
    <cellStyle name="Comma 7 2 4 4 3 2 2" xfId="18135"/>
    <cellStyle name="Comma 7 2 4 4 3 3" xfId="15283"/>
    <cellStyle name="Comma 7 2 4 4 4" xfId="6421"/>
    <cellStyle name="Comma 7 2 4 4 4 2" xfId="12167"/>
    <cellStyle name="Comma 7 2 4 4 4 2 2" xfId="18706"/>
    <cellStyle name="Comma 7 2 4 4 4 3" xfId="15854"/>
    <cellStyle name="Comma 7 2 4 4 5" xfId="8693"/>
    <cellStyle name="Comma 7 2 4 4 5 2" xfId="12738"/>
    <cellStyle name="Comma 7 2 4 4 5 2 2" xfId="19277"/>
    <cellStyle name="Comma 7 2 4 4 5 3" xfId="16425"/>
    <cellStyle name="Comma 7 2 4 4 6" xfId="3068"/>
    <cellStyle name="Comma 7 2 4 4 6 2" xfId="11025"/>
    <cellStyle name="Comma 7 2 4 4 6 2 2" xfId="17564"/>
    <cellStyle name="Comma 7 2 4 4 6 3" xfId="14712"/>
    <cellStyle name="Comma 7 2 4 4 7" xfId="2497"/>
    <cellStyle name="Comma 7 2 4 4 7 2" xfId="14145"/>
    <cellStyle name="Comma 7 2 4 4 8" xfId="10458"/>
    <cellStyle name="Comma 7 2 4 4 8 2" xfId="16997"/>
    <cellStyle name="Comma 7 2 4 4 9" xfId="13572"/>
    <cellStyle name="Comma 7 2 4 5" xfId="1410"/>
    <cellStyle name="Comma 7 2 4 5 2" xfId="4830"/>
    <cellStyle name="Comma 7 2 4 5 2 2" xfId="11767"/>
    <cellStyle name="Comma 7 2 4 5 2 2 2" xfId="18306"/>
    <cellStyle name="Comma 7 2 4 5 2 3" xfId="15454"/>
    <cellStyle name="Comma 7 2 4 5 3" xfId="7102"/>
    <cellStyle name="Comma 7 2 4 5 3 2" xfId="12338"/>
    <cellStyle name="Comma 7 2 4 5 3 2 2" xfId="18877"/>
    <cellStyle name="Comma 7 2 4 5 3 3" xfId="16025"/>
    <cellStyle name="Comma 7 2 4 5 4" xfId="9374"/>
    <cellStyle name="Comma 7 2 4 5 4 2" xfId="12909"/>
    <cellStyle name="Comma 7 2 4 5 4 2 2" xfId="19448"/>
    <cellStyle name="Comma 7 2 4 5 4 3" xfId="16596"/>
    <cellStyle name="Comma 7 2 4 5 5" xfId="3239"/>
    <cellStyle name="Comma 7 2 4 5 5 2" xfId="11196"/>
    <cellStyle name="Comma 7 2 4 5 5 2 2" xfId="17735"/>
    <cellStyle name="Comma 7 2 4 5 5 3" xfId="14883"/>
    <cellStyle name="Comma 7 2 4 5 6" xfId="2665"/>
    <cellStyle name="Comma 7 2 4 5 6 2" xfId="14313"/>
    <cellStyle name="Comma 7 2 4 5 7" xfId="10626"/>
    <cellStyle name="Comma 7 2 4 5 7 2" xfId="17165"/>
    <cellStyle name="Comma 7 2 4 5 8" xfId="13743"/>
    <cellStyle name="Comma 7 2 4 6" xfId="3695"/>
    <cellStyle name="Comma 7 2 4 6 2" xfId="11482"/>
    <cellStyle name="Comma 7 2 4 6 2 2" xfId="18021"/>
    <cellStyle name="Comma 7 2 4 6 3" xfId="15169"/>
    <cellStyle name="Comma 7 2 4 7" xfId="5967"/>
    <cellStyle name="Comma 7 2 4 7 2" xfId="12053"/>
    <cellStyle name="Comma 7 2 4 7 2 2" xfId="18592"/>
    <cellStyle name="Comma 7 2 4 7 3" xfId="15740"/>
    <cellStyle name="Comma 7 2 4 8" xfId="8239"/>
    <cellStyle name="Comma 7 2 4 8 2" xfId="12624"/>
    <cellStyle name="Comma 7 2 4 8 2 2" xfId="19163"/>
    <cellStyle name="Comma 7 2 4 8 3" xfId="16311"/>
    <cellStyle name="Comma 7 2 4 9" xfId="2954"/>
    <cellStyle name="Comma 7 2 4 9 2" xfId="10911"/>
    <cellStyle name="Comma 7 2 4 9 2 2" xfId="17450"/>
    <cellStyle name="Comma 7 2 4 9 3" xfId="14598"/>
    <cellStyle name="Comma 7 2 5" xfId="331"/>
    <cellStyle name="Comma 7 2 5 10" xfId="13472"/>
    <cellStyle name="Comma 7 2 5 2" xfId="785"/>
    <cellStyle name="Comma 7 2 5 2 2" xfId="1920"/>
    <cellStyle name="Comma 7 2 5 2 2 2" xfId="5340"/>
    <cellStyle name="Comma 7 2 5 2 2 2 2" xfId="11895"/>
    <cellStyle name="Comma 7 2 5 2 2 2 2 2" xfId="18434"/>
    <cellStyle name="Comma 7 2 5 2 2 2 3" xfId="15582"/>
    <cellStyle name="Comma 7 2 5 2 2 3" xfId="7612"/>
    <cellStyle name="Comma 7 2 5 2 2 3 2" xfId="12466"/>
    <cellStyle name="Comma 7 2 5 2 2 3 2 2" xfId="19005"/>
    <cellStyle name="Comma 7 2 5 2 2 3 3" xfId="16153"/>
    <cellStyle name="Comma 7 2 5 2 2 4" xfId="9884"/>
    <cellStyle name="Comma 7 2 5 2 2 4 2" xfId="13037"/>
    <cellStyle name="Comma 7 2 5 2 2 4 2 2" xfId="19576"/>
    <cellStyle name="Comma 7 2 5 2 2 4 3" xfId="16724"/>
    <cellStyle name="Comma 7 2 5 2 2 5" xfId="3367"/>
    <cellStyle name="Comma 7 2 5 2 2 5 2" xfId="11324"/>
    <cellStyle name="Comma 7 2 5 2 2 5 2 2" xfId="17863"/>
    <cellStyle name="Comma 7 2 5 2 2 5 3" xfId="15011"/>
    <cellStyle name="Comma 7 2 5 2 2 6" xfId="2791"/>
    <cellStyle name="Comma 7 2 5 2 2 6 2" xfId="14439"/>
    <cellStyle name="Comma 7 2 5 2 2 7" xfId="10752"/>
    <cellStyle name="Comma 7 2 5 2 2 7 2" xfId="17291"/>
    <cellStyle name="Comma 7 2 5 2 2 8" xfId="13871"/>
    <cellStyle name="Comma 7 2 5 2 3" xfId="4205"/>
    <cellStyle name="Comma 7 2 5 2 3 2" xfId="11610"/>
    <cellStyle name="Comma 7 2 5 2 3 2 2" xfId="18149"/>
    <cellStyle name="Comma 7 2 5 2 3 3" xfId="15297"/>
    <cellStyle name="Comma 7 2 5 2 4" xfId="6477"/>
    <cellStyle name="Comma 7 2 5 2 4 2" xfId="12181"/>
    <cellStyle name="Comma 7 2 5 2 4 2 2" xfId="18720"/>
    <cellStyle name="Comma 7 2 5 2 4 3" xfId="15868"/>
    <cellStyle name="Comma 7 2 5 2 5" xfId="8749"/>
    <cellStyle name="Comma 7 2 5 2 5 2" xfId="12752"/>
    <cellStyle name="Comma 7 2 5 2 5 2 2" xfId="19291"/>
    <cellStyle name="Comma 7 2 5 2 5 3" xfId="16439"/>
    <cellStyle name="Comma 7 2 5 2 6" xfId="3082"/>
    <cellStyle name="Comma 7 2 5 2 6 2" xfId="11039"/>
    <cellStyle name="Comma 7 2 5 2 6 2 2" xfId="17578"/>
    <cellStyle name="Comma 7 2 5 2 6 3" xfId="14726"/>
    <cellStyle name="Comma 7 2 5 2 7" xfId="2511"/>
    <cellStyle name="Comma 7 2 5 2 7 2" xfId="14159"/>
    <cellStyle name="Comma 7 2 5 2 8" xfId="10472"/>
    <cellStyle name="Comma 7 2 5 2 8 2" xfId="17011"/>
    <cellStyle name="Comma 7 2 5 2 9" xfId="13586"/>
    <cellStyle name="Comma 7 2 5 3" xfId="1466"/>
    <cellStyle name="Comma 7 2 5 3 2" xfId="4886"/>
    <cellStyle name="Comma 7 2 5 3 2 2" xfId="11781"/>
    <cellStyle name="Comma 7 2 5 3 2 2 2" xfId="18320"/>
    <cellStyle name="Comma 7 2 5 3 2 3" xfId="15468"/>
    <cellStyle name="Comma 7 2 5 3 3" xfId="7158"/>
    <cellStyle name="Comma 7 2 5 3 3 2" xfId="12352"/>
    <cellStyle name="Comma 7 2 5 3 3 2 2" xfId="18891"/>
    <cellStyle name="Comma 7 2 5 3 3 3" xfId="16039"/>
    <cellStyle name="Comma 7 2 5 3 4" xfId="9430"/>
    <cellStyle name="Comma 7 2 5 3 4 2" xfId="12923"/>
    <cellStyle name="Comma 7 2 5 3 4 2 2" xfId="19462"/>
    <cellStyle name="Comma 7 2 5 3 4 3" xfId="16610"/>
    <cellStyle name="Comma 7 2 5 3 5" xfId="3253"/>
    <cellStyle name="Comma 7 2 5 3 5 2" xfId="11210"/>
    <cellStyle name="Comma 7 2 5 3 5 2 2" xfId="17749"/>
    <cellStyle name="Comma 7 2 5 3 5 3" xfId="14897"/>
    <cellStyle name="Comma 7 2 5 3 6" xfId="2679"/>
    <cellStyle name="Comma 7 2 5 3 6 2" xfId="14327"/>
    <cellStyle name="Comma 7 2 5 3 7" xfId="10640"/>
    <cellStyle name="Comma 7 2 5 3 7 2" xfId="17179"/>
    <cellStyle name="Comma 7 2 5 3 8" xfId="13757"/>
    <cellStyle name="Comma 7 2 5 4" xfId="3751"/>
    <cellStyle name="Comma 7 2 5 4 2" xfId="11496"/>
    <cellStyle name="Comma 7 2 5 4 2 2" xfId="18035"/>
    <cellStyle name="Comma 7 2 5 4 3" xfId="15183"/>
    <cellStyle name="Comma 7 2 5 5" xfId="6023"/>
    <cellStyle name="Comma 7 2 5 5 2" xfId="12067"/>
    <cellStyle name="Comma 7 2 5 5 2 2" xfId="18606"/>
    <cellStyle name="Comma 7 2 5 5 3" xfId="15754"/>
    <cellStyle name="Comma 7 2 5 6" xfId="8295"/>
    <cellStyle name="Comma 7 2 5 6 2" xfId="12638"/>
    <cellStyle name="Comma 7 2 5 6 2 2" xfId="19177"/>
    <cellStyle name="Comma 7 2 5 6 3" xfId="16325"/>
    <cellStyle name="Comma 7 2 5 7" xfId="2968"/>
    <cellStyle name="Comma 7 2 5 7 2" xfId="10925"/>
    <cellStyle name="Comma 7 2 5 7 2 2" xfId="17464"/>
    <cellStyle name="Comma 7 2 5 7 3" xfId="14612"/>
    <cellStyle name="Comma 7 2 5 8" xfId="2399"/>
    <cellStyle name="Comma 7 2 5 8 2" xfId="14047"/>
    <cellStyle name="Comma 7 2 5 9" xfId="10360"/>
    <cellStyle name="Comma 7 2 5 9 2" xfId="16899"/>
    <cellStyle name="Comma 7 2 6" xfId="1012"/>
    <cellStyle name="Comma 7 2 6 2" xfId="2147"/>
    <cellStyle name="Comma 7 2 6 2 2" xfId="5567"/>
    <cellStyle name="Comma 7 2 6 2 2 2" xfId="11952"/>
    <cellStyle name="Comma 7 2 6 2 2 2 2" xfId="18491"/>
    <cellStyle name="Comma 7 2 6 2 2 3" xfId="15639"/>
    <cellStyle name="Comma 7 2 6 2 3" xfId="7839"/>
    <cellStyle name="Comma 7 2 6 2 3 2" xfId="12523"/>
    <cellStyle name="Comma 7 2 6 2 3 2 2" xfId="19062"/>
    <cellStyle name="Comma 7 2 6 2 3 3" xfId="16210"/>
    <cellStyle name="Comma 7 2 6 2 4" xfId="10111"/>
    <cellStyle name="Comma 7 2 6 2 4 2" xfId="13094"/>
    <cellStyle name="Comma 7 2 6 2 4 2 2" xfId="19633"/>
    <cellStyle name="Comma 7 2 6 2 4 3" xfId="16781"/>
    <cellStyle name="Comma 7 2 6 2 5" xfId="3424"/>
    <cellStyle name="Comma 7 2 6 2 5 2" xfId="11381"/>
    <cellStyle name="Comma 7 2 6 2 5 2 2" xfId="17920"/>
    <cellStyle name="Comma 7 2 6 2 5 3" xfId="15068"/>
    <cellStyle name="Comma 7 2 6 2 6" xfId="2847"/>
    <cellStyle name="Comma 7 2 6 2 6 2" xfId="14495"/>
    <cellStyle name="Comma 7 2 6 2 7" xfId="10808"/>
    <cellStyle name="Comma 7 2 6 2 7 2" xfId="17347"/>
    <cellStyle name="Comma 7 2 6 2 8" xfId="13928"/>
    <cellStyle name="Comma 7 2 6 3" xfId="4432"/>
    <cellStyle name="Comma 7 2 6 3 2" xfId="11667"/>
    <cellStyle name="Comma 7 2 6 3 2 2" xfId="18206"/>
    <cellStyle name="Comma 7 2 6 3 3" xfId="15354"/>
    <cellStyle name="Comma 7 2 6 4" xfId="6704"/>
    <cellStyle name="Comma 7 2 6 4 2" xfId="12238"/>
    <cellStyle name="Comma 7 2 6 4 2 2" xfId="18777"/>
    <cellStyle name="Comma 7 2 6 4 3" xfId="15925"/>
    <cellStyle name="Comma 7 2 6 5" xfId="8976"/>
    <cellStyle name="Comma 7 2 6 5 2" xfId="12809"/>
    <cellStyle name="Comma 7 2 6 5 2 2" xfId="19348"/>
    <cellStyle name="Comma 7 2 6 5 3" xfId="16496"/>
    <cellStyle name="Comma 7 2 6 6" xfId="3139"/>
    <cellStyle name="Comma 7 2 6 6 2" xfId="11096"/>
    <cellStyle name="Comma 7 2 6 6 2 2" xfId="17635"/>
    <cellStyle name="Comma 7 2 6 6 3" xfId="14783"/>
    <cellStyle name="Comma 7 2 6 7" xfId="2567"/>
    <cellStyle name="Comma 7 2 6 7 2" xfId="14215"/>
    <cellStyle name="Comma 7 2 6 8" xfId="10528"/>
    <cellStyle name="Comma 7 2 6 8 2" xfId="17067"/>
    <cellStyle name="Comma 7 2 6 9" xfId="13643"/>
    <cellStyle name="Comma 7 2 7" xfId="558"/>
    <cellStyle name="Comma 7 2 7 2" xfId="1693"/>
    <cellStyle name="Comma 7 2 7 2 2" xfId="5113"/>
    <cellStyle name="Comma 7 2 7 2 2 2" xfId="11838"/>
    <cellStyle name="Comma 7 2 7 2 2 2 2" xfId="18377"/>
    <cellStyle name="Comma 7 2 7 2 2 3" xfId="15525"/>
    <cellStyle name="Comma 7 2 7 2 3" xfId="7385"/>
    <cellStyle name="Comma 7 2 7 2 3 2" xfId="12409"/>
    <cellStyle name="Comma 7 2 7 2 3 2 2" xfId="18948"/>
    <cellStyle name="Comma 7 2 7 2 3 3" xfId="16096"/>
    <cellStyle name="Comma 7 2 7 2 4" xfId="9657"/>
    <cellStyle name="Comma 7 2 7 2 4 2" xfId="12980"/>
    <cellStyle name="Comma 7 2 7 2 4 2 2" xfId="19519"/>
    <cellStyle name="Comma 7 2 7 2 4 3" xfId="16667"/>
    <cellStyle name="Comma 7 2 7 2 5" xfId="3310"/>
    <cellStyle name="Comma 7 2 7 2 5 2" xfId="11267"/>
    <cellStyle name="Comma 7 2 7 2 5 2 2" xfId="17806"/>
    <cellStyle name="Comma 7 2 7 2 5 3" xfId="14954"/>
    <cellStyle name="Comma 7 2 7 2 6" xfId="2735"/>
    <cellStyle name="Comma 7 2 7 2 6 2" xfId="14383"/>
    <cellStyle name="Comma 7 2 7 2 7" xfId="10696"/>
    <cellStyle name="Comma 7 2 7 2 7 2" xfId="17235"/>
    <cellStyle name="Comma 7 2 7 2 8" xfId="13814"/>
    <cellStyle name="Comma 7 2 7 3" xfId="3978"/>
    <cellStyle name="Comma 7 2 7 3 2" xfId="11553"/>
    <cellStyle name="Comma 7 2 7 3 2 2" xfId="18092"/>
    <cellStyle name="Comma 7 2 7 3 3" xfId="15240"/>
    <cellStyle name="Comma 7 2 7 4" xfId="6250"/>
    <cellStyle name="Comma 7 2 7 4 2" xfId="12124"/>
    <cellStyle name="Comma 7 2 7 4 2 2" xfId="18663"/>
    <cellStyle name="Comma 7 2 7 4 3" xfId="15811"/>
    <cellStyle name="Comma 7 2 7 5" xfId="8522"/>
    <cellStyle name="Comma 7 2 7 5 2" xfId="12695"/>
    <cellStyle name="Comma 7 2 7 5 2 2" xfId="19234"/>
    <cellStyle name="Comma 7 2 7 5 3" xfId="16382"/>
    <cellStyle name="Comma 7 2 7 6" xfId="3025"/>
    <cellStyle name="Comma 7 2 7 6 2" xfId="10982"/>
    <cellStyle name="Comma 7 2 7 6 2 2" xfId="17521"/>
    <cellStyle name="Comma 7 2 7 6 3" xfId="14669"/>
    <cellStyle name="Comma 7 2 7 7" xfId="2455"/>
    <cellStyle name="Comma 7 2 7 7 2" xfId="14103"/>
    <cellStyle name="Comma 7 2 7 8" xfId="10416"/>
    <cellStyle name="Comma 7 2 7 8 2" xfId="16955"/>
    <cellStyle name="Comma 7 2 7 9" xfId="13529"/>
    <cellStyle name="Comma 7 2 8" xfId="1239"/>
    <cellStyle name="Comma 7 2 8 2" xfId="4659"/>
    <cellStyle name="Comma 7 2 8 2 2" xfId="11724"/>
    <cellStyle name="Comma 7 2 8 2 2 2" xfId="18263"/>
    <cellStyle name="Comma 7 2 8 2 3" xfId="15411"/>
    <cellStyle name="Comma 7 2 8 3" xfId="6931"/>
    <cellStyle name="Comma 7 2 8 3 2" xfId="12295"/>
    <cellStyle name="Comma 7 2 8 3 2 2" xfId="18834"/>
    <cellStyle name="Comma 7 2 8 3 3" xfId="15982"/>
    <cellStyle name="Comma 7 2 8 4" xfId="9203"/>
    <cellStyle name="Comma 7 2 8 4 2" xfId="12866"/>
    <cellStyle name="Comma 7 2 8 4 2 2" xfId="19405"/>
    <cellStyle name="Comma 7 2 8 4 3" xfId="16553"/>
    <cellStyle name="Comma 7 2 8 5" xfId="3196"/>
    <cellStyle name="Comma 7 2 8 5 2" xfId="11153"/>
    <cellStyle name="Comma 7 2 8 5 2 2" xfId="17692"/>
    <cellStyle name="Comma 7 2 8 5 3" xfId="14840"/>
    <cellStyle name="Comma 7 2 8 6" xfId="2623"/>
    <cellStyle name="Comma 7 2 8 6 2" xfId="14271"/>
    <cellStyle name="Comma 7 2 8 7" xfId="10584"/>
    <cellStyle name="Comma 7 2 8 7 2" xfId="17123"/>
    <cellStyle name="Comma 7 2 8 8" xfId="13700"/>
    <cellStyle name="Comma 7 2 9" xfId="3524"/>
    <cellStyle name="Comma 7 2 9 2" xfId="11439"/>
    <cellStyle name="Comma 7 2 9 2 2" xfId="17978"/>
    <cellStyle name="Comma 7 2 9 3" xfId="15126"/>
    <cellStyle name="Comma 7 3" xfId="177"/>
    <cellStyle name="Comma 7 3 10" xfId="2363"/>
    <cellStyle name="Comma 7 3 10 2" xfId="14011"/>
    <cellStyle name="Comma 7 3 11" xfId="10324"/>
    <cellStyle name="Comma 7 3 11 2" xfId="16863"/>
    <cellStyle name="Comma 7 3 12" xfId="13435"/>
    <cellStyle name="Comma 7 3 13" xfId="20099"/>
    <cellStyle name="Comma 7 3 2" xfId="415"/>
    <cellStyle name="Comma 7 3 2 10" xfId="13493"/>
    <cellStyle name="Comma 7 3 2 11" xfId="20100"/>
    <cellStyle name="Comma 7 3 2 2" xfId="869"/>
    <cellStyle name="Comma 7 3 2 2 10" xfId="20262"/>
    <cellStyle name="Comma 7 3 2 2 2" xfId="2004"/>
    <cellStyle name="Comma 7 3 2 2 2 2" xfId="5424"/>
    <cellStyle name="Comma 7 3 2 2 2 2 2" xfId="11916"/>
    <cellStyle name="Comma 7 3 2 2 2 2 2 2" xfId="18455"/>
    <cellStyle name="Comma 7 3 2 2 2 2 3" xfId="15603"/>
    <cellStyle name="Comma 7 3 2 2 2 3" xfId="7696"/>
    <cellStyle name="Comma 7 3 2 2 2 3 2" xfId="12487"/>
    <cellStyle name="Comma 7 3 2 2 2 3 2 2" xfId="19026"/>
    <cellStyle name="Comma 7 3 2 2 2 3 3" xfId="16174"/>
    <cellStyle name="Comma 7 3 2 2 2 4" xfId="9968"/>
    <cellStyle name="Comma 7 3 2 2 2 4 2" xfId="13058"/>
    <cellStyle name="Comma 7 3 2 2 2 4 2 2" xfId="19597"/>
    <cellStyle name="Comma 7 3 2 2 2 4 3" xfId="16745"/>
    <cellStyle name="Comma 7 3 2 2 2 5" xfId="3388"/>
    <cellStyle name="Comma 7 3 2 2 2 5 2" xfId="11345"/>
    <cellStyle name="Comma 7 3 2 2 2 5 2 2" xfId="17884"/>
    <cellStyle name="Comma 7 3 2 2 2 5 3" xfId="15032"/>
    <cellStyle name="Comma 7 3 2 2 2 6" xfId="2812"/>
    <cellStyle name="Comma 7 3 2 2 2 6 2" xfId="14460"/>
    <cellStyle name="Comma 7 3 2 2 2 7" xfId="10773"/>
    <cellStyle name="Comma 7 3 2 2 2 7 2" xfId="17312"/>
    <cellStyle name="Comma 7 3 2 2 2 8" xfId="13892"/>
    <cellStyle name="Comma 7 3 2 2 3" xfId="4289"/>
    <cellStyle name="Comma 7 3 2 2 3 2" xfId="11631"/>
    <cellStyle name="Comma 7 3 2 2 3 2 2" xfId="18170"/>
    <cellStyle name="Comma 7 3 2 2 3 3" xfId="15318"/>
    <cellStyle name="Comma 7 3 2 2 4" xfId="6561"/>
    <cellStyle name="Comma 7 3 2 2 4 2" xfId="12202"/>
    <cellStyle name="Comma 7 3 2 2 4 2 2" xfId="18741"/>
    <cellStyle name="Comma 7 3 2 2 4 3" xfId="15889"/>
    <cellStyle name="Comma 7 3 2 2 5" xfId="8833"/>
    <cellStyle name="Comma 7 3 2 2 5 2" xfId="12773"/>
    <cellStyle name="Comma 7 3 2 2 5 2 2" xfId="19312"/>
    <cellStyle name="Comma 7 3 2 2 5 3" xfId="16460"/>
    <cellStyle name="Comma 7 3 2 2 6" xfId="3103"/>
    <cellStyle name="Comma 7 3 2 2 6 2" xfId="11060"/>
    <cellStyle name="Comma 7 3 2 2 6 2 2" xfId="17599"/>
    <cellStyle name="Comma 7 3 2 2 6 3" xfId="14747"/>
    <cellStyle name="Comma 7 3 2 2 7" xfId="2532"/>
    <cellStyle name="Comma 7 3 2 2 7 2" xfId="14180"/>
    <cellStyle name="Comma 7 3 2 2 8" xfId="10493"/>
    <cellStyle name="Comma 7 3 2 2 8 2" xfId="17032"/>
    <cellStyle name="Comma 7 3 2 2 9" xfId="13607"/>
    <cellStyle name="Comma 7 3 2 3" xfId="1550"/>
    <cellStyle name="Comma 7 3 2 3 2" xfId="4970"/>
    <cellStyle name="Comma 7 3 2 3 2 2" xfId="11802"/>
    <cellStyle name="Comma 7 3 2 3 2 2 2" xfId="18341"/>
    <cellStyle name="Comma 7 3 2 3 2 3" xfId="15489"/>
    <cellStyle name="Comma 7 3 2 3 3" xfId="7242"/>
    <cellStyle name="Comma 7 3 2 3 3 2" xfId="12373"/>
    <cellStyle name="Comma 7 3 2 3 3 2 2" xfId="18912"/>
    <cellStyle name="Comma 7 3 2 3 3 3" xfId="16060"/>
    <cellStyle name="Comma 7 3 2 3 4" xfId="9514"/>
    <cellStyle name="Comma 7 3 2 3 4 2" xfId="12944"/>
    <cellStyle name="Comma 7 3 2 3 4 2 2" xfId="19483"/>
    <cellStyle name="Comma 7 3 2 3 4 3" xfId="16631"/>
    <cellStyle name="Comma 7 3 2 3 5" xfId="3274"/>
    <cellStyle name="Comma 7 3 2 3 5 2" xfId="11231"/>
    <cellStyle name="Comma 7 3 2 3 5 2 2" xfId="17770"/>
    <cellStyle name="Comma 7 3 2 3 5 3" xfId="14918"/>
    <cellStyle name="Comma 7 3 2 3 6" xfId="2700"/>
    <cellStyle name="Comma 7 3 2 3 6 2" xfId="14348"/>
    <cellStyle name="Comma 7 3 2 3 7" xfId="10661"/>
    <cellStyle name="Comma 7 3 2 3 7 2" xfId="17200"/>
    <cellStyle name="Comma 7 3 2 3 8" xfId="13778"/>
    <cellStyle name="Comma 7 3 2 3 9" xfId="20335"/>
    <cellStyle name="Comma 7 3 2 4" xfId="3835"/>
    <cellStyle name="Comma 7 3 2 4 2" xfId="11517"/>
    <cellStyle name="Comma 7 3 2 4 2 2" xfId="18056"/>
    <cellStyle name="Comma 7 3 2 4 3" xfId="15204"/>
    <cellStyle name="Comma 7 3 2 5" xfId="6107"/>
    <cellStyle name="Comma 7 3 2 5 2" xfId="12088"/>
    <cellStyle name="Comma 7 3 2 5 2 2" xfId="18627"/>
    <cellStyle name="Comma 7 3 2 5 3" xfId="15775"/>
    <cellStyle name="Comma 7 3 2 6" xfId="8379"/>
    <cellStyle name="Comma 7 3 2 6 2" xfId="12659"/>
    <cellStyle name="Comma 7 3 2 6 2 2" xfId="19198"/>
    <cellStyle name="Comma 7 3 2 6 3" xfId="16346"/>
    <cellStyle name="Comma 7 3 2 7" xfId="2989"/>
    <cellStyle name="Comma 7 3 2 7 2" xfId="10946"/>
    <cellStyle name="Comma 7 3 2 7 2 2" xfId="17485"/>
    <cellStyle name="Comma 7 3 2 7 3" xfId="14633"/>
    <cellStyle name="Comma 7 3 2 8" xfId="2420"/>
    <cellStyle name="Comma 7 3 2 8 2" xfId="14068"/>
    <cellStyle name="Comma 7 3 2 9" xfId="10381"/>
    <cellStyle name="Comma 7 3 2 9 2" xfId="16920"/>
    <cellStyle name="Comma 7 3 3" xfId="1096"/>
    <cellStyle name="Comma 7 3 3 10" xfId="20101"/>
    <cellStyle name="Comma 7 3 3 2" xfId="2231"/>
    <cellStyle name="Comma 7 3 3 2 2" xfId="5651"/>
    <cellStyle name="Comma 7 3 3 2 2 2" xfId="11973"/>
    <cellStyle name="Comma 7 3 3 2 2 2 2" xfId="18512"/>
    <cellStyle name="Comma 7 3 3 2 2 3" xfId="15660"/>
    <cellStyle name="Comma 7 3 3 2 3" xfId="7923"/>
    <cellStyle name="Comma 7 3 3 2 3 2" xfId="12544"/>
    <cellStyle name="Comma 7 3 3 2 3 2 2" xfId="19083"/>
    <cellStyle name="Comma 7 3 3 2 3 3" xfId="16231"/>
    <cellStyle name="Comma 7 3 3 2 4" xfId="10195"/>
    <cellStyle name="Comma 7 3 3 2 4 2" xfId="13115"/>
    <cellStyle name="Comma 7 3 3 2 4 2 2" xfId="19654"/>
    <cellStyle name="Comma 7 3 3 2 4 3" xfId="16802"/>
    <cellStyle name="Comma 7 3 3 2 5" xfId="3445"/>
    <cellStyle name="Comma 7 3 3 2 5 2" xfId="11402"/>
    <cellStyle name="Comma 7 3 3 2 5 2 2" xfId="17941"/>
    <cellStyle name="Comma 7 3 3 2 5 3" xfId="15089"/>
    <cellStyle name="Comma 7 3 3 2 6" xfId="2868"/>
    <cellStyle name="Comma 7 3 3 2 6 2" xfId="14516"/>
    <cellStyle name="Comma 7 3 3 2 7" xfId="10829"/>
    <cellStyle name="Comma 7 3 3 2 7 2" xfId="17368"/>
    <cellStyle name="Comma 7 3 3 2 8" xfId="13949"/>
    <cellStyle name="Comma 7 3 3 2 9" xfId="20263"/>
    <cellStyle name="Comma 7 3 3 3" xfId="4516"/>
    <cellStyle name="Comma 7 3 3 3 2" xfId="11688"/>
    <cellStyle name="Comma 7 3 3 3 2 2" xfId="18227"/>
    <cellStyle name="Comma 7 3 3 3 3" xfId="15375"/>
    <cellStyle name="Comma 7 3 3 3 4" xfId="20336"/>
    <cellStyle name="Comma 7 3 3 4" xfId="6788"/>
    <cellStyle name="Comma 7 3 3 4 2" xfId="12259"/>
    <cellStyle name="Comma 7 3 3 4 2 2" xfId="18798"/>
    <cellStyle name="Comma 7 3 3 4 3" xfId="15946"/>
    <cellStyle name="Comma 7 3 3 5" xfId="9060"/>
    <cellStyle name="Comma 7 3 3 5 2" xfId="12830"/>
    <cellStyle name="Comma 7 3 3 5 2 2" xfId="19369"/>
    <cellStyle name="Comma 7 3 3 5 3" xfId="16517"/>
    <cellStyle name="Comma 7 3 3 6" xfId="3160"/>
    <cellStyle name="Comma 7 3 3 6 2" xfId="11117"/>
    <cellStyle name="Comma 7 3 3 6 2 2" xfId="17656"/>
    <cellStyle name="Comma 7 3 3 6 3" xfId="14804"/>
    <cellStyle name="Comma 7 3 3 7" xfId="2588"/>
    <cellStyle name="Comma 7 3 3 7 2" xfId="14236"/>
    <cellStyle name="Comma 7 3 3 8" xfId="10549"/>
    <cellStyle name="Comma 7 3 3 8 2" xfId="17088"/>
    <cellStyle name="Comma 7 3 3 9" xfId="13664"/>
    <cellStyle name="Comma 7 3 4" xfId="642"/>
    <cellStyle name="Comma 7 3 4 10" xfId="20102"/>
    <cellStyle name="Comma 7 3 4 2" xfId="1777"/>
    <cellStyle name="Comma 7 3 4 2 2" xfId="5197"/>
    <cellStyle name="Comma 7 3 4 2 2 2" xfId="11859"/>
    <cellStyle name="Comma 7 3 4 2 2 2 2" xfId="18398"/>
    <cellStyle name="Comma 7 3 4 2 2 3" xfId="15546"/>
    <cellStyle name="Comma 7 3 4 2 3" xfId="7469"/>
    <cellStyle name="Comma 7 3 4 2 3 2" xfId="12430"/>
    <cellStyle name="Comma 7 3 4 2 3 2 2" xfId="18969"/>
    <cellStyle name="Comma 7 3 4 2 3 3" xfId="16117"/>
    <cellStyle name="Comma 7 3 4 2 4" xfId="9741"/>
    <cellStyle name="Comma 7 3 4 2 4 2" xfId="13001"/>
    <cellStyle name="Comma 7 3 4 2 4 2 2" xfId="19540"/>
    <cellStyle name="Comma 7 3 4 2 4 3" xfId="16688"/>
    <cellStyle name="Comma 7 3 4 2 5" xfId="3331"/>
    <cellStyle name="Comma 7 3 4 2 5 2" xfId="11288"/>
    <cellStyle name="Comma 7 3 4 2 5 2 2" xfId="17827"/>
    <cellStyle name="Comma 7 3 4 2 5 3" xfId="14975"/>
    <cellStyle name="Comma 7 3 4 2 6" xfId="2756"/>
    <cellStyle name="Comma 7 3 4 2 6 2" xfId="14404"/>
    <cellStyle name="Comma 7 3 4 2 7" xfId="10717"/>
    <cellStyle name="Comma 7 3 4 2 7 2" xfId="17256"/>
    <cellStyle name="Comma 7 3 4 2 8" xfId="13835"/>
    <cellStyle name="Comma 7 3 4 2 9" xfId="20264"/>
    <cellStyle name="Comma 7 3 4 3" xfId="4062"/>
    <cellStyle name="Comma 7 3 4 3 2" xfId="11574"/>
    <cellStyle name="Comma 7 3 4 3 2 2" xfId="18113"/>
    <cellStyle name="Comma 7 3 4 3 3" xfId="15261"/>
    <cellStyle name="Comma 7 3 4 3 4" xfId="20337"/>
    <cellStyle name="Comma 7 3 4 4" xfId="6334"/>
    <cellStyle name="Comma 7 3 4 4 2" xfId="12145"/>
    <cellStyle name="Comma 7 3 4 4 2 2" xfId="18684"/>
    <cellStyle name="Comma 7 3 4 4 3" xfId="15832"/>
    <cellStyle name="Comma 7 3 4 5" xfId="8606"/>
    <cellStyle name="Comma 7 3 4 5 2" xfId="12716"/>
    <cellStyle name="Comma 7 3 4 5 2 2" xfId="19255"/>
    <cellStyle name="Comma 7 3 4 5 3" xfId="16403"/>
    <cellStyle name="Comma 7 3 4 6" xfId="3046"/>
    <cellStyle name="Comma 7 3 4 6 2" xfId="11003"/>
    <cellStyle name="Comma 7 3 4 6 2 2" xfId="17542"/>
    <cellStyle name="Comma 7 3 4 6 3" xfId="14690"/>
    <cellStyle name="Comma 7 3 4 7" xfId="2476"/>
    <cellStyle name="Comma 7 3 4 7 2" xfId="14124"/>
    <cellStyle name="Comma 7 3 4 8" xfId="10437"/>
    <cellStyle name="Comma 7 3 4 8 2" xfId="16976"/>
    <cellStyle name="Comma 7 3 4 9" xfId="13550"/>
    <cellStyle name="Comma 7 3 5" xfId="1323"/>
    <cellStyle name="Comma 7 3 5 2" xfId="4743"/>
    <cellStyle name="Comma 7 3 5 2 2" xfId="11745"/>
    <cellStyle name="Comma 7 3 5 2 2 2" xfId="18284"/>
    <cellStyle name="Comma 7 3 5 2 3" xfId="15432"/>
    <cellStyle name="Comma 7 3 5 2 4" xfId="20265"/>
    <cellStyle name="Comma 7 3 5 3" xfId="7015"/>
    <cellStyle name="Comma 7 3 5 3 2" xfId="12316"/>
    <cellStyle name="Comma 7 3 5 3 2 2" xfId="18855"/>
    <cellStyle name="Comma 7 3 5 3 3" xfId="16003"/>
    <cellStyle name="Comma 7 3 5 3 4" xfId="20338"/>
    <cellStyle name="Comma 7 3 5 4" xfId="9287"/>
    <cellStyle name="Comma 7 3 5 4 2" xfId="12887"/>
    <cellStyle name="Comma 7 3 5 4 2 2" xfId="19426"/>
    <cellStyle name="Comma 7 3 5 4 3" xfId="16574"/>
    <cellStyle name="Comma 7 3 5 5" xfId="3217"/>
    <cellStyle name="Comma 7 3 5 5 2" xfId="11174"/>
    <cellStyle name="Comma 7 3 5 5 2 2" xfId="17713"/>
    <cellStyle name="Comma 7 3 5 5 3" xfId="14861"/>
    <cellStyle name="Comma 7 3 5 6" xfId="2644"/>
    <cellStyle name="Comma 7 3 5 6 2" xfId="14292"/>
    <cellStyle name="Comma 7 3 5 7" xfId="10605"/>
    <cellStyle name="Comma 7 3 5 7 2" xfId="17144"/>
    <cellStyle name="Comma 7 3 5 8" xfId="13721"/>
    <cellStyle name="Comma 7 3 5 9" xfId="20103"/>
    <cellStyle name="Comma 7 3 6" xfId="3608"/>
    <cellStyle name="Comma 7 3 6 2" xfId="11460"/>
    <cellStyle name="Comma 7 3 6 2 2" xfId="17999"/>
    <cellStyle name="Comma 7 3 6 3" xfId="15147"/>
    <cellStyle name="Comma 7 3 6 4" xfId="20261"/>
    <cellStyle name="Comma 7 3 7" xfId="5880"/>
    <cellStyle name="Comma 7 3 7 2" xfId="12031"/>
    <cellStyle name="Comma 7 3 7 2 2" xfId="18570"/>
    <cellStyle name="Comma 7 3 7 3" xfId="15718"/>
    <cellStyle name="Comma 7 3 7 4" xfId="20334"/>
    <cellStyle name="Comma 7 3 8" xfId="8152"/>
    <cellStyle name="Comma 7 3 8 2" xfId="12602"/>
    <cellStyle name="Comma 7 3 8 2 2" xfId="19141"/>
    <cellStyle name="Comma 7 3 8 3" xfId="16289"/>
    <cellStyle name="Comma 7 3 9" xfId="2929"/>
    <cellStyle name="Comma 7 3 9 2" xfId="10888"/>
    <cellStyle name="Comma 7 3 9 2 2" xfId="17427"/>
    <cellStyle name="Comma 7 3 9 3" xfId="14575"/>
    <cellStyle name="Comma 7 4" xfId="121"/>
    <cellStyle name="Comma 7 4 10" xfId="2349"/>
    <cellStyle name="Comma 7 4 10 2" xfId="13997"/>
    <cellStyle name="Comma 7 4 11" xfId="10310"/>
    <cellStyle name="Comma 7 4 11 2" xfId="16849"/>
    <cellStyle name="Comma 7 4 12" xfId="13421"/>
    <cellStyle name="Comma 7 4 13" xfId="20104"/>
    <cellStyle name="Comma 7 4 2" xfId="359"/>
    <cellStyle name="Comma 7 4 2 10" xfId="13479"/>
    <cellStyle name="Comma 7 4 2 11" xfId="20266"/>
    <cellStyle name="Comma 7 4 2 2" xfId="813"/>
    <cellStyle name="Comma 7 4 2 2 2" xfId="1948"/>
    <cellStyle name="Comma 7 4 2 2 2 2" xfId="5368"/>
    <cellStyle name="Comma 7 4 2 2 2 2 2" xfId="11902"/>
    <cellStyle name="Comma 7 4 2 2 2 2 2 2" xfId="18441"/>
    <cellStyle name="Comma 7 4 2 2 2 2 3" xfId="15589"/>
    <cellStyle name="Comma 7 4 2 2 2 3" xfId="7640"/>
    <cellStyle name="Comma 7 4 2 2 2 3 2" xfId="12473"/>
    <cellStyle name="Comma 7 4 2 2 2 3 2 2" xfId="19012"/>
    <cellStyle name="Comma 7 4 2 2 2 3 3" xfId="16160"/>
    <cellStyle name="Comma 7 4 2 2 2 4" xfId="9912"/>
    <cellStyle name="Comma 7 4 2 2 2 4 2" xfId="13044"/>
    <cellStyle name="Comma 7 4 2 2 2 4 2 2" xfId="19583"/>
    <cellStyle name="Comma 7 4 2 2 2 4 3" xfId="16731"/>
    <cellStyle name="Comma 7 4 2 2 2 5" xfId="3374"/>
    <cellStyle name="Comma 7 4 2 2 2 5 2" xfId="11331"/>
    <cellStyle name="Comma 7 4 2 2 2 5 2 2" xfId="17870"/>
    <cellStyle name="Comma 7 4 2 2 2 5 3" xfId="15018"/>
    <cellStyle name="Comma 7 4 2 2 2 6" xfId="2798"/>
    <cellStyle name="Comma 7 4 2 2 2 6 2" xfId="14446"/>
    <cellStyle name="Comma 7 4 2 2 2 7" xfId="10759"/>
    <cellStyle name="Comma 7 4 2 2 2 7 2" xfId="17298"/>
    <cellStyle name="Comma 7 4 2 2 2 8" xfId="13878"/>
    <cellStyle name="Comma 7 4 2 2 3" xfId="4233"/>
    <cellStyle name="Comma 7 4 2 2 3 2" xfId="11617"/>
    <cellStyle name="Comma 7 4 2 2 3 2 2" xfId="18156"/>
    <cellStyle name="Comma 7 4 2 2 3 3" xfId="15304"/>
    <cellStyle name="Comma 7 4 2 2 4" xfId="6505"/>
    <cellStyle name="Comma 7 4 2 2 4 2" xfId="12188"/>
    <cellStyle name="Comma 7 4 2 2 4 2 2" xfId="18727"/>
    <cellStyle name="Comma 7 4 2 2 4 3" xfId="15875"/>
    <cellStyle name="Comma 7 4 2 2 5" xfId="8777"/>
    <cellStyle name="Comma 7 4 2 2 5 2" xfId="12759"/>
    <cellStyle name="Comma 7 4 2 2 5 2 2" xfId="19298"/>
    <cellStyle name="Comma 7 4 2 2 5 3" xfId="16446"/>
    <cellStyle name="Comma 7 4 2 2 6" xfId="3089"/>
    <cellStyle name="Comma 7 4 2 2 6 2" xfId="11046"/>
    <cellStyle name="Comma 7 4 2 2 6 2 2" xfId="17585"/>
    <cellStyle name="Comma 7 4 2 2 6 3" xfId="14733"/>
    <cellStyle name="Comma 7 4 2 2 7" xfId="2518"/>
    <cellStyle name="Comma 7 4 2 2 7 2" xfId="14166"/>
    <cellStyle name="Comma 7 4 2 2 8" xfId="10479"/>
    <cellStyle name="Comma 7 4 2 2 8 2" xfId="17018"/>
    <cellStyle name="Comma 7 4 2 2 9" xfId="13593"/>
    <cellStyle name="Comma 7 4 2 3" xfId="1494"/>
    <cellStyle name="Comma 7 4 2 3 2" xfId="4914"/>
    <cellStyle name="Comma 7 4 2 3 2 2" xfId="11788"/>
    <cellStyle name="Comma 7 4 2 3 2 2 2" xfId="18327"/>
    <cellStyle name="Comma 7 4 2 3 2 3" xfId="15475"/>
    <cellStyle name="Comma 7 4 2 3 3" xfId="7186"/>
    <cellStyle name="Comma 7 4 2 3 3 2" xfId="12359"/>
    <cellStyle name="Comma 7 4 2 3 3 2 2" xfId="18898"/>
    <cellStyle name="Comma 7 4 2 3 3 3" xfId="16046"/>
    <cellStyle name="Comma 7 4 2 3 4" xfId="9458"/>
    <cellStyle name="Comma 7 4 2 3 4 2" xfId="12930"/>
    <cellStyle name="Comma 7 4 2 3 4 2 2" xfId="19469"/>
    <cellStyle name="Comma 7 4 2 3 4 3" xfId="16617"/>
    <cellStyle name="Comma 7 4 2 3 5" xfId="3260"/>
    <cellStyle name="Comma 7 4 2 3 5 2" xfId="11217"/>
    <cellStyle name="Comma 7 4 2 3 5 2 2" xfId="17756"/>
    <cellStyle name="Comma 7 4 2 3 5 3" xfId="14904"/>
    <cellStyle name="Comma 7 4 2 3 6" xfId="2686"/>
    <cellStyle name="Comma 7 4 2 3 6 2" xfId="14334"/>
    <cellStyle name="Comma 7 4 2 3 7" xfId="10647"/>
    <cellStyle name="Comma 7 4 2 3 7 2" xfId="17186"/>
    <cellStyle name="Comma 7 4 2 3 8" xfId="13764"/>
    <cellStyle name="Comma 7 4 2 4" xfId="3779"/>
    <cellStyle name="Comma 7 4 2 4 2" xfId="11503"/>
    <cellStyle name="Comma 7 4 2 4 2 2" xfId="18042"/>
    <cellStyle name="Comma 7 4 2 4 3" xfId="15190"/>
    <cellStyle name="Comma 7 4 2 5" xfId="6051"/>
    <cellStyle name="Comma 7 4 2 5 2" xfId="12074"/>
    <cellStyle name="Comma 7 4 2 5 2 2" xfId="18613"/>
    <cellStyle name="Comma 7 4 2 5 3" xfId="15761"/>
    <cellStyle name="Comma 7 4 2 6" xfId="8323"/>
    <cellStyle name="Comma 7 4 2 6 2" xfId="12645"/>
    <cellStyle name="Comma 7 4 2 6 2 2" xfId="19184"/>
    <cellStyle name="Comma 7 4 2 6 3" xfId="16332"/>
    <cellStyle name="Comma 7 4 2 7" xfId="2975"/>
    <cellStyle name="Comma 7 4 2 7 2" xfId="10932"/>
    <cellStyle name="Comma 7 4 2 7 2 2" xfId="17471"/>
    <cellStyle name="Comma 7 4 2 7 3" xfId="14619"/>
    <cellStyle name="Comma 7 4 2 8" xfId="2406"/>
    <cellStyle name="Comma 7 4 2 8 2" xfId="14054"/>
    <cellStyle name="Comma 7 4 2 9" xfId="10367"/>
    <cellStyle name="Comma 7 4 2 9 2" xfId="16906"/>
    <cellStyle name="Comma 7 4 3" xfId="1040"/>
    <cellStyle name="Comma 7 4 3 10" xfId="20339"/>
    <cellStyle name="Comma 7 4 3 2" xfId="2175"/>
    <cellStyle name="Comma 7 4 3 2 2" xfId="5595"/>
    <cellStyle name="Comma 7 4 3 2 2 2" xfId="11959"/>
    <cellStyle name="Comma 7 4 3 2 2 2 2" xfId="18498"/>
    <cellStyle name="Comma 7 4 3 2 2 3" xfId="15646"/>
    <cellStyle name="Comma 7 4 3 2 3" xfId="7867"/>
    <cellStyle name="Comma 7 4 3 2 3 2" xfId="12530"/>
    <cellStyle name="Comma 7 4 3 2 3 2 2" xfId="19069"/>
    <cellStyle name="Comma 7 4 3 2 3 3" xfId="16217"/>
    <cellStyle name="Comma 7 4 3 2 4" xfId="10139"/>
    <cellStyle name="Comma 7 4 3 2 4 2" xfId="13101"/>
    <cellStyle name="Comma 7 4 3 2 4 2 2" xfId="19640"/>
    <cellStyle name="Comma 7 4 3 2 4 3" xfId="16788"/>
    <cellStyle name="Comma 7 4 3 2 5" xfId="3431"/>
    <cellStyle name="Comma 7 4 3 2 5 2" xfId="11388"/>
    <cellStyle name="Comma 7 4 3 2 5 2 2" xfId="17927"/>
    <cellStyle name="Comma 7 4 3 2 5 3" xfId="15075"/>
    <cellStyle name="Comma 7 4 3 2 6" xfId="2854"/>
    <cellStyle name="Comma 7 4 3 2 6 2" xfId="14502"/>
    <cellStyle name="Comma 7 4 3 2 7" xfId="10815"/>
    <cellStyle name="Comma 7 4 3 2 7 2" xfId="17354"/>
    <cellStyle name="Comma 7 4 3 2 8" xfId="13935"/>
    <cellStyle name="Comma 7 4 3 3" xfId="4460"/>
    <cellStyle name="Comma 7 4 3 3 2" xfId="11674"/>
    <cellStyle name="Comma 7 4 3 3 2 2" xfId="18213"/>
    <cellStyle name="Comma 7 4 3 3 3" xfId="15361"/>
    <cellStyle name="Comma 7 4 3 4" xfId="6732"/>
    <cellStyle name="Comma 7 4 3 4 2" xfId="12245"/>
    <cellStyle name="Comma 7 4 3 4 2 2" xfId="18784"/>
    <cellStyle name="Comma 7 4 3 4 3" xfId="15932"/>
    <cellStyle name="Comma 7 4 3 5" xfId="9004"/>
    <cellStyle name="Comma 7 4 3 5 2" xfId="12816"/>
    <cellStyle name="Comma 7 4 3 5 2 2" xfId="19355"/>
    <cellStyle name="Comma 7 4 3 5 3" xfId="16503"/>
    <cellStyle name="Comma 7 4 3 6" xfId="3146"/>
    <cellStyle name="Comma 7 4 3 6 2" xfId="11103"/>
    <cellStyle name="Comma 7 4 3 6 2 2" xfId="17642"/>
    <cellStyle name="Comma 7 4 3 6 3" xfId="14790"/>
    <cellStyle name="Comma 7 4 3 7" xfId="2574"/>
    <cellStyle name="Comma 7 4 3 7 2" xfId="14222"/>
    <cellStyle name="Comma 7 4 3 8" xfId="10535"/>
    <cellStyle name="Comma 7 4 3 8 2" xfId="17074"/>
    <cellStyle name="Comma 7 4 3 9" xfId="13650"/>
    <cellStyle name="Comma 7 4 4" xfId="586"/>
    <cellStyle name="Comma 7 4 4 2" xfId="1721"/>
    <cellStyle name="Comma 7 4 4 2 2" xfId="5141"/>
    <cellStyle name="Comma 7 4 4 2 2 2" xfId="11845"/>
    <cellStyle name="Comma 7 4 4 2 2 2 2" xfId="18384"/>
    <cellStyle name="Comma 7 4 4 2 2 3" xfId="15532"/>
    <cellStyle name="Comma 7 4 4 2 3" xfId="7413"/>
    <cellStyle name="Comma 7 4 4 2 3 2" xfId="12416"/>
    <cellStyle name="Comma 7 4 4 2 3 2 2" xfId="18955"/>
    <cellStyle name="Comma 7 4 4 2 3 3" xfId="16103"/>
    <cellStyle name="Comma 7 4 4 2 4" xfId="9685"/>
    <cellStyle name="Comma 7 4 4 2 4 2" xfId="12987"/>
    <cellStyle name="Comma 7 4 4 2 4 2 2" xfId="19526"/>
    <cellStyle name="Comma 7 4 4 2 4 3" xfId="16674"/>
    <cellStyle name="Comma 7 4 4 2 5" xfId="3317"/>
    <cellStyle name="Comma 7 4 4 2 5 2" xfId="11274"/>
    <cellStyle name="Comma 7 4 4 2 5 2 2" xfId="17813"/>
    <cellStyle name="Comma 7 4 4 2 5 3" xfId="14961"/>
    <cellStyle name="Comma 7 4 4 2 6" xfId="2742"/>
    <cellStyle name="Comma 7 4 4 2 6 2" xfId="14390"/>
    <cellStyle name="Comma 7 4 4 2 7" xfId="10703"/>
    <cellStyle name="Comma 7 4 4 2 7 2" xfId="17242"/>
    <cellStyle name="Comma 7 4 4 2 8" xfId="13821"/>
    <cellStyle name="Comma 7 4 4 3" xfId="4006"/>
    <cellStyle name="Comma 7 4 4 3 2" xfId="11560"/>
    <cellStyle name="Comma 7 4 4 3 2 2" xfId="18099"/>
    <cellStyle name="Comma 7 4 4 3 3" xfId="15247"/>
    <cellStyle name="Comma 7 4 4 4" xfId="6278"/>
    <cellStyle name="Comma 7 4 4 4 2" xfId="12131"/>
    <cellStyle name="Comma 7 4 4 4 2 2" xfId="18670"/>
    <cellStyle name="Comma 7 4 4 4 3" xfId="15818"/>
    <cellStyle name="Comma 7 4 4 5" xfId="8550"/>
    <cellStyle name="Comma 7 4 4 5 2" xfId="12702"/>
    <cellStyle name="Comma 7 4 4 5 2 2" xfId="19241"/>
    <cellStyle name="Comma 7 4 4 5 3" xfId="16389"/>
    <cellStyle name="Comma 7 4 4 6" xfId="3032"/>
    <cellStyle name="Comma 7 4 4 6 2" xfId="10989"/>
    <cellStyle name="Comma 7 4 4 6 2 2" xfId="17528"/>
    <cellStyle name="Comma 7 4 4 6 3" xfId="14676"/>
    <cellStyle name="Comma 7 4 4 7" xfId="2462"/>
    <cellStyle name="Comma 7 4 4 7 2" xfId="14110"/>
    <cellStyle name="Comma 7 4 4 8" xfId="10423"/>
    <cellStyle name="Comma 7 4 4 8 2" xfId="16962"/>
    <cellStyle name="Comma 7 4 4 9" xfId="13536"/>
    <cellStyle name="Comma 7 4 5" xfId="1267"/>
    <cellStyle name="Comma 7 4 5 2" xfId="4687"/>
    <cellStyle name="Comma 7 4 5 2 2" xfId="11731"/>
    <cellStyle name="Comma 7 4 5 2 2 2" xfId="18270"/>
    <cellStyle name="Comma 7 4 5 2 3" xfId="15418"/>
    <cellStyle name="Comma 7 4 5 3" xfId="6959"/>
    <cellStyle name="Comma 7 4 5 3 2" xfId="12302"/>
    <cellStyle name="Comma 7 4 5 3 2 2" xfId="18841"/>
    <cellStyle name="Comma 7 4 5 3 3" xfId="15989"/>
    <cellStyle name="Comma 7 4 5 4" xfId="9231"/>
    <cellStyle name="Comma 7 4 5 4 2" xfId="12873"/>
    <cellStyle name="Comma 7 4 5 4 2 2" xfId="19412"/>
    <cellStyle name="Comma 7 4 5 4 3" xfId="16560"/>
    <cellStyle name="Comma 7 4 5 5" xfId="3203"/>
    <cellStyle name="Comma 7 4 5 5 2" xfId="11160"/>
    <cellStyle name="Comma 7 4 5 5 2 2" xfId="17699"/>
    <cellStyle name="Comma 7 4 5 5 3" xfId="14847"/>
    <cellStyle name="Comma 7 4 5 6" xfId="2630"/>
    <cellStyle name="Comma 7 4 5 6 2" xfId="14278"/>
    <cellStyle name="Comma 7 4 5 7" xfId="10591"/>
    <cellStyle name="Comma 7 4 5 7 2" xfId="17130"/>
    <cellStyle name="Comma 7 4 5 8" xfId="13707"/>
    <cellStyle name="Comma 7 4 6" xfId="3552"/>
    <cellStyle name="Comma 7 4 6 2" xfId="11446"/>
    <cellStyle name="Comma 7 4 6 2 2" xfId="17985"/>
    <cellStyle name="Comma 7 4 6 3" xfId="15133"/>
    <cellStyle name="Comma 7 4 7" xfId="5824"/>
    <cellStyle name="Comma 7 4 7 2" xfId="12017"/>
    <cellStyle name="Comma 7 4 7 2 2" xfId="18556"/>
    <cellStyle name="Comma 7 4 7 3" xfId="15704"/>
    <cellStyle name="Comma 7 4 8" xfId="8096"/>
    <cellStyle name="Comma 7 4 8 2" xfId="12588"/>
    <cellStyle name="Comma 7 4 8 2 2" xfId="19127"/>
    <cellStyle name="Comma 7 4 8 3" xfId="16275"/>
    <cellStyle name="Comma 7 4 9" xfId="2915"/>
    <cellStyle name="Comma 7 4 9 2" xfId="10874"/>
    <cellStyle name="Comma 7 4 9 2 2" xfId="17413"/>
    <cellStyle name="Comma 7 4 9 3" xfId="14561"/>
    <cellStyle name="Comma 7 5" xfId="247"/>
    <cellStyle name="Comma 7 5 10" xfId="2378"/>
    <cellStyle name="Comma 7 5 10 2" xfId="14026"/>
    <cellStyle name="Comma 7 5 11" xfId="10339"/>
    <cellStyle name="Comma 7 5 11 2" xfId="16878"/>
    <cellStyle name="Comma 7 5 12" xfId="13451"/>
    <cellStyle name="Comma 7 5 13" xfId="20105"/>
    <cellStyle name="Comma 7 5 2" xfId="474"/>
    <cellStyle name="Comma 7 5 2 10" xfId="13508"/>
    <cellStyle name="Comma 7 5 2 11" xfId="20267"/>
    <cellStyle name="Comma 7 5 2 2" xfId="928"/>
    <cellStyle name="Comma 7 5 2 2 2" xfId="2063"/>
    <cellStyle name="Comma 7 5 2 2 2 2" xfId="5483"/>
    <cellStyle name="Comma 7 5 2 2 2 2 2" xfId="11931"/>
    <cellStyle name="Comma 7 5 2 2 2 2 2 2" xfId="18470"/>
    <cellStyle name="Comma 7 5 2 2 2 2 3" xfId="15618"/>
    <cellStyle name="Comma 7 5 2 2 2 3" xfId="7755"/>
    <cellStyle name="Comma 7 5 2 2 2 3 2" xfId="12502"/>
    <cellStyle name="Comma 7 5 2 2 2 3 2 2" xfId="19041"/>
    <cellStyle name="Comma 7 5 2 2 2 3 3" xfId="16189"/>
    <cellStyle name="Comma 7 5 2 2 2 4" xfId="10027"/>
    <cellStyle name="Comma 7 5 2 2 2 4 2" xfId="13073"/>
    <cellStyle name="Comma 7 5 2 2 2 4 2 2" xfId="19612"/>
    <cellStyle name="Comma 7 5 2 2 2 4 3" xfId="16760"/>
    <cellStyle name="Comma 7 5 2 2 2 5" xfId="3403"/>
    <cellStyle name="Comma 7 5 2 2 2 5 2" xfId="11360"/>
    <cellStyle name="Comma 7 5 2 2 2 5 2 2" xfId="17899"/>
    <cellStyle name="Comma 7 5 2 2 2 5 3" xfId="15047"/>
    <cellStyle name="Comma 7 5 2 2 2 6" xfId="2826"/>
    <cellStyle name="Comma 7 5 2 2 2 6 2" xfId="14474"/>
    <cellStyle name="Comma 7 5 2 2 2 7" xfId="10787"/>
    <cellStyle name="Comma 7 5 2 2 2 7 2" xfId="17326"/>
    <cellStyle name="Comma 7 5 2 2 2 8" xfId="13907"/>
    <cellStyle name="Comma 7 5 2 2 3" xfId="4348"/>
    <cellStyle name="Comma 7 5 2 2 3 2" xfId="11646"/>
    <cellStyle name="Comma 7 5 2 2 3 2 2" xfId="18185"/>
    <cellStyle name="Comma 7 5 2 2 3 3" xfId="15333"/>
    <cellStyle name="Comma 7 5 2 2 4" xfId="6620"/>
    <cellStyle name="Comma 7 5 2 2 4 2" xfId="12217"/>
    <cellStyle name="Comma 7 5 2 2 4 2 2" xfId="18756"/>
    <cellStyle name="Comma 7 5 2 2 4 3" xfId="15904"/>
    <cellStyle name="Comma 7 5 2 2 5" xfId="8892"/>
    <cellStyle name="Comma 7 5 2 2 5 2" xfId="12788"/>
    <cellStyle name="Comma 7 5 2 2 5 2 2" xfId="19327"/>
    <cellStyle name="Comma 7 5 2 2 5 3" xfId="16475"/>
    <cellStyle name="Comma 7 5 2 2 6" xfId="3118"/>
    <cellStyle name="Comma 7 5 2 2 6 2" xfId="11075"/>
    <cellStyle name="Comma 7 5 2 2 6 2 2" xfId="17614"/>
    <cellStyle name="Comma 7 5 2 2 6 3" xfId="14762"/>
    <cellStyle name="Comma 7 5 2 2 7" xfId="2546"/>
    <cellStyle name="Comma 7 5 2 2 7 2" xfId="14194"/>
    <cellStyle name="Comma 7 5 2 2 8" xfId="10507"/>
    <cellStyle name="Comma 7 5 2 2 8 2" xfId="17046"/>
    <cellStyle name="Comma 7 5 2 2 9" xfId="13622"/>
    <cellStyle name="Comma 7 5 2 3" xfId="1609"/>
    <cellStyle name="Comma 7 5 2 3 2" xfId="5029"/>
    <cellStyle name="Comma 7 5 2 3 2 2" xfId="11817"/>
    <cellStyle name="Comma 7 5 2 3 2 2 2" xfId="18356"/>
    <cellStyle name="Comma 7 5 2 3 2 3" xfId="15504"/>
    <cellStyle name="Comma 7 5 2 3 3" xfId="7301"/>
    <cellStyle name="Comma 7 5 2 3 3 2" xfId="12388"/>
    <cellStyle name="Comma 7 5 2 3 3 2 2" xfId="18927"/>
    <cellStyle name="Comma 7 5 2 3 3 3" xfId="16075"/>
    <cellStyle name="Comma 7 5 2 3 4" xfId="9573"/>
    <cellStyle name="Comma 7 5 2 3 4 2" xfId="12959"/>
    <cellStyle name="Comma 7 5 2 3 4 2 2" xfId="19498"/>
    <cellStyle name="Comma 7 5 2 3 4 3" xfId="16646"/>
    <cellStyle name="Comma 7 5 2 3 5" xfId="3289"/>
    <cellStyle name="Comma 7 5 2 3 5 2" xfId="11246"/>
    <cellStyle name="Comma 7 5 2 3 5 2 2" xfId="17785"/>
    <cellStyle name="Comma 7 5 2 3 5 3" xfId="14933"/>
    <cellStyle name="Comma 7 5 2 3 6" xfId="2714"/>
    <cellStyle name="Comma 7 5 2 3 6 2" xfId="14362"/>
    <cellStyle name="Comma 7 5 2 3 7" xfId="10675"/>
    <cellStyle name="Comma 7 5 2 3 7 2" xfId="17214"/>
    <cellStyle name="Comma 7 5 2 3 8" xfId="13793"/>
    <cellStyle name="Comma 7 5 2 4" xfId="3894"/>
    <cellStyle name="Comma 7 5 2 4 2" xfId="11532"/>
    <cellStyle name="Comma 7 5 2 4 2 2" xfId="18071"/>
    <cellStyle name="Comma 7 5 2 4 3" xfId="15219"/>
    <cellStyle name="Comma 7 5 2 5" xfId="6166"/>
    <cellStyle name="Comma 7 5 2 5 2" xfId="12103"/>
    <cellStyle name="Comma 7 5 2 5 2 2" xfId="18642"/>
    <cellStyle name="Comma 7 5 2 5 3" xfId="15790"/>
    <cellStyle name="Comma 7 5 2 6" xfId="8438"/>
    <cellStyle name="Comma 7 5 2 6 2" xfId="12674"/>
    <cellStyle name="Comma 7 5 2 6 2 2" xfId="19213"/>
    <cellStyle name="Comma 7 5 2 6 3" xfId="16361"/>
    <cellStyle name="Comma 7 5 2 7" xfId="3004"/>
    <cellStyle name="Comma 7 5 2 7 2" xfId="10961"/>
    <cellStyle name="Comma 7 5 2 7 2 2" xfId="17500"/>
    <cellStyle name="Comma 7 5 2 7 3" xfId="14648"/>
    <cellStyle name="Comma 7 5 2 8" xfId="2434"/>
    <cellStyle name="Comma 7 5 2 8 2" xfId="14082"/>
    <cellStyle name="Comma 7 5 2 9" xfId="10395"/>
    <cellStyle name="Comma 7 5 2 9 2" xfId="16934"/>
    <cellStyle name="Comma 7 5 3" xfId="1155"/>
    <cellStyle name="Comma 7 5 3 10" xfId="20340"/>
    <cellStyle name="Comma 7 5 3 2" xfId="2290"/>
    <cellStyle name="Comma 7 5 3 2 2" xfId="5710"/>
    <cellStyle name="Comma 7 5 3 2 2 2" xfId="11988"/>
    <cellStyle name="Comma 7 5 3 2 2 2 2" xfId="18527"/>
    <cellStyle name="Comma 7 5 3 2 2 3" xfId="15675"/>
    <cellStyle name="Comma 7 5 3 2 3" xfId="7982"/>
    <cellStyle name="Comma 7 5 3 2 3 2" xfId="12559"/>
    <cellStyle name="Comma 7 5 3 2 3 2 2" xfId="19098"/>
    <cellStyle name="Comma 7 5 3 2 3 3" xfId="16246"/>
    <cellStyle name="Comma 7 5 3 2 4" xfId="10254"/>
    <cellStyle name="Comma 7 5 3 2 4 2" xfId="13130"/>
    <cellStyle name="Comma 7 5 3 2 4 2 2" xfId="19669"/>
    <cellStyle name="Comma 7 5 3 2 4 3" xfId="16817"/>
    <cellStyle name="Comma 7 5 3 2 5" xfId="3460"/>
    <cellStyle name="Comma 7 5 3 2 5 2" xfId="11417"/>
    <cellStyle name="Comma 7 5 3 2 5 2 2" xfId="17956"/>
    <cellStyle name="Comma 7 5 3 2 5 3" xfId="15104"/>
    <cellStyle name="Comma 7 5 3 2 6" xfId="2882"/>
    <cellStyle name="Comma 7 5 3 2 6 2" xfId="14530"/>
    <cellStyle name="Comma 7 5 3 2 7" xfId="10843"/>
    <cellStyle name="Comma 7 5 3 2 7 2" xfId="17382"/>
    <cellStyle name="Comma 7 5 3 2 8" xfId="13964"/>
    <cellStyle name="Comma 7 5 3 3" xfId="4575"/>
    <cellStyle name="Comma 7 5 3 3 2" xfId="11703"/>
    <cellStyle name="Comma 7 5 3 3 2 2" xfId="18242"/>
    <cellStyle name="Comma 7 5 3 3 3" xfId="15390"/>
    <cellStyle name="Comma 7 5 3 4" xfId="6847"/>
    <cellStyle name="Comma 7 5 3 4 2" xfId="12274"/>
    <cellStyle name="Comma 7 5 3 4 2 2" xfId="18813"/>
    <cellStyle name="Comma 7 5 3 4 3" xfId="15961"/>
    <cellStyle name="Comma 7 5 3 5" xfId="9119"/>
    <cellStyle name="Comma 7 5 3 5 2" xfId="12845"/>
    <cellStyle name="Comma 7 5 3 5 2 2" xfId="19384"/>
    <cellStyle name="Comma 7 5 3 5 3" xfId="16532"/>
    <cellStyle name="Comma 7 5 3 6" xfId="3175"/>
    <cellStyle name="Comma 7 5 3 6 2" xfId="11132"/>
    <cellStyle name="Comma 7 5 3 6 2 2" xfId="17671"/>
    <cellStyle name="Comma 7 5 3 6 3" xfId="14819"/>
    <cellStyle name="Comma 7 5 3 7" xfId="2602"/>
    <cellStyle name="Comma 7 5 3 7 2" xfId="14250"/>
    <cellStyle name="Comma 7 5 3 8" xfId="10563"/>
    <cellStyle name="Comma 7 5 3 8 2" xfId="17102"/>
    <cellStyle name="Comma 7 5 3 9" xfId="13679"/>
    <cellStyle name="Comma 7 5 4" xfId="701"/>
    <cellStyle name="Comma 7 5 4 2" xfId="1836"/>
    <cellStyle name="Comma 7 5 4 2 2" xfId="5256"/>
    <cellStyle name="Comma 7 5 4 2 2 2" xfId="11874"/>
    <cellStyle name="Comma 7 5 4 2 2 2 2" xfId="18413"/>
    <cellStyle name="Comma 7 5 4 2 2 3" xfId="15561"/>
    <cellStyle name="Comma 7 5 4 2 3" xfId="7528"/>
    <cellStyle name="Comma 7 5 4 2 3 2" xfId="12445"/>
    <cellStyle name="Comma 7 5 4 2 3 2 2" xfId="18984"/>
    <cellStyle name="Comma 7 5 4 2 3 3" xfId="16132"/>
    <cellStyle name="Comma 7 5 4 2 4" xfId="9800"/>
    <cellStyle name="Comma 7 5 4 2 4 2" xfId="13016"/>
    <cellStyle name="Comma 7 5 4 2 4 2 2" xfId="19555"/>
    <cellStyle name="Comma 7 5 4 2 4 3" xfId="16703"/>
    <cellStyle name="Comma 7 5 4 2 5" xfId="3346"/>
    <cellStyle name="Comma 7 5 4 2 5 2" xfId="11303"/>
    <cellStyle name="Comma 7 5 4 2 5 2 2" xfId="17842"/>
    <cellStyle name="Comma 7 5 4 2 5 3" xfId="14990"/>
    <cellStyle name="Comma 7 5 4 2 6" xfId="2770"/>
    <cellStyle name="Comma 7 5 4 2 6 2" xfId="14418"/>
    <cellStyle name="Comma 7 5 4 2 7" xfId="10731"/>
    <cellStyle name="Comma 7 5 4 2 7 2" xfId="17270"/>
    <cellStyle name="Comma 7 5 4 2 8" xfId="13850"/>
    <cellStyle name="Comma 7 5 4 3" xfId="4121"/>
    <cellStyle name="Comma 7 5 4 3 2" xfId="11589"/>
    <cellStyle name="Comma 7 5 4 3 2 2" xfId="18128"/>
    <cellStyle name="Comma 7 5 4 3 3" xfId="15276"/>
    <cellStyle name="Comma 7 5 4 4" xfId="6393"/>
    <cellStyle name="Comma 7 5 4 4 2" xfId="12160"/>
    <cellStyle name="Comma 7 5 4 4 2 2" xfId="18699"/>
    <cellStyle name="Comma 7 5 4 4 3" xfId="15847"/>
    <cellStyle name="Comma 7 5 4 5" xfId="8665"/>
    <cellStyle name="Comma 7 5 4 5 2" xfId="12731"/>
    <cellStyle name="Comma 7 5 4 5 2 2" xfId="19270"/>
    <cellStyle name="Comma 7 5 4 5 3" xfId="16418"/>
    <cellStyle name="Comma 7 5 4 6" xfId="3061"/>
    <cellStyle name="Comma 7 5 4 6 2" xfId="11018"/>
    <cellStyle name="Comma 7 5 4 6 2 2" xfId="17557"/>
    <cellStyle name="Comma 7 5 4 6 3" xfId="14705"/>
    <cellStyle name="Comma 7 5 4 7" xfId="2490"/>
    <cellStyle name="Comma 7 5 4 7 2" xfId="14138"/>
    <cellStyle name="Comma 7 5 4 8" xfId="10451"/>
    <cellStyle name="Comma 7 5 4 8 2" xfId="16990"/>
    <cellStyle name="Comma 7 5 4 9" xfId="13565"/>
    <cellStyle name="Comma 7 5 5" xfId="1382"/>
    <cellStyle name="Comma 7 5 5 2" xfId="4802"/>
    <cellStyle name="Comma 7 5 5 2 2" xfId="11760"/>
    <cellStyle name="Comma 7 5 5 2 2 2" xfId="18299"/>
    <cellStyle name="Comma 7 5 5 2 3" xfId="15447"/>
    <cellStyle name="Comma 7 5 5 3" xfId="7074"/>
    <cellStyle name="Comma 7 5 5 3 2" xfId="12331"/>
    <cellStyle name="Comma 7 5 5 3 2 2" xfId="18870"/>
    <cellStyle name="Comma 7 5 5 3 3" xfId="16018"/>
    <cellStyle name="Comma 7 5 5 4" xfId="9346"/>
    <cellStyle name="Comma 7 5 5 4 2" xfId="12902"/>
    <cellStyle name="Comma 7 5 5 4 2 2" xfId="19441"/>
    <cellStyle name="Comma 7 5 5 4 3" xfId="16589"/>
    <cellStyle name="Comma 7 5 5 5" xfId="3232"/>
    <cellStyle name="Comma 7 5 5 5 2" xfId="11189"/>
    <cellStyle name="Comma 7 5 5 5 2 2" xfId="17728"/>
    <cellStyle name="Comma 7 5 5 5 3" xfId="14876"/>
    <cellStyle name="Comma 7 5 5 6" xfId="2658"/>
    <cellStyle name="Comma 7 5 5 6 2" xfId="14306"/>
    <cellStyle name="Comma 7 5 5 7" xfId="10619"/>
    <cellStyle name="Comma 7 5 5 7 2" xfId="17158"/>
    <cellStyle name="Comma 7 5 5 8" xfId="13736"/>
    <cellStyle name="Comma 7 5 6" xfId="3667"/>
    <cellStyle name="Comma 7 5 6 2" xfId="11475"/>
    <cellStyle name="Comma 7 5 6 2 2" xfId="18014"/>
    <cellStyle name="Comma 7 5 6 3" xfId="15162"/>
    <cellStyle name="Comma 7 5 7" xfId="5939"/>
    <cellStyle name="Comma 7 5 7 2" xfId="12046"/>
    <cellStyle name="Comma 7 5 7 2 2" xfId="18585"/>
    <cellStyle name="Comma 7 5 7 3" xfId="15733"/>
    <cellStyle name="Comma 7 5 8" xfId="8211"/>
    <cellStyle name="Comma 7 5 8 2" xfId="12617"/>
    <cellStyle name="Comma 7 5 8 2 2" xfId="19156"/>
    <cellStyle name="Comma 7 5 8 3" xfId="16304"/>
    <cellStyle name="Comma 7 5 9" xfId="2947"/>
    <cellStyle name="Comma 7 5 9 2" xfId="10904"/>
    <cellStyle name="Comma 7 5 9 2 2" xfId="17443"/>
    <cellStyle name="Comma 7 5 9 3" xfId="14591"/>
    <cellStyle name="Comma 7 6" xfId="303"/>
    <cellStyle name="Comma 7 6 10" xfId="13465"/>
    <cellStyle name="Comma 7 6 2" xfId="757"/>
    <cellStyle name="Comma 7 6 2 2" xfId="1892"/>
    <cellStyle name="Comma 7 6 2 2 2" xfId="5312"/>
    <cellStyle name="Comma 7 6 2 2 2 2" xfId="11888"/>
    <cellStyle name="Comma 7 6 2 2 2 2 2" xfId="18427"/>
    <cellStyle name="Comma 7 6 2 2 2 3" xfId="15575"/>
    <cellStyle name="Comma 7 6 2 2 3" xfId="7584"/>
    <cellStyle name="Comma 7 6 2 2 3 2" xfId="12459"/>
    <cellStyle name="Comma 7 6 2 2 3 2 2" xfId="18998"/>
    <cellStyle name="Comma 7 6 2 2 3 3" xfId="16146"/>
    <cellStyle name="Comma 7 6 2 2 4" xfId="9856"/>
    <cellStyle name="Comma 7 6 2 2 4 2" xfId="13030"/>
    <cellStyle name="Comma 7 6 2 2 4 2 2" xfId="19569"/>
    <cellStyle name="Comma 7 6 2 2 4 3" xfId="16717"/>
    <cellStyle name="Comma 7 6 2 2 5" xfId="3360"/>
    <cellStyle name="Comma 7 6 2 2 5 2" xfId="11317"/>
    <cellStyle name="Comma 7 6 2 2 5 2 2" xfId="17856"/>
    <cellStyle name="Comma 7 6 2 2 5 3" xfId="15004"/>
    <cellStyle name="Comma 7 6 2 2 6" xfId="2784"/>
    <cellStyle name="Comma 7 6 2 2 6 2" xfId="14432"/>
    <cellStyle name="Comma 7 6 2 2 7" xfId="10745"/>
    <cellStyle name="Comma 7 6 2 2 7 2" xfId="17284"/>
    <cellStyle name="Comma 7 6 2 2 8" xfId="13864"/>
    <cellStyle name="Comma 7 6 2 3" xfId="4177"/>
    <cellStyle name="Comma 7 6 2 3 2" xfId="11603"/>
    <cellStyle name="Comma 7 6 2 3 2 2" xfId="18142"/>
    <cellStyle name="Comma 7 6 2 3 3" xfId="15290"/>
    <cellStyle name="Comma 7 6 2 4" xfId="6449"/>
    <cellStyle name="Comma 7 6 2 4 2" xfId="12174"/>
    <cellStyle name="Comma 7 6 2 4 2 2" xfId="18713"/>
    <cellStyle name="Comma 7 6 2 4 3" xfId="15861"/>
    <cellStyle name="Comma 7 6 2 5" xfId="8721"/>
    <cellStyle name="Comma 7 6 2 5 2" xfId="12745"/>
    <cellStyle name="Comma 7 6 2 5 2 2" xfId="19284"/>
    <cellStyle name="Comma 7 6 2 5 3" xfId="16432"/>
    <cellStyle name="Comma 7 6 2 6" xfId="3075"/>
    <cellStyle name="Comma 7 6 2 6 2" xfId="11032"/>
    <cellStyle name="Comma 7 6 2 6 2 2" xfId="17571"/>
    <cellStyle name="Comma 7 6 2 6 3" xfId="14719"/>
    <cellStyle name="Comma 7 6 2 7" xfId="2504"/>
    <cellStyle name="Comma 7 6 2 7 2" xfId="14152"/>
    <cellStyle name="Comma 7 6 2 8" xfId="10465"/>
    <cellStyle name="Comma 7 6 2 8 2" xfId="17004"/>
    <cellStyle name="Comma 7 6 2 9" xfId="13579"/>
    <cellStyle name="Comma 7 6 3" xfId="1438"/>
    <cellStyle name="Comma 7 6 3 2" xfId="4858"/>
    <cellStyle name="Comma 7 6 3 2 2" xfId="11774"/>
    <cellStyle name="Comma 7 6 3 2 2 2" xfId="18313"/>
    <cellStyle name="Comma 7 6 3 2 3" xfId="15461"/>
    <cellStyle name="Comma 7 6 3 3" xfId="7130"/>
    <cellStyle name="Comma 7 6 3 3 2" xfId="12345"/>
    <cellStyle name="Comma 7 6 3 3 2 2" xfId="18884"/>
    <cellStyle name="Comma 7 6 3 3 3" xfId="16032"/>
    <cellStyle name="Comma 7 6 3 4" xfId="9402"/>
    <cellStyle name="Comma 7 6 3 4 2" xfId="12916"/>
    <cellStyle name="Comma 7 6 3 4 2 2" xfId="19455"/>
    <cellStyle name="Comma 7 6 3 4 3" xfId="16603"/>
    <cellStyle name="Comma 7 6 3 5" xfId="3246"/>
    <cellStyle name="Comma 7 6 3 5 2" xfId="11203"/>
    <cellStyle name="Comma 7 6 3 5 2 2" xfId="17742"/>
    <cellStyle name="Comma 7 6 3 5 3" xfId="14890"/>
    <cellStyle name="Comma 7 6 3 6" xfId="2672"/>
    <cellStyle name="Comma 7 6 3 6 2" xfId="14320"/>
    <cellStyle name="Comma 7 6 3 7" xfId="10633"/>
    <cellStyle name="Comma 7 6 3 7 2" xfId="17172"/>
    <cellStyle name="Comma 7 6 3 8" xfId="13750"/>
    <cellStyle name="Comma 7 6 4" xfId="3723"/>
    <cellStyle name="Comma 7 6 4 2" xfId="11489"/>
    <cellStyle name="Comma 7 6 4 2 2" xfId="18028"/>
    <cellStyle name="Comma 7 6 4 3" xfId="15176"/>
    <cellStyle name="Comma 7 6 5" xfId="5995"/>
    <cellStyle name="Comma 7 6 5 2" xfId="12060"/>
    <cellStyle name="Comma 7 6 5 2 2" xfId="18599"/>
    <cellStyle name="Comma 7 6 5 3" xfId="15747"/>
    <cellStyle name="Comma 7 6 6" xfId="8267"/>
    <cellStyle name="Comma 7 6 6 2" xfId="12631"/>
    <cellStyle name="Comma 7 6 6 2 2" xfId="19170"/>
    <cellStyle name="Comma 7 6 6 3" xfId="16318"/>
    <cellStyle name="Comma 7 6 7" xfId="2961"/>
    <cellStyle name="Comma 7 6 7 2" xfId="10918"/>
    <cellStyle name="Comma 7 6 7 2 2" xfId="17457"/>
    <cellStyle name="Comma 7 6 7 3" xfId="14605"/>
    <cellStyle name="Comma 7 6 8" xfId="2392"/>
    <cellStyle name="Comma 7 6 8 2" xfId="14040"/>
    <cellStyle name="Comma 7 6 9" xfId="10353"/>
    <cellStyle name="Comma 7 6 9 2" xfId="16892"/>
    <cellStyle name="Comma 7 7" xfId="984"/>
    <cellStyle name="Comma 7 7 2" xfId="2119"/>
    <cellStyle name="Comma 7 7 2 2" xfId="5539"/>
    <cellStyle name="Comma 7 7 2 2 2" xfId="11945"/>
    <cellStyle name="Comma 7 7 2 2 2 2" xfId="18484"/>
    <cellStyle name="Comma 7 7 2 2 3" xfId="15632"/>
    <cellStyle name="Comma 7 7 2 3" xfId="7811"/>
    <cellStyle name="Comma 7 7 2 3 2" xfId="12516"/>
    <cellStyle name="Comma 7 7 2 3 2 2" xfId="19055"/>
    <cellStyle name="Comma 7 7 2 3 3" xfId="16203"/>
    <cellStyle name="Comma 7 7 2 4" xfId="10083"/>
    <cellStyle name="Comma 7 7 2 4 2" xfId="13087"/>
    <cellStyle name="Comma 7 7 2 4 2 2" xfId="19626"/>
    <cellStyle name="Comma 7 7 2 4 3" xfId="16774"/>
    <cellStyle name="Comma 7 7 2 5" xfId="3417"/>
    <cellStyle name="Comma 7 7 2 5 2" xfId="11374"/>
    <cellStyle name="Comma 7 7 2 5 2 2" xfId="17913"/>
    <cellStyle name="Comma 7 7 2 5 3" xfId="15061"/>
    <cellStyle name="Comma 7 7 2 6" xfId="2840"/>
    <cellStyle name="Comma 7 7 2 6 2" xfId="14488"/>
    <cellStyle name="Comma 7 7 2 7" xfId="10801"/>
    <cellStyle name="Comma 7 7 2 7 2" xfId="17340"/>
    <cellStyle name="Comma 7 7 2 8" xfId="13921"/>
    <cellStyle name="Comma 7 7 3" xfId="4404"/>
    <cellStyle name="Comma 7 7 3 2" xfId="11660"/>
    <cellStyle name="Comma 7 7 3 2 2" xfId="18199"/>
    <cellStyle name="Comma 7 7 3 3" xfId="15347"/>
    <cellStyle name="Comma 7 7 4" xfId="6676"/>
    <cellStyle name="Comma 7 7 4 2" xfId="12231"/>
    <cellStyle name="Comma 7 7 4 2 2" xfId="18770"/>
    <cellStyle name="Comma 7 7 4 3" xfId="15918"/>
    <cellStyle name="Comma 7 7 5" xfId="8948"/>
    <cellStyle name="Comma 7 7 5 2" xfId="12802"/>
    <cellStyle name="Comma 7 7 5 2 2" xfId="19341"/>
    <cellStyle name="Comma 7 7 5 3" xfId="16489"/>
    <cellStyle name="Comma 7 7 6" xfId="3132"/>
    <cellStyle name="Comma 7 7 6 2" xfId="11089"/>
    <cellStyle name="Comma 7 7 6 2 2" xfId="17628"/>
    <cellStyle name="Comma 7 7 6 3" xfId="14776"/>
    <cellStyle name="Comma 7 7 7" xfId="2560"/>
    <cellStyle name="Comma 7 7 7 2" xfId="14208"/>
    <cellStyle name="Comma 7 7 8" xfId="10521"/>
    <cellStyle name="Comma 7 7 8 2" xfId="17060"/>
    <cellStyle name="Comma 7 7 9" xfId="13636"/>
    <cellStyle name="Comma 7 8" xfId="530"/>
    <cellStyle name="Comma 7 8 2" xfId="1665"/>
    <cellStyle name="Comma 7 8 2 2" xfId="5085"/>
    <cellStyle name="Comma 7 8 2 2 2" xfId="11831"/>
    <cellStyle name="Comma 7 8 2 2 2 2" xfId="18370"/>
    <cellStyle name="Comma 7 8 2 2 3" xfId="15518"/>
    <cellStyle name="Comma 7 8 2 3" xfId="7357"/>
    <cellStyle name="Comma 7 8 2 3 2" xfId="12402"/>
    <cellStyle name="Comma 7 8 2 3 2 2" xfId="18941"/>
    <cellStyle name="Comma 7 8 2 3 3" xfId="16089"/>
    <cellStyle name="Comma 7 8 2 4" xfId="9629"/>
    <cellStyle name="Comma 7 8 2 4 2" xfId="12973"/>
    <cellStyle name="Comma 7 8 2 4 2 2" xfId="19512"/>
    <cellStyle name="Comma 7 8 2 4 3" xfId="16660"/>
    <cellStyle name="Comma 7 8 2 5" xfId="3303"/>
    <cellStyle name="Comma 7 8 2 5 2" xfId="11260"/>
    <cellStyle name="Comma 7 8 2 5 2 2" xfId="17799"/>
    <cellStyle name="Comma 7 8 2 5 3" xfId="14947"/>
    <cellStyle name="Comma 7 8 2 6" xfId="2728"/>
    <cellStyle name="Comma 7 8 2 6 2" xfId="14376"/>
    <cellStyle name="Comma 7 8 2 7" xfId="10689"/>
    <cellStyle name="Comma 7 8 2 7 2" xfId="17228"/>
    <cellStyle name="Comma 7 8 2 8" xfId="13807"/>
    <cellStyle name="Comma 7 8 3" xfId="3950"/>
    <cellStyle name="Comma 7 8 3 2" xfId="11546"/>
    <cellStyle name="Comma 7 8 3 2 2" xfId="18085"/>
    <cellStyle name="Comma 7 8 3 3" xfId="15233"/>
    <cellStyle name="Comma 7 8 4" xfId="6222"/>
    <cellStyle name="Comma 7 8 4 2" xfId="12117"/>
    <cellStyle name="Comma 7 8 4 2 2" xfId="18656"/>
    <cellStyle name="Comma 7 8 4 3" xfId="15804"/>
    <cellStyle name="Comma 7 8 5" xfId="8494"/>
    <cellStyle name="Comma 7 8 5 2" xfId="12688"/>
    <cellStyle name="Comma 7 8 5 2 2" xfId="19227"/>
    <cellStyle name="Comma 7 8 5 3" xfId="16375"/>
    <cellStyle name="Comma 7 8 6" xfId="3018"/>
    <cellStyle name="Comma 7 8 6 2" xfId="10975"/>
    <cellStyle name="Comma 7 8 6 2 2" xfId="17514"/>
    <cellStyle name="Comma 7 8 6 3" xfId="14662"/>
    <cellStyle name="Comma 7 8 7" xfId="2448"/>
    <cellStyle name="Comma 7 8 7 2" xfId="14096"/>
    <cellStyle name="Comma 7 8 8" xfId="10409"/>
    <cellStyle name="Comma 7 8 8 2" xfId="16948"/>
    <cellStyle name="Comma 7 8 9" xfId="13522"/>
    <cellStyle name="Comma 7 9" xfId="1211"/>
    <cellStyle name="Comma 7 9 2" xfId="4631"/>
    <cellStyle name="Comma 7 9 2 2" xfId="11717"/>
    <cellStyle name="Comma 7 9 2 2 2" xfId="18256"/>
    <cellStyle name="Comma 7 9 2 3" xfId="15404"/>
    <cellStyle name="Comma 7 9 3" xfId="6903"/>
    <cellStyle name="Comma 7 9 3 2" xfId="12288"/>
    <cellStyle name="Comma 7 9 3 2 2" xfId="18827"/>
    <cellStyle name="Comma 7 9 3 3" xfId="15975"/>
    <cellStyle name="Comma 7 9 4" xfId="9175"/>
    <cellStyle name="Comma 7 9 4 2" xfId="12859"/>
    <cellStyle name="Comma 7 9 4 2 2" xfId="19398"/>
    <cellStyle name="Comma 7 9 4 3" xfId="16546"/>
    <cellStyle name="Comma 7 9 5" xfId="3189"/>
    <cellStyle name="Comma 7 9 5 2" xfId="11146"/>
    <cellStyle name="Comma 7 9 5 2 2" xfId="17685"/>
    <cellStyle name="Comma 7 9 5 3" xfId="14833"/>
    <cellStyle name="Comma 7 9 6" xfId="2616"/>
    <cellStyle name="Comma 7 9 6 2" xfId="14264"/>
    <cellStyle name="Comma 7 9 7" xfId="10577"/>
    <cellStyle name="Comma 7 9 7 2" xfId="17116"/>
    <cellStyle name="Comma 7 9 8" xfId="13693"/>
    <cellStyle name="Comma 8" xfId="65"/>
    <cellStyle name="Comma 8 10" xfId="3498"/>
    <cellStyle name="Comma 8 10 2" xfId="11433"/>
    <cellStyle name="Comma 8 10 2 2" xfId="17972"/>
    <cellStyle name="Comma 8 10 3" xfId="15120"/>
    <cellStyle name="Comma 8 11" xfId="5770"/>
    <cellStyle name="Comma 8 11 2" xfId="12004"/>
    <cellStyle name="Comma 8 11 2 2" xfId="18543"/>
    <cellStyle name="Comma 8 11 3" xfId="15691"/>
    <cellStyle name="Comma 8 12" xfId="8042"/>
    <cellStyle name="Comma 8 12 2" xfId="12575"/>
    <cellStyle name="Comma 8 12 2 2" xfId="19114"/>
    <cellStyle name="Comma 8 12 3" xfId="16262"/>
    <cellStyle name="Comma 8 13" xfId="2900"/>
    <cellStyle name="Comma 8 13 2" xfId="10860"/>
    <cellStyle name="Comma 8 13 2 2" xfId="17399"/>
    <cellStyle name="Comma 8 13 3" xfId="14547"/>
    <cellStyle name="Comma 8 14" xfId="2335"/>
    <cellStyle name="Comma 8 14 2" xfId="13983"/>
    <cellStyle name="Comma 8 15" xfId="10296"/>
    <cellStyle name="Comma 8 15 2" xfId="16835"/>
    <cellStyle name="Comma 8 16" xfId="13263"/>
    <cellStyle name="Comma 8 16 2" xfId="19772"/>
    <cellStyle name="Comma 8 17" xfId="13407"/>
    <cellStyle name="Comma 8 18" xfId="19866"/>
    <cellStyle name="Comma 8 19" xfId="20106"/>
    <cellStyle name="Comma 8 2" xfId="95"/>
    <cellStyle name="Comma 8 2 10" xfId="5798"/>
    <cellStyle name="Comma 8 2 10 2" xfId="12011"/>
    <cellStyle name="Comma 8 2 10 2 2" xfId="18550"/>
    <cellStyle name="Comma 8 2 10 3" xfId="15698"/>
    <cellStyle name="Comma 8 2 11" xfId="8070"/>
    <cellStyle name="Comma 8 2 11 2" xfId="12582"/>
    <cellStyle name="Comma 8 2 11 2 2" xfId="19121"/>
    <cellStyle name="Comma 8 2 11 3" xfId="16269"/>
    <cellStyle name="Comma 8 2 12" xfId="2909"/>
    <cellStyle name="Comma 8 2 12 2" xfId="10868"/>
    <cellStyle name="Comma 8 2 12 2 2" xfId="17407"/>
    <cellStyle name="Comma 8 2 12 3" xfId="14555"/>
    <cellStyle name="Comma 8 2 13" xfId="2343"/>
    <cellStyle name="Comma 8 2 13 2" xfId="13991"/>
    <cellStyle name="Comma 8 2 14" xfId="10304"/>
    <cellStyle name="Comma 8 2 14 2" xfId="16843"/>
    <cellStyle name="Comma 8 2 15" xfId="13264"/>
    <cellStyle name="Comma 8 2 15 2" xfId="19773"/>
    <cellStyle name="Comma 8 2 16" xfId="13415"/>
    <cellStyle name="Comma 8 2 17" xfId="19867"/>
    <cellStyle name="Comma 8 2 18" xfId="20268"/>
    <cellStyle name="Comma 8 2 2" xfId="207"/>
    <cellStyle name="Comma 8 2 2 10" xfId="2371"/>
    <cellStyle name="Comma 8 2 2 10 2" xfId="14019"/>
    <cellStyle name="Comma 8 2 2 11" xfId="10332"/>
    <cellStyle name="Comma 8 2 2 11 2" xfId="16871"/>
    <cellStyle name="Comma 8 2 2 12" xfId="13443"/>
    <cellStyle name="Comma 8 2 2 2" xfId="445"/>
    <cellStyle name="Comma 8 2 2 2 10" xfId="13501"/>
    <cellStyle name="Comma 8 2 2 2 2" xfId="899"/>
    <cellStyle name="Comma 8 2 2 2 2 2" xfId="2034"/>
    <cellStyle name="Comma 8 2 2 2 2 2 2" xfId="5454"/>
    <cellStyle name="Comma 8 2 2 2 2 2 2 2" xfId="11924"/>
    <cellStyle name="Comma 8 2 2 2 2 2 2 2 2" xfId="18463"/>
    <cellStyle name="Comma 8 2 2 2 2 2 2 3" xfId="15611"/>
    <cellStyle name="Comma 8 2 2 2 2 2 3" xfId="7726"/>
    <cellStyle name="Comma 8 2 2 2 2 2 3 2" xfId="12495"/>
    <cellStyle name="Comma 8 2 2 2 2 2 3 2 2" xfId="19034"/>
    <cellStyle name="Comma 8 2 2 2 2 2 3 3" xfId="16182"/>
    <cellStyle name="Comma 8 2 2 2 2 2 4" xfId="9998"/>
    <cellStyle name="Comma 8 2 2 2 2 2 4 2" xfId="13066"/>
    <cellStyle name="Comma 8 2 2 2 2 2 4 2 2" xfId="19605"/>
    <cellStyle name="Comma 8 2 2 2 2 2 4 3" xfId="16753"/>
    <cellStyle name="Comma 8 2 2 2 2 2 5" xfId="3396"/>
    <cellStyle name="Comma 8 2 2 2 2 2 5 2" xfId="11353"/>
    <cellStyle name="Comma 8 2 2 2 2 2 5 2 2" xfId="17892"/>
    <cellStyle name="Comma 8 2 2 2 2 2 5 3" xfId="15040"/>
    <cellStyle name="Comma 8 2 2 2 2 2 6" xfId="2820"/>
    <cellStyle name="Comma 8 2 2 2 2 2 6 2" xfId="14468"/>
    <cellStyle name="Comma 8 2 2 2 2 2 7" xfId="10781"/>
    <cellStyle name="Comma 8 2 2 2 2 2 7 2" xfId="17320"/>
    <cellStyle name="Comma 8 2 2 2 2 2 8" xfId="13900"/>
    <cellStyle name="Comma 8 2 2 2 2 3" xfId="4319"/>
    <cellStyle name="Comma 8 2 2 2 2 3 2" xfId="11639"/>
    <cellStyle name="Comma 8 2 2 2 2 3 2 2" xfId="18178"/>
    <cellStyle name="Comma 8 2 2 2 2 3 3" xfId="15326"/>
    <cellStyle name="Comma 8 2 2 2 2 4" xfId="6591"/>
    <cellStyle name="Comma 8 2 2 2 2 4 2" xfId="12210"/>
    <cellStyle name="Comma 8 2 2 2 2 4 2 2" xfId="18749"/>
    <cellStyle name="Comma 8 2 2 2 2 4 3" xfId="15897"/>
    <cellStyle name="Comma 8 2 2 2 2 5" xfId="8863"/>
    <cellStyle name="Comma 8 2 2 2 2 5 2" xfId="12781"/>
    <cellStyle name="Comma 8 2 2 2 2 5 2 2" xfId="19320"/>
    <cellStyle name="Comma 8 2 2 2 2 5 3" xfId="16468"/>
    <cellStyle name="Comma 8 2 2 2 2 6" xfId="3111"/>
    <cellStyle name="Comma 8 2 2 2 2 6 2" xfId="11068"/>
    <cellStyle name="Comma 8 2 2 2 2 6 2 2" xfId="17607"/>
    <cellStyle name="Comma 8 2 2 2 2 6 3" xfId="14755"/>
    <cellStyle name="Comma 8 2 2 2 2 7" xfId="2540"/>
    <cellStyle name="Comma 8 2 2 2 2 7 2" xfId="14188"/>
    <cellStyle name="Comma 8 2 2 2 2 8" xfId="10501"/>
    <cellStyle name="Comma 8 2 2 2 2 8 2" xfId="17040"/>
    <cellStyle name="Comma 8 2 2 2 2 9" xfId="13615"/>
    <cellStyle name="Comma 8 2 2 2 3" xfId="1580"/>
    <cellStyle name="Comma 8 2 2 2 3 2" xfId="5000"/>
    <cellStyle name="Comma 8 2 2 2 3 2 2" xfId="11810"/>
    <cellStyle name="Comma 8 2 2 2 3 2 2 2" xfId="18349"/>
    <cellStyle name="Comma 8 2 2 2 3 2 3" xfId="15497"/>
    <cellStyle name="Comma 8 2 2 2 3 3" xfId="7272"/>
    <cellStyle name="Comma 8 2 2 2 3 3 2" xfId="12381"/>
    <cellStyle name="Comma 8 2 2 2 3 3 2 2" xfId="18920"/>
    <cellStyle name="Comma 8 2 2 2 3 3 3" xfId="16068"/>
    <cellStyle name="Comma 8 2 2 2 3 4" xfId="9544"/>
    <cellStyle name="Comma 8 2 2 2 3 4 2" xfId="12952"/>
    <cellStyle name="Comma 8 2 2 2 3 4 2 2" xfId="19491"/>
    <cellStyle name="Comma 8 2 2 2 3 4 3" xfId="16639"/>
    <cellStyle name="Comma 8 2 2 2 3 5" xfId="3282"/>
    <cellStyle name="Comma 8 2 2 2 3 5 2" xfId="11239"/>
    <cellStyle name="Comma 8 2 2 2 3 5 2 2" xfId="17778"/>
    <cellStyle name="Comma 8 2 2 2 3 5 3" xfId="14926"/>
    <cellStyle name="Comma 8 2 2 2 3 6" xfId="2708"/>
    <cellStyle name="Comma 8 2 2 2 3 6 2" xfId="14356"/>
    <cellStyle name="Comma 8 2 2 2 3 7" xfId="10669"/>
    <cellStyle name="Comma 8 2 2 2 3 7 2" xfId="17208"/>
    <cellStyle name="Comma 8 2 2 2 3 8" xfId="13786"/>
    <cellStyle name="Comma 8 2 2 2 4" xfId="3865"/>
    <cellStyle name="Comma 8 2 2 2 4 2" xfId="11525"/>
    <cellStyle name="Comma 8 2 2 2 4 2 2" xfId="18064"/>
    <cellStyle name="Comma 8 2 2 2 4 3" xfId="15212"/>
    <cellStyle name="Comma 8 2 2 2 5" xfId="6137"/>
    <cellStyle name="Comma 8 2 2 2 5 2" xfId="12096"/>
    <cellStyle name="Comma 8 2 2 2 5 2 2" xfId="18635"/>
    <cellStyle name="Comma 8 2 2 2 5 3" xfId="15783"/>
    <cellStyle name="Comma 8 2 2 2 6" xfId="8409"/>
    <cellStyle name="Comma 8 2 2 2 6 2" xfId="12667"/>
    <cellStyle name="Comma 8 2 2 2 6 2 2" xfId="19206"/>
    <cellStyle name="Comma 8 2 2 2 6 3" xfId="16354"/>
    <cellStyle name="Comma 8 2 2 2 7" xfId="2997"/>
    <cellStyle name="Comma 8 2 2 2 7 2" xfId="10954"/>
    <cellStyle name="Comma 8 2 2 2 7 2 2" xfId="17493"/>
    <cellStyle name="Comma 8 2 2 2 7 3" xfId="14641"/>
    <cellStyle name="Comma 8 2 2 2 8" xfId="2428"/>
    <cellStyle name="Comma 8 2 2 2 8 2" xfId="14076"/>
    <cellStyle name="Comma 8 2 2 2 9" xfId="10389"/>
    <cellStyle name="Comma 8 2 2 2 9 2" xfId="16928"/>
    <cellStyle name="Comma 8 2 2 3" xfId="1126"/>
    <cellStyle name="Comma 8 2 2 3 2" xfId="2261"/>
    <cellStyle name="Comma 8 2 2 3 2 2" xfId="5681"/>
    <cellStyle name="Comma 8 2 2 3 2 2 2" xfId="11981"/>
    <cellStyle name="Comma 8 2 2 3 2 2 2 2" xfId="18520"/>
    <cellStyle name="Comma 8 2 2 3 2 2 3" xfId="15668"/>
    <cellStyle name="Comma 8 2 2 3 2 3" xfId="7953"/>
    <cellStyle name="Comma 8 2 2 3 2 3 2" xfId="12552"/>
    <cellStyle name="Comma 8 2 2 3 2 3 2 2" xfId="19091"/>
    <cellStyle name="Comma 8 2 2 3 2 3 3" xfId="16239"/>
    <cellStyle name="Comma 8 2 2 3 2 4" xfId="10225"/>
    <cellStyle name="Comma 8 2 2 3 2 4 2" xfId="13123"/>
    <cellStyle name="Comma 8 2 2 3 2 4 2 2" xfId="19662"/>
    <cellStyle name="Comma 8 2 2 3 2 4 3" xfId="16810"/>
    <cellStyle name="Comma 8 2 2 3 2 5" xfId="3453"/>
    <cellStyle name="Comma 8 2 2 3 2 5 2" xfId="11410"/>
    <cellStyle name="Comma 8 2 2 3 2 5 2 2" xfId="17949"/>
    <cellStyle name="Comma 8 2 2 3 2 5 3" xfId="15097"/>
    <cellStyle name="Comma 8 2 2 3 2 6" xfId="2876"/>
    <cellStyle name="Comma 8 2 2 3 2 6 2" xfId="14524"/>
    <cellStyle name="Comma 8 2 2 3 2 7" xfId="10837"/>
    <cellStyle name="Comma 8 2 2 3 2 7 2" xfId="17376"/>
    <cellStyle name="Comma 8 2 2 3 2 8" xfId="13957"/>
    <cellStyle name="Comma 8 2 2 3 3" xfId="4546"/>
    <cellStyle name="Comma 8 2 2 3 3 2" xfId="11696"/>
    <cellStyle name="Comma 8 2 2 3 3 2 2" xfId="18235"/>
    <cellStyle name="Comma 8 2 2 3 3 3" xfId="15383"/>
    <cellStyle name="Comma 8 2 2 3 4" xfId="6818"/>
    <cellStyle name="Comma 8 2 2 3 4 2" xfId="12267"/>
    <cellStyle name="Comma 8 2 2 3 4 2 2" xfId="18806"/>
    <cellStyle name="Comma 8 2 2 3 4 3" xfId="15954"/>
    <cellStyle name="Comma 8 2 2 3 5" xfId="9090"/>
    <cellStyle name="Comma 8 2 2 3 5 2" xfId="12838"/>
    <cellStyle name="Comma 8 2 2 3 5 2 2" xfId="19377"/>
    <cellStyle name="Comma 8 2 2 3 5 3" xfId="16525"/>
    <cellStyle name="Comma 8 2 2 3 6" xfId="3168"/>
    <cellStyle name="Comma 8 2 2 3 6 2" xfId="11125"/>
    <cellStyle name="Comma 8 2 2 3 6 2 2" xfId="17664"/>
    <cellStyle name="Comma 8 2 2 3 6 3" xfId="14812"/>
    <cellStyle name="Comma 8 2 2 3 7" xfId="2596"/>
    <cellStyle name="Comma 8 2 2 3 7 2" xfId="14244"/>
    <cellStyle name="Comma 8 2 2 3 8" xfId="10557"/>
    <cellStyle name="Comma 8 2 2 3 8 2" xfId="17096"/>
    <cellStyle name="Comma 8 2 2 3 9" xfId="13672"/>
    <cellStyle name="Comma 8 2 2 4" xfId="672"/>
    <cellStyle name="Comma 8 2 2 4 2" xfId="1807"/>
    <cellStyle name="Comma 8 2 2 4 2 2" xfId="5227"/>
    <cellStyle name="Comma 8 2 2 4 2 2 2" xfId="11867"/>
    <cellStyle name="Comma 8 2 2 4 2 2 2 2" xfId="18406"/>
    <cellStyle name="Comma 8 2 2 4 2 2 3" xfId="15554"/>
    <cellStyle name="Comma 8 2 2 4 2 3" xfId="7499"/>
    <cellStyle name="Comma 8 2 2 4 2 3 2" xfId="12438"/>
    <cellStyle name="Comma 8 2 2 4 2 3 2 2" xfId="18977"/>
    <cellStyle name="Comma 8 2 2 4 2 3 3" xfId="16125"/>
    <cellStyle name="Comma 8 2 2 4 2 4" xfId="9771"/>
    <cellStyle name="Comma 8 2 2 4 2 4 2" xfId="13009"/>
    <cellStyle name="Comma 8 2 2 4 2 4 2 2" xfId="19548"/>
    <cellStyle name="Comma 8 2 2 4 2 4 3" xfId="16696"/>
    <cellStyle name="Comma 8 2 2 4 2 5" xfId="3339"/>
    <cellStyle name="Comma 8 2 2 4 2 5 2" xfId="11296"/>
    <cellStyle name="Comma 8 2 2 4 2 5 2 2" xfId="17835"/>
    <cellStyle name="Comma 8 2 2 4 2 5 3" xfId="14983"/>
    <cellStyle name="Comma 8 2 2 4 2 6" xfId="2764"/>
    <cellStyle name="Comma 8 2 2 4 2 6 2" xfId="14412"/>
    <cellStyle name="Comma 8 2 2 4 2 7" xfId="10725"/>
    <cellStyle name="Comma 8 2 2 4 2 7 2" xfId="17264"/>
    <cellStyle name="Comma 8 2 2 4 2 8" xfId="13843"/>
    <cellStyle name="Comma 8 2 2 4 3" xfId="4092"/>
    <cellStyle name="Comma 8 2 2 4 3 2" xfId="11582"/>
    <cellStyle name="Comma 8 2 2 4 3 2 2" xfId="18121"/>
    <cellStyle name="Comma 8 2 2 4 3 3" xfId="15269"/>
    <cellStyle name="Comma 8 2 2 4 4" xfId="6364"/>
    <cellStyle name="Comma 8 2 2 4 4 2" xfId="12153"/>
    <cellStyle name="Comma 8 2 2 4 4 2 2" xfId="18692"/>
    <cellStyle name="Comma 8 2 2 4 4 3" xfId="15840"/>
    <cellStyle name="Comma 8 2 2 4 5" xfId="8636"/>
    <cellStyle name="Comma 8 2 2 4 5 2" xfId="12724"/>
    <cellStyle name="Comma 8 2 2 4 5 2 2" xfId="19263"/>
    <cellStyle name="Comma 8 2 2 4 5 3" xfId="16411"/>
    <cellStyle name="Comma 8 2 2 4 6" xfId="3054"/>
    <cellStyle name="Comma 8 2 2 4 6 2" xfId="11011"/>
    <cellStyle name="Comma 8 2 2 4 6 2 2" xfId="17550"/>
    <cellStyle name="Comma 8 2 2 4 6 3" xfId="14698"/>
    <cellStyle name="Comma 8 2 2 4 7" xfId="2484"/>
    <cellStyle name="Comma 8 2 2 4 7 2" xfId="14132"/>
    <cellStyle name="Comma 8 2 2 4 8" xfId="10445"/>
    <cellStyle name="Comma 8 2 2 4 8 2" xfId="16984"/>
    <cellStyle name="Comma 8 2 2 4 9" xfId="13558"/>
    <cellStyle name="Comma 8 2 2 5" xfId="1353"/>
    <cellStyle name="Comma 8 2 2 5 2" xfId="4773"/>
    <cellStyle name="Comma 8 2 2 5 2 2" xfId="11753"/>
    <cellStyle name="Comma 8 2 2 5 2 2 2" xfId="18292"/>
    <cellStyle name="Comma 8 2 2 5 2 3" xfId="15440"/>
    <cellStyle name="Comma 8 2 2 5 3" xfId="7045"/>
    <cellStyle name="Comma 8 2 2 5 3 2" xfId="12324"/>
    <cellStyle name="Comma 8 2 2 5 3 2 2" xfId="18863"/>
    <cellStyle name="Comma 8 2 2 5 3 3" xfId="16011"/>
    <cellStyle name="Comma 8 2 2 5 4" xfId="9317"/>
    <cellStyle name="Comma 8 2 2 5 4 2" xfId="12895"/>
    <cellStyle name="Comma 8 2 2 5 4 2 2" xfId="19434"/>
    <cellStyle name="Comma 8 2 2 5 4 3" xfId="16582"/>
    <cellStyle name="Comma 8 2 2 5 5" xfId="3225"/>
    <cellStyle name="Comma 8 2 2 5 5 2" xfId="11182"/>
    <cellStyle name="Comma 8 2 2 5 5 2 2" xfId="17721"/>
    <cellStyle name="Comma 8 2 2 5 5 3" xfId="14869"/>
    <cellStyle name="Comma 8 2 2 5 6" xfId="2652"/>
    <cellStyle name="Comma 8 2 2 5 6 2" xfId="14300"/>
    <cellStyle name="Comma 8 2 2 5 7" xfId="10613"/>
    <cellStyle name="Comma 8 2 2 5 7 2" xfId="17152"/>
    <cellStyle name="Comma 8 2 2 5 8" xfId="13729"/>
    <cellStyle name="Comma 8 2 2 6" xfId="3638"/>
    <cellStyle name="Comma 8 2 2 6 2" xfId="11468"/>
    <cellStyle name="Comma 8 2 2 6 2 2" xfId="18007"/>
    <cellStyle name="Comma 8 2 2 6 3" xfId="15155"/>
    <cellStyle name="Comma 8 2 2 7" xfId="5910"/>
    <cellStyle name="Comma 8 2 2 7 2" xfId="12039"/>
    <cellStyle name="Comma 8 2 2 7 2 2" xfId="18578"/>
    <cellStyle name="Comma 8 2 2 7 3" xfId="15726"/>
    <cellStyle name="Comma 8 2 2 8" xfId="8182"/>
    <cellStyle name="Comma 8 2 2 8 2" xfId="12610"/>
    <cellStyle name="Comma 8 2 2 8 2 2" xfId="19149"/>
    <cellStyle name="Comma 8 2 2 8 3" xfId="16297"/>
    <cellStyle name="Comma 8 2 2 9" xfId="2937"/>
    <cellStyle name="Comma 8 2 2 9 2" xfId="10896"/>
    <cellStyle name="Comma 8 2 2 9 2 2" xfId="17435"/>
    <cellStyle name="Comma 8 2 2 9 3" xfId="14583"/>
    <cellStyle name="Comma 8 2 3" xfId="151"/>
    <cellStyle name="Comma 8 2 3 10" xfId="2357"/>
    <cellStyle name="Comma 8 2 3 10 2" xfId="14005"/>
    <cellStyle name="Comma 8 2 3 11" xfId="10318"/>
    <cellStyle name="Comma 8 2 3 11 2" xfId="16857"/>
    <cellStyle name="Comma 8 2 3 12" xfId="13429"/>
    <cellStyle name="Comma 8 2 3 2" xfId="389"/>
    <cellStyle name="Comma 8 2 3 2 10" xfId="13487"/>
    <cellStyle name="Comma 8 2 3 2 2" xfId="843"/>
    <cellStyle name="Comma 8 2 3 2 2 2" xfId="1978"/>
    <cellStyle name="Comma 8 2 3 2 2 2 2" xfId="5398"/>
    <cellStyle name="Comma 8 2 3 2 2 2 2 2" xfId="11910"/>
    <cellStyle name="Comma 8 2 3 2 2 2 2 2 2" xfId="18449"/>
    <cellStyle name="Comma 8 2 3 2 2 2 2 3" xfId="15597"/>
    <cellStyle name="Comma 8 2 3 2 2 2 3" xfId="7670"/>
    <cellStyle name="Comma 8 2 3 2 2 2 3 2" xfId="12481"/>
    <cellStyle name="Comma 8 2 3 2 2 2 3 2 2" xfId="19020"/>
    <cellStyle name="Comma 8 2 3 2 2 2 3 3" xfId="16168"/>
    <cellStyle name="Comma 8 2 3 2 2 2 4" xfId="9942"/>
    <cellStyle name="Comma 8 2 3 2 2 2 4 2" xfId="13052"/>
    <cellStyle name="Comma 8 2 3 2 2 2 4 2 2" xfId="19591"/>
    <cellStyle name="Comma 8 2 3 2 2 2 4 3" xfId="16739"/>
    <cellStyle name="Comma 8 2 3 2 2 2 5" xfId="3382"/>
    <cellStyle name="Comma 8 2 3 2 2 2 5 2" xfId="11339"/>
    <cellStyle name="Comma 8 2 3 2 2 2 5 2 2" xfId="17878"/>
    <cellStyle name="Comma 8 2 3 2 2 2 5 3" xfId="15026"/>
    <cellStyle name="Comma 8 2 3 2 2 2 6" xfId="2806"/>
    <cellStyle name="Comma 8 2 3 2 2 2 6 2" xfId="14454"/>
    <cellStyle name="Comma 8 2 3 2 2 2 7" xfId="10767"/>
    <cellStyle name="Comma 8 2 3 2 2 2 7 2" xfId="17306"/>
    <cellStyle name="Comma 8 2 3 2 2 2 8" xfId="13886"/>
    <cellStyle name="Comma 8 2 3 2 2 3" xfId="4263"/>
    <cellStyle name="Comma 8 2 3 2 2 3 2" xfId="11625"/>
    <cellStyle name="Comma 8 2 3 2 2 3 2 2" xfId="18164"/>
    <cellStyle name="Comma 8 2 3 2 2 3 3" xfId="15312"/>
    <cellStyle name="Comma 8 2 3 2 2 4" xfId="6535"/>
    <cellStyle name="Comma 8 2 3 2 2 4 2" xfId="12196"/>
    <cellStyle name="Comma 8 2 3 2 2 4 2 2" xfId="18735"/>
    <cellStyle name="Comma 8 2 3 2 2 4 3" xfId="15883"/>
    <cellStyle name="Comma 8 2 3 2 2 5" xfId="8807"/>
    <cellStyle name="Comma 8 2 3 2 2 5 2" xfId="12767"/>
    <cellStyle name="Comma 8 2 3 2 2 5 2 2" xfId="19306"/>
    <cellStyle name="Comma 8 2 3 2 2 5 3" xfId="16454"/>
    <cellStyle name="Comma 8 2 3 2 2 6" xfId="3097"/>
    <cellStyle name="Comma 8 2 3 2 2 6 2" xfId="11054"/>
    <cellStyle name="Comma 8 2 3 2 2 6 2 2" xfId="17593"/>
    <cellStyle name="Comma 8 2 3 2 2 6 3" xfId="14741"/>
    <cellStyle name="Comma 8 2 3 2 2 7" xfId="2526"/>
    <cellStyle name="Comma 8 2 3 2 2 7 2" xfId="14174"/>
    <cellStyle name="Comma 8 2 3 2 2 8" xfId="10487"/>
    <cellStyle name="Comma 8 2 3 2 2 8 2" xfId="17026"/>
    <cellStyle name="Comma 8 2 3 2 2 9" xfId="13601"/>
    <cellStyle name="Comma 8 2 3 2 3" xfId="1524"/>
    <cellStyle name="Comma 8 2 3 2 3 2" xfId="4944"/>
    <cellStyle name="Comma 8 2 3 2 3 2 2" xfId="11796"/>
    <cellStyle name="Comma 8 2 3 2 3 2 2 2" xfId="18335"/>
    <cellStyle name="Comma 8 2 3 2 3 2 3" xfId="15483"/>
    <cellStyle name="Comma 8 2 3 2 3 3" xfId="7216"/>
    <cellStyle name="Comma 8 2 3 2 3 3 2" xfId="12367"/>
    <cellStyle name="Comma 8 2 3 2 3 3 2 2" xfId="18906"/>
    <cellStyle name="Comma 8 2 3 2 3 3 3" xfId="16054"/>
    <cellStyle name="Comma 8 2 3 2 3 4" xfId="9488"/>
    <cellStyle name="Comma 8 2 3 2 3 4 2" xfId="12938"/>
    <cellStyle name="Comma 8 2 3 2 3 4 2 2" xfId="19477"/>
    <cellStyle name="Comma 8 2 3 2 3 4 3" xfId="16625"/>
    <cellStyle name="Comma 8 2 3 2 3 5" xfId="3268"/>
    <cellStyle name="Comma 8 2 3 2 3 5 2" xfId="11225"/>
    <cellStyle name="Comma 8 2 3 2 3 5 2 2" xfId="17764"/>
    <cellStyle name="Comma 8 2 3 2 3 5 3" xfId="14912"/>
    <cellStyle name="Comma 8 2 3 2 3 6" xfId="2694"/>
    <cellStyle name="Comma 8 2 3 2 3 6 2" xfId="14342"/>
    <cellStyle name="Comma 8 2 3 2 3 7" xfId="10655"/>
    <cellStyle name="Comma 8 2 3 2 3 7 2" xfId="17194"/>
    <cellStyle name="Comma 8 2 3 2 3 8" xfId="13772"/>
    <cellStyle name="Comma 8 2 3 2 4" xfId="3809"/>
    <cellStyle name="Comma 8 2 3 2 4 2" xfId="11511"/>
    <cellStyle name="Comma 8 2 3 2 4 2 2" xfId="18050"/>
    <cellStyle name="Comma 8 2 3 2 4 3" xfId="15198"/>
    <cellStyle name="Comma 8 2 3 2 5" xfId="6081"/>
    <cellStyle name="Comma 8 2 3 2 5 2" xfId="12082"/>
    <cellStyle name="Comma 8 2 3 2 5 2 2" xfId="18621"/>
    <cellStyle name="Comma 8 2 3 2 5 3" xfId="15769"/>
    <cellStyle name="Comma 8 2 3 2 6" xfId="8353"/>
    <cellStyle name="Comma 8 2 3 2 6 2" xfId="12653"/>
    <cellStyle name="Comma 8 2 3 2 6 2 2" xfId="19192"/>
    <cellStyle name="Comma 8 2 3 2 6 3" xfId="16340"/>
    <cellStyle name="Comma 8 2 3 2 7" xfId="2983"/>
    <cellStyle name="Comma 8 2 3 2 7 2" xfId="10940"/>
    <cellStyle name="Comma 8 2 3 2 7 2 2" xfId="17479"/>
    <cellStyle name="Comma 8 2 3 2 7 3" xfId="14627"/>
    <cellStyle name="Comma 8 2 3 2 8" xfId="2414"/>
    <cellStyle name="Comma 8 2 3 2 8 2" xfId="14062"/>
    <cellStyle name="Comma 8 2 3 2 9" xfId="10375"/>
    <cellStyle name="Comma 8 2 3 2 9 2" xfId="16914"/>
    <cellStyle name="Comma 8 2 3 3" xfId="1070"/>
    <cellStyle name="Comma 8 2 3 3 2" xfId="2205"/>
    <cellStyle name="Comma 8 2 3 3 2 2" xfId="5625"/>
    <cellStyle name="Comma 8 2 3 3 2 2 2" xfId="11967"/>
    <cellStyle name="Comma 8 2 3 3 2 2 2 2" xfId="18506"/>
    <cellStyle name="Comma 8 2 3 3 2 2 3" xfId="15654"/>
    <cellStyle name="Comma 8 2 3 3 2 3" xfId="7897"/>
    <cellStyle name="Comma 8 2 3 3 2 3 2" xfId="12538"/>
    <cellStyle name="Comma 8 2 3 3 2 3 2 2" xfId="19077"/>
    <cellStyle name="Comma 8 2 3 3 2 3 3" xfId="16225"/>
    <cellStyle name="Comma 8 2 3 3 2 4" xfId="10169"/>
    <cellStyle name="Comma 8 2 3 3 2 4 2" xfId="13109"/>
    <cellStyle name="Comma 8 2 3 3 2 4 2 2" xfId="19648"/>
    <cellStyle name="Comma 8 2 3 3 2 4 3" xfId="16796"/>
    <cellStyle name="Comma 8 2 3 3 2 5" xfId="3439"/>
    <cellStyle name="Comma 8 2 3 3 2 5 2" xfId="11396"/>
    <cellStyle name="Comma 8 2 3 3 2 5 2 2" xfId="17935"/>
    <cellStyle name="Comma 8 2 3 3 2 5 3" xfId="15083"/>
    <cellStyle name="Comma 8 2 3 3 2 6" xfId="2862"/>
    <cellStyle name="Comma 8 2 3 3 2 6 2" xfId="14510"/>
    <cellStyle name="Comma 8 2 3 3 2 7" xfId="10823"/>
    <cellStyle name="Comma 8 2 3 3 2 7 2" xfId="17362"/>
    <cellStyle name="Comma 8 2 3 3 2 8" xfId="13943"/>
    <cellStyle name="Comma 8 2 3 3 3" xfId="4490"/>
    <cellStyle name="Comma 8 2 3 3 3 2" xfId="11682"/>
    <cellStyle name="Comma 8 2 3 3 3 2 2" xfId="18221"/>
    <cellStyle name="Comma 8 2 3 3 3 3" xfId="15369"/>
    <cellStyle name="Comma 8 2 3 3 4" xfId="6762"/>
    <cellStyle name="Comma 8 2 3 3 4 2" xfId="12253"/>
    <cellStyle name="Comma 8 2 3 3 4 2 2" xfId="18792"/>
    <cellStyle name="Comma 8 2 3 3 4 3" xfId="15940"/>
    <cellStyle name="Comma 8 2 3 3 5" xfId="9034"/>
    <cellStyle name="Comma 8 2 3 3 5 2" xfId="12824"/>
    <cellStyle name="Comma 8 2 3 3 5 2 2" xfId="19363"/>
    <cellStyle name="Comma 8 2 3 3 5 3" xfId="16511"/>
    <cellStyle name="Comma 8 2 3 3 6" xfId="3154"/>
    <cellStyle name="Comma 8 2 3 3 6 2" xfId="11111"/>
    <cellStyle name="Comma 8 2 3 3 6 2 2" xfId="17650"/>
    <cellStyle name="Comma 8 2 3 3 6 3" xfId="14798"/>
    <cellStyle name="Comma 8 2 3 3 7" xfId="2582"/>
    <cellStyle name="Comma 8 2 3 3 7 2" xfId="14230"/>
    <cellStyle name="Comma 8 2 3 3 8" xfId="10543"/>
    <cellStyle name="Comma 8 2 3 3 8 2" xfId="17082"/>
    <cellStyle name="Comma 8 2 3 3 9" xfId="13658"/>
    <cellStyle name="Comma 8 2 3 4" xfId="616"/>
    <cellStyle name="Comma 8 2 3 4 2" xfId="1751"/>
    <cellStyle name="Comma 8 2 3 4 2 2" xfId="5171"/>
    <cellStyle name="Comma 8 2 3 4 2 2 2" xfId="11853"/>
    <cellStyle name="Comma 8 2 3 4 2 2 2 2" xfId="18392"/>
    <cellStyle name="Comma 8 2 3 4 2 2 3" xfId="15540"/>
    <cellStyle name="Comma 8 2 3 4 2 3" xfId="7443"/>
    <cellStyle name="Comma 8 2 3 4 2 3 2" xfId="12424"/>
    <cellStyle name="Comma 8 2 3 4 2 3 2 2" xfId="18963"/>
    <cellStyle name="Comma 8 2 3 4 2 3 3" xfId="16111"/>
    <cellStyle name="Comma 8 2 3 4 2 4" xfId="9715"/>
    <cellStyle name="Comma 8 2 3 4 2 4 2" xfId="12995"/>
    <cellStyle name="Comma 8 2 3 4 2 4 2 2" xfId="19534"/>
    <cellStyle name="Comma 8 2 3 4 2 4 3" xfId="16682"/>
    <cellStyle name="Comma 8 2 3 4 2 5" xfId="3325"/>
    <cellStyle name="Comma 8 2 3 4 2 5 2" xfId="11282"/>
    <cellStyle name="Comma 8 2 3 4 2 5 2 2" xfId="17821"/>
    <cellStyle name="Comma 8 2 3 4 2 5 3" xfId="14969"/>
    <cellStyle name="Comma 8 2 3 4 2 6" xfId="2750"/>
    <cellStyle name="Comma 8 2 3 4 2 6 2" xfId="14398"/>
    <cellStyle name="Comma 8 2 3 4 2 7" xfId="10711"/>
    <cellStyle name="Comma 8 2 3 4 2 7 2" xfId="17250"/>
    <cellStyle name="Comma 8 2 3 4 2 8" xfId="13829"/>
    <cellStyle name="Comma 8 2 3 4 3" xfId="4036"/>
    <cellStyle name="Comma 8 2 3 4 3 2" xfId="11568"/>
    <cellStyle name="Comma 8 2 3 4 3 2 2" xfId="18107"/>
    <cellStyle name="Comma 8 2 3 4 3 3" xfId="15255"/>
    <cellStyle name="Comma 8 2 3 4 4" xfId="6308"/>
    <cellStyle name="Comma 8 2 3 4 4 2" xfId="12139"/>
    <cellStyle name="Comma 8 2 3 4 4 2 2" xfId="18678"/>
    <cellStyle name="Comma 8 2 3 4 4 3" xfId="15826"/>
    <cellStyle name="Comma 8 2 3 4 5" xfId="8580"/>
    <cellStyle name="Comma 8 2 3 4 5 2" xfId="12710"/>
    <cellStyle name="Comma 8 2 3 4 5 2 2" xfId="19249"/>
    <cellStyle name="Comma 8 2 3 4 5 3" xfId="16397"/>
    <cellStyle name="Comma 8 2 3 4 6" xfId="3040"/>
    <cellStyle name="Comma 8 2 3 4 6 2" xfId="10997"/>
    <cellStyle name="Comma 8 2 3 4 6 2 2" xfId="17536"/>
    <cellStyle name="Comma 8 2 3 4 6 3" xfId="14684"/>
    <cellStyle name="Comma 8 2 3 4 7" xfId="2470"/>
    <cellStyle name="Comma 8 2 3 4 7 2" xfId="14118"/>
    <cellStyle name="Comma 8 2 3 4 8" xfId="10431"/>
    <cellStyle name="Comma 8 2 3 4 8 2" xfId="16970"/>
    <cellStyle name="Comma 8 2 3 4 9" xfId="13544"/>
    <cellStyle name="Comma 8 2 3 5" xfId="1297"/>
    <cellStyle name="Comma 8 2 3 5 2" xfId="4717"/>
    <cellStyle name="Comma 8 2 3 5 2 2" xfId="11739"/>
    <cellStyle name="Comma 8 2 3 5 2 2 2" xfId="18278"/>
    <cellStyle name="Comma 8 2 3 5 2 3" xfId="15426"/>
    <cellStyle name="Comma 8 2 3 5 3" xfId="6989"/>
    <cellStyle name="Comma 8 2 3 5 3 2" xfId="12310"/>
    <cellStyle name="Comma 8 2 3 5 3 2 2" xfId="18849"/>
    <cellStyle name="Comma 8 2 3 5 3 3" xfId="15997"/>
    <cellStyle name="Comma 8 2 3 5 4" xfId="9261"/>
    <cellStyle name="Comma 8 2 3 5 4 2" xfId="12881"/>
    <cellStyle name="Comma 8 2 3 5 4 2 2" xfId="19420"/>
    <cellStyle name="Comma 8 2 3 5 4 3" xfId="16568"/>
    <cellStyle name="Comma 8 2 3 5 5" xfId="3211"/>
    <cellStyle name="Comma 8 2 3 5 5 2" xfId="11168"/>
    <cellStyle name="Comma 8 2 3 5 5 2 2" xfId="17707"/>
    <cellStyle name="Comma 8 2 3 5 5 3" xfId="14855"/>
    <cellStyle name="Comma 8 2 3 5 6" xfId="2638"/>
    <cellStyle name="Comma 8 2 3 5 6 2" xfId="14286"/>
    <cellStyle name="Comma 8 2 3 5 7" xfId="10599"/>
    <cellStyle name="Comma 8 2 3 5 7 2" xfId="17138"/>
    <cellStyle name="Comma 8 2 3 5 8" xfId="13715"/>
    <cellStyle name="Comma 8 2 3 6" xfId="3582"/>
    <cellStyle name="Comma 8 2 3 6 2" xfId="11454"/>
    <cellStyle name="Comma 8 2 3 6 2 2" xfId="17993"/>
    <cellStyle name="Comma 8 2 3 6 3" xfId="15141"/>
    <cellStyle name="Comma 8 2 3 7" xfId="5854"/>
    <cellStyle name="Comma 8 2 3 7 2" xfId="12025"/>
    <cellStyle name="Comma 8 2 3 7 2 2" xfId="18564"/>
    <cellStyle name="Comma 8 2 3 7 3" xfId="15712"/>
    <cellStyle name="Comma 8 2 3 8" xfId="8126"/>
    <cellStyle name="Comma 8 2 3 8 2" xfId="12596"/>
    <cellStyle name="Comma 8 2 3 8 2 2" xfId="19135"/>
    <cellStyle name="Comma 8 2 3 8 3" xfId="16283"/>
    <cellStyle name="Comma 8 2 3 9" xfId="2923"/>
    <cellStyle name="Comma 8 2 3 9 2" xfId="10882"/>
    <cellStyle name="Comma 8 2 3 9 2 2" xfId="17421"/>
    <cellStyle name="Comma 8 2 3 9 3" xfId="14569"/>
    <cellStyle name="Comma 8 2 4" xfId="277"/>
    <cellStyle name="Comma 8 2 4 10" xfId="2386"/>
    <cellStyle name="Comma 8 2 4 10 2" xfId="14034"/>
    <cellStyle name="Comma 8 2 4 11" xfId="10347"/>
    <cellStyle name="Comma 8 2 4 11 2" xfId="16886"/>
    <cellStyle name="Comma 8 2 4 12" xfId="13459"/>
    <cellStyle name="Comma 8 2 4 2" xfId="504"/>
    <cellStyle name="Comma 8 2 4 2 10" xfId="13516"/>
    <cellStyle name="Comma 8 2 4 2 2" xfId="958"/>
    <cellStyle name="Comma 8 2 4 2 2 2" xfId="2093"/>
    <cellStyle name="Comma 8 2 4 2 2 2 2" xfId="5513"/>
    <cellStyle name="Comma 8 2 4 2 2 2 2 2" xfId="11939"/>
    <cellStyle name="Comma 8 2 4 2 2 2 2 2 2" xfId="18478"/>
    <cellStyle name="Comma 8 2 4 2 2 2 2 3" xfId="15626"/>
    <cellStyle name="Comma 8 2 4 2 2 2 3" xfId="7785"/>
    <cellStyle name="Comma 8 2 4 2 2 2 3 2" xfId="12510"/>
    <cellStyle name="Comma 8 2 4 2 2 2 3 2 2" xfId="19049"/>
    <cellStyle name="Comma 8 2 4 2 2 2 3 3" xfId="16197"/>
    <cellStyle name="Comma 8 2 4 2 2 2 4" xfId="10057"/>
    <cellStyle name="Comma 8 2 4 2 2 2 4 2" xfId="13081"/>
    <cellStyle name="Comma 8 2 4 2 2 2 4 2 2" xfId="19620"/>
    <cellStyle name="Comma 8 2 4 2 2 2 4 3" xfId="16768"/>
    <cellStyle name="Comma 8 2 4 2 2 2 5" xfId="3411"/>
    <cellStyle name="Comma 8 2 4 2 2 2 5 2" xfId="11368"/>
    <cellStyle name="Comma 8 2 4 2 2 2 5 2 2" xfId="17907"/>
    <cellStyle name="Comma 8 2 4 2 2 2 5 3" xfId="15055"/>
    <cellStyle name="Comma 8 2 4 2 2 2 6" xfId="2834"/>
    <cellStyle name="Comma 8 2 4 2 2 2 6 2" xfId="14482"/>
    <cellStyle name="Comma 8 2 4 2 2 2 7" xfId="10795"/>
    <cellStyle name="Comma 8 2 4 2 2 2 7 2" xfId="17334"/>
    <cellStyle name="Comma 8 2 4 2 2 2 8" xfId="13915"/>
    <cellStyle name="Comma 8 2 4 2 2 3" xfId="4378"/>
    <cellStyle name="Comma 8 2 4 2 2 3 2" xfId="11654"/>
    <cellStyle name="Comma 8 2 4 2 2 3 2 2" xfId="18193"/>
    <cellStyle name="Comma 8 2 4 2 2 3 3" xfId="15341"/>
    <cellStyle name="Comma 8 2 4 2 2 4" xfId="6650"/>
    <cellStyle name="Comma 8 2 4 2 2 4 2" xfId="12225"/>
    <cellStyle name="Comma 8 2 4 2 2 4 2 2" xfId="18764"/>
    <cellStyle name="Comma 8 2 4 2 2 4 3" xfId="15912"/>
    <cellStyle name="Comma 8 2 4 2 2 5" xfId="8922"/>
    <cellStyle name="Comma 8 2 4 2 2 5 2" xfId="12796"/>
    <cellStyle name="Comma 8 2 4 2 2 5 2 2" xfId="19335"/>
    <cellStyle name="Comma 8 2 4 2 2 5 3" xfId="16483"/>
    <cellStyle name="Comma 8 2 4 2 2 6" xfId="3126"/>
    <cellStyle name="Comma 8 2 4 2 2 6 2" xfId="11083"/>
    <cellStyle name="Comma 8 2 4 2 2 6 2 2" xfId="17622"/>
    <cellStyle name="Comma 8 2 4 2 2 6 3" xfId="14770"/>
    <cellStyle name="Comma 8 2 4 2 2 7" xfId="2554"/>
    <cellStyle name="Comma 8 2 4 2 2 7 2" xfId="14202"/>
    <cellStyle name="Comma 8 2 4 2 2 8" xfId="10515"/>
    <cellStyle name="Comma 8 2 4 2 2 8 2" xfId="17054"/>
    <cellStyle name="Comma 8 2 4 2 2 9" xfId="13630"/>
    <cellStyle name="Comma 8 2 4 2 3" xfId="1639"/>
    <cellStyle name="Comma 8 2 4 2 3 2" xfId="5059"/>
    <cellStyle name="Comma 8 2 4 2 3 2 2" xfId="11825"/>
    <cellStyle name="Comma 8 2 4 2 3 2 2 2" xfId="18364"/>
    <cellStyle name="Comma 8 2 4 2 3 2 3" xfId="15512"/>
    <cellStyle name="Comma 8 2 4 2 3 3" xfId="7331"/>
    <cellStyle name="Comma 8 2 4 2 3 3 2" xfId="12396"/>
    <cellStyle name="Comma 8 2 4 2 3 3 2 2" xfId="18935"/>
    <cellStyle name="Comma 8 2 4 2 3 3 3" xfId="16083"/>
    <cellStyle name="Comma 8 2 4 2 3 4" xfId="9603"/>
    <cellStyle name="Comma 8 2 4 2 3 4 2" xfId="12967"/>
    <cellStyle name="Comma 8 2 4 2 3 4 2 2" xfId="19506"/>
    <cellStyle name="Comma 8 2 4 2 3 4 3" xfId="16654"/>
    <cellStyle name="Comma 8 2 4 2 3 5" xfId="3297"/>
    <cellStyle name="Comma 8 2 4 2 3 5 2" xfId="11254"/>
    <cellStyle name="Comma 8 2 4 2 3 5 2 2" xfId="17793"/>
    <cellStyle name="Comma 8 2 4 2 3 5 3" xfId="14941"/>
    <cellStyle name="Comma 8 2 4 2 3 6" xfId="2722"/>
    <cellStyle name="Comma 8 2 4 2 3 6 2" xfId="14370"/>
    <cellStyle name="Comma 8 2 4 2 3 7" xfId="10683"/>
    <cellStyle name="Comma 8 2 4 2 3 7 2" xfId="17222"/>
    <cellStyle name="Comma 8 2 4 2 3 8" xfId="13801"/>
    <cellStyle name="Comma 8 2 4 2 4" xfId="3924"/>
    <cellStyle name="Comma 8 2 4 2 4 2" xfId="11540"/>
    <cellStyle name="Comma 8 2 4 2 4 2 2" xfId="18079"/>
    <cellStyle name="Comma 8 2 4 2 4 3" xfId="15227"/>
    <cellStyle name="Comma 8 2 4 2 5" xfId="6196"/>
    <cellStyle name="Comma 8 2 4 2 5 2" xfId="12111"/>
    <cellStyle name="Comma 8 2 4 2 5 2 2" xfId="18650"/>
    <cellStyle name="Comma 8 2 4 2 5 3" xfId="15798"/>
    <cellStyle name="Comma 8 2 4 2 6" xfId="8468"/>
    <cellStyle name="Comma 8 2 4 2 6 2" xfId="12682"/>
    <cellStyle name="Comma 8 2 4 2 6 2 2" xfId="19221"/>
    <cellStyle name="Comma 8 2 4 2 6 3" xfId="16369"/>
    <cellStyle name="Comma 8 2 4 2 7" xfId="3012"/>
    <cellStyle name="Comma 8 2 4 2 7 2" xfId="10969"/>
    <cellStyle name="Comma 8 2 4 2 7 2 2" xfId="17508"/>
    <cellStyle name="Comma 8 2 4 2 7 3" xfId="14656"/>
    <cellStyle name="Comma 8 2 4 2 8" xfId="2442"/>
    <cellStyle name="Comma 8 2 4 2 8 2" xfId="14090"/>
    <cellStyle name="Comma 8 2 4 2 9" xfId="10403"/>
    <cellStyle name="Comma 8 2 4 2 9 2" xfId="16942"/>
    <cellStyle name="Comma 8 2 4 3" xfId="1185"/>
    <cellStyle name="Comma 8 2 4 3 2" xfId="2320"/>
    <cellStyle name="Comma 8 2 4 3 2 2" xfId="5740"/>
    <cellStyle name="Comma 8 2 4 3 2 2 2" xfId="11996"/>
    <cellStyle name="Comma 8 2 4 3 2 2 2 2" xfId="18535"/>
    <cellStyle name="Comma 8 2 4 3 2 2 3" xfId="15683"/>
    <cellStyle name="Comma 8 2 4 3 2 3" xfId="8012"/>
    <cellStyle name="Comma 8 2 4 3 2 3 2" xfId="12567"/>
    <cellStyle name="Comma 8 2 4 3 2 3 2 2" xfId="19106"/>
    <cellStyle name="Comma 8 2 4 3 2 3 3" xfId="16254"/>
    <cellStyle name="Comma 8 2 4 3 2 4" xfId="10284"/>
    <cellStyle name="Comma 8 2 4 3 2 4 2" xfId="13138"/>
    <cellStyle name="Comma 8 2 4 3 2 4 2 2" xfId="19677"/>
    <cellStyle name="Comma 8 2 4 3 2 4 3" xfId="16825"/>
    <cellStyle name="Comma 8 2 4 3 2 5" xfId="3468"/>
    <cellStyle name="Comma 8 2 4 3 2 5 2" xfId="11425"/>
    <cellStyle name="Comma 8 2 4 3 2 5 2 2" xfId="17964"/>
    <cellStyle name="Comma 8 2 4 3 2 5 3" xfId="15112"/>
    <cellStyle name="Comma 8 2 4 3 2 6" xfId="2890"/>
    <cellStyle name="Comma 8 2 4 3 2 6 2" xfId="14538"/>
    <cellStyle name="Comma 8 2 4 3 2 7" xfId="10851"/>
    <cellStyle name="Comma 8 2 4 3 2 7 2" xfId="17390"/>
    <cellStyle name="Comma 8 2 4 3 2 8" xfId="13972"/>
    <cellStyle name="Comma 8 2 4 3 3" xfId="4605"/>
    <cellStyle name="Comma 8 2 4 3 3 2" xfId="11711"/>
    <cellStyle name="Comma 8 2 4 3 3 2 2" xfId="18250"/>
    <cellStyle name="Comma 8 2 4 3 3 3" xfId="15398"/>
    <cellStyle name="Comma 8 2 4 3 4" xfId="6877"/>
    <cellStyle name="Comma 8 2 4 3 4 2" xfId="12282"/>
    <cellStyle name="Comma 8 2 4 3 4 2 2" xfId="18821"/>
    <cellStyle name="Comma 8 2 4 3 4 3" xfId="15969"/>
    <cellStyle name="Comma 8 2 4 3 5" xfId="9149"/>
    <cellStyle name="Comma 8 2 4 3 5 2" xfId="12853"/>
    <cellStyle name="Comma 8 2 4 3 5 2 2" xfId="19392"/>
    <cellStyle name="Comma 8 2 4 3 5 3" xfId="16540"/>
    <cellStyle name="Comma 8 2 4 3 6" xfId="3183"/>
    <cellStyle name="Comma 8 2 4 3 6 2" xfId="11140"/>
    <cellStyle name="Comma 8 2 4 3 6 2 2" xfId="17679"/>
    <cellStyle name="Comma 8 2 4 3 6 3" xfId="14827"/>
    <cellStyle name="Comma 8 2 4 3 7" xfId="2610"/>
    <cellStyle name="Comma 8 2 4 3 7 2" xfId="14258"/>
    <cellStyle name="Comma 8 2 4 3 8" xfId="10571"/>
    <cellStyle name="Comma 8 2 4 3 8 2" xfId="17110"/>
    <cellStyle name="Comma 8 2 4 3 9" xfId="13687"/>
    <cellStyle name="Comma 8 2 4 4" xfId="731"/>
    <cellStyle name="Comma 8 2 4 4 2" xfId="1866"/>
    <cellStyle name="Comma 8 2 4 4 2 2" xfId="5286"/>
    <cellStyle name="Comma 8 2 4 4 2 2 2" xfId="11882"/>
    <cellStyle name="Comma 8 2 4 4 2 2 2 2" xfId="18421"/>
    <cellStyle name="Comma 8 2 4 4 2 2 3" xfId="15569"/>
    <cellStyle name="Comma 8 2 4 4 2 3" xfId="7558"/>
    <cellStyle name="Comma 8 2 4 4 2 3 2" xfId="12453"/>
    <cellStyle name="Comma 8 2 4 4 2 3 2 2" xfId="18992"/>
    <cellStyle name="Comma 8 2 4 4 2 3 3" xfId="16140"/>
    <cellStyle name="Comma 8 2 4 4 2 4" xfId="9830"/>
    <cellStyle name="Comma 8 2 4 4 2 4 2" xfId="13024"/>
    <cellStyle name="Comma 8 2 4 4 2 4 2 2" xfId="19563"/>
    <cellStyle name="Comma 8 2 4 4 2 4 3" xfId="16711"/>
    <cellStyle name="Comma 8 2 4 4 2 5" xfId="3354"/>
    <cellStyle name="Comma 8 2 4 4 2 5 2" xfId="11311"/>
    <cellStyle name="Comma 8 2 4 4 2 5 2 2" xfId="17850"/>
    <cellStyle name="Comma 8 2 4 4 2 5 3" xfId="14998"/>
    <cellStyle name="Comma 8 2 4 4 2 6" xfId="2778"/>
    <cellStyle name="Comma 8 2 4 4 2 6 2" xfId="14426"/>
    <cellStyle name="Comma 8 2 4 4 2 7" xfId="10739"/>
    <cellStyle name="Comma 8 2 4 4 2 7 2" xfId="17278"/>
    <cellStyle name="Comma 8 2 4 4 2 8" xfId="13858"/>
    <cellStyle name="Comma 8 2 4 4 3" xfId="4151"/>
    <cellStyle name="Comma 8 2 4 4 3 2" xfId="11597"/>
    <cellStyle name="Comma 8 2 4 4 3 2 2" xfId="18136"/>
    <cellStyle name="Comma 8 2 4 4 3 3" xfId="15284"/>
    <cellStyle name="Comma 8 2 4 4 4" xfId="6423"/>
    <cellStyle name="Comma 8 2 4 4 4 2" xfId="12168"/>
    <cellStyle name="Comma 8 2 4 4 4 2 2" xfId="18707"/>
    <cellStyle name="Comma 8 2 4 4 4 3" xfId="15855"/>
    <cellStyle name="Comma 8 2 4 4 5" xfId="8695"/>
    <cellStyle name="Comma 8 2 4 4 5 2" xfId="12739"/>
    <cellStyle name="Comma 8 2 4 4 5 2 2" xfId="19278"/>
    <cellStyle name="Comma 8 2 4 4 5 3" xfId="16426"/>
    <cellStyle name="Comma 8 2 4 4 6" xfId="3069"/>
    <cellStyle name="Comma 8 2 4 4 6 2" xfId="11026"/>
    <cellStyle name="Comma 8 2 4 4 6 2 2" xfId="17565"/>
    <cellStyle name="Comma 8 2 4 4 6 3" xfId="14713"/>
    <cellStyle name="Comma 8 2 4 4 7" xfId="2498"/>
    <cellStyle name="Comma 8 2 4 4 7 2" xfId="14146"/>
    <cellStyle name="Comma 8 2 4 4 8" xfId="10459"/>
    <cellStyle name="Comma 8 2 4 4 8 2" xfId="16998"/>
    <cellStyle name="Comma 8 2 4 4 9" xfId="13573"/>
    <cellStyle name="Comma 8 2 4 5" xfId="1412"/>
    <cellStyle name="Comma 8 2 4 5 2" xfId="4832"/>
    <cellStyle name="Comma 8 2 4 5 2 2" xfId="11768"/>
    <cellStyle name="Comma 8 2 4 5 2 2 2" xfId="18307"/>
    <cellStyle name="Comma 8 2 4 5 2 3" xfId="15455"/>
    <cellStyle name="Comma 8 2 4 5 3" xfId="7104"/>
    <cellStyle name="Comma 8 2 4 5 3 2" xfId="12339"/>
    <cellStyle name="Comma 8 2 4 5 3 2 2" xfId="18878"/>
    <cellStyle name="Comma 8 2 4 5 3 3" xfId="16026"/>
    <cellStyle name="Comma 8 2 4 5 4" xfId="9376"/>
    <cellStyle name="Comma 8 2 4 5 4 2" xfId="12910"/>
    <cellStyle name="Comma 8 2 4 5 4 2 2" xfId="19449"/>
    <cellStyle name="Comma 8 2 4 5 4 3" xfId="16597"/>
    <cellStyle name="Comma 8 2 4 5 5" xfId="3240"/>
    <cellStyle name="Comma 8 2 4 5 5 2" xfId="11197"/>
    <cellStyle name="Comma 8 2 4 5 5 2 2" xfId="17736"/>
    <cellStyle name="Comma 8 2 4 5 5 3" xfId="14884"/>
    <cellStyle name="Comma 8 2 4 5 6" xfId="2666"/>
    <cellStyle name="Comma 8 2 4 5 6 2" xfId="14314"/>
    <cellStyle name="Comma 8 2 4 5 7" xfId="10627"/>
    <cellStyle name="Comma 8 2 4 5 7 2" xfId="17166"/>
    <cellStyle name="Comma 8 2 4 5 8" xfId="13744"/>
    <cellStyle name="Comma 8 2 4 6" xfId="3697"/>
    <cellStyle name="Comma 8 2 4 6 2" xfId="11483"/>
    <cellStyle name="Comma 8 2 4 6 2 2" xfId="18022"/>
    <cellStyle name="Comma 8 2 4 6 3" xfId="15170"/>
    <cellStyle name="Comma 8 2 4 7" xfId="5969"/>
    <cellStyle name="Comma 8 2 4 7 2" xfId="12054"/>
    <cellStyle name="Comma 8 2 4 7 2 2" xfId="18593"/>
    <cellStyle name="Comma 8 2 4 7 3" xfId="15741"/>
    <cellStyle name="Comma 8 2 4 8" xfId="8241"/>
    <cellStyle name="Comma 8 2 4 8 2" xfId="12625"/>
    <cellStyle name="Comma 8 2 4 8 2 2" xfId="19164"/>
    <cellStyle name="Comma 8 2 4 8 3" xfId="16312"/>
    <cellStyle name="Comma 8 2 4 9" xfId="2955"/>
    <cellStyle name="Comma 8 2 4 9 2" xfId="10912"/>
    <cellStyle name="Comma 8 2 4 9 2 2" xfId="17451"/>
    <cellStyle name="Comma 8 2 4 9 3" xfId="14599"/>
    <cellStyle name="Comma 8 2 5" xfId="333"/>
    <cellStyle name="Comma 8 2 5 10" xfId="13473"/>
    <cellStyle name="Comma 8 2 5 2" xfId="787"/>
    <cellStyle name="Comma 8 2 5 2 2" xfId="1922"/>
    <cellStyle name="Comma 8 2 5 2 2 2" xfId="5342"/>
    <cellStyle name="Comma 8 2 5 2 2 2 2" xfId="11896"/>
    <cellStyle name="Comma 8 2 5 2 2 2 2 2" xfId="18435"/>
    <cellStyle name="Comma 8 2 5 2 2 2 3" xfId="15583"/>
    <cellStyle name="Comma 8 2 5 2 2 3" xfId="7614"/>
    <cellStyle name="Comma 8 2 5 2 2 3 2" xfId="12467"/>
    <cellStyle name="Comma 8 2 5 2 2 3 2 2" xfId="19006"/>
    <cellStyle name="Comma 8 2 5 2 2 3 3" xfId="16154"/>
    <cellStyle name="Comma 8 2 5 2 2 4" xfId="9886"/>
    <cellStyle name="Comma 8 2 5 2 2 4 2" xfId="13038"/>
    <cellStyle name="Comma 8 2 5 2 2 4 2 2" xfId="19577"/>
    <cellStyle name="Comma 8 2 5 2 2 4 3" xfId="16725"/>
    <cellStyle name="Comma 8 2 5 2 2 5" xfId="3368"/>
    <cellStyle name="Comma 8 2 5 2 2 5 2" xfId="11325"/>
    <cellStyle name="Comma 8 2 5 2 2 5 2 2" xfId="17864"/>
    <cellStyle name="Comma 8 2 5 2 2 5 3" xfId="15012"/>
    <cellStyle name="Comma 8 2 5 2 2 6" xfId="2792"/>
    <cellStyle name="Comma 8 2 5 2 2 6 2" xfId="14440"/>
    <cellStyle name="Comma 8 2 5 2 2 7" xfId="10753"/>
    <cellStyle name="Comma 8 2 5 2 2 7 2" xfId="17292"/>
    <cellStyle name="Comma 8 2 5 2 2 8" xfId="13872"/>
    <cellStyle name="Comma 8 2 5 2 3" xfId="4207"/>
    <cellStyle name="Comma 8 2 5 2 3 2" xfId="11611"/>
    <cellStyle name="Comma 8 2 5 2 3 2 2" xfId="18150"/>
    <cellStyle name="Comma 8 2 5 2 3 3" xfId="15298"/>
    <cellStyle name="Comma 8 2 5 2 4" xfId="6479"/>
    <cellStyle name="Comma 8 2 5 2 4 2" xfId="12182"/>
    <cellStyle name="Comma 8 2 5 2 4 2 2" xfId="18721"/>
    <cellStyle name="Comma 8 2 5 2 4 3" xfId="15869"/>
    <cellStyle name="Comma 8 2 5 2 5" xfId="8751"/>
    <cellStyle name="Comma 8 2 5 2 5 2" xfId="12753"/>
    <cellStyle name="Comma 8 2 5 2 5 2 2" xfId="19292"/>
    <cellStyle name="Comma 8 2 5 2 5 3" xfId="16440"/>
    <cellStyle name="Comma 8 2 5 2 6" xfId="3083"/>
    <cellStyle name="Comma 8 2 5 2 6 2" xfId="11040"/>
    <cellStyle name="Comma 8 2 5 2 6 2 2" xfId="17579"/>
    <cellStyle name="Comma 8 2 5 2 6 3" xfId="14727"/>
    <cellStyle name="Comma 8 2 5 2 7" xfId="2512"/>
    <cellStyle name="Comma 8 2 5 2 7 2" xfId="14160"/>
    <cellStyle name="Comma 8 2 5 2 8" xfId="10473"/>
    <cellStyle name="Comma 8 2 5 2 8 2" xfId="17012"/>
    <cellStyle name="Comma 8 2 5 2 9" xfId="13587"/>
    <cellStyle name="Comma 8 2 5 3" xfId="1468"/>
    <cellStyle name="Comma 8 2 5 3 2" xfId="4888"/>
    <cellStyle name="Comma 8 2 5 3 2 2" xfId="11782"/>
    <cellStyle name="Comma 8 2 5 3 2 2 2" xfId="18321"/>
    <cellStyle name="Comma 8 2 5 3 2 3" xfId="15469"/>
    <cellStyle name="Comma 8 2 5 3 3" xfId="7160"/>
    <cellStyle name="Comma 8 2 5 3 3 2" xfId="12353"/>
    <cellStyle name="Comma 8 2 5 3 3 2 2" xfId="18892"/>
    <cellStyle name="Comma 8 2 5 3 3 3" xfId="16040"/>
    <cellStyle name="Comma 8 2 5 3 4" xfId="9432"/>
    <cellStyle name="Comma 8 2 5 3 4 2" xfId="12924"/>
    <cellStyle name="Comma 8 2 5 3 4 2 2" xfId="19463"/>
    <cellStyle name="Comma 8 2 5 3 4 3" xfId="16611"/>
    <cellStyle name="Comma 8 2 5 3 5" xfId="3254"/>
    <cellStyle name="Comma 8 2 5 3 5 2" xfId="11211"/>
    <cellStyle name="Comma 8 2 5 3 5 2 2" xfId="17750"/>
    <cellStyle name="Comma 8 2 5 3 5 3" xfId="14898"/>
    <cellStyle name="Comma 8 2 5 3 6" xfId="2680"/>
    <cellStyle name="Comma 8 2 5 3 6 2" xfId="14328"/>
    <cellStyle name="Comma 8 2 5 3 7" xfId="10641"/>
    <cellStyle name="Comma 8 2 5 3 7 2" xfId="17180"/>
    <cellStyle name="Comma 8 2 5 3 8" xfId="13758"/>
    <cellStyle name="Comma 8 2 5 4" xfId="3753"/>
    <cellStyle name="Comma 8 2 5 4 2" xfId="11497"/>
    <cellStyle name="Comma 8 2 5 4 2 2" xfId="18036"/>
    <cellStyle name="Comma 8 2 5 4 3" xfId="15184"/>
    <cellStyle name="Comma 8 2 5 5" xfId="6025"/>
    <cellStyle name="Comma 8 2 5 5 2" xfId="12068"/>
    <cellStyle name="Comma 8 2 5 5 2 2" xfId="18607"/>
    <cellStyle name="Comma 8 2 5 5 3" xfId="15755"/>
    <cellStyle name="Comma 8 2 5 6" xfId="8297"/>
    <cellStyle name="Comma 8 2 5 6 2" xfId="12639"/>
    <cellStyle name="Comma 8 2 5 6 2 2" xfId="19178"/>
    <cellStyle name="Comma 8 2 5 6 3" xfId="16326"/>
    <cellStyle name="Comma 8 2 5 7" xfId="2969"/>
    <cellStyle name="Comma 8 2 5 7 2" xfId="10926"/>
    <cellStyle name="Comma 8 2 5 7 2 2" xfId="17465"/>
    <cellStyle name="Comma 8 2 5 7 3" xfId="14613"/>
    <cellStyle name="Comma 8 2 5 8" xfId="2400"/>
    <cellStyle name="Comma 8 2 5 8 2" xfId="14048"/>
    <cellStyle name="Comma 8 2 5 9" xfId="10361"/>
    <cellStyle name="Comma 8 2 5 9 2" xfId="16900"/>
    <cellStyle name="Comma 8 2 6" xfId="1014"/>
    <cellStyle name="Comma 8 2 6 2" xfId="2149"/>
    <cellStyle name="Comma 8 2 6 2 2" xfId="5569"/>
    <cellStyle name="Comma 8 2 6 2 2 2" xfId="11953"/>
    <cellStyle name="Comma 8 2 6 2 2 2 2" xfId="18492"/>
    <cellStyle name="Comma 8 2 6 2 2 3" xfId="15640"/>
    <cellStyle name="Comma 8 2 6 2 3" xfId="7841"/>
    <cellStyle name="Comma 8 2 6 2 3 2" xfId="12524"/>
    <cellStyle name="Comma 8 2 6 2 3 2 2" xfId="19063"/>
    <cellStyle name="Comma 8 2 6 2 3 3" xfId="16211"/>
    <cellStyle name="Comma 8 2 6 2 4" xfId="10113"/>
    <cellStyle name="Comma 8 2 6 2 4 2" xfId="13095"/>
    <cellStyle name="Comma 8 2 6 2 4 2 2" xfId="19634"/>
    <cellStyle name="Comma 8 2 6 2 4 3" xfId="16782"/>
    <cellStyle name="Comma 8 2 6 2 5" xfId="3425"/>
    <cellStyle name="Comma 8 2 6 2 5 2" xfId="11382"/>
    <cellStyle name="Comma 8 2 6 2 5 2 2" xfId="17921"/>
    <cellStyle name="Comma 8 2 6 2 5 3" xfId="15069"/>
    <cellStyle name="Comma 8 2 6 2 6" xfId="2848"/>
    <cellStyle name="Comma 8 2 6 2 6 2" xfId="14496"/>
    <cellStyle name="Comma 8 2 6 2 7" xfId="10809"/>
    <cellStyle name="Comma 8 2 6 2 7 2" xfId="17348"/>
    <cellStyle name="Comma 8 2 6 2 8" xfId="13929"/>
    <cellStyle name="Comma 8 2 6 3" xfId="4434"/>
    <cellStyle name="Comma 8 2 6 3 2" xfId="11668"/>
    <cellStyle name="Comma 8 2 6 3 2 2" xfId="18207"/>
    <cellStyle name="Comma 8 2 6 3 3" xfId="15355"/>
    <cellStyle name="Comma 8 2 6 4" xfId="6706"/>
    <cellStyle name="Comma 8 2 6 4 2" xfId="12239"/>
    <cellStyle name="Comma 8 2 6 4 2 2" xfId="18778"/>
    <cellStyle name="Comma 8 2 6 4 3" xfId="15926"/>
    <cellStyle name="Comma 8 2 6 5" xfId="8978"/>
    <cellStyle name="Comma 8 2 6 5 2" xfId="12810"/>
    <cellStyle name="Comma 8 2 6 5 2 2" xfId="19349"/>
    <cellStyle name="Comma 8 2 6 5 3" xfId="16497"/>
    <cellStyle name="Comma 8 2 6 6" xfId="3140"/>
    <cellStyle name="Comma 8 2 6 6 2" xfId="11097"/>
    <cellStyle name="Comma 8 2 6 6 2 2" xfId="17636"/>
    <cellStyle name="Comma 8 2 6 6 3" xfId="14784"/>
    <cellStyle name="Comma 8 2 6 7" xfId="2568"/>
    <cellStyle name="Comma 8 2 6 7 2" xfId="14216"/>
    <cellStyle name="Comma 8 2 6 8" xfId="10529"/>
    <cellStyle name="Comma 8 2 6 8 2" xfId="17068"/>
    <cellStyle name="Comma 8 2 6 9" xfId="13644"/>
    <cellStyle name="Comma 8 2 7" xfId="560"/>
    <cellStyle name="Comma 8 2 7 2" xfId="1695"/>
    <cellStyle name="Comma 8 2 7 2 2" xfId="5115"/>
    <cellStyle name="Comma 8 2 7 2 2 2" xfId="11839"/>
    <cellStyle name="Comma 8 2 7 2 2 2 2" xfId="18378"/>
    <cellStyle name="Comma 8 2 7 2 2 3" xfId="15526"/>
    <cellStyle name="Comma 8 2 7 2 3" xfId="7387"/>
    <cellStyle name="Comma 8 2 7 2 3 2" xfId="12410"/>
    <cellStyle name="Comma 8 2 7 2 3 2 2" xfId="18949"/>
    <cellStyle name="Comma 8 2 7 2 3 3" xfId="16097"/>
    <cellStyle name="Comma 8 2 7 2 4" xfId="9659"/>
    <cellStyle name="Comma 8 2 7 2 4 2" xfId="12981"/>
    <cellStyle name="Comma 8 2 7 2 4 2 2" xfId="19520"/>
    <cellStyle name="Comma 8 2 7 2 4 3" xfId="16668"/>
    <cellStyle name="Comma 8 2 7 2 5" xfId="3311"/>
    <cellStyle name="Comma 8 2 7 2 5 2" xfId="11268"/>
    <cellStyle name="Comma 8 2 7 2 5 2 2" xfId="17807"/>
    <cellStyle name="Comma 8 2 7 2 5 3" xfId="14955"/>
    <cellStyle name="Comma 8 2 7 2 6" xfId="2736"/>
    <cellStyle name="Comma 8 2 7 2 6 2" xfId="14384"/>
    <cellStyle name="Comma 8 2 7 2 7" xfId="10697"/>
    <cellStyle name="Comma 8 2 7 2 7 2" xfId="17236"/>
    <cellStyle name="Comma 8 2 7 2 8" xfId="13815"/>
    <cellStyle name="Comma 8 2 7 3" xfId="3980"/>
    <cellStyle name="Comma 8 2 7 3 2" xfId="11554"/>
    <cellStyle name="Comma 8 2 7 3 2 2" xfId="18093"/>
    <cellStyle name="Comma 8 2 7 3 3" xfId="15241"/>
    <cellStyle name="Comma 8 2 7 4" xfId="6252"/>
    <cellStyle name="Comma 8 2 7 4 2" xfId="12125"/>
    <cellStyle name="Comma 8 2 7 4 2 2" xfId="18664"/>
    <cellStyle name="Comma 8 2 7 4 3" xfId="15812"/>
    <cellStyle name="Comma 8 2 7 5" xfId="8524"/>
    <cellStyle name="Comma 8 2 7 5 2" xfId="12696"/>
    <cellStyle name="Comma 8 2 7 5 2 2" xfId="19235"/>
    <cellStyle name="Comma 8 2 7 5 3" xfId="16383"/>
    <cellStyle name="Comma 8 2 7 6" xfId="3026"/>
    <cellStyle name="Comma 8 2 7 6 2" xfId="10983"/>
    <cellStyle name="Comma 8 2 7 6 2 2" xfId="17522"/>
    <cellStyle name="Comma 8 2 7 6 3" xfId="14670"/>
    <cellStyle name="Comma 8 2 7 7" xfId="2456"/>
    <cellStyle name="Comma 8 2 7 7 2" xfId="14104"/>
    <cellStyle name="Comma 8 2 7 8" xfId="10417"/>
    <cellStyle name="Comma 8 2 7 8 2" xfId="16956"/>
    <cellStyle name="Comma 8 2 7 9" xfId="13530"/>
    <cellStyle name="Comma 8 2 8" xfId="1241"/>
    <cellStyle name="Comma 8 2 8 2" xfId="4661"/>
    <cellStyle name="Comma 8 2 8 2 2" xfId="11725"/>
    <cellStyle name="Comma 8 2 8 2 2 2" xfId="18264"/>
    <cellStyle name="Comma 8 2 8 2 3" xfId="15412"/>
    <cellStyle name="Comma 8 2 8 3" xfId="6933"/>
    <cellStyle name="Comma 8 2 8 3 2" xfId="12296"/>
    <cellStyle name="Comma 8 2 8 3 2 2" xfId="18835"/>
    <cellStyle name="Comma 8 2 8 3 3" xfId="15983"/>
    <cellStyle name="Comma 8 2 8 4" xfId="9205"/>
    <cellStyle name="Comma 8 2 8 4 2" xfId="12867"/>
    <cellStyle name="Comma 8 2 8 4 2 2" xfId="19406"/>
    <cellStyle name="Comma 8 2 8 4 3" xfId="16554"/>
    <cellStyle name="Comma 8 2 8 5" xfId="3197"/>
    <cellStyle name="Comma 8 2 8 5 2" xfId="11154"/>
    <cellStyle name="Comma 8 2 8 5 2 2" xfId="17693"/>
    <cellStyle name="Comma 8 2 8 5 3" xfId="14841"/>
    <cellStyle name="Comma 8 2 8 6" xfId="2624"/>
    <cellStyle name="Comma 8 2 8 6 2" xfId="14272"/>
    <cellStyle name="Comma 8 2 8 7" xfId="10585"/>
    <cellStyle name="Comma 8 2 8 7 2" xfId="17124"/>
    <cellStyle name="Comma 8 2 8 8" xfId="13701"/>
    <cellStyle name="Comma 8 2 9" xfId="3526"/>
    <cellStyle name="Comma 8 2 9 2" xfId="11440"/>
    <cellStyle name="Comma 8 2 9 2 2" xfId="17979"/>
    <cellStyle name="Comma 8 2 9 3" xfId="15127"/>
    <cellStyle name="Comma 8 3" xfId="179"/>
    <cellStyle name="Comma 8 3 10" xfId="2364"/>
    <cellStyle name="Comma 8 3 10 2" xfId="14012"/>
    <cellStyle name="Comma 8 3 11" xfId="10325"/>
    <cellStyle name="Comma 8 3 11 2" xfId="16864"/>
    <cellStyle name="Comma 8 3 12" xfId="13436"/>
    <cellStyle name="Comma 8 3 13" xfId="20341"/>
    <cellStyle name="Comma 8 3 2" xfId="417"/>
    <cellStyle name="Comma 8 3 2 10" xfId="13494"/>
    <cellStyle name="Comma 8 3 2 2" xfId="871"/>
    <cellStyle name="Comma 8 3 2 2 2" xfId="2006"/>
    <cellStyle name="Comma 8 3 2 2 2 2" xfId="5426"/>
    <cellStyle name="Comma 8 3 2 2 2 2 2" xfId="11917"/>
    <cellStyle name="Comma 8 3 2 2 2 2 2 2" xfId="18456"/>
    <cellStyle name="Comma 8 3 2 2 2 2 3" xfId="15604"/>
    <cellStyle name="Comma 8 3 2 2 2 3" xfId="7698"/>
    <cellStyle name="Comma 8 3 2 2 2 3 2" xfId="12488"/>
    <cellStyle name="Comma 8 3 2 2 2 3 2 2" xfId="19027"/>
    <cellStyle name="Comma 8 3 2 2 2 3 3" xfId="16175"/>
    <cellStyle name="Comma 8 3 2 2 2 4" xfId="9970"/>
    <cellStyle name="Comma 8 3 2 2 2 4 2" xfId="13059"/>
    <cellStyle name="Comma 8 3 2 2 2 4 2 2" xfId="19598"/>
    <cellStyle name="Comma 8 3 2 2 2 4 3" xfId="16746"/>
    <cellStyle name="Comma 8 3 2 2 2 5" xfId="3389"/>
    <cellStyle name="Comma 8 3 2 2 2 5 2" xfId="11346"/>
    <cellStyle name="Comma 8 3 2 2 2 5 2 2" xfId="17885"/>
    <cellStyle name="Comma 8 3 2 2 2 5 3" xfId="15033"/>
    <cellStyle name="Comma 8 3 2 2 2 6" xfId="2813"/>
    <cellStyle name="Comma 8 3 2 2 2 6 2" xfId="14461"/>
    <cellStyle name="Comma 8 3 2 2 2 7" xfId="10774"/>
    <cellStyle name="Comma 8 3 2 2 2 7 2" xfId="17313"/>
    <cellStyle name="Comma 8 3 2 2 2 8" xfId="13893"/>
    <cellStyle name="Comma 8 3 2 2 3" xfId="4291"/>
    <cellStyle name="Comma 8 3 2 2 3 2" xfId="11632"/>
    <cellStyle name="Comma 8 3 2 2 3 2 2" xfId="18171"/>
    <cellStyle name="Comma 8 3 2 2 3 3" xfId="15319"/>
    <cellStyle name="Comma 8 3 2 2 4" xfId="6563"/>
    <cellStyle name="Comma 8 3 2 2 4 2" xfId="12203"/>
    <cellStyle name="Comma 8 3 2 2 4 2 2" xfId="18742"/>
    <cellStyle name="Comma 8 3 2 2 4 3" xfId="15890"/>
    <cellStyle name="Comma 8 3 2 2 5" xfId="8835"/>
    <cellStyle name="Comma 8 3 2 2 5 2" xfId="12774"/>
    <cellStyle name="Comma 8 3 2 2 5 2 2" xfId="19313"/>
    <cellStyle name="Comma 8 3 2 2 5 3" xfId="16461"/>
    <cellStyle name="Comma 8 3 2 2 6" xfId="3104"/>
    <cellStyle name="Comma 8 3 2 2 6 2" xfId="11061"/>
    <cellStyle name="Comma 8 3 2 2 6 2 2" xfId="17600"/>
    <cellStyle name="Comma 8 3 2 2 6 3" xfId="14748"/>
    <cellStyle name="Comma 8 3 2 2 7" xfId="2533"/>
    <cellStyle name="Comma 8 3 2 2 7 2" xfId="14181"/>
    <cellStyle name="Comma 8 3 2 2 8" xfId="10494"/>
    <cellStyle name="Comma 8 3 2 2 8 2" xfId="17033"/>
    <cellStyle name="Comma 8 3 2 2 9" xfId="13608"/>
    <cellStyle name="Comma 8 3 2 3" xfId="1552"/>
    <cellStyle name="Comma 8 3 2 3 2" xfId="4972"/>
    <cellStyle name="Comma 8 3 2 3 2 2" xfId="11803"/>
    <cellStyle name="Comma 8 3 2 3 2 2 2" xfId="18342"/>
    <cellStyle name="Comma 8 3 2 3 2 3" xfId="15490"/>
    <cellStyle name="Comma 8 3 2 3 3" xfId="7244"/>
    <cellStyle name="Comma 8 3 2 3 3 2" xfId="12374"/>
    <cellStyle name="Comma 8 3 2 3 3 2 2" xfId="18913"/>
    <cellStyle name="Comma 8 3 2 3 3 3" xfId="16061"/>
    <cellStyle name="Comma 8 3 2 3 4" xfId="9516"/>
    <cellStyle name="Comma 8 3 2 3 4 2" xfId="12945"/>
    <cellStyle name="Comma 8 3 2 3 4 2 2" xfId="19484"/>
    <cellStyle name="Comma 8 3 2 3 4 3" xfId="16632"/>
    <cellStyle name="Comma 8 3 2 3 5" xfId="3275"/>
    <cellStyle name="Comma 8 3 2 3 5 2" xfId="11232"/>
    <cellStyle name="Comma 8 3 2 3 5 2 2" xfId="17771"/>
    <cellStyle name="Comma 8 3 2 3 5 3" xfId="14919"/>
    <cellStyle name="Comma 8 3 2 3 6" xfId="2701"/>
    <cellStyle name="Comma 8 3 2 3 6 2" xfId="14349"/>
    <cellStyle name="Comma 8 3 2 3 7" xfId="10662"/>
    <cellStyle name="Comma 8 3 2 3 7 2" xfId="17201"/>
    <cellStyle name="Comma 8 3 2 3 8" xfId="13779"/>
    <cellStyle name="Comma 8 3 2 4" xfId="3837"/>
    <cellStyle name="Comma 8 3 2 4 2" xfId="11518"/>
    <cellStyle name="Comma 8 3 2 4 2 2" xfId="18057"/>
    <cellStyle name="Comma 8 3 2 4 3" xfId="15205"/>
    <cellStyle name="Comma 8 3 2 5" xfId="6109"/>
    <cellStyle name="Comma 8 3 2 5 2" xfId="12089"/>
    <cellStyle name="Comma 8 3 2 5 2 2" xfId="18628"/>
    <cellStyle name="Comma 8 3 2 5 3" xfId="15776"/>
    <cellStyle name="Comma 8 3 2 6" xfId="8381"/>
    <cellStyle name="Comma 8 3 2 6 2" xfId="12660"/>
    <cellStyle name="Comma 8 3 2 6 2 2" xfId="19199"/>
    <cellStyle name="Comma 8 3 2 6 3" xfId="16347"/>
    <cellStyle name="Comma 8 3 2 7" xfId="2990"/>
    <cellStyle name="Comma 8 3 2 7 2" xfId="10947"/>
    <cellStyle name="Comma 8 3 2 7 2 2" xfId="17486"/>
    <cellStyle name="Comma 8 3 2 7 3" xfId="14634"/>
    <cellStyle name="Comma 8 3 2 8" xfId="2421"/>
    <cellStyle name="Comma 8 3 2 8 2" xfId="14069"/>
    <cellStyle name="Comma 8 3 2 9" xfId="10382"/>
    <cellStyle name="Comma 8 3 2 9 2" xfId="16921"/>
    <cellStyle name="Comma 8 3 3" xfId="1098"/>
    <cellStyle name="Comma 8 3 3 2" xfId="2233"/>
    <cellStyle name="Comma 8 3 3 2 2" xfId="5653"/>
    <cellStyle name="Comma 8 3 3 2 2 2" xfId="11974"/>
    <cellStyle name="Comma 8 3 3 2 2 2 2" xfId="18513"/>
    <cellStyle name="Comma 8 3 3 2 2 3" xfId="15661"/>
    <cellStyle name="Comma 8 3 3 2 3" xfId="7925"/>
    <cellStyle name="Comma 8 3 3 2 3 2" xfId="12545"/>
    <cellStyle name="Comma 8 3 3 2 3 2 2" xfId="19084"/>
    <cellStyle name="Comma 8 3 3 2 3 3" xfId="16232"/>
    <cellStyle name="Comma 8 3 3 2 4" xfId="10197"/>
    <cellStyle name="Comma 8 3 3 2 4 2" xfId="13116"/>
    <cellStyle name="Comma 8 3 3 2 4 2 2" xfId="19655"/>
    <cellStyle name="Comma 8 3 3 2 4 3" xfId="16803"/>
    <cellStyle name="Comma 8 3 3 2 5" xfId="3446"/>
    <cellStyle name="Comma 8 3 3 2 5 2" xfId="11403"/>
    <cellStyle name="Comma 8 3 3 2 5 2 2" xfId="17942"/>
    <cellStyle name="Comma 8 3 3 2 5 3" xfId="15090"/>
    <cellStyle name="Comma 8 3 3 2 6" xfId="2869"/>
    <cellStyle name="Comma 8 3 3 2 6 2" xfId="14517"/>
    <cellStyle name="Comma 8 3 3 2 7" xfId="10830"/>
    <cellStyle name="Comma 8 3 3 2 7 2" xfId="17369"/>
    <cellStyle name="Comma 8 3 3 2 8" xfId="13950"/>
    <cellStyle name="Comma 8 3 3 3" xfId="4518"/>
    <cellStyle name="Comma 8 3 3 3 2" xfId="11689"/>
    <cellStyle name="Comma 8 3 3 3 2 2" xfId="18228"/>
    <cellStyle name="Comma 8 3 3 3 3" xfId="15376"/>
    <cellStyle name="Comma 8 3 3 4" xfId="6790"/>
    <cellStyle name="Comma 8 3 3 4 2" xfId="12260"/>
    <cellStyle name="Comma 8 3 3 4 2 2" xfId="18799"/>
    <cellStyle name="Comma 8 3 3 4 3" xfId="15947"/>
    <cellStyle name="Comma 8 3 3 5" xfId="9062"/>
    <cellStyle name="Comma 8 3 3 5 2" xfId="12831"/>
    <cellStyle name="Comma 8 3 3 5 2 2" xfId="19370"/>
    <cellStyle name="Comma 8 3 3 5 3" xfId="16518"/>
    <cellStyle name="Comma 8 3 3 6" xfId="3161"/>
    <cellStyle name="Comma 8 3 3 6 2" xfId="11118"/>
    <cellStyle name="Comma 8 3 3 6 2 2" xfId="17657"/>
    <cellStyle name="Comma 8 3 3 6 3" xfId="14805"/>
    <cellStyle name="Comma 8 3 3 7" xfId="2589"/>
    <cellStyle name="Comma 8 3 3 7 2" xfId="14237"/>
    <cellStyle name="Comma 8 3 3 8" xfId="10550"/>
    <cellStyle name="Comma 8 3 3 8 2" xfId="17089"/>
    <cellStyle name="Comma 8 3 3 9" xfId="13665"/>
    <cellStyle name="Comma 8 3 4" xfId="644"/>
    <cellStyle name="Comma 8 3 4 2" xfId="1779"/>
    <cellStyle name="Comma 8 3 4 2 2" xfId="5199"/>
    <cellStyle name="Comma 8 3 4 2 2 2" xfId="11860"/>
    <cellStyle name="Comma 8 3 4 2 2 2 2" xfId="18399"/>
    <cellStyle name="Comma 8 3 4 2 2 3" xfId="15547"/>
    <cellStyle name="Comma 8 3 4 2 3" xfId="7471"/>
    <cellStyle name="Comma 8 3 4 2 3 2" xfId="12431"/>
    <cellStyle name="Comma 8 3 4 2 3 2 2" xfId="18970"/>
    <cellStyle name="Comma 8 3 4 2 3 3" xfId="16118"/>
    <cellStyle name="Comma 8 3 4 2 4" xfId="9743"/>
    <cellStyle name="Comma 8 3 4 2 4 2" xfId="13002"/>
    <cellStyle name="Comma 8 3 4 2 4 2 2" xfId="19541"/>
    <cellStyle name="Comma 8 3 4 2 4 3" xfId="16689"/>
    <cellStyle name="Comma 8 3 4 2 5" xfId="3332"/>
    <cellStyle name="Comma 8 3 4 2 5 2" xfId="11289"/>
    <cellStyle name="Comma 8 3 4 2 5 2 2" xfId="17828"/>
    <cellStyle name="Comma 8 3 4 2 5 3" xfId="14976"/>
    <cellStyle name="Comma 8 3 4 2 6" xfId="2757"/>
    <cellStyle name="Comma 8 3 4 2 6 2" xfId="14405"/>
    <cellStyle name="Comma 8 3 4 2 7" xfId="10718"/>
    <cellStyle name="Comma 8 3 4 2 7 2" xfId="17257"/>
    <cellStyle name="Comma 8 3 4 2 8" xfId="13836"/>
    <cellStyle name="Comma 8 3 4 3" xfId="4064"/>
    <cellStyle name="Comma 8 3 4 3 2" xfId="11575"/>
    <cellStyle name="Comma 8 3 4 3 2 2" xfId="18114"/>
    <cellStyle name="Comma 8 3 4 3 3" xfId="15262"/>
    <cellStyle name="Comma 8 3 4 4" xfId="6336"/>
    <cellStyle name="Comma 8 3 4 4 2" xfId="12146"/>
    <cellStyle name="Comma 8 3 4 4 2 2" xfId="18685"/>
    <cellStyle name="Comma 8 3 4 4 3" xfId="15833"/>
    <cellStyle name="Comma 8 3 4 5" xfId="8608"/>
    <cellStyle name="Comma 8 3 4 5 2" xfId="12717"/>
    <cellStyle name="Comma 8 3 4 5 2 2" xfId="19256"/>
    <cellStyle name="Comma 8 3 4 5 3" xfId="16404"/>
    <cellStyle name="Comma 8 3 4 6" xfId="3047"/>
    <cellStyle name="Comma 8 3 4 6 2" xfId="11004"/>
    <cellStyle name="Comma 8 3 4 6 2 2" xfId="17543"/>
    <cellStyle name="Comma 8 3 4 6 3" xfId="14691"/>
    <cellStyle name="Comma 8 3 4 7" xfId="2477"/>
    <cellStyle name="Comma 8 3 4 7 2" xfId="14125"/>
    <cellStyle name="Comma 8 3 4 8" xfId="10438"/>
    <cellStyle name="Comma 8 3 4 8 2" xfId="16977"/>
    <cellStyle name="Comma 8 3 4 9" xfId="13551"/>
    <cellStyle name="Comma 8 3 5" xfId="1325"/>
    <cellStyle name="Comma 8 3 5 2" xfId="4745"/>
    <cellStyle name="Comma 8 3 5 2 2" xfId="11746"/>
    <cellStyle name="Comma 8 3 5 2 2 2" xfId="18285"/>
    <cellStyle name="Comma 8 3 5 2 3" xfId="15433"/>
    <cellStyle name="Comma 8 3 5 3" xfId="7017"/>
    <cellStyle name="Comma 8 3 5 3 2" xfId="12317"/>
    <cellStyle name="Comma 8 3 5 3 2 2" xfId="18856"/>
    <cellStyle name="Comma 8 3 5 3 3" xfId="16004"/>
    <cellStyle name="Comma 8 3 5 4" xfId="9289"/>
    <cellStyle name="Comma 8 3 5 4 2" xfId="12888"/>
    <cellStyle name="Comma 8 3 5 4 2 2" xfId="19427"/>
    <cellStyle name="Comma 8 3 5 4 3" xfId="16575"/>
    <cellStyle name="Comma 8 3 5 5" xfId="3218"/>
    <cellStyle name="Comma 8 3 5 5 2" xfId="11175"/>
    <cellStyle name="Comma 8 3 5 5 2 2" xfId="17714"/>
    <cellStyle name="Comma 8 3 5 5 3" xfId="14862"/>
    <cellStyle name="Comma 8 3 5 6" xfId="2645"/>
    <cellStyle name="Comma 8 3 5 6 2" xfId="14293"/>
    <cellStyle name="Comma 8 3 5 7" xfId="10606"/>
    <cellStyle name="Comma 8 3 5 7 2" xfId="17145"/>
    <cellStyle name="Comma 8 3 5 8" xfId="13722"/>
    <cellStyle name="Comma 8 3 6" xfId="3610"/>
    <cellStyle name="Comma 8 3 6 2" xfId="11461"/>
    <cellStyle name="Comma 8 3 6 2 2" xfId="18000"/>
    <cellStyle name="Comma 8 3 6 3" xfId="15148"/>
    <cellStyle name="Comma 8 3 7" xfId="5882"/>
    <cellStyle name="Comma 8 3 7 2" xfId="12032"/>
    <cellStyle name="Comma 8 3 7 2 2" xfId="18571"/>
    <cellStyle name="Comma 8 3 7 3" xfId="15719"/>
    <cellStyle name="Comma 8 3 8" xfId="8154"/>
    <cellStyle name="Comma 8 3 8 2" xfId="12603"/>
    <cellStyle name="Comma 8 3 8 2 2" xfId="19142"/>
    <cellStyle name="Comma 8 3 8 3" xfId="16290"/>
    <cellStyle name="Comma 8 3 9" xfId="2930"/>
    <cellStyle name="Comma 8 3 9 2" xfId="10889"/>
    <cellStyle name="Comma 8 3 9 2 2" xfId="17428"/>
    <cellStyle name="Comma 8 3 9 3" xfId="14576"/>
    <cellStyle name="Comma 8 4" xfId="123"/>
    <cellStyle name="Comma 8 4 10" xfId="2350"/>
    <cellStyle name="Comma 8 4 10 2" xfId="13998"/>
    <cellStyle name="Comma 8 4 11" xfId="10311"/>
    <cellStyle name="Comma 8 4 11 2" xfId="16850"/>
    <cellStyle name="Comma 8 4 12" xfId="13422"/>
    <cellStyle name="Comma 8 4 2" xfId="361"/>
    <cellStyle name="Comma 8 4 2 10" xfId="13480"/>
    <cellStyle name="Comma 8 4 2 2" xfId="815"/>
    <cellStyle name="Comma 8 4 2 2 2" xfId="1950"/>
    <cellStyle name="Comma 8 4 2 2 2 2" xfId="5370"/>
    <cellStyle name="Comma 8 4 2 2 2 2 2" xfId="11903"/>
    <cellStyle name="Comma 8 4 2 2 2 2 2 2" xfId="18442"/>
    <cellStyle name="Comma 8 4 2 2 2 2 3" xfId="15590"/>
    <cellStyle name="Comma 8 4 2 2 2 3" xfId="7642"/>
    <cellStyle name="Comma 8 4 2 2 2 3 2" xfId="12474"/>
    <cellStyle name="Comma 8 4 2 2 2 3 2 2" xfId="19013"/>
    <cellStyle name="Comma 8 4 2 2 2 3 3" xfId="16161"/>
    <cellStyle name="Comma 8 4 2 2 2 4" xfId="9914"/>
    <cellStyle name="Comma 8 4 2 2 2 4 2" xfId="13045"/>
    <cellStyle name="Comma 8 4 2 2 2 4 2 2" xfId="19584"/>
    <cellStyle name="Comma 8 4 2 2 2 4 3" xfId="16732"/>
    <cellStyle name="Comma 8 4 2 2 2 5" xfId="3375"/>
    <cellStyle name="Comma 8 4 2 2 2 5 2" xfId="11332"/>
    <cellStyle name="Comma 8 4 2 2 2 5 2 2" xfId="17871"/>
    <cellStyle name="Comma 8 4 2 2 2 5 3" xfId="15019"/>
    <cellStyle name="Comma 8 4 2 2 2 6" xfId="2799"/>
    <cellStyle name="Comma 8 4 2 2 2 6 2" xfId="14447"/>
    <cellStyle name="Comma 8 4 2 2 2 7" xfId="10760"/>
    <cellStyle name="Comma 8 4 2 2 2 7 2" xfId="17299"/>
    <cellStyle name="Comma 8 4 2 2 2 8" xfId="13879"/>
    <cellStyle name="Comma 8 4 2 2 3" xfId="4235"/>
    <cellStyle name="Comma 8 4 2 2 3 2" xfId="11618"/>
    <cellStyle name="Comma 8 4 2 2 3 2 2" xfId="18157"/>
    <cellStyle name="Comma 8 4 2 2 3 3" xfId="15305"/>
    <cellStyle name="Comma 8 4 2 2 4" xfId="6507"/>
    <cellStyle name="Comma 8 4 2 2 4 2" xfId="12189"/>
    <cellStyle name="Comma 8 4 2 2 4 2 2" xfId="18728"/>
    <cellStyle name="Comma 8 4 2 2 4 3" xfId="15876"/>
    <cellStyle name="Comma 8 4 2 2 5" xfId="8779"/>
    <cellStyle name="Comma 8 4 2 2 5 2" xfId="12760"/>
    <cellStyle name="Comma 8 4 2 2 5 2 2" xfId="19299"/>
    <cellStyle name="Comma 8 4 2 2 5 3" xfId="16447"/>
    <cellStyle name="Comma 8 4 2 2 6" xfId="3090"/>
    <cellStyle name="Comma 8 4 2 2 6 2" xfId="11047"/>
    <cellStyle name="Comma 8 4 2 2 6 2 2" xfId="17586"/>
    <cellStyle name="Comma 8 4 2 2 6 3" xfId="14734"/>
    <cellStyle name="Comma 8 4 2 2 7" xfId="2519"/>
    <cellStyle name="Comma 8 4 2 2 7 2" xfId="14167"/>
    <cellStyle name="Comma 8 4 2 2 8" xfId="10480"/>
    <cellStyle name="Comma 8 4 2 2 8 2" xfId="17019"/>
    <cellStyle name="Comma 8 4 2 2 9" xfId="13594"/>
    <cellStyle name="Comma 8 4 2 3" xfId="1496"/>
    <cellStyle name="Comma 8 4 2 3 2" xfId="4916"/>
    <cellStyle name="Comma 8 4 2 3 2 2" xfId="11789"/>
    <cellStyle name="Comma 8 4 2 3 2 2 2" xfId="18328"/>
    <cellStyle name="Comma 8 4 2 3 2 3" xfId="15476"/>
    <cellStyle name="Comma 8 4 2 3 3" xfId="7188"/>
    <cellStyle name="Comma 8 4 2 3 3 2" xfId="12360"/>
    <cellStyle name="Comma 8 4 2 3 3 2 2" xfId="18899"/>
    <cellStyle name="Comma 8 4 2 3 3 3" xfId="16047"/>
    <cellStyle name="Comma 8 4 2 3 4" xfId="9460"/>
    <cellStyle name="Comma 8 4 2 3 4 2" xfId="12931"/>
    <cellStyle name="Comma 8 4 2 3 4 2 2" xfId="19470"/>
    <cellStyle name="Comma 8 4 2 3 4 3" xfId="16618"/>
    <cellStyle name="Comma 8 4 2 3 5" xfId="3261"/>
    <cellStyle name="Comma 8 4 2 3 5 2" xfId="11218"/>
    <cellStyle name="Comma 8 4 2 3 5 2 2" xfId="17757"/>
    <cellStyle name="Comma 8 4 2 3 5 3" xfId="14905"/>
    <cellStyle name="Comma 8 4 2 3 6" xfId="2687"/>
    <cellStyle name="Comma 8 4 2 3 6 2" xfId="14335"/>
    <cellStyle name="Comma 8 4 2 3 7" xfId="10648"/>
    <cellStyle name="Comma 8 4 2 3 7 2" xfId="17187"/>
    <cellStyle name="Comma 8 4 2 3 8" xfId="13765"/>
    <cellStyle name="Comma 8 4 2 4" xfId="3781"/>
    <cellStyle name="Comma 8 4 2 4 2" xfId="11504"/>
    <cellStyle name="Comma 8 4 2 4 2 2" xfId="18043"/>
    <cellStyle name="Comma 8 4 2 4 3" xfId="15191"/>
    <cellStyle name="Comma 8 4 2 5" xfId="6053"/>
    <cellStyle name="Comma 8 4 2 5 2" xfId="12075"/>
    <cellStyle name="Comma 8 4 2 5 2 2" xfId="18614"/>
    <cellStyle name="Comma 8 4 2 5 3" xfId="15762"/>
    <cellStyle name="Comma 8 4 2 6" xfId="8325"/>
    <cellStyle name="Comma 8 4 2 6 2" xfId="12646"/>
    <cellStyle name="Comma 8 4 2 6 2 2" xfId="19185"/>
    <cellStyle name="Comma 8 4 2 6 3" xfId="16333"/>
    <cellStyle name="Comma 8 4 2 7" xfId="2976"/>
    <cellStyle name="Comma 8 4 2 7 2" xfId="10933"/>
    <cellStyle name="Comma 8 4 2 7 2 2" xfId="17472"/>
    <cellStyle name="Comma 8 4 2 7 3" xfId="14620"/>
    <cellStyle name="Comma 8 4 2 8" xfId="2407"/>
    <cellStyle name="Comma 8 4 2 8 2" xfId="14055"/>
    <cellStyle name="Comma 8 4 2 9" xfId="10368"/>
    <cellStyle name="Comma 8 4 2 9 2" xfId="16907"/>
    <cellStyle name="Comma 8 4 3" xfId="1042"/>
    <cellStyle name="Comma 8 4 3 2" xfId="2177"/>
    <cellStyle name="Comma 8 4 3 2 2" xfId="5597"/>
    <cellStyle name="Comma 8 4 3 2 2 2" xfId="11960"/>
    <cellStyle name="Comma 8 4 3 2 2 2 2" xfId="18499"/>
    <cellStyle name="Comma 8 4 3 2 2 3" xfId="15647"/>
    <cellStyle name="Comma 8 4 3 2 3" xfId="7869"/>
    <cellStyle name="Comma 8 4 3 2 3 2" xfId="12531"/>
    <cellStyle name="Comma 8 4 3 2 3 2 2" xfId="19070"/>
    <cellStyle name="Comma 8 4 3 2 3 3" xfId="16218"/>
    <cellStyle name="Comma 8 4 3 2 4" xfId="10141"/>
    <cellStyle name="Comma 8 4 3 2 4 2" xfId="13102"/>
    <cellStyle name="Comma 8 4 3 2 4 2 2" xfId="19641"/>
    <cellStyle name="Comma 8 4 3 2 4 3" xfId="16789"/>
    <cellStyle name="Comma 8 4 3 2 5" xfId="3432"/>
    <cellStyle name="Comma 8 4 3 2 5 2" xfId="11389"/>
    <cellStyle name="Comma 8 4 3 2 5 2 2" xfId="17928"/>
    <cellStyle name="Comma 8 4 3 2 5 3" xfId="15076"/>
    <cellStyle name="Comma 8 4 3 2 6" xfId="2855"/>
    <cellStyle name="Comma 8 4 3 2 6 2" xfId="14503"/>
    <cellStyle name="Comma 8 4 3 2 7" xfId="10816"/>
    <cellStyle name="Comma 8 4 3 2 7 2" xfId="17355"/>
    <cellStyle name="Comma 8 4 3 2 8" xfId="13936"/>
    <cellStyle name="Comma 8 4 3 3" xfId="4462"/>
    <cellStyle name="Comma 8 4 3 3 2" xfId="11675"/>
    <cellStyle name="Comma 8 4 3 3 2 2" xfId="18214"/>
    <cellStyle name="Comma 8 4 3 3 3" xfId="15362"/>
    <cellStyle name="Comma 8 4 3 4" xfId="6734"/>
    <cellStyle name="Comma 8 4 3 4 2" xfId="12246"/>
    <cellStyle name="Comma 8 4 3 4 2 2" xfId="18785"/>
    <cellStyle name="Comma 8 4 3 4 3" xfId="15933"/>
    <cellStyle name="Comma 8 4 3 5" xfId="9006"/>
    <cellStyle name="Comma 8 4 3 5 2" xfId="12817"/>
    <cellStyle name="Comma 8 4 3 5 2 2" xfId="19356"/>
    <cellStyle name="Comma 8 4 3 5 3" xfId="16504"/>
    <cellStyle name="Comma 8 4 3 6" xfId="3147"/>
    <cellStyle name="Comma 8 4 3 6 2" xfId="11104"/>
    <cellStyle name="Comma 8 4 3 6 2 2" xfId="17643"/>
    <cellStyle name="Comma 8 4 3 6 3" xfId="14791"/>
    <cellStyle name="Comma 8 4 3 7" xfId="2575"/>
    <cellStyle name="Comma 8 4 3 7 2" xfId="14223"/>
    <cellStyle name="Comma 8 4 3 8" xfId="10536"/>
    <cellStyle name="Comma 8 4 3 8 2" xfId="17075"/>
    <cellStyle name="Comma 8 4 3 9" xfId="13651"/>
    <cellStyle name="Comma 8 4 4" xfId="588"/>
    <cellStyle name="Comma 8 4 4 2" xfId="1723"/>
    <cellStyle name="Comma 8 4 4 2 2" xfId="5143"/>
    <cellStyle name="Comma 8 4 4 2 2 2" xfId="11846"/>
    <cellStyle name="Comma 8 4 4 2 2 2 2" xfId="18385"/>
    <cellStyle name="Comma 8 4 4 2 2 3" xfId="15533"/>
    <cellStyle name="Comma 8 4 4 2 3" xfId="7415"/>
    <cellStyle name="Comma 8 4 4 2 3 2" xfId="12417"/>
    <cellStyle name="Comma 8 4 4 2 3 2 2" xfId="18956"/>
    <cellStyle name="Comma 8 4 4 2 3 3" xfId="16104"/>
    <cellStyle name="Comma 8 4 4 2 4" xfId="9687"/>
    <cellStyle name="Comma 8 4 4 2 4 2" xfId="12988"/>
    <cellStyle name="Comma 8 4 4 2 4 2 2" xfId="19527"/>
    <cellStyle name="Comma 8 4 4 2 4 3" xfId="16675"/>
    <cellStyle name="Comma 8 4 4 2 5" xfId="3318"/>
    <cellStyle name="Comma 8 4 4 2 5 2" xfId="11275"/>
    <cellStyle name="Comma 8 4 4 2 5 2 2" xfId="17814"/>
    <cellStyle name="Comma 8 4 4 2 5 3" xfId="14962"/>
    <cellStyle name="Comma 8 4 4 2 6" xfId="2743"/>
    <cellStyle name="Comma 8 4 4 2 6 2" xfId="14391"/>
    <cellStyle name="Comma 8 4 4 2 7" xfId="10704"/>
    <cellStyle name="Comma 8 4 4 2 7 2" xfId="17243"/>
    <cellStyle name="Comma 8 4 4 2 8" xfId="13822"/>
    <cellStyle name="Comma 8 4 4 3" xfId="4008"/>
    <cellStyle name="Comma 8 4 4 3 2" xfId="11561"/>
    <cellStyle name="Comma 8 4 4 3 2 2" xfId="18100"/>
    <cellStyle name="Comma 8 4 4 3 3" xfId="15248"/>
    <cellStyle name="Comma 8 4 4 4" xfId="6280"/>
    <cellStyle name="Comma 8 4 4 4 2" xfId="12132"/>
    <cellStyle name="Comma 8 4 4 4 2 2" xfId="18671"/>
    <cellStyle name="Comma 8 4 4 4 3" xfId="15819"/>
    <cellStyle name="Comma 8 4 4 5" xfId="8552"/>
    <cellStyle name="Comma 8 4 4 5 2" xfId="12703"/>
    <cellStyle name="Comma 8 4 4 5 2 2" xfId="19242"/>
    <cellStyle name="Comma 8 4 4 5 3" xfId="16390"/>
    <cellStyle name="Comma 8 4 4 6" xfId="3033"/>
    <cellStyle name="Comma 8 4 4 6 2" xfId="10990"/>
    <cellStyle name="Comma 8 4 4 6 2 2" xfId="17529"/>
    <cellStyle name="Comma 8 4 4 6 3" xfId="14677"/>
    <cellStyle name="Comma 8 4 4 7" xfId="2463"/>
    <cellStyle name="Comma 8 4 4 7 2" xfId="14111"/>
    <cellStyle name="Comma 8 4 4 8" xfId="10424"/>
    <cellStyle name="Comma 8 4 4 8 2" xfId="16963"/>
    <cellStyle name="Comma 8 4 4 9" xfId="13537"/>
    <cellStyle name="Comma 8 4 5" xfId="1269"/>
    <cellStyle name="Comma 8 4 5 2" xfId="4689"/>
    <cellStyle name="Comma 8 4 5 2 2" xfId="11732"/>
    <cellStyle name="Comma 8 4 5 2 2 2" xfId="18271"/>
    <cellStyle name="Comma 8 4 5 2 3" xfId="15419"/>
    <cellStyle name="Comma 8 4 5 3" xfId="6961"/>
    <cellStyle name="Comma 8 4 5 3 2" xfId="12303"/>
    <cellStyle name="Comma 8 4 5 3 2 2" xfId="18842"/>
    <cellStyle name="Comma 8 4 5 3 3" xfId="15990"/>
    <cellStyle name="Comma 8 4 5 4" xfId="9233"/>
    <cellStyle name="Comma 8 4 5 4 2" xfId="12874"/>
    <cellStyle name="Comma 8 4 5 4 2 2" xfId="19413"/>
    <cellStyle name="Comma 8 4 5 4 3" xfId="16561"/>
    <cellStyle name="Comma 8 4 5 5" xfId="3204"/>
    <cellStyle name="Comma 8 4 5 5 2" xfId="11161"/>
    <cellStyle name="Comma 8 4 5 5 2 2" xfId="17700"/>
    <cellStyle name="Comma 8 4 5 5 3" xfId="14848"/>
    <cellStyle name="Comma 8 4 5 6" xfId="2631"/>
    <cellStyle name="Comma 8 4 5 6 2" xfId="14279"/>
    <cellStyle name="Comma 8 4 5 7" xfId="10592"/>
    <cellStyle name="Comma 8 4 5 7 2" xfId="17131"/>
    <cellStyle name="Comma 8 4 5 8" xfId="13708"/>
    <cellStyle name="Comma 8 4 6" xfId="3554"/>
    <cellStyle name="Comma 8 4 6 2" xfId="11447"/>
    <cellStyle name="Comma 8 4 6 2 2" xfId="17986"/>
    <cellStyle name="Comma 8 4 6 3" xfId="15134"/>
    <cellStyle name="Comma 8 4 7" xfId="5826"/>
    <cellStyle name="Comma 8 4 7 2" xfId="12018"/>
    <cellStyle name="Comma 8 4 7 2 2" xfId="18557"/>
    <cellStyle name="Comma 8 4 7 3" xfId="15705"/>
    <cellStyle name="Comma 8 4 8" xfId="8098"/>
    <cellStyle name="Comma 8 4 8 2" xfId="12589"/>
    <cellStyle name="Comma 8 4 8 2 2" xfId="19128"/>
    <cellStyle name="Comma 8 4 8 3" xfId="16276"/>
    <cellStyle name="Comma 8 4 9" xfId="2916"/>
    <cellStyle name="Comma 8 4 9 2" xfId="10875"/>
    <cellStyle name="Comma 8 4 9 2 2" xfId="17414"/>
    <cellStyle name="Comma 8 4 9 3" xfId="14562"/>
    <cellStyle name="Comma 8 5" xfId="249"/>
    <cellStyle name="Comma 8 5 10" xfId="2379"/>
    <cellStyle name="Comma 8 5 10 2" xfId="14027"/>
    <cellStyle name="Comma 8 5 11" xfId="10340"/>
    <cellStyle name="Comma 8 5 11 2" xfId="16879"/>
    <cellStyle name="Comma 8 5 12" xfId="13452"/>
    <cellStyle name="Comma 8 5 2" xfId="476"/>
    <cellStyle name="Comma 8 5 2 10" xfId="13509"/>
    <cellStyle name="Comma 8 5 2 2" xfId="930"/>
    <cellStyle name="Comma 8 5 2 2 2" xfId="2065"/>
    <cellStyle name="Comma 8 5 2 2 2 2" xfId="5485"/>
    <cellStyle name="Comma 8 5 2 2 2 2 2" xfId="11932"/>
    <cellStyle name="Comma 8 5 2 2 2 2 2 2" xfId="18471"/>
    <cellStyle name="Comma 8 5 2 2 2 2 3" xfId="15619"/>
    <cellStyle name="Comma 8 5 2 2 2 3" xfId="7757"/>
    <cellStyle name="Comma 8 5 2 2 2 3 2" xfId="12503"/>
    <cellStyle name="Comma 8 5 2 2 2 3 2 2" xfId="19042"/>
    <cellStyle name="Comma 8 5 2 2 2 3 3" xfId="16190"/>
    <cellStyle name="Comma 8 5 2 2 2 4" xfId="10029"/>
    <cellStyle name="Comma 8 5 2 2 2 4 2" xfId="13074"/>
    <cellStyle name="Comma 8 5 2 2 2 4 2 2" xfId="19613"/>
    <cellStyle name="Comma 8 5 2 2 2 4 3" xfId="16761"/>
    <cellStyle name="Comma 8 5 2 2 2 5" xfId="3404"/>
    <cellStyle name="Comma 8 5 2 2 2 5 2" xfId="11361"/>
    <cellStyle name="Comma 8 5 2 2 2 5 2 2" xfId="17900"/>
    <cellStyle name="Comma 8 5 2 2 2 5 3" xfId="15048"/>
    <cellStyle name="Comma 8 5 2 2 2 6" xfId="2827"/>
    <cellStyle name="Comma 8 5 2 2 2 6 2" xfId="14475"/>
    <cellStyle name="Comma 8 5 2 2 2 7" xfId="10788"/>
    <cellStyle name="Comma 8 5 2 2 2 7 2" xfId="17327"/>
    <cellStyle name="Comma 8 5 2 2 2 8" xfId="13908"/>
    <cellStyle name="Comma 8 5 2 2 3" xfId="4350"/>
    <cellStyle name="Comma 8 5 2 2 3 2" xfId="11647"/>
    <cellStyle name="Comma 8 5 2 2 3 2 2" xfId="18186"/>
    <cellStyle name="Comma 8 5 2 2 3 3" xfId="15334"/>
    <cellStyle name="Comma 8 5 2 2 4" xfId="6622"/>
    <cellStyle name="Comma 8 5 2 2 4 2" xfId="12218"/>
    <cellStyle name="Comma 8 5 2 2 4 2 2" xfId="18757"/>
    <cellStyle name="Comma 8 5 2 2 4 3" xfId="15905"/>
    <cellStyle name="Comma 8 5 2 2 5" xfId="8894"/>
    <cellStyle name="Comma 8 5 2 2 5 2" xfId="12789"/>
    <cellStyle name="Comma 8 5 2 2 5 2 2" xfId="19328"/>
    <cellStyle name="Comma 8 5 2 2 5 3" xfId="16476"/>
    <cellStyle name="Comma 8 5 2 2 6" xfId="3119"/>
    <cellStyle name="Comma 8 5 2 2 6 2" xfId="11076"/>
    <cellStyle name="Comma 8 5 2 2 6 2 2" xfId="17615"/>
    <cellStyle name="Comma 8 5 2 2 6 3" xfId="14763"/>
    <cellStyle name="Comma 8 5 2 2 7" xfId="2547"/>
    <cellStyle name="Comma 8 5 2 2 7 2" xfId="14195"/>
    <cellStyle name="Comma 8 5 2 2 8" xfId="10508"/>
    <cellStyle name="Comma 8 5 2 2 8 2" xfId="17047"/>
    <cellStyle name="Comma 8 5 2 2 9" xfId="13623"/>
    <cellStyle name="Comma 8 5 2 3" xfId="1611"/>
    <cellStyle name="Comma 8 5 2 3 2" xfId="5031"/>
    <cellStyle name="Comma 8 5 2 3 2 2" xfId="11818"/>
    <cellStyle name="Comma 8 5 2 3 2 2 2" xfId="18357"/>
    <cellStyle name="Comma 8 5 2 3 2 3" xfId="15505"/>
    <cellStyle name="Comma 8 5 2 3 3" xfId="7303"/>
    <cellStyle name="Comma 8 5 2 3 3 2" xfId="12389"/>
    <cellStyle name="Comma 8 5 2 3 3 2 2" xfId="18928"/>
    <cellStyle name="Comma 8 5 2 3 3 3" xfId="16076"/>
    <cellStyle name="Comma 8 5 2 3 4" xfId="9575"/>
    <cellStyle name="Comma 8 5 2 3 4 2" xfId="12960"/>
    <cellStyle name="Comma 8 5 2 3 4 2 2" xfId="19499"/>
    <cellStyle name="Comma 8 5 2 3 4 3" xfId="16647"/>
    <cellStyle name="Comma 8 5 2 3 5" xfId="3290"/>
    <cellStyle name="Comma 8 5 2 3 5 2" xfId="11247"/>
    <cellStyle name="Comma 8 5 2 3 5 2 2" xfId="17786"/>
    <cellStyle name="Comma 8 5 2 3 5 3" xfId="14934"/>
    <cellStyle name="Comma 8 5 2 3 6" xfId="2715"/>
    <cellStyle name="Comma 8 5 2 3 6 2" xfId="14363"/>
    <cellStyle name="Comma 8 5 2 3 7" xfId="10676"/>
    <cellStyle name="Comma 8 5 2 3 7 2" xfId="17215"/>
    <cellStyle name="Comma 8 5 2 3 8" xfId="13794"/>
    <cellStyle name="Comma 8 5 2 4" xfId="3896"/>
    <cellStyle name="Comma 8 5 2 4 2" xfId="11533"/>
    <cellStyle name="Comma 8 5 2 4 2 2" xfId="18072"/>
    <cellStyle name="Comma 8 5 2 4 3" xfId="15220"/>
    <cellStyle name="Comma 8 5 2 5" xfId="6168"/>
    <cellStyle name="Comma 8 5 2 5 2" xfId="12104"/>
    <cellStyle name="Comma 8 5 2 5 2 2" xfId="18643"/>
    <cellStyle name="Comma 8 5 2 5 3" xfId="15791"/>
    <cellStyle name="Comma 8 5 2 6" xfId="8440"/>
    <cellStyle name="Comma 8 5 2 6 2" xfId="12675"/>
    <cellStyle name="Comma 8 5 2 6 2 2" xfId="19214"/>
    <cellStyle name="Comma 8 5 2 6 3" xfId="16362"/>
    <cellStyle name="Comma 8 5 2 7" xfId="3005"/>
    <cellStyle name="Comma 8 5 2 7 2" xfId="10962"/>
    <cellStyle name="Comma 8 5 2 7 2 2" xfId="17501"/>
    <cellStyle name="Comma 8 5 2 7 3" xfId="14649"/>
    <cellStyle name="Comma 8 5 2 8" xfId="2435"/>
    <cellStyle name="Comma 8 5 2 8 2" xfId="14083"/>
    <cellStyle name="Comma 8 5 2 9" xfId="10396"/>
    <cellStyle name="Comma 8 5 2 9 2" xfId="16935"/>
    <cellStyle name="Comma 8 5 3" xfId="1157"/>
    <cellStyle name="Comma 8 5 3 2" xfId="2292"/>
    <cellStyle name="Comma 8 5 3 2 2" xfId="5712"/>
    <cellStyle name="Comma 8 5 3 2 2 2" xfId="11989"/>
    <cellStyle name="Comma 8 5 3 2 2 2 2" xfId="18528"/>
    <cellStyle name="Comma 8 5 3 2 2 3" xfId="15676"/>
    <cellStyle name="Comma 8 5 3 2 3" xfId="7984"/>
    <cellStyle name="Comma 8 5 3 2 3 2" xfId="12560"/>
    <cellStyle name="Comma 8 5 3 2 3 2 2" xfId="19099"/>
    <cellStyle name="Comma 8 5 3 2 3 3" xfId="16247"/>
    <cellStyle name="Comma 8 5 3 2 4" xfId="10256"/>
    <cellStyle name="Comma 8 5 3 2 4 2" xfId="13131"/>
    <cellStyle name="Comma 8 5 3 2 4 2 2" xfId="19670"/>
    <cellStyle name="Comma 8 5 3 2 4 3" xfId="16818"/>
    <cellStyle name="Comma 8 5 3 2 5" xfId="3461"/>
    <cellStyle name="Comma 8 5 3 2 5 2" xfId="11418"/>
    <cellStyle name="Comma 8 5 3 2 5 2 2" xfId="17957"/>
    <cellStyle name="Comma 8 5 3 2 5 3" xfId="15105"/>
    <cellStyle name="Comma 8 5 3 2 6" xfId="2883"/>
    <cellStyle name="Comma 8 5 3 2 6 2" xfId="14531"/>
    <cellStyle name="Comma 8 5 3 2 7" xfId="10844"/>
    <cellStyle name="Comma 8 5 3 2 7 2" xfId="17383"/>
    <cellStyle name="Comma 8 5 3 2 8" xfId="13965"/>
    <cellStyle name="Comma 8 5 3 3" xfId="4577"/>
    <cellStyle name="Comma 8 5 3 3 2" xfId="11704"/>
    <cellStyle name="Comma 8 5 3 3 2 2" xfId="18243"/>
    <cellStyle name="Comma 8 5 3 3 3" xfId="15391"/>
    <cellStyle name="Comma 8 5 3 4" xfId="6849"/>
    <cellStyle name="Comma 8 5 3 4 2" xfId="12275"/>
    <cellStyle name="Comma 8 5 3 4 2 2" xfId="18814"/>
    <cellStyle name="Comma 8 5 3 4 3" xfId="15962"/>
    <cellStyle name="Comma 8 5 3 5" xfId="9121"/>
    <cellStyle name="Comma 8 5 3 5 2" xfId="12846"/>
    <cellStyle name="Comma 8 5 3 5 2 2" xfId="19385"/>
    <cellStyle name="Comma 8 5 3 5 3" xfId="16533"/>
    <cellStyle name="Comma 8 5 3 6" xfId="3176"/>
    <cellStyle name="Comma 8 5 3 6 2" xfId="11133"/>
    <cellStyle name="Comma 8 5 3 6 2 2" xfId="17672"/>
    <cellStyle name="Comma 8 5 3 6 3" xfId="14820"/>
    <cellStyle name="Comma 8 5 3 7" xfId="2603"/>
    <cellStyle name="Comma 8 5 3 7 2" xfId="14251"/>
    <cellStyle name="Comma 8 5 3 8" xfId="10564"/>
    <cellStyle name="Comma 8 5 3 8 2" xfId="17103"/>
    <cellStyle name="Comma 8 5 3 9" xfId="13680"/>
    <cellStyle name="Comma 8 5 4" xfId="703"/>
    <cellStyle name="Comma 8 5 4 2" xfId="1838"/>
    <cellStyle name="Comma 8 5 4 2 2" xfId="5258"/>
    <cellStyle name="Comma 8 5 4 2 2 2" xfId="11875"/>
    <cellStyle name="Comma 8 5 4 2 2 2 2" xfId="18414"/>
    <cellStyle name="Comma 8 5 4 2 2 3" xfId="15562"/>
    <cellStyle name="Comma 8 5 4 2 3" xfId="7530"/>
    <cellStyle name="Comma 8 5 4 2 3 2" xfId="12446"/>
    <cellStyle name="Comma 8 5 4 2 3 2 2" xfId="18985"/>
    <cellStyle name="Comma 8 5 4 2 3 3" xfId="16133"/>
    <cellStyle name="Comma 8 5 4 2 4" xfId="9802"/>
    <cellStyle name="Comma 8 5 4 2 4 2" xfId="13017"/>
    <cellStyle name="Comma 8 5 4 2 4 2 2" xfId="19556"/>
    <cellStyle name="Comma 8 5 4 2 4 3" xfId="16704"/>
    <cellStyle name="Comma 8 5 4 2 5" xfId="3347"/>
    <cellStyle name="Comma 8 5 4 2 5 2" xfId="11304"/>
    <cellStyle name="Comma 8 5 4 2 5 2 2" xfId="17843"/>
    <cellStyle name="Comma 8 5 4 2 5 3" xfId="14991"/>
    <cellStyle name="Comma 8 5 4 2 6" xfId="2771"/>
    <cellStyle name="Comma 8 5 4 2 6 2" xfId="14419"/>
    <cellStyle name="Comma 8 5 4 2 7" xfId="10732"/>
    <cellStyle name="Comma 8 5 4 2 7 2" xfId="17271"/>
    <cellStyle name="Comma 8 5 4 2 8" xfId="13851"/>
    <cellStyle name="Comma 8 5 4 3" xfId="4123"/>
    <cellStyle name="Comma 8 5 4 3 2" xfId="11590"/>
    <cellStyle name="Comma 8 5 4 3 2 2" xfId="18129"/>
    <cellStyle name="Comma 8 5 4 3 3" xfId="15277"/>
    <cellStyle name="Comma 8 5 4 4" xfId="6395"/>
    <cellStyle name="Comma 8 5 4 4 2" xfId="12161"/>
    <cellStyle name="Comma 8 5 4 4 2 2" xfId="18700"/>
    <cellStyle name="Comma 8 5 4 4 3" xfId="15848"/>
    <cellStyle name="Comma 8 5 4 5" xfId="8667"/>
    <cellStyle name="Comma 8 5 4 5 2" xfId="12732"/>
    <cellStyle name="Comma 8 5 4 5 2 2" xfId="19271"/>
    <cellStyle name="Comma 8 5 4 5 3" xfId="16419"/>
    <cellStyle name="Comma 8 5 4 6" xfId="3062"/>
    <cellStyle name="Comma 8 5 4 6 2" xfId="11019"/>
    <cellStyle name="Comma 8 5 4 6 2 2" xfId="17558"/>
    <cellStyle name="Comma 8 5 4 6 3" xfId="14706"/>
    <cellStyle name="Comma 8 5 4 7" xfId="2491"/>
    <cellStyle name="Comma 8 5 4 7 2" xfId="14139"/>
    <cellStyle name="Comma 8 5 4 8" xfId="10452"/>
    <cellStyle name="Comma 8 5 4 8 2" xfId="16991"/>
    <cellStyle name="Comma 8 5 4 9" xfId="13566"/>
    <cellStyle name="Comma 8 5 5" xfId="1384"/>
    <cellStyle name="Comma 8 5 5 2" xfId="4804"/>
    <cellStyle name="Comma 8 5 5 2 2" xfId="11761"/>
    <cellStyle name="Comma 8 5 5 2 2 2" xfId="18300"/>
    <cellStyle name="Comma 8 5 5 2 3" xfId="15448"/>
    <cellStyle name="Comma 8 5 5 3" xfId="7076"/>
    <cellStyle name="Comma 8 5 5 3 2" xfId="12332"/>
    <cellStyle name="Comma 8 5 5 3 2 2" xfId="18871"/>
    <cellStyle name="Comma 8 5 5 3 3" xfId="16019"/>
    <cellStyle name="Comma 8 5 5 4" xfId="9348"/>
    <cellStyle name="Comma 8 5 5 4 2" xfId="12903"/>
    <cellStyle name="Comma 8 5 5 4 2 2" xfId="19442"/>
    <cellStyle name="Comma 8 5 5 4 3" xfId="16590"/>
    <cellStyle name="Comma 8 5 5 5" xfId="3233"/>
    <cellStyle name="Comma 8 5 5 5 2" xfId="11190"/>
    <cellStyle name="Comma 8 5 5 5 2 2" xfId="17729"/>
    <cellStyle name="Comma 8 5 5 5 3" xfId="14877"/>
    <cellStyle name="Comma 8 5 5 6" xfId="2659"/>
    <cellStyle name="Comma 8 5 5 6 2" xfId="14307"/>
    <cellStyle name="Comma 8 5 5 7" xfId="10620"/>
    <cellStyle name="Comma 8 5 5 7 2" xfId="17159"/>
    <cellStyle name="Comma 8 5 5 8" xfId="13737"/>
    <cellStyle name="Comma 8 5 6" xfId="3669"/>
    <cellStyle name="Comma 8 5 6 2" xfId="11476"/>
    <cellStyle name="Comma 8 5 6 2 2" xfId="18015"/>
    <cellStyle name="Comma 8 5 6 3" xfId="15163"/>
    <cellStyle name="Comma 8 5 7" xfId="5941"/>
    <cellStyle name="Comma 8 5 7 2" xfId="12047"/>
    <cellStyle name="Comma 8 5 7 2 2" xfId="18586"/>
    <cellStyle name="Comma 8 5 7 3" xfId="15734"/>
    <cellStyle name="Comma 8 5 8" xfId="8213"/>
    <cellStyle name="Comma 8 5 8 2" xfId="12618"/>
    <cellStyle name="Comma 8 5 8 2 2" xfId="19157"/>
    <cellStyle name="Comma 8 5 8 3" xfId="16305"/>
    <cellStyle name="Comma 8 5 9" xfId="2948"/>
    <cellStyle name="Comma 8 5 9 2" xfId="10905"/>
    <cellStyle name="Comma 8 5 9 2 2" xfId="17444"/>
    <cellStyle name="Comma 8 5 9 3" xfId="14592"/>
    <cellStyle name="Comma 8 6" xfId="305"/>
    <cellStyle name="Comma 8 6 10" xfId="13466"/>
    <cellStyle name="Comma 8 6 2" xfId="759"/>
    <cellStyle name="Comma 8 6 2 2" xfId="1894"/>
    <cellStyle name="Comma 8 6 2 2 2" xfId="5314"/>
    <cellStyle name="Comma 8 6 2 2 2 2" xfId="11889"/>
    <cellStyle name="Comma 8 6 2 2 2 2 2" xfId="18428"/>
    <cellStyle name="Comma 8 6 2 2 2 3" xfId="15576"/>
    <cellStyle name="Comma 8 6 2 2 3" xfId="7586"/>
    <cellStyle name="Comma 8 6 2 2 3 2" xfId="12460"/>
    <cellStyle name="Comma 8 6 2 2 3 2 2" xfId="18999"/>
    <cellStyle name="Comma 8 6 2 2 3 3" xfId="16147"/>
    <cellStyle name="Comma 8 6 2 2 4" xfId="9858"/>
    <cellStyle name="Comma 8 6 2 2 4 2" xfId="13031"/>
    <cellStyle name="Comma 8 6 2 2 4 2 2" xfId="19570"/>
    <cellStyle name="Comma 8 6 2 2 4 3" xfId="16718"/>
    <cellStyle name="Comma 8 6 2 2 5" xfId="3361"/>
    <cellStyle name="Comma 8 6 2 2 5 2" xfId="11318"/>
    <cellStyle name="Comma 8 6 2 2 5 2 2" xfId="17857"/>
    <cellStyle name="Comma 8 6 2 2 5 3" xfId="15005"/>
    <cellStyle name="Comma 8 6 2 2 6" xfId="2785"/>
    <cellStyle name="Comma 8 6 2 2 6 2" xfId="14433"/>
    <cellStyle name="Comma 8 6 2 2 7" xfId="10746"/>
    <cellStyle name="Comma 8 6 2 2 7 2" xfId="17285"/>
    <cellStyle name="Comma 8 6 2 2 8" xfId="13865"/>
    <cellStyle name="Comma 8 6 2 3" xfId="4179"/>
    <cellStyle name="Comma 8 6 2 3 2" xfId="11604"/>
    <cellStyle name="Comma 8 6 2 3 2 2" xfId="18143"/>
    <cellStyle name="Comma 8 6 2 3 3" xfId="15291"/>
    <cellStyle name="Comma 8 6 2 4" xfId="6451"/>
    <cellStyle name="Comma 8 6 2 4 2" xfId="12175"/>
    <cellStyle name="Comma 8 6 2 4 2 2" xfId="18714"/>
    <cellStyle name="Comma 8 6 2 4 3" xfId="15862"/>
    <cellStyle name="Comma 8 6 2 5" xfId="8723"/>
    <cellStyle name="Comma 8 6 2 5 2" xfId="12746"/>
    <cellStyle name="Comma 8 6 2 5 2 2" xfId="19285"/>
    <cellStyle name="Comma 8 6 2 5 3" xfId="16433"/>
    <cellStyle name="Comma 8 6 2 6" xfId="3076"/>
    <cellStyle name="Comma 8 6 2 6 2" xfId="11033"/>
    <cellStyle name="Comma 8 6 2 6 2 2" xfId="17572"/>
    <cellStyle name="Comma 8 6 2 6 3" xfId="14720"/>
    <cellStyle name="Comma 8 6 2 7" xfId="2505"/>
    <cellStyle name="Comma 8 6 2 7 2" xfId="14153"/>
    <cellStyle name="Comma 8 6 2 8" xfId="10466"/>
    <cellStyle name="Comma 8 6 2 8 2" xfId="17005"/>
    <cellStyle name="Comma 8 6 2 9" xfId="13580"/>
    <cellStyle name="Comma 8 6 3" xfId="1440"/>
    <cellStyle name="Comma 8 6 3 2" xfId="4860"/>
    <cellStyle name="Comma 8 6 3 2 2" xfId="11775"/>
    <cellStyle name="Comma 8 6 3 2 2 2" xfId="18314"/>
    <cellStyle name="Comma 8 6 3 2 3" xfId="15462"/>
    <cellStyle name="Comma 8 6 3 3" xfId="7132"/>
    <cellStyle name="Comma 8 6 3 3 2" xfId="12346"/>
    <cellStyle name="Comma 8 6 3 3 2 2" xfId="18885"/>
    <cellStyle name="Comma 8 6 3 3 3" xfId="16033"/>
    <cellStyle name="Comma 8 6 3 4" xfId="9404"/>
    <cellStyle name="Comma 8 6 3 4 2" xfId="12917"/>
    <cellStyle name="Comma 8 6 3 4 2 2" xfId="19456"/>
    <cellStyle name="Comma 8 6 3 4 3" xfId="16604"/>
    <cellStyle name="Comma 8 6 3 5" xfId="3247"/>
    <cellStyle name="Comma 8 6 3 5 2" xfId="11204"/>
    <cellStyle name="Comma 8 6 3 5 2 2" xfId="17743"/>
    <cellStyle name="Comma 8 6 3 5 3" xfId="14891"/>
    <cellStyle name="Comma 8 6 3 6" xfId="2673"/>
    <cellStyle name="Comma 8 6 3 6 2" xfId="14321"/>
    <cellStyle name="Comma 8 6 3 7" xfId="10634"/>
    <cellStyle name="Comma 8 6 3 7 2" xfId="17173"/>
    <cellStyle name="Comma 8 6 3 8" xfId="13751"/>
    <cellStyle name="Comma 8 6 4" xfId="3725"/>
    <cellStyle name="Comma 8 6 4 2" xfId="11490"/>
    <cellStyle name="Comma 8 6 4 2 2" xfId="18029"/>
    <cellStyle name="Comma 8 6 4 3" xfId="15177"/>
    <cellStyle name="Comma 8 6 5" xfId="5997"/>
    <cellStyle name="Comma 8 6 5 2" xfId="12061"/>
    <cellStyle name="Comma 8 6 5 2 2" xfId="18600"/>
    <cellStyle name="Comma 8 6 5 3" xfId="15748"/>
    <cellStyle name="Comma 8 6 6" xfId="8269"/>
    <cellStyle name="Comma 8 6 6 2" xfId="12632"/>
    <cellStyle name="Comma 8 6 6 2 2" xfId="19171"/>
    <cellStyle name="Comma 8 6 6 3" xfId="16319"/>
    <cellStyle name="Comma 8 6 7" xfId="2962"/>
    <cellStyle name="Comma 8 6 7 2" xfId="10919"/>
    <cellStyle name="Comma 8 6 7 2 2" xfId="17458"/>
    <cellStyle name="Comma 8 6 7 3" xfId="14606"/>
    <cellStyle name="Comma 8 6 8" xfId="2393"/>
    <cellStyle name="Comma 8 6 8 2" xfId="14041"/>
    <cellStyle name="Comma 8 6 9" xfId="10354"/>
    <cellStyle name="Comma 8 6 9 2" xfId="16893"/>
    <cellStyle name="Comma 8 7" xfId="986"/>
    <cellStyle name="Comma 8 7 2" xfId="2121"/>
    <cellStyle name="Comma 8 7 2 2" xfId="5541"/>
    <cellStyle name="Comma 8 7 2 2 2" xfId="11946"/>
    <cellStyle name="Comma 8 7 2 2 2 2" xfId="18485"/>
    <cellStyle name="Comma 8 7 2 2 3" xfId="15633"/>
    <cellStyle name="Comma 8 7 2 3" xfId="7813"/>
    <cellStyle name="Comma 8 7 2 3 2" xfId="12517"/>
    <cellStyle name="Comma 8 7 2 3 2 2" xfId="19056"/>
    <cellStyle name="Comma 8 7 2 3 3" xfId="16204"/>
    <cellStyle name="Comma 8 7 2 4" xfId="10085"/>
    <cellStyle name="Comma 8 7 2 4 2" xfId="13088"/>
    <cellStyle name="Comma 8 7 2 4 2 2" xfId="19627"/>
    <cellStyle name="Comma 8 7 2 4 3" xfId="16775"/>
    <cellStyle name="Comma 8 7 2 5" xfId="3418"/>
    <cellStyle name="Comma 8 7 2 5 2" xfId="11375"/>
    <cellStyle name="Comma 8 7 2 5 2 2" xfId="17914"/>
    <cellStyle name="Comma 8 7 2 5 3" xfId="15062"/>
    <cellStyle name="Comma 8 7 2 6" xfId="2841"/>
    <cellStyle name="Comma 8 7 2 6 2" xfId="14489"/>
    <cellStyle name="Comma 8 7 2 7" xfId="10802"/>
    <cellStyle name="Comma 8 7 2 7 2" xfId="17341"/>
    <cellStyle name="Comma 8 7 2 8" xfId="13922"/>
    <cellStyle name="Comma 8 7 3" xfId="4406"/>
    <cellStyle name="Comma 8 7 3 2" xfId="11661"/>
    <cellStyle name="Comma 8 7 3 2 2" xfId="18200"/>
    <cellStyle name="Comma 8 7 3 3" xfId="15348"/>
    <cellStyle name="Comma 8 7 4" xfId="6678"/>
    <cellStyle name="Comma 8 7 4 2" xfId="12232"/>
    <cellStyle name="Comma 8 7 4 2 2" xfId="18771"/>
    <cellStyle name="Comma 8 7 4 3" xfId="15919"/>
    <cellStyle name="Comma 8 7 5" xfId="8950"/>
    <cellStyle name="Comma 8 7 5 2" xfId="12803"/>
    <cellStyle name="Comma 8 7 5 2 2" xfId="19342"/>
    <cellStyle name="Comma 8 7 5 3" xfId="16490"/>
    <cellStyle name="Comma 8 7 6" xfId="3133"/>
    <cellStyle name="Comma 8 7 6 2" xfId="11090"/>
    <cellStyle name="Comma 8 7 6 2 2" xfId="17629"/>
    <cellStyle name="Comma 8 7 6 3" xfId="14777"/>
    <cellStyle name="Comma 8 7 7" xfId="2561"/>
    <cellStyle name="Comma 8 7 7 2" xfId="14209"/>
    <cellStyle name="Comma 8 7 8" xfId="10522"/>
    <cellStyle name="Comma 8 7 8 2" xfId="17061"/>
    <cellStyle name="Comma 8 7 9" xfId="13637"/>
    <cellStyle name="Comma 8 8" xfId="532"/>
    <cellStyle name="Comma 8 8 2" xfId="1667"/>
    <cellStyle name="Comma 8 8 2 2" xfId="5087"/>
    <cellStyle name="Comma 8 8 2 2 2" xfId="11832"/>
    <cellStyle name="Comma 8 8 2 2 2 2" xfId="18371"/>
    <cellStyle name="Comma 8 8 2 2 3" xfId="15519"/>
    <cellStyle name="Comma 8 8 2 3" xfId="7359"/>
    <cellStyle name="Comma 8 8 2 3 2" xfId="12403"/>
    <cellStyle name="Comma 8 8 2 3 2 2" xfId="18942"/>
    <cellStyle name="Comma 8 8 2 3 3" xfId="16090"/>
    <cellStyle name="Comma 8 8 2 4" xfId="9631"/>
    <cellStyle name="Comma 8 8 2 4 2" xfId="12974"/>
    <cellStyle name="Comma 8 8 2 4 2 2" xfId="19513"/>
    <cellStyle name="Comma 8 8 2 4 3" xfId="16661"/>
    <cellStyle name="Comma 8 8 2 5" xfId="3304"/>
    <cellStyle name="Comma 8 8 2 5 2" xfId="11261"/>
    <cellStyle name="Comma 8 8 2 5 2 2" xfId="17800"/>
    <cellStyle name="Comma 8 8 2 5 3" xfId="14948"/>
    <cellStyle name="Comma 8 8 2 6" xfId="2729"/>
    <cellStyle name="Comma 8 8 2 6 2" xfId="14377"/>
    <cellStyle name="Comma 8 8 2 7" xfId="10690"/>
    <cellStyle name="Comma 8 8 2 7 2" xfId="17229"/>
    <cellStyle name="Comma 8 8 2 8" xfId="13808"/>
    <cellStyle name="Comma 8 8 3" xfId="3952"/>
    <cellStyle name="Comma 8 8 3 2" xfId="11547"/>
    <cellStyle name="Comma 8 8 3 2 2" xfId="18086"/>
    <cellStyle name="Comma 8 8 3 3" xfId="15234"/>
    <cellStyle name="Comma 8 8 4" xfId="6224"/>
    <cellStyle name="Comma 8 8 4 2" xfId="12118"/>
    <cellStyle name="Comma 8 8 4 2 2" xfId="18657"/>
    <cellStyle name="Comma 8 8 4 3" xfId="15805"/>
    <cellStyle name="Comma 8 8 5" xfId="8496"/>
    <cellStyle name="Comma 8 8 5 2" xfId="12689"/>
    <cellStyle name="Comma 8 8 5 2 2" xfId="19228"/>
    <cellStyle name="Comma 8 8 5 3" xfId="16376"/>
    <cellStyle name="Comma 8 8 6" xfId="3019"/>
    <cellStyle name="Comma 8 8 6 2" xfId="10976"/>
    <cellStyle name="Comma 8 8 6 2 2" xfId="17515"/>
    <cellStyle name="Comma 8 8 6 3" xfId="14663"/>
    <cellStyle name="Comma 8 8 7" xfId="2449"/>
    <cellStyle name="Comma 8 8 7 2" xfId="14097"/>
    <cellStyle name="Comma 8 8 8" xfId="10410"/>
    <cellStyle name="Comma 8 8 8 2" xfId="16949"/>
    <cellStyle name="Comma 8 8 9" xfId="13523"/>
    <cellStyle name="Comma 8 9" xfId="1213"/>
    <cellStyle name="Comma 8 9 2" xfId="4633"/>
    <cellStyle name="Comma 8 9 2 2" xfId="11718"/>
    <cellStyle name="Comma 8 9 2 2 2" xfId="18257"/>
    <cellStyle name="Comma 8 9 2 3" xfId="15405"/>
    <cellStyle name="Comma 8 9 3" xfId="6905"/>
    <cellStyle name="Comma 8 9 3 2" xfId="12289"/>
    <cellStyle name="Comma 8 9 3 2 2" xfId="18828"/>
    <cellStyle name="Comma 8 9 3 3" xfId="15976"/>
    <cellStyle name="Comma 8 9 4" xfId="9177"/>
    <cellStyle name="Comma 8 9 4 2" xfId="12860"/>
    <cellStyle name="Comma 8 9 4 2 2" xfId="19399"/>
    <cellStyle name="Comma 8 9 4 3" xfId="16547"/>
    <cellStyle name="Comma 8 9 5" xfId="3190"/>
    <cellStyle name="Comma 8 9 5 2" xfId="11147"/>
    <cellStyle name="Comma 8 9 5 2 2" xfId="17686"/>
    <cellStyle name="Comma 8 9 5 3" xfId="14834"/>
    <cellStyle name="Comma 8 9 6" xfId="2617"/>
    <cellStyle name="Comma 8 9 6 2" xfId="14265"/>
    <cellStyle name="Comma 8 9 7" xfId="10578"/>
    <cellStyle name="Comma 8 9 7 2" xfId="17117"/>
    <cellStyle name="Comma 8 9 8" xfId="13694"/>
    <cellStyle name="Comma 9" xfId="67"/>
    <cellStyle name="Comma 9 10" xfId="3500"/>
    <cellStyle name="Comma 9 10 2" xfId="11434"/>
    <cellStyle name="Comma 9 10 2 2" xfId="17973"/>
    <cellStyle name="Comma 9 10 3" xfId="15121"/>
    <cellStyle name="Comma 9 11" xfId="5772"/>
    <cellStyle name="Comma 9 11 2" xfId="12005"/>
    <cellStyle name="Comma 9 11 2 2" xfId="18544"/>
    <cellStyle name="Comma 9 11 3" xfId="15692"/>
    <cellStyle name="Comma 9 12" xfId="8044"/>
    <cellStyle name="Comma 9 12 2" xfId="12576"/>
    <cellStyle name="Comma 9 12 2 2" xfId="19115"/>
    <cellStyle name="Comma 9 12 3" xfId="16263"/>
    <cellStyle name="Comma 9 13" xfId="2901"/>
    <cellStyle name="Comma 9 13 2" xfId="10861"/>
    <cellStyle name="Comma 9 13 2 2" xfId="17400"/>
    <cellStyle name="Comma 9 13 3" xfId="14548"/>
    <cellStyle name="Comma 9 14" xfId="2336"/>
    <cellStyle name="Comma 9 14 2" xfId="13984"/>
    <cellStyle name="Comma 9 15" xfId="10297"/>
    <cellStyle name="Comma 9 15 2" xfId="16836"/>
    <cellStyle name="Comma 9 16" xfId="13265"/>
    <cellStyle name="Comma 9 16 2" xfId="19774"/>
    <cellStyle name="Comma 9 17" xfId="13408"/>
    <cellStyle name="Comma 9 18" xfId="19868"/>
    <cellStyle name="Comma 9 19" xfId="20107"/>
    <cellStyle name="Comma 9 2" xfId="97"/>
    <cellStyle name="Comma 9 2 10" xfId="5800"/>
    <cellStyle name="Comma 9 2 10 2" xfId="12012"/>
    <cellStyle name="Comma 9 2 10 2 2" xfId="18551"/>
    <cellStyle name="Comma 9 2 10 3" xfId="15699"/>
    <cellStyle name="Comma 9 2 11" xfId="8072"/>
    <cellStyle name="Comma 9 2 11 2" xfId="12583"/>
    <cellStyle name="Comma 9 2 11 2 2" xfId="19122"/>
    <cellStyle name="Comma 9 2 11 3" xfId="16270"/>
    <cellStyle name="Comma 9 2 12" xfId="2910"/>
    <cellStyle name="Comma 9 2 12 2" xfId="10869"/>
    <cellStyle name="Comma 9 2 12 2 2" xfId="17408"/>
    <cellStyle name="Comma 9 2 12 3" xfId="14556"/>
    <cellStyle name="Comma 9 2 13" xfId="2344"/>
    <cellStyle name="Comma 9 2 13 2" xfId="13992"/>
    <cellStyle name="Comma 9 2 14" xfId="10305"/>
    <cellStyle name="Comma 9 2 14 2" xfId="16844"/>
    <cellStyle name="Comma 9 2 15" xfId="13266"/>
    <cellStyle name="Comma 9 2 15 2" xfId="19775"/>
    <cellStyle name="Comma 9 2 16" xfId="13416"/>
    <cellStyle name="Comma 9 2 17" xfId="19869"/>
    <cellStyle name="Comma 9 2 18" xfId="20269"/>
    <cellStyle name="Comma 9 2 2" xfId="209"/>
    <cellStyle name="Comma 9 2 2 10" xfId="2372"/>
    <cellStyle name="Comma 9 2 2 10 2" xfId="14020"/>
    <cellStyle name="Comma 9 2 2 11" xfId="10333"/>
    <cellStyle name="Comma 9 2 2 11 2" xfId="16872"/>
    <cellStyle name="Comma 9 2 2 12" xfId="13444"/>
    <cellStyle name="Comma 9 2 2 2" xfId="447"/>
    <cellStyle name="Comma 9 2 2 2 10" xfId="13502"/>
    <cellStyle name="Comma 9 2 2 2 2" xfId="901"/>
    <cellStyle name="Comma 9 2 2 2 2 2" xfId="2036"/>
    <cellStyle name="Comma 9 2 2 2 2 2 2" xfId="5456"/>
    <cellStyle name="Comma 9 2 2 2 2 2 2 2" xfId="11925"/>
    <cellStyle name="Comma 9 2 2 2 2 2 2 2 2" xfId="18464"/>
    <cellStyle name="Comma 9 2 2 2 2 2 2 3" xfId="15612"/>
    <cellStyle name="Comma 9 2 2 2 2 2 3" xfId="7728"/>
    <cellStyle name="Comma 9 2 2 2 2 2 3 2" xfId="12496"/>
    <cellStyle name="Comma 9 2 2 2 2 2 3 2 2" xfId="19035"/>
    <cellStyle name="Comma 9 2 2 2 2 2 3 3" xfId="16183"/>
    <cellStyle name="Comma 9 2 2 2 2 2 4" xfId="10000"/>
    <cellStyle name="Comma 9 2 2 2 2 2 4 2" xfId="13067"/>
    <cellStyle name="Comma 9 2 2 2 2 2 4 2 2" xfId="19606"/>
    <cellStyle name="Comma 9 2 2 2 2 2 4 3" xfId="16754"/>
    <cellStyle name="Comma 9 2 2 2 2 2 5" xfId="3397"/>
    <cellStyle name="Comma 9 2 2 2 2 2 5 2" xfId="11354"/>
    <cellStyle name="Comma 9 2 2 2 2 2 5 2 2" xfId="17893"/>
    <cellStyle name="Comma 9 2 2 2 2 2 5 3" xfId="15041"/>
    <cellStyle name="Comma 9 2 2 2 2 2 6" xfId="2821"/>
    <cellStyle name="Comma 9 2 2 2 2 2 6 2" xfId="14469"/>
    <cellStyle name="Comma 9 2 2 2 2 2 7" xfId="10782"/>
    <cellStyle name="Comma 9 2 2 2 2 2 7 2" xfId="17321"/>
    <cellStyle name="Comma 9 2 2 2 2 2 8" xfId="13901"/>
    <cellStyle name="Comma 9 2 2 2 2 3" xfId="4321"/>
    <cellStyle name="Comma 9 2 2 2 2 3 2" xfId="11640"/>
    <cellStyle name="Comma 9 2 2 2 2 3 2 2" xfId="18179"/>
    <cellStyle name="Comma 9 2 2 2 2 3 3" xfId="15327"/>
    <cellStyle name="Comma 9 2 2 2 2 4" xfId="6593"/>
    <cellStyle name="Comma 9 2 2 2 2 4 2" xfId="12211"/>
    <cellStyle name="Comma 9 2 2 2 2 4 2 2" xfId="18750"/>
    <cellStyle name="Comma 9 2 2 2 2 4 3" xfId="15898"/>
    <cellStyle name="Comma 9 2 2 2 2 5" xfId="8865"/>
    <cellStyle name="Comma 9 2 2 2 2 5 2" xfId="12782"/>
    <cellStyle name="Comma 9 2 2 2 2 5 2 2" xfId="19321"/>
    <cellStyle name="Comma 9 2 2 2 2 5 3" xfId="16469"/>
    <cellStyle name="Comma 9 2 2 2 2 6" xfId="3112"/>
    <cellStyle name="Comma 9 2 2 2 2 6 2" xfId="11069"/>
    <cellStyle name="Comma 9 2 2 2 2 6 2 2" xfId="17608"/>
    <cellStyle name="Comma 9 2 2 2 2 6 3" xfId="14756"/>
    <cellStyle name="Comma 9 2 2 2 2 7" xfId="2541"/>
    <cellStyle name="Comma 9 2 2 2 2 7 2" xfId="14189"/>
    <cellStyle name="Comma 9 2 2 2 2 8" xfId="10502"/>
    <cellStyle name="Comma 9 2 2 2 2 8 2" xfId="17041"/>
    <cellStyle name="Comma 9 2 2 2 2 9" xfId="13616"/>
    <cellStyle name="Comma 9 2 2 2 3" xfId="1582"/>
    <cellStyle name="Comma 9 2 2 2 3 2" xfId="5002"/>
    <cellStyle name="Comma 9 2 2 2 3 2 2" xfId="11811"/>
    <cellStyle name="Comma 9 2 2 2 3 2 2 2" xfId="18350"/>
    <cellStyle name="Comma 9 2 2 2 3 2 3" xfId="15498"/>
    <cellStyle name="Comma 9 2 2 2 3 3" xfId="7274"/>
    <cellStyle name="Comma 9 2 2 2 3 3 2" xfId="12382"/>
    <cellStyle name="Comma 9 2 2 2 3 3 2 2" xfId="18921"/>
    <cellStyle name="Comma 9 2 2 2 3 3 3" xfId="16069"/>
    <cellStyle name="Comma 9 2 2 2 3 4" xfId="9546"/>
    <cellStyle name="Comma 9 2 2 2 3 4 2" xfId="12953"/>
    <cellStyle name="Comma 9 2 2 2 3 4 2 2" xfId="19492"/>
    <cellStyle name="Comma 9 2 2 2 3 4 3" xfId="16640"/>
    <cellStyle name="Comma 9 2 2 2 3 5" xfId="3283"/>
    <cellStyle name="Comma 9 2 2 2 3 5 2" xfId="11240"/>
    <cellStyle name="Comma 9 2 2 2 3 5 2 2" xfId="17779"/>
    <cellStyle name="Comma 9 2 2 2 3 5 3" xfId="14927"/>
    <cellStyle name="Comma 9 2 2 2 3 6" xfId="2709"/>
    <cellStyle name="Comma 9 2 2 2 3 6 2" xfId="14357"/>
    <cellStyle name="Comma 9 2 2 2 3 7" xfId="10670"/>
    <cellStyle name="Comma 9 2 2 2 3 7 2" xfId="17209"/>
    <cellStyle name="Comma 9 2 2 2 3 8" xfId="13787"/>
    <cellStyle name="Comma 9 2 2 2 4" xfId="3867"/>
    <cellStyle name="Comma 9 2 2 2 4 2" xfId="11526"/>
    <cellStyle name="Comma 9 2 2 2 4 2 2" xfId="18065"/>
    <cellStyle name="Comma 9 2 2 2 4 3" xfId="15213"/>
    <cellStyle name="Comma 9 2 2 2 5" xfId="6139"/>
    <cellStyle name="Comma 9 2 2 2 5 2" xfId="12097"/>
    <cellStyle name="Comma 9 2 2 2 5 2 2" xfId="18636"/>
    <cellStyle name="Comma 9 2 2 2 5 3" xfId="15784"/>
    <cellStyle name="Comma 9 2 2 2 6" xfId="8411"/>
    <cellStyle name="Comma 9 2 2 2 6 2" xfId="12668"/>
    <cellStyle name="Comma 9 2 2 2 6 2 2" xfId="19207"/>
    <cellStyle name="Comma 9 2 2 2 6 3" xfId="16355"/>
    <cellStyle name="Comma 9 2 2 2 7" xfId="2998"/>
    <cellStyle name="Comma 9 2 2 2 7 2" xfId="10955"/>
    <cellStyle name="Comma 9 2 2 2 7 2 2" xfId="17494"/>
    <cellStyle name="Comma 9 2 2 2 7 3" xfId="14642"/>
    <cellStyle name="Comma 9 2 2 2 8" xfId="2429"/>
    <cellStyle name="Comma 9 2 2 2 8 2" xfId="14077"/>
    <cellStyle name="Comma 9 2 2 2 9" xfId="10390"/>
    <cellStyle name="Comma 9 2 2 2 9 2" xfId="16929"/>
    <cellStyle name="Comma 9 2 2 3" xfId="1128"/>
    <cellStyle name="Comma 9 2 2 3 2" xfId="2263"/>
    <cellStyle name="Comma 9 2 2 3 2 2" xfId="5683"/>
    <cellStyle name="Comma 9 2 2 3 2 2 2" xfId="11982"/>
    <cellStyle name="Comma 9 2 2 3 2 2 2 2" xfId="18521"/>
    <cellStyle name="Comma 9 2 2 3 2 2 3" xfId="15669"/>
    <cellStyle name="Comma 9 2 2 3 2 3" xfId="7955"/>
    <cellStyle name="Comma 9 2 2 3 2 3 2" xfId="12553"/>
    <cellStyle name="Comma 9 2 2 3 2 3 2 2" xfId="19092"/>
    <cellStyle name="Comma 9 2 2 3 2 3 3" xfId="16240"/>
    <cellStyle name="Comma 9 2 2 3 2 4" xfId="10227"/>
    <cellStyle name="Comma 9 2 2 3 2 4 2" xfId="13124"/>
    <cellStyle name="Comma 9 2 2 3 2 4 2 2" xfId="19663"/>
    <cellStyle name="Comma 9 2 2 3 2 4 3" xfId="16811"/>
    <cellStyle name="Comma 9 2 2 3 2 5" xfId="3454"/>
    <cellStyle name="Comma 9 2 2 3 2 5 2" xfId="11411"/>
    <cellStyle name="Comma 9 2 2 3 2 5 2 2" xfId="17950"/>
    <cellStyle name="Comma 9 2 2 3 2 5 3" xfId="15098"/>
    <cellStyle name="Comma 9 2 2 3 2 6" xfId="2877"/>
    <cellStyle name="Comma 9 2 2 3 2 6 2" xfId="14525"/>
    <cellStyle name="Comma 9 2 2 3 2 7" xfId="10838"/>
    <cellStyle name="Comma 9 2 2 3 2 7 2" xfId="17377"/>
    <cellStyle name="Comma 9 2 2 3 2 8" xfId="13958"/>
    <cellStyle name="Comma 9 2 2 3 3" xfId="4548"/>
    <cellStyle name="Comma 9 2 2 3 3 2" xfId="11697"/>
    <cellStyle name="Comma 9 2 2 3 3 2 2" xfId="18236"/>
    <cellStyle name="Comma 9 2 2 3 3 3" xfId="15384"/>
    <cellStyle name="Comma 9 2 2 3 4" xfId="6820"/>
    <cellStyle name="Comma 9 2 2 3 4 2" xfId="12268"/>
    <cellStyle name="Comma 9 2 2 3 4 2 2" xfId="18807"/>
    <cellStyle name="Comma 9 2 2 3 4 3" xfId="15955"/>
    <cellStyle name="Comma 9 2 2 3 5" xfId="9092"/>
    <cellStyle name="Comma 9 2 2 3 5 2" xfId="12839"/>
    <cellStyle name="Comma 9 2 2 3 5 2 2" xfId="19378"/>
    <cellStyle name="Comma 9 2 2 3 5 3" xfId="16526"/>
    <cellStyle name="Comma 9 2 2 3 6" xfId="3169"/>
    <cellStyle name="Comma 9 2 2 3 6 2" xfId="11126"/>
    <cellStyle name="Comma 9 2 2 3 6 2 2" xfId="17665"/>
    <cellStyle name="Comma 9 2 2 3 6 3" xfId="14813"/>
    <cellStyle name="Comma 9 2 2 3 7" xfId="2597"/>
    <cellStyle name="Comma 9 2 2 3 7 2" xfId="14245"/>
    <cellStyle name="Comma 9 2 2 3 8" xfId="10558"/>
    <cellStyle name="Comma 9 2 2 3 8 2" xfId="17097"/>
    <cellStyle name="Comma 9 2 2 3 9" xfId="13673"/>
    <cellStyle name="Comma 9 2 2 4" xfId="674"/>
    <cellStyle name="Comma 9 2 2 4 2" xfId="1809"/>
    <cellStyle name="Comma 9 2 2 4 2 2" xfId="5229"/>
    <cellStyle name="Comma 9 2 2 4 2 2 2" xfId="11868"/>
    <cellStyle name="Comma 9 2 2 4 2 2 2 2" xfId="18407"/>
    <cellStyle name="Comma 9 2 2 4 2 2 3" xfId="15555"/>
    <cellStyle name="Comma 9 2 2 4 2 3" xfId="7501"/>
    <cellStyle name="Comma 9 2 2 4 2 3 2" xfId="12439"/>
    <cellStyle name="Comma 9 2 2 4 2 3 2 2" xfId="18978"/>
    <cellStyle name="Comma 9 2 2 4 2 3 3" xfId="16126"/>
    <cellStyle name="Comma 9 2 2 4 2 4" xfId="9773"/>
    <cellStyle name="Comma 9 2 2 4 2 4 2" xfId="13010"/>
    <cellStyle name="Comma 9 2 2 4 2 4 2 2" xfId="19549"/>
    <cellStyle name="Comma 9 2 2 4 2 4 3" xfId="16697"/>
    <cellStyle name="Comma 9 2 2 4 2 5" xfId="3340"/>
    <cellStyle name="Comma 9 2 2 4 2 5 2" xfId="11297"/>
    <cellStyle name="Comma 9 2 2 4 2 5 2 2" xfId="17836"/>
    <cellStyle name="Comma 9 2 2 4 2 5 3" xfId="14984"/>
    <cellStyle name="Comma 9 2 2 4 2 6" xfId="2765"/>
    <cellStyle name="Comma 9 2 2 4 2 6 2" xfId="14413"/>
    <cellStyle name="Comma 9 2 2 4 2 7" xfId="10726"/>
    <cellStyle name="Comma 9 2 2 4 2 7 2" xfId="17265"/>
    <cellStyle name="Comma 9 2 2 4 2 8" xfId="13844"/>
    <cellStyle name="Comma 9 2 2 4 3" xfId="4094"/>
    <cellStyle name="Comma 9 2 2 4 3 2" xfId="11583"/>
    <cellStyle name="Comma 9 2 2 4 3 2 2" xfId="18122"/>
    <cellStyle name="Comma 9 2 2 4 3 3" xfId="15270"/>
    <cellStyle name="Comma 9 2 2 4 4" xfId="6366"/>
    <cellStyle name="Comma 9 2 2 4 4 2" xfId="12154"/>
    <cellStyle name="Comma 9 2 2 4 4 2 2" xfId="18693"/>
    <cellStyle name="Comma 9 2 2 4 4 3" xfId="15841"/>
    <cellStyle name="Comma 9 2 2 4 5" xfId="8638"/>
    <cellStyle name="Comma 9 2 2 4 5 2" xfId="12725"/>
    <cellStyle name="Comma 9 2 2 4 5 2 2" xfId="19264"/>
    <cellStyle name="Comma 9 2 2 4 5 3" xfId="16412"/>
    <cellStyle name="Comma 9 2 2 4 6" xfId="3055"/>
    <cellStyle name="Comma 9 2 2 4 6 2" xfId="11012"/>
    <cellStyle name="Comma 9 2 2 4 6 2 2" xfId="17551"/>
    <cellStyle name="Comma 9 2 2 4 6 3" xfId="14699"/>
    <cellStyle name="Comma 9 2 2 4 7" xfId="2485"/>
    <cellStyle name="Comma 9 2 2 4 7 2" xfId="14133"/>
    <cellStyle name="Comma 9 2 2 4 8" xfId="10446"/>
    <cellStyle name="Comma 9 2 2 4 8 2" xfId="16985"/>
    <cellStyle name="Comma 9 2 2 4 9" xfId="13559"/>
    <cellStyle name="Comma 9 2 2 5" xfId="1355"/>
    <cellStyle name="Comma 9 2 2 5 2" xfId="4775"/>
    <cellStyle name="Comma 9 2 2 5 2 2" xfId="11754"/>
    <cellStyle name="Comma 9 2 2 5 2 2 2" xfId="18293"/>
    <cellStyle name="Comma 9 2 2 5 2 3" xfId="15441"/>
    <cellStyle name="Comma 9 2 2 5 3" xfId="7047"/>
    <cellStyle name="Comma 9 2 2 5 3 2" xfId="12325"/>
    <cellStyle name="Comma 9 2 2 5 3 2 2" xfId="18864"/>
    <cellStyle name="Comma 9 2 2 5 3 3" xfId="16012"/>
    <cellStyle name="Comma 9 2 2 5 4" xfId="9319"/>
    <cellStyle name="Comma 9 2 2 5 4 2" xfId="12896"/>
    <cellStyle name="Comma 9 2 2 5 4 2 2" xfId="19435"/>
    <cellStyle name="Comma 9 2 2 5 4 3" xfId="16583"/>
    <cellStyle name="Comma 9 2 2 5 5" xfId="3226"/>
    <cellStyle name="Comma 9 2 2 5 5 2" xfId="11183"/>
    <cellStyle name="Comma 9 2 2 5 5 2 2" xfId="17722"/>
    <cellStyle name="Comma 9 2 2 5 5 3" xfId="14870"/>
    <cellStyle name="Comma 9 2 2 5 6" xfId="2653"/>
    <cellStyle name="Comma 9 2 2 5 6 2" xfId="14301"/>
    <cellStyle name="Comma 9 2 2 5 7" xfId="10614"/>
    <cellStyle name="Comma 9 2 2 5 7 2" xfId="17153"/>
    <cellStyle name="Comma 9 2 2 5 8" xfId="13730"/>
    <cellStyle name="Comma 9 2 2 6" xfId="3640"/>
    <cellStyle name="Comma 9 2 2 6 2" xfId="11469"/>
    <cellStyle name="Comma 9 2 2 6 2 2" xfId="18008"/>
    <cellStyle name="Comma 9 2 2 6 3" xfId="15156"/>
    <cellStyle name="Comma 9 2 2 7" xfId="5912"/>
    <cellStyle name="Comma 9 2 2 7 2" xfId="12040"/>
    <cellStyle name="Comma 9 2 2 7 2 2" xfId="18579"/>
    <cellStyle name="Comma 9 2 2 7 3" xfId="15727"/>
    <cellStyle name="Comma 9 2 2 8" xfId="8184"/>
    <cellStyle name="Comma 9 2 2 8 2" xfId="12611"/>
    <cellStyle name="Comma 9 2 2 8 2 2" xfId="19150"/>
    <cellStyle name="Comma 9 2 2 8 3" xfId="16298"/>
    <cellStyle name="Comma 9 2 2 9" xfId="2938"/>
    <cellStyle name="Comma 9 2 2 9 2" xfId="10897"/>
    <cellStyle name="Comma 9 2 2 9 2 2" xfId="17436"/>
    <cellStyle name="Comma 9 2 2 9 3" xfId="14584"/>
    <cellStyle name="Comma 9 2 3" xfId="153"/>
    <cellStyle name="Comma 9 2 3 10" xfId="2358"/>
    <cellStyle name="Comma 9 2 3 10 2" xfId="14006"/>
    <cellStyle name="Comma 9 2 3 11" xfId="10319"/>
    <cellStyle name="Comma 9 2 3 11 2" xfId="16858"/>
    <cellStyle name="Comma 9 2 3 12" xfId="13430"/>
    <cellStyle name="Comma 9 2 3 2" xfId="391"/>
    <cellStyle name="Comma 9 2 3 2 10" xfId="13488"/>
    <cellStyle name="Comma 9 2 3 2 2" xfId="845"/>
    <cellStyle name="Comma 9 2 3 2 2 2" xfId="1980"/>
    <cellStyle name="Comma 9 2 3 2 2 2 2" xfId="5400"/>
    <cellStyle name="Comma 9 2 3 2 2 2 2 2" xfId="11911"/>
    <cellStyle name="Comma 9 2 3 2 2 2 2 2 2" xfId="18450"/>
    <cellStyle name="Comma 9 2 3 2 2 2 2 3" xfId="15598"/>
    <cellStyle name="Comma 9 2 3 2 2 2 3" xfId="7672"/>
    <cellStyle name="Comma 9 2 3 2 2 2 3 2" xfId="12482"/>
    <cellStyle name="Comma 9 2 3 2 2 2 3 2 2" xfId="19021"/>
    <cellStyle name="Comma 9 2 3 2 2 2 3 3" xfId="16169"/>
    <cellStyle name="Comma 9 2 3 2 2 2 4" xfId="9944"/>
    <cellStyle name="Comma 9 2 3 2 2 2 4 2" xfId="13053"/>
    <cellStyle name="Comma 9 2 3 2 2 2 4 2 2" xfId="19592"/>
    <cellStyle name="Comma 9 2 3 2 2 2 4 3" xfId="16740"/>
    <cellStyle name="Comma 9 2 3 2 2 2 5" xfId="3383"/>
    <cellStyle name="Comma 9 2 3 2 2 2 5 2" xfId="11340"/>
    <cellStyle name="Comma 9 2 3 2 2 2 5 2 2" xfId="17879"/>
    <cellStyle name="Comma 9 2 3 2 2 2 5 3" xfId="15027"/>
    <cellStyle name="Comma 9 2 3 2 2 2 6" xfId="2807"/>
    <cellStyle name="Comma 9 2 3 2 2 2 6 2" xfId="14455"/>
    <cellStyle name="Comma 9 2 3 2 2 2 7" xfId="10768"/>
    <cellStyle name="Comma 9 2 3 2 2 2 7 2" xfId="17307"/>
    <cellStyle name="Comma 9 2 3 2 2 2 8" xfId="13887"/>
    <cellStyle name="Comma 9 2 3 2 2 3" xfId="4265"/>
    <cellStyle name="Comma 9 2 3 2 2 3 2" xfId="11626"/>
    <cellStyle name="Comma 9 2 3 2 2 3 2 2" xfId="18165"/>
    <cellStyle name="Comma 9 2 3 2 2 3 3" xfId="15313"/>
    <cellStyle name="Comma 9 2 3 2 2 4" xfId="6537"/>
    <cellStyle name="Comma 9 2 3 2 2 4 2" xfId="12197"/>
    <cellStyle name="Comma 9 2 3 2 2 4 2 2" xfId="18736"/>
    <cellStyle name="Comma 9 2 3 2 2 4 3" xfId="15884"/>
    <cellStyle name="Comma 9 2 3 2 2 5" xfId="8809"/>
    <cellStyle name="Comma 9 2 3 2 2 5 2" xfId="12768"/>
    <cellStyle name="Comma 9 2 3 2 2 5 2 2" xfId="19307"/>
    <cellStyle name="Comma 9 2 3 2 2 5 3" xfId="16455"/>
    <cellStyle name="Comma 9 2 3 2 2 6" xfId="3098"/>
    <cellStyle name="Comma 9 2 3 2 2 6 2" xfId="11055"/>
    <cellStyle name="Comma 9 2 3 2 2 6 2 2" xfId="17594"/>
    <cellStyle name="Comma 9 2 3 2 2 6 3" xfId="14742"/>
    <cellStyle name="Comma 9 2 3 2 2 7" xfId="2527"/>
    <cellStyle name="Comma 9 2 3 2 2 7 2" xfId="14175"/>
    <cellStyle name="Comma 9 2 3 2 2 8" xfId="10488"/>
    <cellStyle name="Comma 9 2 3 2 2 8 2" xfId="17027"/>
    <cellStyle name="Comma 9 2 3 2 2 9" xfId="13602"/>
    <cellStyle name="Comma 9 2 3 2 3" xfId="1526"/>
    <cellStyle name="Comma 9 2 3 2 3 2" xfId="4946"/>
    <cellStyle name="Comma 9 2 3 2 3 2 2" xfId="11797"/>
    <cellStyle name="Comma 9 2 3 2 3 2 2 2" xfId="18336"/>
    <cellStyle name="Comma 9 2 3 2 3 2 3" xfId="15484"/>
    <cellStyle name="Comma 9 2 3 2 3 3" xfId="7218"/>
    <cellStyle name="Comma 9 2 3 2 3 3 2" xfId="12368"/>
    <cellStyle name="Comma 9 2 3 2 3 3 2 2" xfId="18907"/>
    <cellStyle name="Comma 9 2 3 2 3 3 3" xfId="16055"/>
    <cellStyle name="Comma 9 2 3 2 3 4" xfId="9490"/>
    <cellStyle name="Comma 9 2 3 2 3 4 2" xfId="12939"/>
    <cellStyle name="Comma 9 2 3 2 3 4 2 2" xfId="19478"/>
    <cellStyle name="Comma 9 2 3 2 3 4 3" xfId="16626"/>
    <cellStyle name="Comma 9 2 3 2 3 5" xfId="3269"/>
    <cellStyle name="Comma 9 2 3 2 3 5 2" xfId="11226"/>
    <cellStyle name="Comma 9 2 3 2 3 5 2 2" xfId="17765"/>
    <cellStyle name="Comma 9 2 3 2 3 5 3" xfId="14913"/>
    <cellStyle name="Comma 9 2 3 2 3 6" xfId="2695"/>
    <cellStyle name="Comma 9 2 3 2 3 6 2" xfId="14343"/>
    <cellStyle name="Comma 9 2 3 2 3 7" xfId="10656"/>
    <cellStyle name="Comma 9 2 3 2 3 7 2" xfId="17195"/>
    <cellStyle name="Comma 9 2 3 2 3 8" xfId="13773"/>
    <cellStyle name="Comma 9 2 3 2 4" xfId="3811"/>
    <cellStyle name="Comma 9 2 3 2 4 2" xfId="11512"/>
    <cellStyle name="Comma 9 2 3 2 4 2 2" xfId="18051"/>
    <cellStyle name="Comma 9 2 3 2 4 3" xfId="15199"/>
    <cellStyle name="Comma 9 2 3 2 5" xfId="6083"/>
    <cellStyle name="Comma 9 2 3 2 5 2" xfId="12083"/>
    <cellStyle name="Comma 9 2 3 2 5 2 2" xfId="18622"/>
    <cellStyle name="Comma 9 2 3 2 5 3" xfId="15770"/>
    <cellStyle name="Comma 9 2 3 2 6" xfId="8355"/>
    <cellStyle name="Comma 9 2 3 2 6 2" xfId="12654"/>
    <cellStyle name="Comma 9 2 3 2 6 2 2" xfId="19193"/>
    <cellStyle name="Comma 9 2 3 2 6 3" xfId="16341"/>
    <cellStyle name="Comma 9 2 3 2 7" xfId="2984"/>
    <cellStyle name="Comma 9 2 3 2 7 2" xfId="10941"/>
    <cellStyle name="Comma 9 2 3 2 7 2 2" xfId="17480"/>
    <cellStyle name="Comma 9 2 3 2 7 3" xfId="14628"/>
    <cellStyle name="Comma 9 2 3 2 8" xfId="2415"/>
    <cellStyle name="Comma 9 2 3 2 8 2" xfId="14063"/>
    <cellStyle name="Comma 9 2 3 2 9" xfId="10376"/>
    <cellStyle name="Comma 9 2 3 2 9 2" xfId="16915"/>
    <cellStyle name="Comma 9 2 3 3" xfId="1072"/>
    <cellStyle name="Comma 9 2 3 3 2" xfId="2207"/>
    <cellStyle name="Comma 9 2 3 3 2 2" xfId="5627"/>
    <cellStyle name="Comma 9 2 3 3 2 2 2" xfId="11968"/>
    <cellStyle name="Comma 9 2 3 3 2 2 2 2" xfId="18507"/>
    <cellStyle name="Comma 9 2 3 3 2 2 3" xfId="15655"/>
    <cellStyle name="Comma 9 2 3 3 2 3" xfId="7899"/>
    <cellStyle name="Comma 9 2 3 3 2 3 2" xfId="12539"/>
    <cellStyle name="Comma 9 2 3 3 2 3 2 2" xfId="19078"/>
    <cellStyle name="Comma 9 2 3 3 2 3 3" xfId="16226"/>
    <cellStyle name="Comma 9 2 3 3 2 4" xfId="10171"/>
    <cellStyle name="Comma 9 2 3 3 2 4 2" xfId="13110"/>
    <cellStyle name="Comma 9 2 3 3 2 4 2 2" xfId="19649"/>
    <cellStyle name="Comma 9 2 3 3 2 4 3" xfId="16797"/>
    <cellStyle name="Comma 9 2 3 3 2 5" xfId="3440"/>
    <cellStyle name="Comma 9 2 3 3 2 5 2" xfId="11397"/>
    <cellStyle name="Comma 9 2 3 3 2 5 2 2" xfId="17936"/>
    <cellStyle name="Comma 9 2 3 3 2 5 3" xfId="15084"/>
    <cellStyle name="Comma 9 2 3 3 2 6" xfId="2863"/>
    <cellStyle name="Comma 9 2 3 3 2 6 2" xfId="14511"/>
    <cellStyle name="Comma 9 2 3 3 2 7" xfId="10824"/>
    <cellStyle name="Comma 9 2 3 3 2 7 2" xfId="17363"/>
    <cellStyle name="Comma 9 2 3 3 2 8" xfId="13944"/>
    <cellStyle name="Comma 9 2 3 3 3" xfId="4492"/>
    <cellStyle name="Comma 9 2 3 3 3 2" xfId="11683"/>
    <cellStyle name="Comma 9 2 3 3 3 2 2" xfId="18222"/>
    <cellStyle name="Comma 9 2 3 3 3 3" xfId="15370"/>
    <cellStyle name="Comma 9 2 3 3 4" xfId="6764"/>
    <cellStyle name="Comma 9 2 3 3 4 2" xfId="12254"/>
    <cellStyle name="Comma 9 2 3 3 4 2 2" xfId="18793"/>
    <cellStyle name="Comma 9 2 3 3 4 3" xfId="15941"/>
    <cellStyle name="Comma 9 2 3 3 5" xfId="9036"/>
    <cellStyle name="Comma 9 2 3 3 5 2" xfId="12825"/>
    <cellStyle name="Comma 9 2 3 3 5 2 2" xfId="19364"/>
    <cellStyle name="Comma 9 2 3 3 5 3" xfId="16512"/>
    <cellStyle name="Comma 9 2 3 3 6" xfId="3155"/>
    <cellStyle name="Comma 9 2 3 3 6 2" xfId="11112"/>
    <cellStyle name="Comma 9 2 3 3 6 2 2" xfId="17651"/>
    <cellStyle name="Comma 9 2 3 3 6 3" xfId="14799"/>
    <cellStyle name="Comma 9 2 3 3 7" xfId="2583"/>
    <cellStyle name="Comma 9 2 3 3 7 2" xfId="14231"/>
    <cellStyle name="Comma 9 2 3 3 8" xfId="10544"/>
    <cellStyle name="Comma 9 2 3 3 8 2" xfId="17083"/>
    <cellStyle name="Comma 9 2 3 3 9" xfId="13659"/>
    <cellStyle name="Comma 9 2 3 4" xfId="618"/>
    <cellStyle name="Comma 9 2 3 4 2" xfId="1753"/>
    <cellStyle name="Comma 9 2 3 4 2 2" xfId="5173"/>
    <cellStyle name="Comma 9 2 3 4 2 2 2" xfId="11854"/>
    <cellStyle name="Comma 9 2 3 4 2 2 2 2" xfId="18393"/>
    <cellStyle name="Comma 9 2 3 4 2 2 3" xfId="15541"/>
    <cellStyle name="Comma 9 2 3 4 2 3" xfId="7445"/>
    <cellStyle name="Comma 9 2 3 4 2 3 2" xfId="12425"/>
    <cellStyle name="Comma 9 2 3 4 2 3 2 2" xfId="18964"/>
    <cellStyle name="Comma 9 2 3 4 2 3 3" xfId="16112"/>
    <cellStyle name="Comma 9 2 3 4 2 4" xfId="9717"/>
    <cellStyle name="Comma 9 2 3 4 2 4 2" xfId="12996"/>
    <cellStyle name="Comma 9 2 3 4 2 4 2 2" xfId="19535"/>
    <cellStyle name="Comma 9 2 3 4 2 4 3" xfId="16683"/>
    <cellStyle name="Comma 9 2 3 4 2 5" xfId="3326"/>
    <cellStyle name="Comma 9 2 3 4 2 5 2" xfId="11283"/>
    <cellStyle name="Comma 9 2 3 4 2 5 2 2" xfId="17822"/>
    <cellStyle name="Comma 9 2 3 4 2 5 3" xfId="14970"/>
    <cellStyle name="Comma 9 2 3 4 2 6" xfId="2751"/>
    <cellStyle name="Comma 9 2 3 4 2 6 2" xfId="14399"/>
    <cellStyle name="Comma 9 2 3 4 2 7" xfId="10712"/>
    <cellStyle name="Comma 9 2 3 4 2 7 2" xfId="17251"/>
    <cellStyle name="Comma 9 2 3 4 2 8" xfId="13830"/>
    <cellStyle name="Comma 9 2 3 4 3" xfId="4038"/>
    <cellStyle name="Comma 9 2 3 4 3 2" xfId="11569"/>
    <cellStyle name="Comma 9 2 3 4 3 2 2" xfId="18108"/>
    <cellStyle name="Comma 9 2 3 4 3 3" xfId="15256"/>
    <cellStyle name="Comma 9 2 3 4 4" xfId="6310"/>
    <cellStyle name="Comma 9 2 3 4 4 2" xfId="12140"/>
    <cellStyle name="Comma 9 2 3 4 4 2 2" xfId="18679"/>
    <cellStyle name="Comma 9 2 3 4 4 3" xfId="15827"/>
    <cellStyle name="Comma 9 2 3 4 5" xfId="8582"/>
    <cellStyle name="Comma 9 2 3 4 5 2" xfId="12711"/>
    <cellStyle name="Comma 9 2 3 4 5 2 2" xfId="19250"/>
    <cellStyle name="Comma 9 2 3 4 5 3" xfId="16398"/>
    <cellStyle name="Comma 9 2 3 4 6" xfId="3041"/>
    <cellStyle name="Comma 9 2 3 4 6 2" xfId="10998"/>
    <cellStyle name="Comma 9 2 3 4 6 2 2" xfId="17537"/>
    <cellStyle name="Comma 9 2 3 4 6 3" xfId="14685"/>
    <cellStyle name="Comma 9 2 3 4 7" xfId="2471"/>
    <cellStyle name="Comma 9 2 3 4 7 2" xfId="14119"/>
    <cellStyle name="Comma 9 2 3 4 8" xfId="10432"/>
    <cellStyle name="Comma 9 2 3 4 8 2" xfId="16971"/>
    <cellStyle name="Comma 9 2 3 4 9" xfId="13545"/>
    <cellStyle name="Comma 9 2 3 5" xfId="1299"/>
    <cellStyle name="Comma 9 2 3 5 2" xfId="4719"/>
    <cellStyle name="Comma 9 2 3 5 2 2" xfId="11740"/>
    <cellStyle name="Comma 9 2 3 5 2 2 2" xfId="18279"/>
    <cellStyle name="Comma 9 2 3 5 2 3" xfId="15427"/>
    <cellStyle name="Comma 9 2 3 5 3" xfId="6991"/>
    <cellStyle name="Comma 9 2 3 5 3 2" xfId="12311"/>
    <cellStyle name="Comma 9 2 3 5 3 2 2" xfId="18850"/>
    <cellStyle name="Comma 9 2 3 5 3 3" xfId="15998"/>
    <cellStyle name="Comma 9 2 3 5 4" xfId="9263"/>
    <cellStyle name="Comma 9 2 3 5 4 2" xfId="12882"/>
    <cellStyle name="Comma 9 2 3 5 4 2 2" xfId="19421"/>
    <cellStyle name="Comma 9 2 3 5 4 3" xfId="16569"/>
    <cellStyle name="Comma 9 2 3 5 5" xfId="3212"/>
    <cellStyle name="Comma 9 2 3 5 5 2" xfId="11169"/>
    <cellStyle name="Comma 9 2 3 5 5 2 2" xfId="17708"/>
    <cellStyle name="Comma 9 2 3 5 5 3" xfId="14856"/>
    <cellStyle name="Comma 9 2 3 5 6" xfId="2639"/>
    <cellStyle name="Comma 9 2 3 5 6 2" xfId="14287"/>
    <cellStyle name="Comma 9 2 3 5 7" xfId="10600"/>
    <cellStyle name="Comma 9 2 3 5 7 2" xfId="17139"/>
    <cellStyle name="Comma 9 2 3 5 8" xfId="13716"/>
    <cellStyle name="Comma 9 2 3 6" xfId="3584"/>
    <cellStyle name="Comma 9 2 3 6 2" xfId="11455"/>
    <cellStyle name="Comma 9 2 3 6 2 2" xfId="17994"/>
    <cellStyle name="Comma 9 2 3 6 3" xfId="15142"/>
    <cellStyle name="Comma 9 2 3 7" xfId="5856"/>
    <cellStyle name="Comma 9 2 3 7 2" xfId="12026"/>
    <cellStyle name="Comma 9 2 3 7 2 2" xfId="18565"/>
    <cellStyle name="Comma 9 2 3 7 3" xfId="15713"/>
    <cellStyle name="Comma 9 2 3 8" xfId="8128"/>
    <cellStyle name="Comma 9 2 3 8 2" xfId="12597"/>
    <cellStyle name="Comma 9 2 3 8 2 2" xfId="19136"/>
    <cellStyle name="Comma 9 2 3 8 3" xfId="16284"/>
    <cellStyle name="Comma 9 2 3 9" xfId="2924"/>
    <cellStyle name="Comma 9 2 3 9 2" xfId="10883"/>
    <cellStyle name="Comma 9 2 3 9 2 2" xfId="17422"/>
    <cellStyle name="Comma 9 2 3 9 3" xfId="14570"/>
    <cellStyle name="Comma 9 2 4" xfId="279"/>
    <cellStyle name="Comma 9 2 4 10" xfId="2387"/>
    <cellStyle name="Comma 9 2 4 10 2" xfId="14035"/>
    <cellStyle name="Comma 9 2 4 11" xfId="10348"/>
    <cellStyle name="Comma 9 2 4 11 2" xfId="16887"/>
    <cellStyle name="Comma 9 2 4 12" xfId="13460"/>
    <cellStyle name="Comma 9 2 4 2" xfId="506"/>
    <cellStyle name="Comma 9 2 4 2 10" xfId="13517"/>
    <cellStyle name="Comma 9 2 4 2 2" xfId="960"/>
    <cellStyle name="Comma 9 2 4 2 2 2" xfId="2095"/>
    <cellStyle name="Comma 9 2 4 2 2 2 2" xfId="5515"/>
    <cellStyle name="Comma 9 2 4 2 2 2 2 2" xfId="11940"/>
    <cellStyle name="Comma 9 2 4 2 2 2 2 2 2" xfId="18479"/>
    <cellStyle name="Comma 9 2 4 2 2 2 2 3" xfId="15627"/>
    <cellStyle name="Comma 9 2 4 2 2 2 3" xfId="7787"/>
    <cellStyle name="Comma 9 2 4 2 2 2 3 2" xfId="12511"/>
    <cellStyle name="Comma 9 2 4 2 2 2 3 2 2" xfId="19050"/>
    <cellStyle name="Comma 9 2 4 2 2 2 3 3" xfId="16198"/>
    <cellStyle name="Comma 9 2 4 2 2 2 4" xfId="10059"/>
    <cellStyle name="Comma 9 2 4 2 2 2 4 2" xfId="13082"/>
    <cellStyle name="Comma 9 2 4 2 2 2 4 2 2" xfId="19621"/>
    <cellStyle name="Comma 9 2 4 2 2 2 4 3" xfId="16769"/>
    <cellStyle name="Comma 9 2 4 2 2 2 5" xfId="3412"/>
    <cellStyle name="Comma 9 2 4 2 2 2 5 2" xfId="11369"/>
    <cellStyle name="Comma 9 2 4 2 2 2 5 2 2" xfId="17908"/>
    <cellStyle name="Comma 9 2 4 2 2 2 5 3" xfId="15056"/>
    <cellStyle name="Comma 9 2 4 2 2 2 6" xfId="2835"/>
    <cellStyle name="Comma 9 2 4 2 2 2 6 2" xfId="14483"/>
    <cellStyle name="Comma 9 2 4 2 2 2 7" xfId="10796"/>
    <cellStyle name="Comma 9 2 4 2 2 2 7 2" xfId="17335"/>
    <cellStyle name="Comma 9 2 4 2 2 2 8" xfId="13916"/>
    <cellStyle name="Comma 9 2 4 2 2 3" xfId="4380"/>
    <cellStyle name="Comma 9 2 4 2 2 3 2" xfId="11655"/>
    <cellStyle name="Comma 9 2 4 2 2 3 2 2" xfId="18194"/>
    <cellStyle name="Comma 9 2 4 2 2 3 3" xfId="15342"/>
    <cellStyle name="Comma 9 2 4 2 2 4" xfId="6652"/>
    <cellStyle name="Comma 9 2 4 2 2 4 2" xfId="12226"/>
    <cellStyle name="Comma 9 2 4 2 2 4 2 2" xfId="18765"/>
    <cellStyle name="Comma 9 2 4 2 2 4 3" xfId="15913"/>
    <cellStyle name="Comma 9 2 4 2 2 5" xfId="8924"/>
    <cellStyle name="Comma 9 2 4 2 2 5 2" xfId="12797"/>
    <cellStyle name="Comma 9 2 4 2 2 5 2 2" xfId="19336"/>
    <cellStyle name="Comma 9 2 4 2 2 5 3" xfId="16484"/>
    <cellStyle name="Comma 9 2 4 2 2 6" xfId="3127"/>
    <cellStyle name="Comma 9 2 4 2 2 6 2" xfId="11084"/>
    <cellStyle name="Comma 9 2 4 2 2 6 2 2" xfId="17623"/>
    <cellStyle name="Comma 9 2 4 2 2 6 3" xfId="14771"/>
    <cellStyle name="Comma 9 2 4 2 2 7" xfId="2555"/>
    <cellStyle name="Comma 9 2 4 2 2 7 2" xfId="14203"/>
    <cellStyle name="Comma 9 2 4 2 2 8" xfId="10516"/>
    <cellStyle name="Comma 9 2 4 2 2 8 2" xfId="17055"/>
    <cellStyle name="Comma 9 2 4 2 2 9" xfId="13631"/>
    <cellStyle name="Comma 9 2 4 2 3" xfId="1641"/>
    <cellStyle name="Comma 9 2 4 2 3 2" xfId="5061"/>
    <cellStyle name="Comma 9 2 4 2 3 2 2" xfId="11826"/>
    <cellStyle name="Comma 9 2 4 2 3 2 2 2" xfId="18365"/>
    <cellStyle name="Comma 9 2 4 2 3 2 3" xfId="15513"/>
    <cellStyle name="Comma 9 2 4 2 3 3" xfId="7333"/>
    <cellStyle name="Comma 9 2 4 2 3 3 2" xfId="12397"/>
    <cellStyle name="Comma 9 2 4 2 3 3 2 2" xfId="18936"/>
    <cellStyle name="Comma 9 2 4 2 3 3 3" xfId="16084"/>
    <cellStyle name="Comma 9 2 4 2 3 4" xfId="9605"/>
    <cellStyle name="Comma 9 2 4 2 3 4 2" xfId="12968"/>
    <cellStyle name="Comma 9 2 4 2 3 4 2 2" xfId="19507"/>
    <cellStyle name="Comma 9 2 4 2 3 4 3" xfId="16655"/>
    <cellStyle name="Comma 9 2 4 2 3 5" xfId="3298"/>
    <cellStyle name="Comma 9 2 4 2 3 5 2" xfId="11255"/>
    <cellStyle name="Comma 9 2 4 2 3 5 2 2" xfId="17794"/>
    <cellStyle name="Comma 9 2 4 2 3 5 3" xfId="14942"/>
    <cellStyle name="Comma 9 2 4 2 3 6" xfId="2723"/>
    <cellStyle name="Comma 9 2 4 2 3 6 2" xfId="14371"/>
    <cellStyle name="Comma 9 2 4 2 3 7" xfId="10684"/>
    <cellStyle name="Comma 9 2 4 2 3 7 2" xfId="17223"/>
    <cellStyle name="Comma 9 2 4 2 3 8" xfId="13802"/>
    <cellStyle name="Comma 9 2 4 2 4" xfId="3926"/>
    <cellStyle name="Comma 9 2 4 2 4 2" xfId="11541"/>
    <cellStyle name="Comma 9 2 4 2 4 2 2" xfId="18080"/>
    <cellStyle name="Comma 9 2 4 2 4 3" xfId="15228"/>
    <cellStyle name="Comma 9 2 4 2 5" xfId="6198"/>
    <cellStyle name="Comma 9 2 4 2 5 2" xfId="12112"/>
    <cellStyle name="Comma 9 2 4 2 5 2 2" xfId="18651"/>
    <cellStyle name="Comma 9 2 4 2 5 3" xfId="15799"/>
    <cellStyle name="Comma 9 2 4 2 6" xfId="8470"/>
    <cellStyle name="Comma 9 2 4 2 6 2" xfId="12683"/>
    <cellStyle name="Comma 9 2 4 2 6 2 2" xfId="19222"/>
    <cellStyle name="Comma 9 2 4 2 6 3" xfId="16370"/>
    <cellStyle name="Comma 9 2 4 2 7" xfId="3013"/>
    <cellStyle name="Comma 9 2 4 2 7 2" xfId="10970"/>
    <cellStyle name="Comma 9 2 4 2 7 2 2" xfId="17509"/>
    <cellStyle name="Comma 9 2 4 2 7 3" xfId="14657"/>
    <cellStyle name="Comma 9 2 4 2 8" xfId="2443"/>
    <cellStyle name="Comma 9 2 4 2 8 2" xfId="14091"/>
    <cellStyle name="Comma 9 2 4 2 9" xfId="10404"/>
    <cellStyle name="Comma 9 2 4 2 9 2" xfId="16943"/>
    <cellStyle name="Comma 9 2 4 3" xfId="1187"/>
    <cellStyle name="Comma 9 2 4 3 2" xfId="2322"/>
    <cellStyle name="Comma 9 2 4 3 2 2" xfId="5742"/>
    <cellStyle name="Comma 9 2 4 3 2 2 2" xfId="11997"/>
    <cellStyle name="Comma 9 2 4 3 2 2 2 2" xfId="18536"/>
    <cellStyle name="Comma 9 2 4 3 2 2 3" xfId="15684"/>
    <cellStyle name="Comma 9 2 4 3 2 3" xfId="8014"/>
    <cellStyle name="Comma 9 2 4 3 2 3 2" xfId="12568"/>
    <cellStyle name="Comma 9 2 4 3 2 3 2 2" xfId="19107"/>
    <cellStyle name="Comma 9 2 4 3 2 3 3" xfId="16255"/>
    <cellStyle name="Comma 9 2 4 3 2 4" xfId="10286"/>
    <cellStyle name="Comma 9 2 4 3 2 4 2" xfId="13139"/>
    <cellStyle name="Comma 9 2 4 3 2 4 2 2" xfId="19678"/>
    <cellStyle name="Comma 9 2 4 3 2 4 3" xfId="16826"/>
    <cellStyle name="Comma 9 2 4 3 2 5" xfId="3469"/>
    <cellStyle name="Comma 9 2 4 3 2 5 2" xfId="11426"/>
    <cellStyle name="Comma 9 2 4 3 2 5 2 2" xfId="17965"/>
    <cellStyle name="Comma 9 2 4 3 2 5 3" xfId="15113"/>
    <cellStyle name="Comma 9 2 4 3 2 6" xfId="2891"/>
    <cellStyle name="Comma 9 2 4 3 2 6 2" xfId="14539"/>
    <cellStyle name="Comma 9 2 4 3 2 7" xfId="10852"/>
    <cellStyle name="Comma 9 2 4 3 2 7 2" xfId="17391"/>
    <cellStyle name="Comma 9 2 4 3 2 8" xfId="13973"/>
    <cellStyle name="Comma 9 2 4 3 3" xfId="4607"/>
    <cellStyle name="Comma 9 2 4 3 3 2" xfId="11712"/>
    <cellStyle name="Comma 9 2 4 3 3 2 2" xfId="18251"/>
    <cellStyle name="Comma 9 2 4 3 3 3" xfId="15399"/>
    <cellStyle name="Comma 9 2 4 3 4" xfId="6879"/>
    <cellStyle name="Comma 9 2 4 3 4 2" xfId="12283"/>
    <cellStyle name="Comma 9 2 4 3 4 2 2" xfId="18822"/>
    <cellStyle name="Comma 9 2 4 3 4 3" xfId="15970"/>
    <cellStyle name="Comma 9 2 4 3 5" xfId="9151"/>
    <cellStyle name="Comma 9 2 4 3 5 2" xfId="12854"/>
    <cellStyle name="Comma 9 2 4 3 5 2 2" xfId="19393"/>
    <cellStyle name="Comma 9 2 4 3 5 3" xfId="16541"/>
    <cellStyle name="Comma 9 2 4 3 6" xfId="3184"/>
    <cellStyle name="Comma 9 2 4 3 6 2" xfId="11141"/>
    <cellStyle name="Comma 9 2 4 3 6 2 2" xfId="17680"/>
    <cellStyle name="Comma 9 2 4 3 6 3" xfId="14828"/>
    <cellStyle name="Comma 9 2 4 3 7" xfId="2611"/>
    <cellStyle name="Comma 9 2 4 3 7 2" xfId="14259"/>
    <cellStyle name="Comma 9 2 4 3 8" xfId="10572"/>
    <cellStyle name="Comma 9 2 4 3 8 2" xfId="17111"/>
    <cellStyle name="Comma 9 2 4 3 9" xfId="13688"/>
    <cellStyle name="Comma 9 2 4 4" xfId="733"/>
    <cellStyle name="Comma 9 2 4 4 2" xfId="1868"/>
    <cellStyle name="Comma 9 2 4 4 2 2" xfId="5288"/>
    <cellStyle name="Comma 9 2 4 4 2 2 2" xfId="11883"/>
    <cellStyle name="Comma 9 2 4 4 2 2 2 2" xfId="18422"/>
    <cellStyle name="Comma 9 2 4 4 2 2 3" xfId="15570"/>
    <cellStyle name="Comma 9 2 4 4 2 3" xfId="7560"/>
    <cellStyle name="Comma 9 2 4 4 2 3 2" xfId="12454"/>
    <cellStyle name="Comma 9 2 4 4 2 3 2 2" xfId="18993"/>
    <cellStyle name="Comma 9 2 4 4 2 3 3" xfId="16141"/>
    <cellStyle name="Comma 9 2 4 4 2 4" xfId="9832"/>
    <cellStyle name="Comma 9 2 4 4 2 4 2" xfId="13025"/>
    <cellStyle name="Comma 9 2 4 4 2 4 2 2" xfId="19564"/>
    <cellStyle name="Comma 9 2 4 4 2 4 3" xfId="16712"/>
    <cellStyle name="Comma 9 2 4 4 2 5" xfId="3355"/>
    <cellStyle name="Comma 9 2 4 4 2 5 2" xfId="11312"/>
    <cellStyle name="Comma 9 2 4 4 2 5 2 2" xfId="17851"/>
    <cellStyle name="Comma 9 2 4 4 2 5 3" xfId="14999"/>
    <cellStyle name="Comma 9 2 4 4 2 6" xfId="2779"/>
    <cellStyle name="Comma 9 2 4 4 2 6 2" xfId="14427"/>
    <cellStyle name="Comma 9 2 4 4 2 7" xfId="10740"/>
    <cellStyle name="Comma 9 2 4 4 2 7 2" xfId="17279"/>
    <cellStyle name="Comma 9 2 4 4 2 8" xfId="13859"/>
    <cellStyle name="Comma 9 2 4 4 3" xfId="4153"/>
    <cellStyle name="Comma 9 2 4 4 3 2" xfId="11598"/>
    <cellStyle name="Comma 9 2 4 4 3 2 2" xfId="18137"/>
    <cellStyle name="Comma 9 2 4 4 3 3" xfId="15285"/>
    <cellStyle name="Comma 9 2 4 4 4" xfId="6425"/>
    <cellStyle name="Comma 9 2 4 4 4 2" xfId="12169"/>
    <cellStyle name="Comma 9 2 4 4 4 2 2" xfId="18708"/>
    <cellStyle name="Comma 9 2 4 4 4 3" xfId="15856"/>
    <cellStyle name="Comma 9 2 4 4 5" xfId="8697"/>
    <cellStyle name="Comma 9 2 4 4 5 2" xfId="12740"/>
    <cellStyle name="Comma 9 2 4 4 5 2 2" xfId="19279"/>
    <cellStyle name="Comma 9 2 4 4 5 3" xfId="16427"/>
    <cellStyle name="Comma 9 2 4 4 6" xfId="3070"/>
    <cellStyle name="Comma 9 2 4 4 6 2" xfId="11027"/>
    <cellStyle name="Comma 9 2 4 4 6 2 2" xfId="17566"/>
    <cellStyle name="Comma 9 2 4 4 6 3" xfId="14714"/>
    <cellStyle name="Comma 9 2 4 4 7" xfId="2499"/>
    <cellStyle name="Comma 9 2 4 4 7 2" xfId="14147"/>
    <cellStyle name="Comma 9 2 4 4 8" xfId="10460"/>
    <cellStyle name="Comma 9 2 4 4 8 2" xfId="16999"/>
    <cellStyle name="Comma 9 2 4 4 9" xfId="13574"/>
    <cellStyle name="Comma 9 2 4 5" xfId="1414"/>
    <cellStyle name="Comma 9 2 4 5 2" xfId="4834"/>
    <cellStyle name="Comma 9 2 4 5 2 2" xfId="11769"/>
    <cellStyle name="Comma 9 2 4 5 2 2 2" xfId="18308"/>
    <cellStyle name="Comma 9 2 4 5 2 3" xfId="15456"/>
    <cellStyle name="Comma 9 2 4 5 3" xfId="7106"/>
    <cellStyle name="Comma 9 2 4 5 3 2" xfId="12340"/>
    <cellStyle name="Comma 9 2 4 5 3 2 2" xfId="18879"/>
    <cellStyle name="Comma 9 2 4 5 3 3" xfId="16027"/>
    <cellStyle name="Comma 9 2 4 5 4" xfId="9378"/>
    <cellStyle name="Comma 9 2 4 5 4 2" xfId="12911"/>
    <cellStyle name="Comma 9 2 4 5 4 2 2" xfId="19450"/>
    <cellStyle name="Comma 9 2 4 5 4 3" xfId="16598"/>
    <cellStyle name="Comma 9 2 4 5 5" xfId="3241"/>
    <cellStyle name="Comma 9 2 4 5 5 2" xfId="11198"/>
    <cellStyle name="Comma 9 2 4 5 5 2 2" xfId="17737"/>
    <cellStyle name="Comma 9 2 4 5 5 3" xfId="14885"/>
    <cellStyle name="Comma 9 2 4 5 6" xfId="2667"/>
    <cellStyle name="Comma 9 2 4 5 6 2" xfId="14315"/>
    <cellStyle name="Comma 9 2 4 5 7" xfId="10628"/>
    <cellStyle name="Comma 9 2 4 5 7 2" xfId="17167"/>
    <cellStyle name="Comma 9 2 4 5 8" xfId="13745"/>
    <cellStyle name="Comma 9 2 4 6" xfId="3699"/>
    <cellStyle name="Comma 9 2 4 6 2" xfId="11484"/>
    <cellStyle name="Comma 9 2 4 6 2 2" xfId="18023"/>
    <cellStyle name="Comma 9 2 4 6 3" xfId="15171"/>
    <cellStyle name="Comma 9 2 4 7" xfId="5971"/>
    <cellStyle name="Comma 9 2 4 7 2" xfId="12055"/>
    <cellStyle name="Comma 9 2 4 7 2 2" xfId="18594"/>
    <cellStyle name="Comma 9 2 4 7 3" xfId="15742"/>
    <cellStyle name="Comma 9 2 4 8" xfId="8243"/>
    <cellStyle name="Comma 9 2 4 8 2" xfId="12626"/>
    <cellStyle name="Comma 9 2 4 8 2 2" xfId="19165"/>
    <cellStyle name="Comma 9 2 4 8 3" xfId="16313"/>
    <cellStyle name="Comma 9 2 4 9" xfId="2956"/>
    <cellStyle name="Comma 9 2 4 9 2" xfId="10913"/>
    <cellStyle name="Comma 9 2 4 9 2 2" xfId="17452"/>
    <cellStyle name="Comma 9 2 4 9 3" xfId="14600"/>
    <cellStyle name="Comma 9 2 5" xfId="335"/>
    <cellStyle name="Comma 9 2 5 10" xfId="13474"/>
    <cellStyle name="Comma 9 2 5 2" xfId="789"/>
    <cellStyle name="Comma 9 2 5 2 2" xfId="1924"/>
    <cellStyle name="Comma 9 2 5 2 2 2" xfId="5344"/>
    <cellStyle name="Comma 9 2 5 2 2 2 2" xfId="11897"/>
    <cellStyle name="Comma 9 2 5 2 2 2 2 2" xfId="18436"/>
    <cellStyle name="Comma 9 2 5 2 2 2 3" xfId="15584"/>
    <cellStyle name="Comma 9 2 5 2 2 3" xfId="7616"/>
    <cellStyle name="Comma 9 2 5 2 2 3 2" xfId="12468"/>
    <cellStyle name="Comma 9 2 5 2 2 3 2 2" xfId="19007"/>
    <cellStyle name="Comma 9 2 5 2 2 3 3" xfId="16155"/>
    <cellStyle name="Comma 9 2 5 2 2 4" xfId="9888"/>
    <cellStyle name="Comma 9 2 5 2 2 4 2" xfId="13039"/>
    <cellStyle name="Comma 9 2 5 2 2 4 2 2" xfId="19578"/>
    <cellStyle name="Comma 9 2 5 2 2 4 3" xfId="16726"/>
    <cellStyle name="Comma 9 2 5 2 2 5" xfId="3369"/>
    <cellStyle name="Comma 9 2 5 2 2 5 2" xfId="11326"/>
    <cellStyle name="Comma 9 2 5 2 2 5 2 2" xfId="17865"/>
    <cellStyle name="Comma 9 2 5 2 2 5 3" xfId="15013"/>
    <cellStyle name="Comma 9 2 5 2 2 6" xfId="2793"/>
    <cellStyle name="Comma 9 2 5 2 2 6 2" xfId="14441"/>
    <cellStyle name="Comma 9 2 5 2 2 7" xfId="10754"/>
    <cellStyle name="Comma 9 2 5 2 2 7 2" xfId="17293"/>
    <cellStyle name="Comma 9 2 5 2 2 8" xfId="13873"/>
    <cellStyle name="Comma 9 2 5 2 3" xfId="4209"/>
    <cellStyle name="Comma 9 2 5 2 3 2" xfId="11612"/>
    <cellStyle name="Comma 9 2 5 2 3 2 2" xfId="18151"/>
    <cellStyle name="Comma 9 2 5 2 3 3" xfId="15299"/>
    <cellStyle name="Comma 9 2 5 2 4" xfId="6481"/>
    <cellStyle name="Comma 9 2 5 2 4 2" xfId="12183"/>
    <cellStyle name="Comma 9 2 5 2 4 2 2" xfId="18722"/>
    <cellStyle name="Comma 9 2 5 2 4 3" xfId="15870"/>
    <cellStyle name="Comma 9 2 5 2 5" xfId="8753"/>
    <cellStyle name="Comma 9 2 5 2 5 2" xfId="12754"/>
    <cellStyle name="Comma 9 2 5 2 5 2 2" xfId="19293"/>
    <cellStyle name="Comma 9 2 5 2 5 3" xfId="16441"/>
    <cellStyle name="Comma 9 2 5 2 6" xfId="3084"/>
    <cellStyle name="Comma 9 2 5 2 6 2" xfId="11041"/>
    <cellStyle name="Comma 9 2 5 2 6 2 2" xfId="17580"/>
    <cellStyle name="Comma 9 2 5 2 6 3" xfId="14728"/>
    <cellStyle name="Comma 9 2 5 2 7" xfId="2513"/>
    <cellStyle name="Comma 9 2 5 2 7 2" xfId="14161"/>
    <cellStyle name="Comma 9 2 5 2 8" xfId="10474"/>
    <cellStyle name="Comma 9 2 5 2 8 2" xfId="17013"/>
    <cellStyle name="Comma 9 2 5 2 9" xfId="13588"/>
    <cellStyle name="Comma 9 2 5 3" xfId="1470"/>
    <cellStyle name="Comma 9 2 5 3 2" xfId="4890"/>
    <cellStyle name="Comma 9 2 5 3 2 2" xfId="11783"/>
    <cellStyle name="Comma 9 2 5 3 2 2 2" xfId="18322"/>
    <cellStyle name="Comma 9 2 5 3 2 3" xfId="15470"/>
    <cellStyle name="Comma 9 2 5 3 3" xfId="7162"/>
    <cellStyle name="Comma 9 2 5 3 3 2" xfId="12354"/>
    <cellStyle name="Comma 9 2 5 3 3 2 2" xfId="18893"/>
    <cellStyle name="Comma 9 2 5 3 3 3" xfId="16041"/>
    <cellStyle name="Comma 9 2 5 3 4" xfId="9434"/>
    <cellStyle name="Comma 9 2 5 3 4 2" xfId="12925"/>
    <cellStyle name="Comma 9 2 5 3 4 2 2" xfId="19464"/>
    <cellStyle name="Comma 9 2 5 3 4 3" xfId="16612"/>
    <cellStyle name="Comma 9 2 5 3 5" xfId="3255"/>
    <cellStyle name="Comma 9 2 5 3 5 2" xfId="11212"/>
    <cellStyle name="Comma 9 2 5 3 5 2 2" xfId="17751"/>
    <cellStyle name="Comma 9 2 5 3 5 3" xfId="14899"/>
    <cellStyle name="Comma 9 2 5 3 6" xfId="2681"/>
    <cellStyle name="Comma 9 2 5 3 6 2" xfId="14329"/>
    <cellStyle name="Comma 9 2 5 3 7" xfId="10642"/>
    <cellStyle name="Comma 9 2 5 3 7 2" xfId="17181"/>
    <cellStyle name="Comma 9 2 5 3 8" xfId="13759"/>
    <cellStyle name="Comma 9 2 5 4" xfId="3755"/>
    <cellStyle name="Comma 9 2 5 4 2" xfId="11498"/>
    <cellStyle name="Comma 9 2 5 4 2 2" xfId="18037"/>
    <cellStyle name="Comma 9 2 5 4 3" xfId="15185"/>
    <cellStyle name="Comma 9 2 5 5" xfId="6027"/>
    <cellStyle name="Comma 9 2 5 5 2" xfId="12069"/>
    <cellStyle name="Comma 9 2 5 5 2 2" xfId="18608"/>
    <cellStyle name="Comma 9 2 5 5 3" xfId="15756"/>
    <cellStyle name="Comma 9 2 5 6" xfId="8299"/>
    <cellStyle name="Comma 9 2 5 6 2" xfId="12640"/>
    <cellStyle name="Comma 9 2 5 6 2 2" xfId="19179"/>
    <cellStyle name="Comma 9 2 5 6 3" xfId="16327"/>
    <cellStyle name="Comma 9 2 5 7" xfId="2970"/>
    <cellStyle name="Comma 9 2 5 7 2" xfId="10927"/>
    <cellStyle name="Comma 9 2 5 7 2 2" xfId="17466"/>
    <cellStyle name="Comma 9 2 5 7 3" xfId="14614"/>
    <cellStyle name="Comma 9 2 5 8" xfId="2401"/>
    <cellStyle name="Comma 9 2 5 8 2" xfId="14049"/>
    <cellStyle name="Comma 9 2 5 9" xfId="10362"/>
    <cellStyle name="Comma 9 2 5 9 2" xfId="16901"/>
    <cellStyle name="Comma 9 2 6" xfId="1016"/>
    <cellStyle name="Comma 9 2 6 2" xfId="2151"/>
    <cellStyle name="Comma 9 2 6 2 2" xfId="5571"/>
    <cellStyle name="Comma 9 2 6 2 2 2" xfId="11954"/>
    <cellStyle name="Comma 9 2 6 2 2 2 2" xfId="18493"/>
    <cellStyle name="Comma 9 2 6 2 2 3" xfId="15641"/>
    <cellStyle name="Comma 9 2 6 2 3" xfId="7843"/>
    <cellStyle name="Comma 9 2 6 2 3 2" xfId="12525"/>
    <cellStyle name="Comma 9 2 6 2 3 2 2" xfId="19064"/>
    <cellStyle name="Comma 9 2 6 2 3 3" xfId="16212"/>
    <cellStyle name="Comma 9 2 6 2 4" xfId="10115"/>
    <cellStyle name="Comma 9 2 6 2 4 2" xfId="13096"/>
    <cellStyle name="Comma 9 2 6 2 4 2 2" xfId="19635"/>
    <cellStyle name="Comma 9 2 6 2 4 3" xfId="16783"/>
    <cellStyle name="Comma 9 2 6 2 5" xfId="3426"/>
    <cellStyle name="Comma 9 2 6 2 5 2" xfId="11383"/>
    <cellStyle name="Comma 9 2 6 2 5 2 2" xfId="17922"/>
    <cellStyle name="Comma 9 2 6 2 5 3" xfId="15070"/>
    <cellStyle name="Comma 9 2 6 2 6" xfId="2849"/>
    <cellStyle name="Comma 9 2 6 2 6 2" xfId="14497"/>
    <cellStyle name="Comma 9 2 6 2 7" xfId="10810"/>
    <cellStyle name="Comma 9 2 6 2 7 2" xfId="17349"/>
    <cellStyle name="Comma 9 2 6 2 8" xfId="13930"/>
    <cellStyle name="Comma 9 2 6 3" xfId="4436"/>
    <cellStyle name="Comma 9 2 6 3 2" xfId="11669"/>
    <cellStyle name="Comma 9 2 6 3 2 2" xfId="18208"/>
    <cellStyle name="Comma 9 2 6 3 3" xfId="15356"/>
    <cellStyle name="Comma 9 2 6 4" xfId="6708"/>
    <cellStyle name="Comma 9 2 6 4 2" xfId="12240"/>
    <cellStyle name="Comma 9 2 6 4 2 2" xfId="18779"/>
    <cellStyle name="Comma 9 2 6 4 3" xfId="15927"/>
    <cellStyle name="Comma 9 2 6 5" xfId="8980"/>
    <cellStyle name="Comma 9 2 6 5 2" xfId="12811"/>
    <cellStyle name="Comma 9 2 6 5 2 2" xfId="19350"/>
    <cellStyle name="Comma 9 2 6 5 3" xfId="16498"/>
    <cellStyle name="Comma 9 2 6 6" xfId="3141"/>
    <cellStyle name="Comma 9 2 6 6 2" xfId="11098"/>
    <cellStyle name="Comma 9 2 6 6 2 2" xfId="17637"/>
    <cellStyle name="Comma 9 2 6 6 3" xfId="14785"/>
    <cellStyle name="Comma 9 2 6 7" xfId="2569"/>
    <cellStyle name="Comma 9 2 6 7 2" xfId="14217"/>
    <cellStyle name="Comma 9 2 6 8" xfId="10530"/>
    <cellStyle name="Comma 9 2 6 8 2" xfId="17069"/>
    <cellStyle name="Comma 9 2 6 9" xfId="13645"/>
    <cellStyle name="Comma 9 2 7" xfId="562"/>
    <cellStyle name="Comma 9 2 7 2" xfId="1697"/>
    <cellStyle name="Comma 9 2 7 2 2" xfId="5117"/>
    <cellStyle name="Comma 9 2 7 2 2 2" xfId="11840"/>
    <cellStyle name="Comma 9 2 7 2 2 2 2" xfId="18379"/>
    <cellStyle name="Comma 9 2 7 2 2 3" xfId="15527"/>
    <cellStyle name="Comma 9 2 7 2 3" xfId="7389"/>
    <cellStyle name="Comma 9 2 7 2 3 2" xfId="12411"/>
    <cellStyle name="Comma 9 2 7 2 3 2 2" xfId="18950"/>
    <cellStyle name="Comma 9 2 7 2 3 3" xfId="16098"/>
    <cellStyle name="Comma 9 2 7 2 4" xfId="9661"/>
    <cellStyle name="Comma 9 2 7 2 4 2" xfId="12982"/>
    <cellStyle name="Comma 9 2 7 2 4 2 2" xfId="19521"/>
    <cellStyle name="Comma 9 2 7 2 4 3" xfId="16669"/>
    <cellStyle name="Comma 9 2 7 2 5" xfId="3312"/>
    <cellStyle name="Comma 9 2 7 2 5 2" xfId="11269"/>
    <cellStyle name="Comma 9 2 7 2 5 2 2" xfId="17808"/>
    <cellStyle name="Comma 9 2 7 2 5 3" xfId="14956"/>
    <cellStyle name="Comma 9 2 7 2 6" xfId="2737"/>
    <cellStyle name="Comma 9 2 7 2 6 2" xfId="14385"/>
    <cellStyle name="Comma 9 2 7 2 7" xfId="10698"/>
    <cellStyle name="Comma 9 2 7 2 7 2" xfId="17237"/>
    <cellStyle name="Comma 9 2 7 2 8" xfId="13816"/>
    <cellStyle name="Comma 9 2 7 3" xfId="3982"/>
    <cellStyle name="Comma 9 2 7 3 2" xfId="11555"/>
    <cellStyle name="Comma 9 2 7 3 2 2" xfId="18094"/>
    <cellStyle name="Comma 9 2 7 3 3" xfId="15242"/>
    <cellStyle name="Comma 9 2 7 4" xfId="6254"/>
    <cellStyle name="Comma 9 2 7 4 2" xfId="12126"/>
    <cellStyle name="Comma 9 2 7 4 2 2" xfId="18665"/>
    <cellStyle name="Comma 9 2 7 4 3" xfId="15813"/>
    <cellStyle name="Comma 9 2 7 5" xfId="8526"/>
    <cellStyle name="Comma 9 2 7 5 2" xfId="12697"/>
    <cellStyle name="Comma 9 2 7 5 2 2" xfId="19236"/>
    <cellStyle name="Comma 9 2 7 5 3" xfId="16384"/>
    <cellStyle name="Comma 9 2 7 6" xfId="3027"/>
    <cellStyle name="Comma 9 2 7 6 2" xfId="10984"/>
    <cellStyle name="Comma 9 2 7 6 2 2" xfId="17523"/>
    <cellStyle name="Comma 9 2 7 6 3" xfId="14671"/>
    <cellStyle name="Comma 9 2 7 7" xfId="2457"/>
    <cellStyle name="Comma 9 2 7 7 2" xfId="14105"/>
    <cellStyle name="Comma 9 2 7 8" xfId="10418"/>
    <cellStyle name="Comma 9 2 7 8 2" xfId="16957"/>
    <cellStyle name="Comma 9 2 7 9" xfId="13531"/>
    <cellStyle name="Comma 9 2 8" xfId="1243"/>
    <cellStyle name="Comma 9 2 8 2" xfId="4663"/>
    <cellStyle name="Comma 9 2 8 2 2" xfId="11726"/>
    <cellStyle name="Comma 9 2 8 2 2 2" xfId="18265"/>
    <cellStyle name="Comma 9 2 8 2 3" xfId="15413"/>
    <cellStyle name="Comma 9 2 8 3" xfId="6935"/>
    <cellStyle name="Comma 9 2 8 3 2" xfId="12297"/>
    <cellStyle name="Comma 9 2 8 3 2 2" xfId="18836"/>
    <cellStyle name="Comma 9 2 8 3 3" xfId="15984"/>
    <cellStyle name="Comma 9 2 8 4" xfId="9207"/>
    <cellStyle name="Comma 9 2 8 4 2" xfId="12868"/>
    <cellStyle name="Comma 9 2 8 4 2 2" xfId="19407"/>
    <cellStyle name="Comma 9 2 8 4 3" xfId="16555"/>
    <cellStyle name="Comma 9 2 8 5" xfId="3198"/>
    <cellStyle name="Comma 9 2 8 5 2" xfId="11155"/>
    <cellStyle name="Comma 9 2 8 5 2 2" xfId="17694"/>
    <cellStyle name="Comma 9 2 8 5 3" xfId="14842"/>
    <cellStyle name="Comma 9 2 8 6" xfId="2625"/>
    <cellStyle name="Comma 9 2 8 6 2" xfId="14273"/>
    <cellStyle name="Comma 9 2 8 7" xfId="10586"/>
    <cellStyle name="Comma 9 2 8 7 2" xfId="17125"/>
    <cellStyle name="Comma 9 2 8 8" xfId="13702"/>
    <cellStyle name="Comma 9 2 9" xfId="3528"/>
    <cellStyle name="Comma 9 2 9 2" xfId="11441"/>
    <cellStyle name="Comma 9 2 9 2 2" xfId="17980"/>
    <cellStyle name="Comma 9 2 9 3" xfId="15128"/>
    <cellStyle name="Comma 9 3" xfId="181"/>
    <cellStyle name="Comma 9 3 10" xfId="2365"/>
    <cellStyle name="Comma 9 3 10 2" xfId="14013"/>
    <cellStyle name="Comma 9 3 11" xfId="10326"/>
    <cellStyle name="Comma 9 3 11 2" xfId="16865"/>
    <cellStyle name="Comma 9 3 12" xfId="13437"/>
    <cellStyle name="Comma 9 3 13" xfId="20342"/>
    <cellStyle name="Comma 9 3 2" xfId="419"/>
    <cellStyle name="Comma 9 3 2 10" xfId="13495"/>
    <cellStyle name="Comma 9 3 2 2" xfId="873"/>
    <cellStyle name="Comma 9 3 2 2 2" xfId="2008"/>
    <cellStyle name="Comma 9 3 2 2 2 2" xfId="5428"/>
    <cellStyle name="Comma 9 3 2 2 2 2 2" xfId="11918"/>
    <cellStyle name="Comma 9 3 2 2 2 2 2 2" xfId="18457"/>
    <cellStyle name="Comma 9 3 2 2 2 2 3" xfId="15605"/>
    <cellStyle name="Comma 9 3 2 2 2 3" xfId="7700"/>
    <cellStyle name="Comma 9 3 2 2 2 3 2" xfId="12489"/>
    <cellStyle name="Comma 9 3 2 2 2 3 2 2" xfId="19028"/>
    <cellStyle name="Comma 9 3 2 2 2 3 3" xfId="16176"/>
    <cellStyle name="Comma 9 3 2 2 2 4" xfId="9972"/>
    <cellStyle name="Comma 9 3 2 2 2 4 2" xfId="13060"/>
    <cellStyle name="Comma 9 3 2 2 2 4 2 2" xfId="19599"/>
    <cellStyle name="Comma 9 3 2 2 2 4 3" xfId="16747"/>
    <cellStyle name="Comma 9 3 2 2 2 5" xfId="3390"/>
    <cellStyle name="Comma 9 3 2 2 2 5 2" xfId="11347"/>
    <cellStyle name="Comma 9 3 2 2 2 5 2 2" xfId="17886"/>
    <cellStyle name="Comma 9 3 2 2 2 5 3" xfId="15034"/>
    <cellStyle name="Comma 9 3 2 2 2 6" xfId="2814"/>
    <cellStyle name="Comma 9 3 2 2 2 6 2" xfId="14462"/>
    <cellStyle name="Comma 9 3 2 2 2 7" xfId="10775"/>
    <cellStyle name="Comma 9 3 2 2 2 7 2" xfId="17314"/>
    <cellStyle name="Comma 9 3 2 2 2 8" xfId="13894"/>
    <cellStyle name="Comma 9 3 2 2 3" xfId="4293"/>
    <cellStyle name="Comma 9 3 2 2 3 2" xfId="11633"/>
    <cellStyle name="Comma 9 3 2 2 3 2 2" xfId="18172"/>
    <cellStyle name="Comma 9 3 2 2 3 3" xfId="15320"/>
    <cellStyle name="Comma 9 3 2 2 4" xfId="6565"/>
    <cellStyle name="Comma 9 3 2 2 4 2" xfId="12204"/>
    <cellStyle name="Comma 9 3 2 2 4 2 2" xfId="18743"/>
    <cellStyle name="Comma 9 3 2 2 4 3" xfId="15891"/>
    <cellStyle name="Comma 9 3 2 2 5" xfId="8837"/>
    <cellStyle name="Comma 9 3 2 2 5 2" xfId="12775"/>
    <cellStyle name="Comma 9 3 2 2 5 2 2" xfId="19314"/>
    <cellStyle name="Comma 9 3 2 2 5 3" xfId="16462"/>
    <cellStyle name="Comma 9 3 2 2 6" xfId="3105"/>
    <cellStyle name="Comma 9 3 2 2 6 2" xfId="11062"/>
    <cellStyle name="Comma 9 3 2 2 6 2 2" xfId="17601"/>
    <cellStyle name="Comma 9 3 2 2 6 3" xfId="14749"/>
    <cellStyle name="Comma 9 3 2 2 7" xfId="2534"/>
    <cellStyle name="Comma 9 3 2 2 7 2" xfId="14182"/>
    <cellStyle name="Comma 9 3 2 2 8" xfId="10495"/>
    <cellStyle name="Comma 9 3 2 2 8 2" xfId="17034"/>
    <cellStyle name="Comma 9 3 2 2 9" xfId="13609"/>
    <cellStyle name="Comma 9 3 2 3" xfId="1554"/>
    <cellStyle name="Comma 9 3 2 3 2" xfId="4974"/>
    <cellStyle name="Comma 9 3 2 3 2 2" xfId="11804"/>
    <cellStyle name="Comma 9 3 2 3 2 2 2" xfId="18343"/>
    <cellStyle name="Comma 9 3 2 3 2 3" xfId="15491"/>
    <cellStyle name="Comma 9 3 2 3 3" xfId="7246"/>
    <cellStyle name="Comma 9 3 2 3 3 2" xfId="12375"/>
    <cellStyle name="Comma 9 3 2 3 3 2 2" xfId="18914"/>
    <cellStyle name="Comma 9 3 2 3 3 3" xfId="16062"/>
    <cellStyle name="Comma 9 3 2 3 4" xfId="9518"/>
    <cellStyle name="Comma 9 3 2 3 4 2" xfId="12946"/>
    <cellStyle name="Comma 9 3 2 3 4 2 2" xfId="19485"/>
    <cellStyle name="Comma 9 3 2 3 4 3" xfId="16633"/>
    <cellStyle name="Comma 9 3 2 3 5" xfId="3276"/>
    <cellStyle name="Comma 9 3 2 3 5 2" xfId="11233"/>
    <cellStyle name="Comma 9 3 2 3 5 2 2" xfId="17772"/>
    <cellStyle name="Comma 9 3 2 3 5 3" xfId="14920"/>
    <cellStyle name="Comma 9 3 2 3 6" xfId="2702"/>
    <cellStyle name="Comma 9 3 2 3 6 2" xfId="14350"/>
    <cellStyle name="Comma 9 3 2 3 7" xfId="10663"/>
    <cellStyle name="Comma 9 3 2 3 7 2" xfId="17202"/>
    <cellStyle name="Comma 9 3 2 3 8" xfId="13780"/>
    <cellStyle name="Comma 9 3 2 4" xfId="3839"/>
    <cellStyle name="Comma 9 3 2 4 2" xfId="11519"/>
    <cellStyle name="Comma 9 3 2 4 2 2" xfId="18058"/>
    <cellStyle name="Comma 9 3 2 4 3" xfId="15206"/>
    <cellStyle name="Comma 9 3 2 5" xfId="6111"/>
    <cellStyle name="Comma 9 3 2 5 2" xfId="12090"/>
    <cellStyle name="Comma 9 3 2 5 2 2" xfId="18629"/>
    <cellStyle name="Comma 9 3 2 5 3" xfId="15777"/>
    <cellStyle name="Comma 9 3 2 6" xfId="8383"/>
    <cellStyle name="Comma 9 3 2 6 2" xfId="12661"/>
    <cellStyle name="Comma 9 3 2 6 2 2" xfId="19200"/>
    <cellStyle name="Comma 9 3 2 6 3" xfId="16348"/>
    <cellStyle name="Comma 9 3 2 7" xfId="2991"/>
    <cellStyle name="Comma 9 3 2 7 2" xfId="10948"/>
    <cellStyle name="Comma 9 3 2 7 2 2" xfId="17487"/>
    <cellStyle name="Comma 9 3 2 7 3" xfId="14635"/>
    <cellStyle name="Comma 9 3 2 8" xfId="2422"/>
    <cellStyle name="Comma 9 3 2 8 2" xfId="14070"/>
    <cellStyle name="Comma 9 3 2 9" xfId="10383"/>
    <cellStyle name="Comma 9 3 2 9 2" xfId="16922"/>
    <cellStyle name="Comma 9 3 3" xfId="1100"/>
    <cellStyle name="Comma 9 3 3 2" xfId="2235"/>
    <cellStyle name="Comma 9 3 3 2 2" xfId="5655"/>
    <cellStyle name="Comma 9 3 3 2 2 2" xfId="11975"/>
    <cellStyle name="Comma 9 3 3 2 2 2 2" xfId="18514"/>
    <cellStyle name="Comma 9 3 3 2 2 3" xfId="15662"/>
    <cellStyle name="Comma 9 3 3 2 3" xfId="7927"/>
    <cellStyle name="Comma 9 3 3 2 3 2" xfId="12546"/>
    <cellStyle name="Comma 9 3 3 2 3 2 2" xfId="19085"/>
    <cellStyle name="Comma 9 3 3 2 3 3" xfId="16233"/>
    <cellStyle name="Comma 9 3 3 2 4" xfId="10199"/>
    <cellStyle name="Comma 9 3 3 2 4 2" xfId="13117"/>
    <cellStyle name="Comma 9 3 3 2 4 2 2" xfId="19656"/>
    <cellStyle name="Comma 9 3 3 2 4 3" xfId="16804"/>
    <cellStyle name="Comma 9 3 3 2 5" xfId="3447"/>
    <cellStyle name="Comma 9 3 3 2 5 2" xfId="11404"/>
    <cellStyle name="Comma 9 3 3 2 5 2 2" xfId="17943"/>
    <cellStyle name="Comma 9 3 3 2 5 3" xfId="15091"/>
    <cellStyle name="Comma 9 3 3 2 6" xfId="2870"/>
    <cellStyle name="Comma 9 3 3 2 6 2" xfId="14518"/>
    <cellStyle name="Comma 9 3 3 2 7" xfId="10831"/>
    <cellStyle name="Comma 9 3 3 2 7 2" xfId="17370"/>
    <cellStyle name="Comma 9 3 3 2 8" xfId="13951"/>
    <cellStyle name="Comma 9 3 3 3" xfId="4520"/>
    <cellStyle name="Comma 9 3 3 3 2" xfId="11690"/>
    <cellStyle name="Comma 9 3 3 3 2 2" xfId="18229"/>
    <cellStyle name="Comma 9 3 3 3 3" xfId="15377"/>
    <cellStyle name="Comma 9 3 3 4" xfId="6792"/>
    <cellStyle name="Comma 9 3 3 4 2" xfId="12261"/>
    <cellStyle name="Comma 9 3 3 4 2 2" xfId="18800"/>
    <cellStyle name="Comma 9 3 3 4 3" xfId="15948"/>
    <cellStyle name="Comma 9 3 3 5" xfId="9064"/>
    <cellStyle name="Comma 9 3 3 5 2" xfId="12832"/>
    <cellStyle name="Comma 9 3 3 5 2 2" xfId="19371"/>
    <cellStyle name="Comma 9 3 3 5 3" xfId="16519"/>
    <cellStyle name="Comma 9 3 3 6" xfId="3162"/>
    <cellStyle name="Comma 9 3 3 6 2" xfId="11119"/>
    <cellStyle name="Comma 9 3 3 6 2 2" xfId="17658"/>
    <cellStyle name="Comma 9 3 3 6 3" xfId="14806"/>
    <cellStyle name="Comma 9 3 3 7" xfId="2590"/>
    <cellStyle name="Comma 9 3 3 7 2" xfId="14238"/>
    <cellStyle name="Comma 9 3 3 8" xfId="10551"/>
    <cellStyle name="Comma 9 3 3 8 2" xfId="17090"/>
    <cellStyle name="Comma 9 3 3 9" xfId="13666"/>
    <cellStyle name="Comma 9 3 4" xfId="646"/>
    <cellStyle name="Comma 9 3 4 2" xfId="1781"/>
    <cellStyle name="Comma 9 3 4 2 2" xfId="5201"/>
    <cellStyle name="Comma 9 3 4 2 2 2" xfId="11861"/>
    <cellStyle name="Comma 9 3 4 2 2 2 2" xfId="18400"/>
    <cellStyle name="Comma 9 3 4 2 2 3" xfId="15548"/>
    <cellStyle name="Comma 9 3 4 2 3" xfId="7473"/>
    <cellStyle name="Comma 9 3 4 2 3 2" xfId="12432"/>
    <cellStyle name="Comma 9 3 4 2 3 2 2" xfId="18971"/>
    <cellStyle name="Comma 9 3 4 2 3 3" xfId="16119"/>
    <cellStyle name="Comma 9 3 4 2 4" xfId="9745"/>
    <cellStyle name="Comma 9 3 4 2 4 2" xfId="13003"/>
    <cellStyle name="Comma 9 3 4 2 4 2 2" xfId="19542"/>
    <cellStyle name="Comma 9 3 4 2 4 3" xfId="16690"/>
    <cellStyle name="Comma 9 3 4 2 5" xfId="3333"/>
    <cellStyle name="Comma 9 3 4 2 5 2" xfId="11290"/>
    <cellStyle name="Comma 9 3 4 2 5 2 2" xfId="17829"/>
    <cellStyle name="Comma 9 3 4 2 5 3" xfId="14977"/>
    <cellStyle name="Comma 9 3 4 2 6" xfId="2758"/>
    <cellStyle name="Comma 9 3 4 2 6 2" xfId="14406"/>
    <cellStyle name="Comma 9 3 4 2 7" xfId="10719"/>
    <cellStyle name="Comma 9 3 4 2 7 2" xfId="17258"/>
    <cellStyle name="Comma 9 3 4 2 8" xfId="13837"/>
    <cellStyle name="Comma 9 3 4 3" xfId="4066"/>
    <cellStyle name="Comma 9 3 4 3 2" xfId="11576"/>
    <cellStyle name="Comma 9 3 4 3 2 2" xfId="18115"/>
    <cellStyle name="Comma 9 3 4 3 3" xfId="15263"/>
    <cellStyle name="Comma 9 3 4 4" xfId="6338"/>
    <cellStyle name="Comma 9 3 4 4 2" xfId="12147"/>
    <cellStyle name="Comma 9 3 4 4 2 2" xfId="18686"/>
    <cellStyle name="Comma 9 3 4 4 3" xfId="15834"/>
    <cellStyle name="Comma 9 3 4 5" xfId="8610"/>
    <cellStyle name="Comma 9 3 4 5 2" xfId="12718"/>
    <cellStyle name="Comma 9 3 4 5 2 2" xfId="19257"/>
    <cellStyle name="Comma 9 3 4 5 3" xfId="16405"/>
    <cellStyle name="Comma 9 3 4 6" xfId="3048"/>
    <cellStyle name="Comma 9 3 4 6 2" xfId="11005"/>
    <cellStyle name="Comma 9 3 4 6 2 2" xfId="17544"/>
    <cellStyle name="Comma 9 3 4 6 3" xfId="14692"/>
    <cellStyle name="Comma 9 3 4 7" xfId="2478"/>
    <cellStyle name="Comma 9 3 4 7 2" xfId="14126"/>
    <cellStyle name="Comma 9 3 4 8" xfId="10439"/>
    <cellStyle name="Comma 9 3 4 8 2" xfId="16978"/>
    <cellStyle name="Comma 9 3 4 9" xfId="13552"/>
    <cellStyle name="Comma 9 3 5" xfId="1327"/>
    <cellStyle name="Comma 9 3 5 2" xfId="4747"/>
    <cellStyle name="Comma 9 3 5 2 2" xfId="11747"/>
    <cellStyle name="Comma 9 3 5 2 2 2" xfId="18286"/>
    <cellStyle name="Comma 9 3 5 2 3" xfId="15434"/>
    <cellStyle name="Comma 9 3 5 3" xfId="7019"/>
    <cellStyle name="Comma 9 3 5 3 2" xfId="12318"/>
    <cellStyle name="Comma 9 3 5 3 2 2" xfId="18857"/>
    <cellStyle name="Comma 9 3 5 3 3" xfId="16005"/>
    <cellStyle name="Comma 9 3 5 4" xfId="9291"/>
    <cellStyle name="Comma 9 3 5 4 2" xfId="12889"/>
    <cellStyle name="Comma 9 3 5 4 2 2" xfId="19428"/>
    <cellStyle name="Comma 9 3 5 4 3" xfId="16576"/>
    <cellStyle name="Comma 9 3 5 5" xfId="3219"/>
    <cellStyle name="Comma 9 3 5 5 2" xfId="11176"/>
    <cellStyle name="Comma 9 3 5 5 2 2" xfId="17715"/>
    <cellStyle name="Comma 9 3 5 5 3" xfId="14863"/>
    <cellStyle name="Comma 9 3 5 6" xfId="2646"/>
    <cellStyle name="Comma 9 3 5 6 2" xfId="14294"/>
    <cellStyle name="Comma 9 3 5 7" xfId="10607"/>
    <cellStyle name="Comma 9 3 5 7 2" xfId="17146"/>
    <cellStyle name="Comma 9 3 5 8" xfId="13723"/>
    <cellStyle name="Comma 9 3 6" xfId="3612"/>
    <cellStyle name="Comma 9 3 6 2" xfId="11462"/>
    <cellStyle name="Comma 9 3 6 2 2" xfId="18001"/>
    <cellStyle name="Comma 9 3 6 3" xfId="15149"/>
    <cellStyle name="Comma 9 3 7" xfId="5884"/>
    <cellStyle name="Comma 9 3 7 2" xfId="12033"/>
    <cellStyle name="Comma 9 3 7 2 2" xfId="18572"/>
    <cellStyle name="Comma 9 3 7 3" xfId="15720"/>
    <cellStyle name="Comma 9 3 8" xfId="8156"/>
    <cellStyle name="Comma 9 3 8 2" xfId="12604"/>
    <cellStyle name="Comma 9 3 8 2 2" xfId="19143"/>
    <cellStyle name="Comma 9 3 8 3" xfId="16291"/>
    <cellStyle name="Comma 9 3 9" xfId="2931"/>
    <cellStyle name="Comma 9 3 9 2" xfId="10890"/>
    <cellStyle name="Comma 9 3 9 2 2" xfId="17429"/>
    <cellStyle name="Comma 9 3 9 3" xfId="14577"/>
    <cellStyle name="Comma 9 4" xfId="125"/>
    <cellStyle name="Comma 9 4 10" xfId="2351"/>
    <cellStyle name="Comma 9 4 10 2" xfId="13999"/>
    <cellStyle name="Comma 9 4 11" xfId="10312"/>
    <cellStyle name="Comma 9 4 11 2" xfId="16851"/>
    <cellStyle name="Comma 9 4 12" xfId="13423"/>
    <cellStyle name="Comma 9 4 2" xfId="363"/>
    <cellStyle name="Comma 9 4 2 10" xfId="13481"/>
    <cellStyle name="Comma 9 4 2 2" xfId="817"/>
    <cellStyle name="Comma 9 4 2 2 2" xfId="1952"/>
    <cellStyle name="Comma 9 4 2 2 2 2" xfId="5372"/>
    <cellStyle name="Comma 9 4 2 2 2 2 2" xfId="11904"/>
    <cellStyle name="Comma 9 4 2 2 2 2 2 2" xfId="18443"/>
    <cellStyle name="Comma 9 4 2 2 2 2 3" xfId="15591"/>
    <cellStyle name="Comma 9 4 2 2 2 3" xfId="7644"/>
    <cellStyle name="Comma 9 4 2 2 2 3 2" xfId="12475"/>
    <cellStyle name="Comma 9 4 2 2 2 3 2 2" xfId="19014"/>
    <cellStyle name="Comma 9 4 2 2 2 3 3" xfId="16162"/>
    <cellStyle name="Comma 9 4 2 2 2 4" xfId="9916"/>
    <cellStyle name="Comma 9 4 2 2 2 4 2" xfId="13046"/>
    <cellStyle name="Comma 9 4 2 2 2 4 2 2" xfId="19585"/>
    <cellStyle name="Comma 9 4 2 2 2 4 3" xfId="16733"/>
    <cellStyle name="Comma 9 4 2 2 2 5" xfId="3376"/>
    <cellStyle name="Comma 9 4 2 2 2 5 2" xfId="11333"/>
    <cellStyle name="Comma 9 4 2 2 2 5 2 2" xfId="17872"/>
    <cellStyle name="Comma 9 4 2 2 2 5 3" xfId="15020"/>
    <cellStyle name="Comma 9 4 2 2 2 6" xfId="2800"/>
    <cellStyle name="Comma 9 4 2 2 2 6 2" xfId="14448"/>
    <cellStyle name="Comma 9 4 2 2 2 7" xfId="10761"/>
    <cellStyle name="Comma 9 4 2 2 2 7 2" xfId="17300"/>
    <cellStyle name="Comma 9 4 2 2 2 8" xfId="13880"/>
    <cellStyle name="Comma 9 4 2 2 3" xfId="4237"/>
    <cellStyle name="Comma 9 4 2 2 3 2" xfId="11619"/>
    <cellStyle name="Comma 9 4 2 2 3 2 2" xfId="18158"/>
    <cellStyle name="Comma 9 4 2 2 3 3" xfId="15306"/>
    <cellStyle name="Comma 9 4 2 2 4" xfId="6509"/>
    <cellStyle name="Comma 9 4 2 2 4 2" xfId="12190"/>
    <cellStyle name="Comma 9 4 2 2 4 2 2" xfId="18729"/>
    <cellStyle name="Comma 9 4 2 2 4 3" xfId="15877"/>
    <cellStyle name="Comma 9 4 2 2 5" xfId="8781"/>
    <cellStyle name="Comma 9 4 2 2 5 2" xfId="12761"/>
    <cellStyle name="Comma 9 4 2 2 5 2 2" xfId="19300"/>
    <cellStyle name="Comma 9 4 2 2 5 3" xfId="16448"/>
    <cellStyle name="Comma 9 4 2 2 6" xfId="3091"/>
    <cellStyle name="Comma 9 4 2 2 6 2" xfId="11048"/>
    <cellStyle name="Comma 9 4 2 2 6 2 2" xfId="17587"/>
    <cellStyle name="Comma 9 4 2 2 6 3" xfId="14735"/>
    <cellStyle name="Comma 9 4 2 2 7" xfId="2520"/>
    <cellStyle name="Comma 9 4 2 2 7 2" xfId="14168"/>
    <cellStyle name="Comma 9 4 2 2 8" xfId="10481"/>
    <cellStyle name="Comma 9 4 2 2 8 2" xfId="17020"/>
    <cellStyle name="Comma 9 4 2 2 9" xfId="13595"/>
    <cellStyle name="Comma 9 4 2 3" xfId="1498"/>
    <cellStyle name="Comma 9 4 2 3 2" xfId="4918"/>
    <cellStyle name="Comma 9 4 2 3 2 2" xfId="11790"/>
    <cellStyle name="Comma 9 4 2 3 2 2 2" xfId="18329"/>
    <cellStyle name="Comma 9 4 2 3 2 3" xfId="15477"/>
    <cellStyle name="Comma 9 4 2 3 3" xfId="7190"/>
    <cellStyle name="Comma 9 4 2 3 3 2" xfId="12361"/>
    <cellStyle name="Comma 9 4 2 3 3 2 2" xfId="18900"/>
    <cellStyle name="Comma 9 4 2 3 3 3" xfId="16048"/>
    <cellStyle name="Comma 9 4 2 3 4" xfId="9462"/>
    <cellStyle name="Comma 9 4 2 3 4 2" xfId="12932"/>
    <cellStyle name="Comma 9 4 2 3 4 2 2" xfId="19471"/>
    <cellStyle name="Comma 9 4 2 3 4 3" xfId="16619"/>
    <cellStyle name="Comma 9 4 2 3 5" xfId="3262"/>
    <cellStyle name="Comma 9 4 2 3 5 2" xfId="11219"/>
    <cellStyle name="Comma 9 4 2 3 5 2 2" xfId="17758"/>
    <cellStyle name="Comma 9 4 2 3 5 3" xfId="14906"/>
    <cellStyle name="Comma 9 4 2 3 6" xfId="2688"/>
    <cellStyle name="Comma 9 4 2 3 6 2" xfId="14336"/>
    <cellStyle name="Comma 9 4 2 3 7" xfId="10649"/>
    <cellStyle name="Comma 9 4 2 3 7 2" xfId="17188"/>
    <cellStyle name="Comma 9 4 2 3 8" xfId="13766"/>
    <cellStyle name="Comma 9 4 2 4" xfId="3783"/>
    <cellStyle name="Comma 9 4 2 4 2" xfId="11505"/>
    <cellStyle name="Comma 9 4 2 4 2 2" xfId="18044"/>
    <cellStyle name="Comma 9 4 2 4 3" xfId="15192"/>
    <cellStyle name="Comma 9 4 2 5" xfId="6055"/>
    <cellStyle name="Comma 9 4 2 5 2" xfId="12076"/>
    <cellStyle name="Comma 9 4 2 5 2 2" xfId="18615"/>
    <cellStyle name="Comma 9 4 2 5 3" xfId="15763"/>
    <cellStyle name="Comma 9 4 2 6" xfId="8327"/>
    <cellStyle name="Comma 9 4 2 6 2" xfId="12647"/>
    <cellStyle name="Comma 9 4 2 6 2 2" xfId="19186"/>
    <cellStyle name="Comma 9 4 2 6 3" xfId="16334"/>
    <cellStyle name="Comma 9 4 2 7" xfId="2977"/>
    <cellStyle name="Comma 9 4 2 7 2" xfId="10934"/>
    <cellStyle name="Comma 9 4 2 7 2 2" xfId="17473"/>
    <cellStyle name="Comma 9 4 2 7 3" xfId="14621"/>
    <cellStyle name="Comma 9 4 2 8" xfId="2408"/>
    <cellStyle name="Comma 9 4 2 8 2" xfId="14056"/>
    <cellStyle name="Comma 9 4 2 9" xfId="10369"/>
    <cellStyle name="Comma 9 4 2 9 2" xfId="16908"/>
    <cellStyle name="Comma 9 4 3" xfId="1044"/>
    <cellStyle name="Comma 9 4 3 2" xfId="2179"/>
    <cellStyle name="Comma 9 4 3 2 2" xfId="5599"/>
    <cellStyle name="Comma 9 4 3 2 2 2" xfId="11961"/>
    <cellStyle name="Comma 9 4 3 2 2 2 2" xfId="18500"/>
    <cellStyle name="Comma 9 4 3 2 2 3" xfId="15648"/>
    <cellStyle name="Comma 9 4 3 2 3" xfId="7871"/>
    <cellStyle name="Comma 9 4 3 2 3 2" xfId="12532"/>
    <cellStyle name="Comma 9 4 3 2 3 2 2" xfId="19071"/>
    <cellStyle name="Comma 9 4 3 2 3 3" xfId="16219"/>
    <cellStyle name="Comma 9 4 3 2 4" xfId="10143"/>
    <cellStyle name="Comma 9 4 3 2 4 2" xfId="13103"/>
    <cellStyle name="Comma 9 4 3 2 4 2 2" xfId="19642"/>
    <cellStyle name="Comma 9 4 3 2 4 3" xfId="16790"/>
    <cellStyle name="Comma 9 4 3 2 5" xfId="3433"/>
    <cellStyle name="Comma 9 4 3 2 5 2" xfId="11390"/>
    <cellStyle name="Comma 9 4 3 2 5 2 2" xfId="17929"/>
    <cellStyle name="Comma 9 4 3 2 5 3" xfId="15077"/>
    <cellStyle name="Comma 9 4 3 2 6" xfId="2856"/>
    <cellStyle name="Comma 9 4 3 2 6 2" xfId="14504"/>
    <cellStyle name="Comma 9 4 3 2 7" xfId="10817"/>
    <cellStyle name="Comma 9 4 3 2 7 2" xfId="17356"/>
    <cellStyle name="Comma 9 4 3 2 8" xfId="13937"/>
    <cellStyle name="Comma 9 4 3 3" xfId="4464"/>
    <cellStyle name="Comma 9 4 3 3 2" xfId="11676"/>
    <cellStyle name="Comma 9 4 3 3 2 2" xfId="18215"/>
    <cellStyle name="Comma 9 4 3 3 3" xfId="15363"/>
    <cellStyle name="Comma 9 4 3 4" xfId="6736"/>
    <cellStyle name="Comma 9 4 3 4 2" xfId="12247"/>
    <cellStyle name="Comma 9 4 3 4 2 2" xfId="18786"/>
    <cellStyle name="Comma 9 4 3 4 3" xfId="15934"/>
    <cellStyle name="Comma 9 4 3 5" xfId="9008"/>
    <cellStyle name="Comma 9 4 3 5 2" xfId="12818"/>
    <cellStyle name="Comma 9 4 3 5 2 2" xfId="19357"/>
    <cellStyle name="Comma 9 4 3 5 3" xfId="16505"/>
    <cellStyle name="Comma 9 4 3 6" xfId="3148"/>
    <cellStyle name="Comma 9 4 3 6 2" xfId="11105"/>
    <cellStyle name="Comma 9 4 3 6 2 2" xfId="17644"/>
    <cellStyle name="Comma 9 4 3 6 3" xfId="14792"/>
    <cellStyle name="Comma 9 4 3 7" xfId="2576"/>
    <cellStyle name="Comma 9 4 3 7 2" xfId="14224"/>
    <cellStyle name="Comma 9 4 3 8" xfId="10537"/>
    <cellStyle name="Comma 9 4 3 8 2" xfId="17076"/>
    <cellStyle name="Comma 9 4 3 9" xfId="13652"/>
    <cellStyle name="Comma 9 4 4" xfId="590"/>
    <cellStyle name="Comma 9 4 4 2" xfId="1725"/>
    <cellStyle name="Comma 9 4 4 2 2" xfId="5145"/>
    <cellStyle name="Comma 9 4 4 2 2 2" xfId="11847"/>
    <cellStyle name="Comma 9 4 4 2 2 2 2" xfId="18386"/>
    <cellStyle name="Comma 9 4 4 2 2 3" xfId="15534"/>
    <cellStyle name="Comma 9 4 4 2 3" xfId="7417"/>
    <cellStyle name="Comma 9 4 4 2 3 2" xfId="12418"/>
    <cellStyle name="Comma 9 4 4 2 3 2 2" xfId="18957"/>
    <cellStyle name="Comma 9 4 4 2 3 3" xfId="16105"/>
    <cellStyle name="Comma 9 4 4 2 4" xfId="9689"/>
    <cellStyle name="Comma 9 4 4 2 4 2" xfId="12989"/>
    <cellStyle name="Comma 9 4 4 2 4 2 2" xfId="19528"/>
    <cellStyle name="Comma 9 4 4 2 4 3" xfId="16676"/>
    <cellStyle name="Comma 9 4 4 2 5" xfId="3319"/>
    <cellStyle name="Comma 9 4 4 2 5 2" xfId="11276"/>
    <cellStyle name="Comma 9 4 4 2 5 2 2" xfId="17815"/>
    <cellStyle name="Comma 9 4 4 2 5 3" xfId="14963"/>
    <cellStyle name="Comma 9 4 4 2 6" xfId="2744"/>
    <cellStyle name="Comma 9 4 4 2 6 2" xfId="14392"/>
    <cellStyle name="Comma 9 4 4 2 7" xfId="10705"/>
    <cellStyle name="Comma 9 4 4 2 7 2" xfId="17244"/>
    <cellStyle name="Comma 9 4 4 2 8" xfId="13823"/>
    <cellStyle name="Comma 9 4 4 3" xfId="4010"/>
    <cellStyle name="Comma 9 4 4 3 2" xfId="11562"/>
    <cellStyle name="Comma 9 4 4 3 2 2" xfId="18101"/>
    <cellStyle name="Comma 9 4 4 3 3" xfId="15249"/>
    <cellStyle name="Comma 9 4 4 4" xfId="6282"/>
    <cellStyle name="Comma 9 4 4 4 2" xfId="12133"/>
    <cellStyle name="Comma 9 4 4 4 2 2" xfId="18672"/>
    <cellStyle name="Comma 9 4 4 4 3" xfId="15820"/>
    <cellStyle name="Comma 9 4 4 5" xfId="8554"/>
    <cellStyle name="Comma 9 4 4 5 2" xfId="12704"/>
    <cellStyle name="Comma 9 4 4 5 2 2" xfId="19243"/>
    <cellStyle name="Comma 9 4 4 5 3" xfId="16391"/>
    <cellStyle name="Comma 9 4 4 6" xfId="3034"/>
    <cellStyle name="Comma 9 4 4 6 2" xfId="10991"/>
    <cellStyle name="Comma 9 4 4 6 2 2" xfId="17530"/>
    <cellStyle name="Comma 9 4 4 6 3" xfId="14678"/>
    <cellStyle name="Comma 9 4 4 7" xfId="2464"/>
    <cellStyle name="Comma 9 4 4 7 2" xfId="14112"/>
    <cellStyle name="Comma 9 4 4 8" xfId="10425"/>
    <cellStyle name="Comma 9 4 4 8 2" xfId="16964"/>
    <cellStyle name="Comma 9 4 4 9" xfId="13538"/>
    <cellStyle name="Comma 9 4 5" xfId="1271"/>
    <cellStyle name="Comma 9 4 5 2" xfId="4691"/>
    <cellStyle name="Comma 9 4 5 2 2" xfId="11733"/>
    <cellStyle name="Comma 9 4 5 2 2 2" xfId="18272"/>
    <cellStyle name="Comma 9 4 5 2 3" xfId="15420"/>
    <cellStyle name="Comma 9 4 5 3" xfId="6963"/>
    <cellStyle name="Comma 9 4 5 3 2" xfId="12304"/>
    <cellStyle name="Comma 9 4 5 3 2 2" xfId="18843"/>
    <cellStyle name="Comma 9 4 5 3 3" xfId="15991"/>
    <cellStyle name="Comma 9 4 5 4" xfId="9235"/>
    <cellStyle name="Comma 9 4 5 4 2" xfId="12875"/>
    <cellStyle name="Comma 9 4 5 4 2 2" xfId="19414"/>
    <cellStyle name="Comma 9 4 5 4 3" xfId="16562"/>
    <cellStyle name="Comma 9 4 5 5" xfId="3205"/>
    <cellStyle name="Comma 9 4 5 5 2" xfId="11162"/>
    <cellStyle name="Comma 9 4 5 5 2 2" xfId="17701"/>
    <cellStyle name="Comma 9 4 5 5 3" xfId="14849"/>
    <cellStyle name="Comma 9 4 5 6" xfId="2632"/>
    <cellStyle name="Comma 9 4 5 6 2" xfId="14280"/>
    <cellStyle name="Comma 9 4 5 7" xfId="10593"/>
    <cellStyle name="Comma 9 4 5 7 2" xfId="17132"/>
    <cellStyle name="Comma 9 4 5 8" xfId="13709"/>
    <cellStyle name="Comma 9 4 6" xfId="3556"/>
    <cellStyle name="Comma 9 4 6 2" xfId="11448"/>
    <cellStyle name="Comma 9 4 6 2 2" xfId="17987"/>
    <cellStyle name="Comma 9 4 6 3" xfId="15135"/>
    <cellStyle name="Comma 9 4 7" xfId="5828"/>
    <cellStyle name="Comma 9 4 7 2" xfId="12019"/>
    <cellStyle name="Comma 9 4 7 2 2" xfId="18558"/>
    <cellStyle name="Comma 9 4 7 3" xfId="15706"/>
    <cellStyle name="Comma 9 4 8" xfId="8100"/>
    <cellStyle name="Comma 9 4 8 2" xfId="12590"/>
    <cellStyle name="Comma 9 4 8 2 2" xfId="19129"/>
    <cellStyle name="Comma 9 4 8 3" xfId="16277"/>
    <cellStyle name="Comma 9 4 9" xfId="2917"/>
    <cellStyle name="Comma 9 4 9 2" xfId="10876"/>
    <cellStyle name="Comma 9 4 9 2 2" xfId="17415"/>
    <cellStyle name="Comma 9 4 9 3" xfId="14563"/>
    <cellStyle name="Comma 9 5" xfId="251"/>
    <cellStyle name="Comma 9 5 10" xfId="2380"/>
    <cellStyle name="Comma 9 5 10 2" xfId="14028"/>
    <cellStyle name="Comma 9 5 11" xfId="10341"/>
    <cellStyle name="Comma 9 5 11 2" xfId="16880"/>
    <cellStyle name="Comma 9 5 12" xfId="13453"/>
    <cellStyle name="Comma 9 5 2" xfId="478"/>
    <cellStyle name="Comma 9 5 2 10" xfId="13510"/>
    <cellStyle name="Comma 9 5 2 2" xfId="932"/>
    <cellStyle name="Comma 9 5 2 2 2" xfId="2067"/>
    <cellStyle name="Comma 9 5 2 2 2 2" xfId="5487"/>
    <cellStyle name="Comma 9 5 2 2 2 2 2" xfId="11933"/>
    <cellStyle name="Comma 9 5 2 2 2 2 2 2" xfId="18472"/>
    <cellStyle name="Comma 9 5 2 2 2 2 3" xfId="15620"/>
    <cellStyle name="Comma 9 5 2 2 2 3" xfId="7759"/>
    <cellStyle name="Comma 9 5 2 2 2 3 2" xfId="12504"/>
    <cellStyle name="Comma 9 5 2 2 2 3 2 2" xfId="19043"/>
    <cellStyle name="Comma 9 5 2 2 2 3 3" xfId="16191"/>
    <cellStyle name="Comma 9 5 2 2 2 4" xfId="10031"/>
    <cellStyle name="Comma 9 5 2 2 2 4 2" xfId="13075"/>
    <cellStyle name="Comma 9 5 2 2 2 4 2 2" xfId="19614"/>
    <cellStyle name="Comma 9 5 2 2 2 4 3" xfId="16762"/>
    <cellStyle name="Comma 9 5 2 2 2 5" xfId="3405"/>
    <cellStyle name="Comma 9 5 2 2 2 5 2" xfId="11362"/>
    <cellStyle name="Comma 9 5 2 2 2 5 2 2" xfId="17901"/>
    <cellStyle name="Comma 9 5 2 2 2 5 3" xfId="15049"/>
    <cellStyle name="Comma 9 5 2 2 2 6" xfId="2828"/>
    <cellStyle name="Comma 9 5 2 2 2 6 2" xfId="14476"/>
    <cellStyle name="Comma 9 5 2 2 2 7" xfId="10789"/>
    <cellStyle name="Comma 9 5 2 2 2 7 2" xfId="17328"/>
    <cellStyle name="Comma 9 5 2 2 2 8" xfId="13909"/>
    <cellStyle name="Comma 9 5 2 2 3" xfId="4352"/>
    <cellStyle name="Comma 9 5 2 2 3 2" xfId="11648"/>
    <cellStyle name="Comma 9 5 2 2 3 2 2" xfId="18187"/>
    <cellStyle name="Comma 9 5 2 2 3 3" xfId="15335"/>
    <cellStyle name="Comma 9 5 2 2 4" xfId="6624"/>
    <cellStyle name="Comma 9 5 2 2 4 2" xfId="12219"/>
    <cellStyle name="Comma 9 5 2 2 4 2 2" xfId="18758"/>
    <cellStyle name="Comma 9 5 2 2 4 3" xfId="15906"/>
    <cellStyle name="Comma 9 5 2 2 5" xfId="8896"/>
    <cellStyle name="Comma 9 5 2 2 5 2" xfId="12790"/>
    <cellStyle name="Comma 9 5 2 2 5 2 2" xfId="19329"/>
    <cellStyle name="Comma 9 5 2 2 5 3" xfId="16477"/>
    <cellStyle name="Comma 9 5 2 2 6" xfId="3120"/>
    <cellStyle name="Comma 9 5 2 2 6 2" xfId="11077"/>
    <cellStyle name="Comma 9 5 2 2 6 2 2" xfId="17616"/>
    <cellStyle name="Comma 9 5 2 2 6 3" xfId="14764"/>
    <cellStyle name="Comma 9 5 2 2 7" xfId="2548"/>
    <cellStyle name="Comma 9 5 2 2 7 2" xfId="14196"/>
    <cellStyle name="Comma 9 5 2 2 8" xfId="10509"/>
    <cellStyle name="Comma 9 5 2 2 8 2" xfId="17048"/>
    <cellStyle name="Comma 9 5 2 2 9" xfId="13624"/>
    <cellStyle name="Comma 9 5 2 3" xfId="1613"/>
    <cellStyle name="Comma 9 5 2 3 2" xfId="5033"/>
    <cellStyle name="Comma 9 5 2 3 2 2" xfId="11819"/>
    <cellStyle name="Comma 9 5 2 3 2 2 2" xfId="18358"/>
    <cellStyle name="Comma 9 5 2 3 2 3" xfId="15506"/>
    <cellStyle name="Comma 9 5 2 3 3" xfId="7305"/>
    <cellStyle name="Comma 9 5 2 3 3 2" xfId="12390"/>
    <cellStyle name="Comma 9 5 2 3 3 2 2" xfId="18929"/>
    <cellStyle name="Comma 9 5 2 3 3 3" xfId="16077"/>
    <cellStyle name="Comma 9 5 2 3 4" xfId="9577"/>
    <cellStyle name="Comma 9 5 2 3 4 2" xfId="12961"/>
    <cellStyle name="Comma 9 5 2 3 4 2 2" xfId="19500"/>
    <cellStyle name="Comma 9 5 2 3 4 3" xfId="16648"/>
    <cellStyle name="Comma 9 5 2 3 5" xfId="3291"/>
    <cellStyle name="Comma 9 5 2 3 5 2" xfId="11248"/>
    <cellStyle name="Comma 9 5 2 3 5 2 2" xfId="17787"/>
    <cellStyle name="Comma 9 5 2 3 5 3" xfId="14935"/>
    <cellStyle name="Comma 9 5 2 3 6" xfId="2716"/>
    <cellStyle name="Comma 9 5 2 3 6 2" xfId="14364"/>
    <cellStyle name="Comma 9 5 2 3 7" xfId="10677"/>
    <cellStyle name="Comma 9 5 2 3 7 2" xfId="17216"/>
    <cellStyle name="Comma 9 5 2 3 8" xfId="13795"/>
    <cellStyle name="Comma 9 5 2 4" xfId="3898"/>
    <cellStyle name="Comma 9 5 2 4 2" xfId="11534"/>
    <cellStyle name="Comma 9 5 2 4 2 2" xfId="18073"/>
    <cellStyle name="Comma 9 5 2 4 3" xfId="15221"/>
    <cellStyle name="Comma 9 5 2 5" xfId="6170"/>
    <cellStyle name="Comma 9 5 2 5 2" xfId="12105"/>
    <cellStyle name="Comma 9 5 2 5 2 2" xfId="18644"/>
    <cellStyle name="Comma 9 5 2 5 3" xfId="15792"/>
    <cellStyle name="Comma 9 5 2 6" xfId="8442"/>
    <cellStyle name="Comma 9 5 2 6 2" xfId="12676"/>
    <cellStyle name="Comma 9 5 2 6 2 2" xfId="19215"/>
    <cellStyle name="Comma 9 5 2 6 3" xfId="16363"/>
    <cellStyle name="Comma 9 5 2 7" xfId="3006"/>
    <cellStyle name="Comma 9 5 2 7 2" xfId="10963"/>
    <cellStyle name="Comma 9 5 2 7 2 2" xfId="17502"/>
    <cellStyle name="Comma 9 5 2 7 3" xfId="14650"/>
    <cellStyle name="Comma 9 5 2 8" xfId="2436"/>
    <cellStyle name="Comma 9 5 2 8 2" xfId="14084"/>
    <cellStyle name="Comma 9 5 2 9" xfId="10397"/>
    <cellStyle name="Comma 9 5 2 9 2" xfId="16936"/>
    <cellStyle name="Comma 9 5 3" xfId="1159"/>
    <cellStyle name="Comma 9 5 3 2" xfId="2294"/>
    <cellStyle name="Comma 9 5 3 2 2" xfId="5714"/>
    <cellStyle name="Comma 9 5 3 2 2 2" xfId="11990"/>
    <cellStyle name="Comma 9 5 3 2 2 2 2" xfId="18529"/>
    <cellStyle name="Comma 9 5 3 2 2 3" xfId="15677"/>
    <cellStyle name="Comma 9 5 3 2 3" xfId="7986"/>
    <cellStyle name="Comma 9 5 3 2 3 2" xfId="12561"/>
    <cellStyle name="Comma 9 5 3 2 3 2 2" xfId="19100"/>
    <cellStyle name="Comma 9 5 3 2 3 3" xfId="16248"/>
    <cellStyle name="Comma 9 5 3 2 4" xfId="10258"/>
    <cellStyle name="Comma 9 5 3 2 4 2" xfId="13132"/>
    <cellStyle name="Comma 9 5 3 2 4 2 2" xfId="19671"/>
    <cellStyle name="Comma 9 5 3 2 4 3" xfId="16819"/>
    <cellStyle name="Comma 9 5 3 2 5" xfId="3462"/>
    <cellStyle name="Comma 9 5 3 2 5 2" xfId="11419"/>
    <cellStyle name="Comma 9 5 3 2 5 2 2" xfId="17958"/>
    <cellStyle name="Comma 9 5 3 2 5 3" xfId="15106"/>
    <cellStyle name="Comma 9 5 3 2 6" xfId="2884"/>
    <cellStyle name="Comma 9 5 3 2 6 2" xfId="14532"/>
    <cellStyle name="Comma 9 5 3 2 7" xfId="10845"/>
    <cellStyle name="Comma 9 5 3 2 7 2" xfId="17384"/>
    <cellStyle name="Comma 9 5 3 2 8" xfId="13966"/>
    <cellStyle name="Comma 9 5 3 3" xfId="4579"/>
    <cellStyle name="Comma 9 5 3 3 2" xfId="11705"/>
    <cellStyle name="Comma 9 5 3 3 2 2" xfId="18244"/>
    <cellStyle name="Comma 9 5 3 3 3" xfId="15392"/>
    <cellStyle name="Comma 9 5 3 4" xfId="6851"/>
    <cellStyle name="Comma 9 5 3 4 2" xfId="12276"/>
    <cellStyle name="Comma 9 5 3 4 2 2" xfId="18815"/>
    <cellStyle name="Comma 9 5 3 4 3" xfId="15963"/>
    <cellStyle name="Comma 9 5 3 5" xfId="9123"/>
    <cellStyle name="Comma 9 5 3 5 2" xfId="12847"/>
    <cellStyle name="Comma 9 5 3 5 2 2" xfId="19386"/>
    <cellStyle name="Comma 9 5 3 5 3" xfId="16534"/>
    <cellStyle name="Comma 9 5 3 6" xfId="3177"/>
    <cellStyle name="Comma 9 5 3 6 2" xfId="11134"/>
    <cellStyle name="Comma 9 5 3 6 2 2" xfId="17673"/>
    <cellStyle name="Comma 9 5 3 6 3" xfId="14821"/>
    <cellStyle name="Comma 9 5 3 7" xfId="2604"/>
    <cellStyle name="Comma 9 5 3 7 2" xfId="14252"/>
    <cellStyle name="Comma 9 5 3 8" xfId="10565"/>
    <cellStyle name="Comma 9 5 3 8 2" xfId="17104"/>
    <cellStyle name="Comma 9 5 3 9" xfId="13681"/>
    <cellStyle name="Comma 9 5 4" xfId="705"/>
    <cellStyle name="Comma 9 5 4 2" xfId="1840"/>
    <cellStyle name="Comma 9 5 4 2 2" xfId="5260"/>
    <cellStyle name="Comma 9 5 4 2 2 2" xfId="11876"/>
    <cellStyle name="Comma 9 5 4 2 2 2 2" xfId="18415"/>
    <cellStyle name="Comma 9 5 4 2 2 3" xfId="15563"/>
    <cellStyle name="Comma 9 5 4 2 3" xfId="7532"/>
    <cellStyle name="Comma 9 5 4 2 3 2" xfId="12447"/>
    <cellStyle name="Comma 9 5 4 2 3 2 2" xfId="18986"/>
    <cellStyle name="Comma 9 5 4 2 3 3" xfId="16134"/>
    <cellStyle name="Comma 9 5 4 2 4" xfId="9804"/>
    <cellStyle name="Comma 9 5 4 2 4 2" xfId="13018"/>
    <cellStyle name="Comma 9 5 4 2 4 2 2" xfId="19557"/>
    <cellStyle name="Comma 9 5 4 2 4 3" xfId="16705"/>
    <cellStyle name="Comma 9 5 4 2 5" xfId="3348"/>
    <cellStyle name="Comma 9 5 4 2 5 2" xfId="11305"/>
    <cellStyle name="Comma 9 5 4 2 5 2 2" xfId="17844"/>
    <cellStyle name="Comma 9 5 4 2 5 3" xfId="14992"/>
    <cellStyle name="Comma 9 5 4 2 6" xfId="2772"/>
    <cellStyle name="Comma 9 5 4 2 6 2" xfId="14420"/>
    <cellStyle name="Comma 9 5 4 2 7" xfId="10733"/>
    <cellStyle name="Comma 9 5 4 2 7 2" xfId="17272"/>
    <cellStyle name="Comma 9 5 4 2 8" xfId="13852"/>
    <cellStyle name="Comma 9 5 4 3" xfId="4125"/>
    <cellStyle name="Comma 9 5 4 3 2" xfId="11591"/>
    <cellStyle name="Comma 9 5 4 3 2 2" xfId="18130"/>
    <cellStyle name="Comma 9 5 4 3 3" xfId="15278"/>
    <cellStyle name="Comma 9 5 4 4" xfId="6397"/>
    <cellStyle name="Comma 9 5 4 4 2" xfId="12162"/>
    <cellStyle name="Comma 9 5 4 4 2 2" xfId="18701"/>
    <cellStyle name="Comma 9 5 4 4 3" xfId="15849"/>
    <cellStyle name="Comma 9 5 4 5" xfId="8669"/>
    <cellStyle name="Comma 9 5 4 5 2" xfId="12733"/>
    <cellStyle name="Comma 9 5 4 5 2 2" xfId="19272"/>
    <cellStyle name="Comma 9 5 4 5 3" xfId="16420"/>
    <cellStyle name="Comma 9 5 4 6" xfId="3063"/>
    <cellStyle name="Comma 9 5 4 6 2" xfId="11020"/>
    <cellStyle name="Comma 9 5 4 6 2 2" xfId="17559"/>
    <cellStyle name="Comma 9 5 4 6 3" xfId="14707"/>
    <cellStyle name="Comma 9 5 4 7" xfId="2492"/>
    <cellStyle name="Comma 9 5 4 7 2" xfId="14140"/>
    <cellStyle name="Comma 9 5 4 8" xfId="10453"/>
    <cellStyle name="Comma 9 5 4 8 2" xfId="16992"/>
    <cellStyle name="Comma 9 5 4 9" xfId="13567"/>
    <cellStyle name="Comma 9 5 5" xfId="1386"/>
    <cellStyle name="Comma 9 5 5 2" xfId="4806"/>
    <cellStyle name="Comma 9 5 5 2 2" xfId="11762"/>
    <cellStyle name="Comma 9 5 5 2 2 2" xfId="18301"/>
    <cellStyle name="Comma 9 5 5 2 3" xfId="15449"/>
    <cellStyle name="Comma 9 5 5 3" xfId="7078"/>
    <cellStyle name="Comma 9 5 5 3 2" xfId="12333"/>
    <cellStyle name="Comma 9 5 5 3 2 2" xfId="18872"/>
    <cellStyle name="Comma 9 5 5 3 3" xfId="16020"/>
    <cellStyle name="Comma 9 5 5 4" xfId="9350"/>
    <cellStyle name="Comma 9 5 5 4 2" xfId="12904"/>
    <cellStyle name="Comma 9 5 5 4 2 2" xfId="19443"/>
    <cellStyle name="Comma 9 5 5 4 3" xfId="16591"/>
    <cellStyle name="Comma 9 5 5 5" xfId="3234"/>
    <cellStyle name="Comma 9 5 5 5 2" xfId="11191"/>
    <cellStyle name="Comma 9 5 5 5 2 2" xfId="17730"/>
    <cellStyle name="Comma 9 5 5 5 3" xfId="14878"/>
    <cellStyle name="Comma 9 5 5 6" xfId="2660"/>
    <cellStyle name="Comma 9 5 5 6 2" xfId="14308"/>
    <cellStyle name="Comma 9 5 5 7" xfId="10621"/>
    <cellStyle name="Comma 9 5 5 7 2" xfId="17160"/>
    <cellStyle name="Comma 9 5 5 8" xfId="13738"/>
    <cellStyle name="Comma 9 5 6" xfId="3671"/>
    <cellStyle name="Comma 9 5 6 2" xfId="11477"/>
    <cellStyle name="Comma 9 5 6 2 2" xfId="18016"/>
    <cellStyle name="Comma 9 5 6 3" xfId="15164"/>
    <cellStyle name="Comma 9 5 7" xfId="5943"/>
    <cellStyle name="Comma 9 5 7 2" xfId="12048"/>
    <cellStyle name="Comma 9 5 7 2 2" xfId="18587"/>
    <cellStyle name="Comma 9 5 7 3" xfId="15735"/>
    <cellStyle name="Comma 9 5 8" xfId="8215"/>
    <cellStyle name="Comma 9 5 8 2" xfId="12619"/>
    <cellStyle name="Comma 9 5 8 2 2" xfId="19158"/>
    <cellStyle name="Comma 9 5 8 3" xfId="16306"/>
    <cellStyle name="Comma 9 5 9" xfId="2949"/>
    <cellStyle name="Comma 9 5 9 2" xfId="10906"/>
    <cellStyle name="Comma 9 5 9 2 2" xfId="17445"/>
    <cellStyle name="Comma 9 5 9 3" xfId="14593"/>
    <cellStyle name="Comma 9 6" xfId="307"/>
    <cellStyle name="Comma 9 6 10" xfId="13467"/>
    <cellStyle name="Comma 9 6 2" xfId="761"/>
    <cellStyle name="Comma 9 6 2 2" xfId="1896"/>
    <cellStyle name="Comma 9 6 2 2 2" xfId="5316"/>
    <cellStyle name="Comma 9 6 2 2 2 2" xfId="11890"/>
    <cellStyle name="Comma 9 6 2 2 2 2 2" xfId="18429"/>
    <cellStyle name="Comma 9 6 2 2 2 3" xfId="15577"/>
    <cellStyle name="Comma 9 6 2 2 3" xfId="7588"/>
    <cellStyle name="Comma 9 6 2 2 3 2" xfId="12461"/>
    <cellStyle name="Comma 9 6 2 2 3 2 2" xfId="19000"/>
    <cellStyle name="Comma 9 6 2 2 3 3" xfId="16148"/>
    <cellStyle name="Comma 9 6 2 2 4" xfId="9860"/>
    <cellStyle name="Comma 9 6 2 2 4 2" xfId="13032"/>
    <cellStyle name="Comma 9 6 2 2 4 2 2" xfId="19571"/>
    <cellStyle name="Comma 9 6 2 2 4 3" xfId="16719"/>
    <cellStyle name="Comma 9 6 2 2 5" xfId="3362"/>
    <cellStyle name="Comma 9 6 2 2 5 2" xfId="11319"/>
    <cellStyle name="Comma 9 6 2 2 5 2 2" xfId="17858"/>
    <cellStyle name="Comma 9 6 2 2 5 3" xfId="15006"/>
    <cellStyle name="Comma 9 6 2 2 6" xfId="2786"/>
    <cellStyle name="Comma 9 6 2 2 6 2" xfId="14434"/>
    <cellStyle name="Comma 9 6 2 2 7" xfId="10747"/>
    <cellStyle name="Comma 9 6 2 2 7 2" xfId="17286"/>
    <cellStyle name="Comma 9 6 2 2 8" xfId="13866"/>
    <cellStyle name="Comma 9 6 2 3" xfId="4181"/>
    <cellStyle name="Comma 9 6 2 3 2" xfId="11605"/>
    <cellStyle name="Comma 9 6 2 3 2 2" xfId="18144"/>
    <cellStyle name="Comma 9 6 2 3 3" xfId="15292"/>
    <cellStyle name="Comma 9 6 2 4" xfId="6453"/>
    <cellStyle name="Comma 9 6 2 4 2" xfId="12176"/>
    <cellStyle name="Comma 9 6 2 4 2 2" xfId="18715"/>
    <cellStyle name="Comma 9 6 2 4 3" xfId="15863"/>
    <cellStyle name="Comma 9 6 2 5" xfId="8725"/>
    <cellStyle name="Comma 9 6 2 5 2" xfId="12747"/>
    <cellStyle name="Comma 9 6 2 5 2 2" xfId="19286"/>
    <cellStyle name="Comma 9 6 2 5 3" xfId="16434"/>
    <cellStyle name="Comma 9 6 2 6" xfId="3077"/>
    <cellStyle name="Comma 9 6 2 6 2" xfId="11034"/>
    <cellStyle name="Comma 9 6 2 6 2 2" xfId="17573"/>
    <cellStyle name="Comma 9 6 2 6 3" xfId="14721"/>
    <cellStyle name="Comma 9 6 2 7" xfId="2506"/>
    <cellStyle name="Comma 9 6 2 7 2" xfId="14154"/>
    <cellStyle name="Comma 9 6 2 8" xfId="10467"/>
    <cellStyle name="Comma 9 6 2 8 2" xfId="17006"/>
    <cellStyle name="Comma 9 6 2 9" xfId="13581"/>
    <cellStyle name="Comma 9 6 3" xfId="1442"/>
    <cellStyle name="Comma 9 6 3 2" xfId="4862"/>
    <cellStyle name="Comma 9 6 3 2 2" xfId="11776"/>
    <cellStyle name="Comma 9 6 3 2 2 2" xfId="18315"/>
    <cellStyle name="Comma 9 6 3 2 3" xfId="15463"/>
    <cellStyle name="Comma 9 6 3 3" xfId="7134"/>
    <cellStyle name="Comma 9 6 3 3 2" xfId="12347"/>
    <cellStyle name="Comma 9 6 3 3 2 2" xfId="18886"/>
    <cellStyle name="Comma 9 6 3 3 3" xfId="16034"/>
    <cellStyle name="Comma 9 6 3 4" xfId="9406"/>
    <cellStyle name="Comma 9 6 3 4 2" xfId="12918"/>
    <cellStyle name="Comma 9 6 3 4 2 2" xfId="19457"/>
    <cellStyle name="Comma 9 6 3 4 3" xfId="16605"/>
    <cellStyle name="Comma 9 6 3 5" xfId="3248"/>
    <cellStyle name="Comma 9 6 3 5 2" xfId="11205"/>
    <cellStyle name="Comma 9 6 3 5 2 2" xfId="17744"/>
    <cellStyle name="Comma 9 6 3 5 3" xfId="14892"/>
    <cellStyle name="Comma 9 6 3 6" xfId="2674"/>
    <cellStyle name="Comma 9 6 3 6 2" xfId="14322"/>
    <cellStyle name="Comma 9 6 3 7" xfId="10635"/>
    <cellStyle name="Comma 9 6 3 7 2" xfId="17174"/>
    <cellStyle name="Comma 9 6 3 8" xfId="13752"/>
    <cellStyle name="Comma 9 6 4" xfId="3727"/>
    <cellStyle name="Comma 9 6 4 2" xfId="11491"/>
    <cellStyle name="Comma 9 6 4 2 2" xfId="18030"/>
    <cellStyle name="Comma 9 6 4 3" xfId="15178"/>
    <cellStyle name="Comma 9 6 5" xfId="5999"/>
    <cellStyle name="Comma 9 6 5 2" xfId="12062"/>
    <cellStyle name="Comma 9 6 5 2 2" xfId="18601"/>
    <cellStyle name="Comma 9 6 5 3" xfId="15749"/>
    <cellStyle name="Comma 9 6 6" xfId="8271"/>
    <cellStyle name="Comma 9 6 6 2" xfId="12633"/>
    <cellStyle name="Comma 9 6 6 2 2" xfId="19172"/>
    <cellStyle name="Comma 9 6 6 3" xfId="16320"/>
    <cellStyle name="Comma 9 6 7" xfId="2963"/>
    <cellStyle name="Comma 9 6 7 2" xfId="10920"/>
    <cellStyle name="Comma 9 6 7 2 2" xfId="17459"/>
    <cellStyle name="Comma 9 6 7 3" xfId="14607"/>
    <cellStyle name="Comma 9 6 8" xfId="2394"/>
    <cellStyle name="Comma 9 6 8 2" xfId="14042"/>
    <cellStyle name="Comma 9 6 9" xfId="10355"/>
    <cellStyle name="Comma 9 6 9 2" xfId="16894"/>
    <cellStyle name="Comma 9 7" xfId="988"/>
    <cellStyle name="Comma 9 7 2" xfId="2123"/>
    <cellStyle name="Comma 9 7 2 2" xfId="5543"/>
    <cellStyle name="Comma 9 7 2 2 2" xfId="11947"/>
    <cellStyle name="Comma 9 7 2 2 2 2" xfId="18486"/>
    <cellStyle name="Comma 9 7 2 2 3" xfId="15634"/>
    <cellStyle name="Comma 9 7 2 3" xfId="7815"/>
    <cellStyle name="Comma 9 7 2 3 2" xfId="12518"/>
    <cellStyle name="Comma 9 7 2 3 2 2" xfId="19057"/>
    <cellStyle name="Comma 9 7 2 3 3" xfId="16205"/>
    <cellStyle name="Comma 9 7 2 4" xfId="10087"/>
    <cellStyle name="Comma 9 7 2 4 2" xfId="13089"/>
    <cellStyle name="Comma 9 7 2 4 2 2" xfId="19628"/>
    <cellStyle name="Comma 9 7 2 4 3" xfId="16776"/>
    <cellStyle name="Comma 9 7 2 5" xfId="3419"/>
    <cellStyle name="Comma 9 7 2 5 2" xfId="11376"/>
    <cellStyle name="Comma 9 7 2 5 2 2" xfId="17915"/>
    <cellStyle name="Comma 9 7 2 5 3" xfId="15063"/>
    <cellStyle name="Comma 9 7 2 6" xfId="2842"/>
    <cellStyle name="Comma 9 7 2 6 2" xfId="14490"/>
    <cellStyle name="Comma 9 7 2 7" xfId="10803"/>
    <cellStyle name="Comma 9 7 2 7 2" xfId="17342"/>
    <cellStyle name="Comma 9 7 2 8" xfId="13923"/>
    <cellStyle name="Comma 9 7 3" xfId="4408"/>
    <cellStyle name="Comma 9 7 3 2" xfId="11662"/>
    <cellStyle name="Comma 9 7 3 2 2" xfId="18201"/>
    <cellStyle name="Comma 9 7 3 3" xfId="15349"/>
    <cellStyle name="Comma 9 7 4" xfId="6680"/>
    <cellStyle name="Comma 9 7 4 2" xfId="12233"/>
    <cellStyle name="Comma 9 7 4 2 2" xfId="18772"/>
    <cellStyle name="Comma 9 7 4 3" xfId="15920"/>
    <cellStyle name="Comma 9 7 5" xfId="8952"/>
    <cellStyle name="Comma 9 7 5 2" xfId="12804"/>
    <cellStyle name="Comma 9 7 5 2 2" xfId="19343"/>
    <cellStyle name="Comma 9 7 5 3" xfId="16491"/>
    <cellStyle name="Comma 9 7 6" xfId="3134"/>
    <cellStyle name="Comma 9 7 6 2" xfId="11091"/>
    <cellStyle name="Comma 9 7 6 2 2" xfId="17630"/>
    <cellStyle name="Comma 9 7 6 3" xfId="14778"/>
    <cellStyle name="Comma 9 7 7" xfId="2562"/>
    <cellStyle name="Comma 9 7 7 2" xfId="14210"/>
    <cellStyle name="Comma 9 7 8" xfId="10523"/>
    <cellStyle name="Comma 9 7 8 2" xfId="17062"/>
    <cellStyle name="Comma 9 7 9" xfId="13638"/>
    <cellStyle name="Comma 9 8" xfId="534"/>
    <cellStyle name="Comma 9 8 2" xfId="1669"/>
    <cellStyle name="Comma 9 8 2 2" xfId="5089"/>
    <cellStyle name="Comma 9 8 2 2 2" xfId="11833"/>
    <cellStyle name="Comma 9 8 2 2 2 2" xfId="18372"/>
    <cellStyle name="Comma 9 8 2 2 3" xfId="15520"/>
    <cellStyle name="Comma 9 8 2 3" xfId="7361"/>
    <cellStyle name="Comma 9 8 2 3 2" xfId="12404"/>
    <cellStyle name="Comma 9 8 2 3 2 2" xfId="18943"/>
    <cellStyle name="Comma 9 8 2 3 3" xfId="16091"/>
    <cellStyle name="Comma 9 8 2 4" xfId="9633"/>
    <cellStyle name="Comma 9 8 2 4 2" xfId="12975"/>
    <cellStyle name="Comma 9 8 2 4 2 2" xfId="19514"/>
    <cellStyle name="Comma 9 8 2 4 3" xfId="16662"/>
    <cellStyle name="Comma 9 8 2 5" xfId="3305"/>
    <cellStyle name="Comma 9 8 2 5 2" xfId="11262"/>
    <cellStyle name="Comma 9 8 2 5 2 2" xfId="17801"/>
    <cellStyle name="Comma 9 8 2 5 3" xfId="14949"/>
    <cellStyle name="Comma 9 8 2 6" xfId="2730"/>
    <cellStyle name="Comma 9 8 2 6 2" xfId="14378"/>
    <cellStyle name="Comma 9 8 2 7" xfId="10691"/>
    <cellStyle name="Comma 9 8 2 7 2" xfId="17230"/>
    <cellStyle name="Comma 9 8 2 8" xfId="13809"/>
    <cellStyle name="Comma 9 8 3" xfId="3954"/>
    <cellStyle name="Comma 9 8 3 2" xfId="11548"/>
    <cellStyle name="Comma 9 8 3 2 2" xfId="18087"/>
    <cellStyle name="Comma 9 8 3 3" xfId="15235"/>
    <cellStyle name="Comma 9 8 4" xfId="6226"/>
    <cellStyle name="Comma 9 8 4 2" xfId="12119"/>
    <cellStyle name="Comma 9 8 4 2 2" xfId="18658"/>
    <cellStyle name="Comma 9 8 4 3" xfId="15806"/>
    <cellStyle name="Comma 9 8 5" xfId="8498"/>
    <cellStyle name="Comma 9 8 5 2" xfId="12690"/>
    <cellStyle name="Comma 9 8 5 2 2" xfId="19229"/>
    <cellStyle name="Comma 9 8 5 3" xfId="16377"/>
    <cellStyle name="Comma 9 8 6" xfId="3020"/>
    <cellStyle name="Comma 9 8 6 2" xfId="10977"/>
    <cellStyle name="Comma 9 8 6 2 2" xfId="17516"/>
    <cellStyle name="Comma 9 8 6 3" xfId="14664"/>
    <cellStyle name="Comma 9 8 7" xfId="2450"/>
    <cellStyle name="Comma 9 8 7 2" xfId="14098"/>
    <cellStyle name="Comma 9 8 8" xfId="10411"/>
    <cellStyle name="Comma 9 8 8 2" xfId="16950"/>
    <cellStyle name="Comma 9 8 9" xfId="13524"/>
    <cellStyle name="Comma 9 9" xfId="1215"/>
    <cellStyle name="Comma 9 9 2" xfId="4635"/>
    <cellStyle name="Comma 9 9 2 2" xfId="11719"/>
    <cellStyle name="Comma 9 9 2 2 2" xfId="18258"/>
    <cellStyle name="Comma 9 9 2 3" xfId="15406"/>
    <cellStyle name="Comma 9 9 3" xfId="6907"/>
    <cellStyle name="Comma 9 9 3 2" xfId="12290"/>
    <cellStyle name="Comma 9 9 3 2 2" xfId="18829"/>
    <cellStyle name="Comma 9 9 3 3" xfId="15977"/>
    <cellStyle name="Comma 9 9 4" xfId="9179"/>
    <cellStyle name="Comma 9 9 4 2" xfId="12861"/>
    <cellStyle name="Comma 9 9 4 2 2" xfId="19400"/>
    <cellStyle name="Comma 9 9 4 3" xfId="16548"/>
    <cellStyle name="Comma 9 9 5" xfId="3191"/>
    <cellStyle name="Comma 9 9 5 2" xfId="11148"/>
    <cellStyle name="Comma 9 9 5 2 2" xfId="17687"/>
    <cellStyle name="Comma 9 9 5 3" xfId="14835"/>
    <cellStyle name="Comma 9 9 6" xfId="2618"/>
    <cellStyle name="Comma 9 9 6 2" xfId="14266"/>
    <cellStyle name="Comma 9 9 7" xfId="10579"/>
    <cellStyle name="Comma 9 9 7 2" xfId="17118"/>
    <cellStyle name="Comma 9 9 8" xfId="13695"/>
    <cellStyle name="Currency 2" xfId="13172"/>
    <cellStyle name="Euro" xfId="13156"/>
    <cellStyle name="Euro 2" xfId="13157"/>
    <cellStyle name="Euro 3" xfId="20108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Hyperlink 2 2" xfId="20110"/>
    <cellStyle name="Hyperlink 2 3" xfId="20109"/>
    <cellStyle name="Hyperlink 3" xfId="19880"/>
    <cellStyle name="Input" xfId="12" builtinId="20" customBuiltin="1"/>
    <cellStyle name="Input 2" xfId="13174"/>
    <cellStyle name="Linked Cell" xfId="15" builtinId="24" customBuiltin="1"/>
    <cellStyle name="Neutral" xfId="13145" builtinId="28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13" xfId="13158"/>
    <cellStyle name="Normal 10 14" xfId="19888"/>
    <cellStyle name="Normal 10 2" xfId="96"/>
    <cellStyle name="Normal 10 2 10" xfId="5799"/>
    <cellStyle name="Normal 10 2 11" xfId="8071"/>
    <cellStyle name="Normal 10 2 12" xfId="19878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3 9" xfId="20111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00" xfId="19889"/>
    <cellStyle name="Normal 101" xfId="19877"/>
    <cellStyle name="Normal 102" xfId="19890"/>
    <cellStyle name="Normal 103" xfId="19891"/>
    <cellStyle name="Normal 104" xfId="19892"/>
    <cellStyle name="Normal 11" xfId="69"/>
    <cellStyle name="Normal 11 2" xfId="2903"/>
    <cellStyle name="Normal 11 2 2" xfId="13268"/>
    <cellStyle name="Normal 11 2 3" xfId="19894"/>
    <cellStyle name="Normal 11 3" xfId="13267"/>
    <cellStyle name="Normal 11 4" xfId="19893"/>
    <cellStyle name="Normal 12" xfId="225"/>
    <cellStyle name="Normal 12 2" xfId="2940"/>
    <cellStyle name="Normal 12 2 2" xfId="13270"/>
    <cellStyle name="Normal 12 2 3" xfId="19896"/>
    <cellStyle name="Normal 12 3" xfId="13269"/>
    <cellStyle name="Normal 12 3 2" xfId="20112"/>
    <cellStyle name="Normal 12 4" xfId="19895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2 7" xfId="19898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3 6" xfId="2011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3 9" xfId="19897"/>
    <cellStyle name="Normal 14" xfId="38"/>
    <cellStyle name="Normal 14 2" xfId="5743"/>
    <cellStyle name="Normal 14 2 2" xfId="19900"/>
    <cellStyle name="Normal 14 3" xfId="8015"/>
    <cellStyle name="Normal 14 3 2" xfId="20114"/>
    <cellStyle name="Normal 14 4" xfId="10287"/>
    <cellStyle name="Normal 14 5" xfId="3470"/>
    <cellStyle name="Normal 14 6" xfId="19899"/>
    <cellStyle name="Normal 15" xfId="2327"/>
    <cellStyle name="Normal 15 2" xfId="13159"/>
    <cellStyle name="Normal 15 2 2" xfId="19902"/>
    <cellStyle name="Normal 15 3" xfId="13271"/>
    <cellStyle name="Normal 15 3 2" xfId="20115"/>
    <cellStyle name="Normal 15 4" xfId="19901"/>
    <cellStyle name="Normal 16" xfId="13272"/>
    <cellStyle name="Normal 16 2" xfId="19904"/>
    <cellStyle name="Normal 16 3" xfId="20116"/>
    <cellStyle name="Normal 16 4" xfId="19903"/>
    <cellStyle name="Normal 17" xfId="13273"/>
    <cellStyle name="Normal 17 2" xfId="19906"/>
    <cellStyle name="Normal 17 3" xfId="20117"/>
    <cellStyle name="Normal 17 4" xfId="19905"/>
    <cellStyle name="Normal 18" xfId="13274"/>
    <cellStyle name="Normal 18 2" xfId="19908"/>
    <cellStyle name="Normal 18 3" xfId="20118"/>
    <cellStyle name="Normal 18 4" xfId="19907"/>
    <cellStyle name="Normal 19" xfId="13275"/>
    <cellStyle name="Normal 19 2" xfId="20119"/>
    <cellStyle name="Normal 19 3" xfId="19909"/>
    <cellStyle name="Normal 2" xfId="42"/>
    <cellStyle name="Normal 2 10" xfId="20121"/>
    <cellStyle name="Normal 2 11" xfId="20122"/>
    <cellStyle name="Normal 2 12" xfId="20123"/>
    <cellStyle name="Normal 2 13" xfId="20124"/>
    <cellStyle name="Normal 2 14" xfId="20125"/>
    <cellStyle name="Normal 2 15" xfId="20126"/>
    <cellStyle name="Normal 2 16" xfId="20127"/>
    <cellStyle name="Normal 2 17" xfId="20120"/>
    <cellStyle name="Normal 2 18" xfId="19875"/>
    <cellStyle name="Normal 2 2" xfId="55"/>
    <cellStyle name="Normal 2 2 2" xfId="2325"/>
    <cellStyle name="Normal 2 2 2 2" xfId="20128"/>
    <cellStyle name="Normal 2 2 3" xfId="13160"/>
    <cellStyle name="Normal 2 2 3 2" xfId="20129"/>
    <cellStyle name="Normal 2 2 4" xfId="20130"/>
    <cellStyle name="Normal 2 2 5" xfId="19910"/>
    <cellStyle name="Normal 2 3" xfId="3472"/>
    <cellStyle name="Normal 2 3 2" xfId="20132"/>
    <cellStyle name="Normal 2 3 3" xfId="20133"/>
    <cellStyle name="Normal 2 3 4" xfId="20131"/>
    <cellStyle name="Normal 2 3 5" xfId="19911"/>
    <cellStyle name="Normal 2 4" xfId="19792"/>
    <cellStyle name="Normal 2 4 2" xfId="20135"/>
    <cellStyle name="Normal 2 4 3" xfId="19881"/>
    <cellStyle name="Normal 2 4 3 2" xfId="20136"/>
    <cellStyle name="Normal 2 4 4" xfId="20134"/>
    <cellStyle name="Normal 2 4 5" xfId="20194"/>
    <cellStyle name="Normal 2 4 6" xfId="19912"/>
    <cellStyle name="Normal 2 5" xfId="19913"/>
    <cellStyle name="Normal 2 5 2" xfId="20138"/>
    <cellStyle name="Normal 2 5 3" xfId="20139"/>
    <cellStyle name="Normal 2 5 4" xfId="20137"/>
    <cellStyle name="Normal 2 6" xfId="19914"/>
    <cellStyle name="Normal 2 6 2" xfId="20141"/>
    <cellStyle name="Normal 2 6 3" xfId="20142"/>
    <cellStyle name="Normal 2 6 4" xfId="20140"/>
    <cellStyle name="Normal 2 7" xfId="20143"/>
    <cellStyle name="Normal 2 7 2" xfId="20144"/>
    <cellStyle name="Normal 2 7 3" xfId="20145"/>
    <cellStyle name="Normal 2 8" xfId="20146"/>
    <cellStyle name="Normal 2 8 2" xfId="20147"/>
    <cellStyle name="Normal 2 8 3" xfId="20148"/>
    <cellStyle name="Normal 2 9" xfId="20149"/>
    <cellStyle name="Normal 2_Investment worksheet 2601" xfId="20150"/>
    <cellStyle name="Normal 20" xfId="13276"/>
    <cellStyle name="Normal 20 2" xfId="19916"/>
    <cellStyle name="Normal 20 3" xfId="20151"/>
    <cellStyle name="Normal 20 4" xfId="19915"/>
    <cellStyle name="Normal 21" xfId="13277"/>
    <cellStyle name="Normal 21 2" xfId="19918"/>
    <cellStyle name="Normal 21 2 2" xfId="20153"/>
    <cellStyle name="Normal 21 3" xfId="20152"/>
    <cellStyle name="Normal 21 4" xfId="19917"/>
    <cellStyle name="Normal 22" xfId="13278"/>
    <cellStyle name="Normal 22 2" xfId="19920"/>
    <cellStyle name="Normal 22 3" xfId="20154"/>
    <cellStyle name="Normal 22 4" xfId="19919"/>
    <cellStyle name="Normal 23" xfId="13279"/>
    <cellStyle name="Normal 23 2" xfId="19922"/>
    <cellStyle name="Normal 23 3" xfId="20155"/>
    <cellStyle name="Normal 23 4" xfId="19921"/>
    <cellStyle name="Normal 24" xfId="13280"/>
    <cellStyle name="Normal 24 2" xfId="19924"/>
    <cellStyle name="Normal 24 2 2" xfId="20157"/>
    <cellStyle name="Normal 24 3" xfId="20156"/>
    <cellStyle name="Normal 24 4" xfId="19923"/>
    <cellStyle name="Normal 25" xfId="13281"/>
    <cellStyle name="Normal 25 2" xfId="19926"/>
    <cellStyle name="Normal 25 3" xfId="20158"/>
    <cellStyle name="Normal 25 4" xfId="19925"/>
    <cellStyle name="Normal 26" xfId="13282"/>
    <cellStyle name="Normal 26 2" xfId="19928"/>
    <cellStyle name="Normal 26 3" xfId="20159"/>
    <cellStyle name="Normal 26 4" xfId="19927"/>
    <cellStyle name="Normal 27" xfId="13283"/>
    <cellStyle name="Normal 27 2" xfId="13143"/>
    <cellStyle name="Normal 27 2 2" xfId="19930"/>
    <cellStyle name="Normal 27 3" xfId="19929"/>
    <cellStyle name="Normal 28" xfId="13284"/>
    <cellStyle name="Normal 28 2" xfId="19932"/>
    <cellStyle name="Normal 28 3" xfId="19931"/>
    <cellStyle name="Normal 29" xfId="13285"/>
    <cellStyle name="Normal 29 2" xfId="19934"/>
    <cellStyle name="Normal 29 3" xfId="19933"/>
    <cellStyle name="Normal 3" xfId="51"/>
    <cellStyle name="Normal 3 10" xfId="3485"/>
    <cellStyle name="Normal 3 11" xfId="5757"/>
    <cellStyle name="Normal 3 12" xfId="8029"/>
    <cellStyle name="Normal 3 13" xfId="19783"/>
    <cellStyle name="Normal 3 14" xfId="19935"/>
    <cellStyle name="Normal 3 2" xfId="82"/>
    <cellStyle name="Normal 3 2 10" xfId="5785"/>
    <cellStyle name="Normal 3 2 11" xfId="8057"/>
    <cellStyle name="Normal 3 2 12" xfId="19936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2 9" xfId="20161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3 9" xfId="20162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4 9" xfId="20163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5 9" xfId="20164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6 7" xfId="20160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30" xfId="13286"/>
    <cellStyle name="Normal 30 2" xfId="19938"/>
    <cellStyle name="Normal 30 3" xfId="19939"/>
    <cellStyle name="Normal 30 4" xfId="19937"/>
    <cellStyle name="Normal 31" xfId="13287"/>
    <cellStyle name="Normal 31 2" xfId="19941"/>
    <cellStyle name="Normal 31 3" xfId="19942"/>
    <cellStyle name="Normal 31 4" xfId="19940"/>
    <cellStyle name="Normal 32" xfId="13288"/>
    <cellStyle name="Normal 32 2" xfId="19944"/>
    <cellStyle name="Normal 32 3" xfId="19945"/>
    <cellStyle name="Normal 32 4" xfId="19943"/>
    <cellStyle name="Normal 33" xfId="13289"/>
    <cellStyle name="Normal 33 2" xfId="19947"/>
    <cellStyle name="Normal 33 3" xfId="19948"/>
    <cellStyle name="Normal 33 4" xfId="19946"/>
    <cellStyle name="Normal 34" xfId="13290"/>
    <cellStyle name="Normal 34 2" xfId="19950"/>
    <cellStyle name="Normal 34 3" xfId="19951"/>
    <cellStyle name="Normal 34 4" xfId="19949"/>
    <cellStyle name="Normal 35" xfId="13291"/>
    <cellStyle name="Normal 35 2" xfId="19953"/>
    <cellStyle name="Normal 35 3" xfId="19952"/>
    <cellStyle name="Normal 36" xfId="13292"/>
    <cellStyle name="Normal 36 2" xfId="19955"/>
    <cellStyle name="Normal 36 3" xfId="19954"/>
    <cellStyle name="Normal 37" xfId="13293"/>
    <cellStyle name="Normal 37 2" xfId="19957"/>
    <cellStyle name="Normal 37 3" xfId="19956"/>
    <cellStyle name="Normal 38" xfId="13294"/>
    <cellStyle name="Normal 38 2" xfId="19959"/>
    <cellStyle name="Normal 38 3" xfId="19958"/>
    <cellStyle name="Normal 39" xfId="13295"/>
    <cellStyle name="Normal 39 2" xfId="19961"/>
    <cellStyle name="Normal 39 3" xfId="19960"/>
    <cellStyle name="Normal 4" xfId="53"/>
    <cellStyle name="Normal 4 10" xfId="3487"/>
    <cellStyle name="Normal 4 11" xfId="5759"/>
    <cellStyle name="Normal 4 12" xfId="8031"/>
    <cellStyle name="Normal 4 13" xfId="13161"/>
    <cellStyle name="Normal 4 14" xfId="13171"/>
    <cellStyle name="Normal 4 15" xfId="19787"/>
    <cellStyle name="Normal 4 16" xfId="19962"/>
    <cellStyle name="Normal 4 2" xfId="84"/>
    <cellStyle name="Normal 4 2 10" xfId="5787"/>
    <cellStyle name="Normal 4 2 11" xfId="8059"/>
    <cellStyle name="Normal 4 2 12" xfId="19963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2 9" xfId="20166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3 9" xfId="20167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4 9" xfId="20168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5 9" xfId="20165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40" xfId="13296"/>
    <cellStyle name="Normal 40 2" xfId="19965"/>
    <cellStyle name="Normal 40 3" xfId="19964"/>
    <cellStyle name="Normal 41" xfId="13297"/>
    <cellStyle name="Normal 41 2" xfId="19966"/>
    <cellStyle name="Normal 42" xfId="13298"/>
    <cellStyle name="Normal 42 2" xfId="19967"/>
    <cellStyle name="Normal 43" xfId="13299"/>
    <cellStyle name="Normal 43 2" xfId="19968"/>
    <cellStyle name="Normal 44" xfId="13300"/>
    <cellStyle name="Normal 44 10" xfId="13301"/>
    <cellStyle name="Normal 44 11" xfId="19969"/>
    <cellStyle name="Normal 44 2" xfId="13302"/>
    <cellStyle name="Normal 44 3" xfId="13303"/>
    <cellStyle name="Normal 44 4" xfId="13304"/>
    <cellStyle name="Normal 44 5" xfId="13305"/>
    <cellStyle name="Normal 44 6" xfId="13306"/>
    <cellStyle name="Normal 44 7" xfId="13307"/>
    <cellStyle name="Normal 44 8" xfId="13308"/>
    <cellStyle name="Normal 44 9" xfId="13309"/>
    <cellStyle name="Normal 45" xfId="13310"/>
    <cellStyle name="Normal 45 2" xfId="19970"/>
    <cellStyle name="Normal 46" xfId="13311"/>
    <cellStyle name="Normal 46 2" xfId="19971"/>
    <cellStyle name="Normal 47" xfId="13312"/>
    <cellStyle name="Normal 47 2" xfId="19972"/>
    <cellStyle name="Normal 48" xfId="13313"/>
    <cellStyle name="Normal 48 2" xfId="19973"/>
    <cellStyle name="Normal 49" xfId="13314"/>
    <cellStyle name="Normal 49 2" xfId="19974"/>
    <cellStyle name="Normal 5" xfId="56"/>
    <cellStyle name="Normal 5 10" xfId="3489"/>
    <cellStyle name="Normal 5 11" xfId="5761"/>
    <cellStyle name="Normal 5 12" xfId="8033"/>
    <cellStyle name="Normal 5 13" xfId="13162"/>
    <cellStyle name="Normal 5 14" xfId="19975"/>
    <cellStyle name="Normal 5 2" xfId="86"/>
    <cellStyle name="Normal 5 2 10" xfId="5789"/>
    <cellStyle name="Normal 5 2 11" xfId="8061"/>
    <cellStyle name="Normal 5 2 12" xfId="13163"/>
    <cellStyle name="Normal 5 2 13" xfId="19976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2 9" xfId="20169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3 9" xfId="20170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4 9" xfId="20171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5 9" xfId="20172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50" xfId="13315"/>
    <cellStyle name="Normal 50 2" xfId="19977"/>
    <cellStyle name="Normal 51" xfId="13316"/>
    <cellStyle name="Normal 51 2" xfId="19978"/>
    <cellStyle name="Normal 52" xfId="13317"/>
    <cellStyle name="Normal 52 2" xfId="19979"/>
    <cellStyle name="Normal 53" xfId="13318"/>
    <cellStyle name="Normal 53 2" xfId="19980"/>
    <cellStyle name="Normal 54" xfId="13319"/>
    <cellStyle name="Normal 54 2" xfId="19981"/>
    <cellStyle name="Normal 55" xfId="13320"/>
    <cellStyle name="Normal 55 2" xfId="19982"/>
    <cellStyle name="Normal 56" xfId="13321"/>
    <cellStyle name="Normal 56 2" xfId="19983"/>
    <cellStyle name="Normal 57" xfId="13322"/>
    <cellStyle name="Normal 57 2" xfId="19984"/>
    <cellStyle name="Normal 58" xfId="13323"/>
    <cellStyle name="Normal 58 2" xfId="19985"/>
    <cellStyle name="Normal 59" xfId="13324"/>
    <cellStyle name="Normal 59 2" xfId="19986"/>
    <cellStyle name="Normal 6" xfId="58"/>
    <cellStyle name="Normal 6 10" xfId="3491"/>
    <cellStyle name="Normal 6 11" xfId="5763"/>
    <cellStyle name="Normal 6 12" xfId="8035"/>
    <cellStyle name="Normal 6 13" xfId="13164"/>
    <cellStyle name="Normal 6 2" xfId="88"/>
    <cellStyle name="Normal 6 2 10" xfId="5791"/>
    <cellStyle name="Normal 6 2 11" xfId="8063"/>
    <cellStyle name="Normal 6 2 12" xfId="13165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60" xfId="13325"/>
    <cellStyle name="Normal 60 2" xfId="19987"/>
    <cellStyle name="Normal 61" xfId="19988"/>
    <cellStyle name="Normal 62" xfId="19989"/>
    <cellStyle name="Normal 63" xfId="19990"/>
    <cellStyle name="Normal 64" xfId="19991"/>
    <cellStyle name="Normal 65" xfId="19992"/>
    <cellStyle name="Normal 66" xfId="19993"/>
    <cellStyle name="Normal 67" xfId="19994"/>
    <cellStyle name="Normal 68" xfId="19995"/>
    <cellStyle name="Normal 69" xfId="19996"/>
    <cellStyle name="Normal 7" xfId="60"/>
    <cellStyle name="Normal 7 10" xfId="3493"/>
    <cellStyle name="Normal 7 11" xfId="5765"/>
    <cellStyle name="Normal 7 12" xfId="8037"/>
    <cellStyle name="Normal 7 13" xfId="13166"/>
    <cellStyle name="Normal 7 2" xfId="90"/>
    <cellStyle name="Normal 7 2 10" xfId="5793"/>
    <cellStyle name="Normal 7 2 11" xfId="8065"/>
    <cellStyle name="Normal 7 2 12" xfId="20056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70" xfId="19997"/>
    <cellStyle name="Normal 71" xfId="19998"/>
    <cellStyle name="Normal 72" xfId="19999"/>
    <cellStyle name="Normal 73" xfId="20000"/>
    <cellStyle name="Normal 74" xfId="20001"/>
    <cellStyle name="Normal 75" xfId="20002"/>
    <cellStyle name="Normal 76" xfId="20003"/>
    <cellStyle name="Normal 77" xfId="20004"/>
    <cellStyle name="Normal 78" xfId="20005"/>
    <cellStyle name="Normal 79" xfId="20006"/>
    <cellStyle name="Normal 8" xfId="62"/>
    <cellStyle name="Normal 8 10" xfId="3495"/>
    <cellStyle name="Normal 8 11" xfId="5767"/>
    <cellStyle name="Normal 8 12" xfId="8039"/>
    <cellStyle name="Normal 8 13" xfId="13167"/>
    <cellStyle name="Normal 8 14" xfId="20007"/>
    <cellStyle name="Normal 8 2" xfId="92"/>
    <cellStyle name="Normal 8 2 10" xfId="5795"/>
    <cellStyle name="Normal 8 2 11" xfId="8067"/>
    <cellStyle name="Normal 8 2 12" xfId="13168"/>
    <cellStyle name="Normal 8 2 13" xfId="20008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80" xfId="20009"/>
    <cellStyle name="Normal 81" xfId="20010"/>
    <cellStyle name="Normal 82" xfId="20011"/>
    <cellStyle name="Normal 83" xfId="20012"/>
    <cellStyle name="Normal 84" xfId="20013"/>
    <cellStyle name="Normal 85" xfId="20014"/>
    <cellStyle name="Normal 86" xfId="20015"/>
    <cellStyle name="Normal 87" xfId="20016"/>
    <cellStyle name="Normal 88" xfId="20017"/>
    <cellStyle name="Normal 89" xfId="20018"/>
    <cellStyle name="Normal 9" xfId="64"/>
    <cellStyle name="Normal 9 10" xfId="3497"/>
    <cellStyle name="Normal 9 11" xfId="5769"/>
    <cellStyle name="Normal 9 12" xfId="8041"/>
    <cellStyle name="Normal 9 13" xfId="20019"/>
    <cellStyle name="Normal 9 2" xfId="94"/>
    <cellStyle name="Normal 9 2 10" xfId="5797"/>
    <cellStyle name="Normal 9 2 11" xfId="8069"/>
    <cellStyle name="Normal 9 2 12" xfId="20020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rmal 90" xfId="20021"/>
    <cellStyle name="Normal 91" xfId="20022"/>
    <cellStyle name="Normal 92" xfId="20023"/>
    <cellStyle name="Normal 93" xfId="20024"/>
    <cellStyle name="Normal 94" xfId="19876"/>
    <cellStyle name="Normal 95" xfId="20025"/>
    <cellStyle name="Normal 96" xfId="20026"/>
    <cellStyle name="Normal 97" xfId="20027"/>
    <cellStyle name="Normal 98" xfId="20028"/>
    <cellStyle name="Normal 99" xfId="20029"/>
    <cellStyle name="Note" xfId="13146" builtinId="10" customBuiltin="1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Note 3" xfId="20030"/>
    <cellStyle name="Note 4" xfId="20173"/>
    <cellStyle name="Output" xfId="13" builtinId="21" customBuiltin="1"/>
    <cellStyle name="Percent" xfId="6" builtinId="5"/>
    <cellStyle name="Percent 10" xfId="13326"/>
    <cellStyle name="Percent 10 2" xfId="13327"/>
    <cellStyle name="Percent 11" xfId="13328"/>
    <cellStyle name="Percent 11 2" xfId="13329"/>
    <cellStyle name="Percent 12" xfId="13330"/>
    <cellStyle name="Percent 12 2" xfId="13331"/>
    <cellStyle name="Percent 13" xfId="13332"/>
    <cellStyle name="Percent 14" xfId="13333"/>
    <cellStyle name="Percent 15" xfId="13334"/>
    <cellStyle name="Percent 16" xfId="13335"/>
    <cellStyle name="Percent 17" xfId="13336"/>
    <cellStyle name="Percent 18" xfId="13337"/>
    <cellStyle name="Percent 19" xfId="13338"/>
    <cellStyle name="Percent 2" xfId="227"/>
    <cellStyle name="Percent 2 2" xfId="2326"/>
    <cellStyle name="Percent 2 2 2" xfId="2942"/>
    <cellStyle name="Percent 2 2 3" xfId="20175"/>
    <cellStyle name="Percent 2 3" xfId="19793"/>
    <cellStyle name="Percent 2 3 2" xfId="20176"/>
    <cellStyle name="Percent 2 4" xfId="20177"/>
    <cellStyle name="Percent 2 5" xfId="20178"/>
    <cellStyle name="Percent 2 6" xfId="20179"/>
    <cellStyle name="Percent 2 7" xfId="20174"/>
    <cellStyle name="Percent 2 8" xfId="20031"/>
    <cellStyle name="Percent 20" xfId="13339"/>
    <cellStyle name="Percent 21" xfId="13340"/>
    <cellStyle name="Percent 22" xfId="13341"/>
    <cellStyle name="Percent 23" xfId="13342"/>
    <cellStyle name="Percent 24" xfId="13343"/>
    <cellStyle name="Percent 25" xfId="13344"/>
    <cellStyle name="Percent 26" xfId="13345"/>
    <cellStyle name="Percent 27" xfId="13346"/>
    <cellStyle name="Percent 28" xfId="13347"/>
    <cellStyle name="Percent 29" xfId="13348"/>
    <cellStyle name="Percent 3" xfId="212"/>
    <cellStyle name="Percent 3 10" xfId="2003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2 7" xfId="20181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3 6" xfId="20182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4 6" xfId="20183"/>
    <cellStyle name="Percent 3 5" xfId="1358"/>
    <cellStyle name="Percent 3 5 2" xfId="4778"/>
    <cellStyle name="Percent 3 5 3" xfId="7050"/>
    <cellStyle name="Percent 3 5 4" xfId="9322"/>
    <cellStyle name="Percent 3 5 5" xfId="20184"/>
    <cellStyle name="Percent 3 6" xfId="3643"/>
    <cellStyle name="Percent 3 6 2" xfId="20185"/>
    <cellStyle name="Percent 3 7" xfId="5915"/>
    <cellStyle name="Percent 3 7 2" xfId="20180"/>
    <cellStyle name="Percent 3 8" xfId="8187"/>
    <cellStyle name="Percent 3 9" xfId="19788"/>
    <cellStyle name="Percent 30" xfId="13349"/>
    <cellStyle name="Percent 31" xfId="13350"/>
    <cellStyle name="Percent 32" xfId="13351"/>
    <cellStyle name="Percent 33" xfId="13352"/>
    <cellStyle name="Percent 34" xfId="13353"/>
    <cellStyle name="Percent 35" xfId="13354"/>
    <cellStyle name="Percent 36" xfId="13355"/>
    <cellStyle name="Percent 37" xfId="13356"/>
    <cellStyle name="Percent 38" xfId="13357"/>
    <cellStyle name="Percent 39" xfId="13358"/>
    <cellStyle name="Percent 4" xfId="40"/>
    <cellStyle name="Percent 4 2" xfId="13360"/>
    <cellStyle name="Percent 4 2 2" xfId="20187"/>
    <cellStyle name="Percent 4 3" xfId="13187"/>
    <cellStyle name="Percent 4 4" xfId="13359"/>
    <cellStyle name="Percent 4 5" xfId="20186"/>
    <cellStyle name="Percent 40" xfId="13361"/>
    <cellStyle name="Percent 41" xfId="13362"/>
    <cellStyle name="Percent 42" xfId="13363"/>
    <cellStyle name="Percent 42 10" xfId="13364"/>
    <cellStyle name="Percent 42 2" xfId="13365"/>
    <cellStyle name="Percent 42 3" xfId="13366"/>
    <cellStyle name="Percent 42 4" xfId="13367"/>
    <cellStyle name="Percent 42 5" xfId="13368"/>
    <cellStyle name="Percent 42 6" xfId="13369"/>
    <cellStyle name="Percent 42 7" xfId="13370"/>
    <cellStyle name="Percent 42 8" xfId="13371"/>
    <cellStyle name="Percent 42 9" xfId="13372"/>
    <cellStyle name="Percent 43" xfId="13373"/>
    <cellStyle name="Percent 44" xfId="13374"/>
    <cellStyle name="Percent 45" xfId="13375"/>
    <cellStyle name="Percent 46" xfId="13376"/>
    <cellStyle name="Percent 47" xfId="13377"/>
    <cellStyle name="Percent 48" xfId="13378"/>
    <cellStyle name="Percent 49" xfId="13379"/>
    <cellStyle name="Percent 5" xfId="2893"/>
    <cellStyle name="Percent 5 2" xfId="13381"/>
    <cellStyle name="Percent 5 2 2" xfId="20188"/>
    <cellStyle name="Percent 5 3" xfId="13380"/>
    <cellStyle name="Percent 50" xfId="13382"/>
    <cellStyle name="Percent 51" xfId="13383"/>
    <cellStyle name="Percent 52" xfId="13384"/>
    <cellStyle name="Percent 53" xfId="13385"/>
    <cellStyle name="Percent 54" xfId="13386"/>
    <cellStyle name="Percent 55" xfId="13387"/>
    <cellStyle name="Percent 56" xfId="13388"/>
    <cellStyle name="Percent 57" xfId="13389"/>
    <cellStyle name="Percent 58" xfId="13185"/>
    <cellStyle name="Percent 6" xfId="13390"/>
    <cellStyle name="Percent 6 2" xfId="13391"/>
    <cellStyle name="Percent 6 3" xfId="20189"/>
    <cellStyle name="Percent 7" xfId="13392"/>
    <cellStyle name="Percent 7 2" xfId="13393"/>
    <cellStyle name="Percent 7 3" xfId="20190"/>
    <cellStyle name="Percent 8" xfId="13394"/>
    <cellStyle name="Percent 8 2" xfId="13395"/>
    <cellStyle name="Percent 9" xfId="13396"/>
    <cellStyle name="Percent 9 2" xfId="13397"/>
    <cellStyle name="Title" xfId="13144" builtinId="15" customBuiltin="1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2.xml"/><Relationship Id="rId7" Type="http://schemas.openxmlformats.org/officeDocument/2006/relationships/worksheet" Target="worksheets/sheet4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11" Type="http://schemas.openxmlformats.org/officeDocument/2006/relationships/calcChain" Target="calcChain.xml"/><Relationship Id="rId5" Type="http://schemas.openxmlformats.org/officeDocument/2006/relationships/chartsheet" Target="chartsheets/sheet3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2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GB" sz="1800">
                <a:solidFill>
                  <a:schemeClr val="bg1"/>
                </a:solidFill>
              </a:rPr>
              <a:t>NAV COMPARISON </a:t>
            </a:r>
            <a:r>
              <a:rPr lang="en-GB" sz="1600">
                <a:solidFill>
                  <a:schemeClr val="bg1"/>
                </a:solidFill>
              </a:rPr>
              <a:t>(</a:t>
            </a:r>
            <a:r>
              <a:rPr lang="en-GB" sz="1600" b="1" i="0" u="none" strike="noStrike" baseline="0">
                <a:effectLst/>
              </a:rPr>
              <a:t>7TH &amp; 14TH JULY, 2023</a:t>
            </a:r>
            <a:r>
              <a:rPr lang="en-GB" sz="1600">
                <a:solidFill>
                  <a:schemeClr val="bg1"/>
                </a:solidFill>
              </a:rPr>
              <a:t>)</a:t>
            </a:r>
          </a:p>
        </c:rich>
      </c:tx>
      <c:layout>
        <c:manualLayout>
          <c:xMode val="edge"/>
          <c:yMode val="edge"/>
          <c:x val="0.2733533743287207"/>
          <c:y val="1.67231917326948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bg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'NAV Trend'!$C$15</c:f>
              <c:strCache>
                <c:ptCount val="1"/>
                <c:pt idx="0">
                  <c:v>07-Jul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'NAV Trend'!$B$16:$B$23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Trend'!$C$16:$C$23</c:f>
              <c:numCache>
                <c:formatCode>#,##0.00</c:formatCode>
                <c:ptCount val="8"/>
                <c:pt idx="0">
                  <c:v>21710685651.219997</c:v>
                </c:pt>
                <c:pt idx="1">
                  <c:v>835884528785.64209</c:v>
                </c:pt>
                <c:pt idx="2">
                  <c:v>320721885218.37311</c:v>
                </c:pt>
                <c:pt idx="3">
                  <c:v>561593301377.72437</c:v>
                </c:pt>
                <c:pt idx="4">
                  <c:v>93531954973.449997</c:v>
                </c:pt>
                <c:pt idx="5" formatCode="_(* #,##0.00_);_(* \(#,##0.00\);_(* &quot;-&quot;??_);_(@_)">
                  <c:v>38388002959.524063</c:v>
                </c:pt>
                <c:pt idx="6">
                  <c:v>3684466270.75</c:v>
                </c:pt>
                <c:pt idx="7">
                  <c:v>26335558994.479996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0F-4264-BE05-31414DBC076F}"/>
            </c:ext>
          </c:extLst>
        </c:ser>
        <c:ser>
          <c:idx val="1"/>
          <c:order val="1"/>
          <c:tx>
            <c:strRef>
              <c:f>'NAV Trend'!$D$15</c:f>
              <c:strCache>
                <c:ptCount val="1"/>
                <c:pt idx="0">
                  <c:v>14-Jul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'NAV Trend'!$B$16:$B$23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Trend'!$D$16:$D$23</c:f>
              <c:numCache>
                <c:formatCode>#,##0.00</c:formatCode>
                <c:ptCount val="8"/>
                <c:pt idx="0">
                  <c:v>20938164830.360001</c:v>
                </c:pt>
                <c:pt idx="1">
                  <c:v>846543599278.24768</c:v>
                </c:pt>
                <c:pt idx="2">
                  <c:v>309847018533.15375</c:v>
                </c:pt>
                <c:pt idx="3">
                  <c:v>583012756562.62463</c:v>
                </c:pt>
                <c:pt idx="4">
                  <c:v>93572406322.790009</c:v>
                </c:pt>
                <c:pt idx="5" formatCode="_(* #,##0.00_);_(* \(#,##0.00\);_(* &quot;-&quot;??_);_(@_)">
                  <c:v>37664855902.908386</c:v>
                </c:pt>
                <c:pt idx="6">
                  <c:v>3699554011.3700004</c:v>
                </c:pt>
                <c:pt idx="7">
                  <c:v>27169515243.780003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0F-4264-BE05-31414DBC0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841727743"/>
        <c:axId val="1841729407"/>
      </c:barChart>
      <c:catAx>
        <c:axId val="18417277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cap="all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 b="1">
                    <a:solidFill>
                      <a:schemeClr val="bg1"/>
                    </a:solidFill>
                  </a:rPr>
                  <a:t>CLASSES of fund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cap="all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1729407"/>
        <c:crosses val="autoZero"/>
        <c:auto val="1"/>
        <c:lblAlgn val="ctr"/>
        <c:lblOffset val="100"/>
        <c:noMultiLvlLbl val="0"/>
      </c:catAx>
      <c:valAx>
        <c:axId val="1841729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cap="all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solidFill>
                      <a:schemeClr val="bg1"/>
                    </a:solidFill>
                  </a:rPr>
                  <a:t>NET ASSET VALUE (N)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cap="all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17277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/>
              <a:t>PERCENTAGE MARKET SHARE TO TOTAL NET ASSET VALUE (NAV)</a:t>
            </a:r>
          </a:p>
          <a:p>
            <a:pPr>
              <a:defRPr/>
            </a:pPr>
            <a:r>
              <a:rPr lang="en-US" sz="1600"/>
              <a:t>AS AT 14TH JULY, 2023</a:t>
            </a:r>
          </a:p>
        </c:rich>
      </c:tx>
      <c:layout>
        <c:manualLayout>
          <c:xMode val="edge"/>
          <c:yMode val="edge"/>
          <c:x val="0.10454722440145399"/>
          <c:y val="3.03747619429671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explosion val="4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3F5C-40DD-BB8C-21E9C72367E0}"/>
              </c:ext>
            </c:extLst>
          </c:dPt>
          <c:dLbls>
            <c:dLbl>
              <c:idx val="2"/>
              <c:layout/>
              <c:tx>
                <c:rich>
                  <a:bodyPr/>
                  <a:lstStyle/>
                  <a:p>
                    <a:fld id="{6E716E55-EB6B-4877-A6BD-D6007AE9287A}" type="PERCENTAGE">
                      <a:rPr lang="en-US" b="1"/>
                      <a:pPr/>
                      <a:t>[PERCENTAGE]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19F1-4D3F-AFC0-2F3DDA5A1E07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B8687598-1C8E-439B-8460-85BBB1BAF981}" type="PERCENTAGE">
                      <a:rPr lang="en-US" b="1"/>
                      <a:pPr/>
                      <a:t>[PERCENTAGE]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19F1-4D3F-AFC0-2F3DDA5A1E07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AEF13CA9-F9CE-4F67-AAAA-B796E6BBDFA1}" type="PERCENTAGE">
                      <a:rPr lang="en-US" b="1"/>
                      <a:pPr/>
                      <a:t>[PERCENTAGE]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19F1-4D3F-AFC0-2F3DDA5A1E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Share'!$E$7:$E$14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TRUSTS</c:v>
                </c:pt>
                <c:pt idx="5">
                  <c:v>MIXED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'Market Share'!$F$7:$F$14</c:f>
              <c:numCache>
                <c:formatCode>#,##0.00</c:formatCode>
                <c:ptCount val="8"/>
                <c:pt idx="0">
                  <c:v>21710685651.219997</c:v>
                </c:pt>
                <c:pt idx="1">
                  <c:v>835884528785.64209</c:v>
                </c:pt>
                <c:pt idx="2">
                  <c:v>320721885218.37311</c:v>
                </c:pt>
                <c:pt idx="3">
                  <c:v>561593301377.72437</c:v>
                </c:pt>
                <c:pt idx="4">
                  <c:v>93531954973.449997</c:v>
                </c:pt>
                <c:pt idx="5">
                  <c:v>38388002959.524063</c:v>
                </c:pt>
                <c:pt idx="6">
                  <c:v>3684466270.75</c:v>
                </c:pt>
                <c:pt idx="7">
                  <c:v>26335558994.479996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/>
              <a:t>MOVEMENT IN TOTAL NAV</a:t>
            </a:r>
          </a:p>
          <a:p>
            <a:pPr>
              <a:defRPr/>
            </a:pPr>
            <a:r>
              <a:rPr lang="en-US" sz="1600"/>
              <a:t>(EIGHT (8) WEEKS ENDING JULY 14, 2023)</a:t>
            </a:r>
          </a:p>
        </c:rich>
      </c:tx>
      <c:layout>
        <c:manualLayout>
          <c:xMode val="edge"/>
          <c:yMode val="edge"/>
          <c:x val="0.24557122667358888"/>
          <c:y val="1.98534789807854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1C2-43E7-AB45-8CDF11C29D80}"/>
                </c:ext>
              </c:extLst>
            </c:dLbl>
            <c:dLbl>
              <c:idx val="1"/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31C2-43E7-AB45-8CDF11C29D80}"/>
                </c:ext>
              </c:extLst>
            </c:dLbl>
            <c:dLbl>
              <c:idx val="2"/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31C2-43E7-AB45-8CDF11C29D80}"/>
                </c:ext>
              </c:extLst>
            </c:dLbl>
            <c:dLbl>
              <c:idx val="3"/>
              <c:layout>
                <c:manualLayout>
                  <c:x val="-3.4260102102621842E-2"/>
                  <c:y val="-7.3961156016334E-1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lt1">
                            <a:lumMod val="8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2379448-DA4C-428C-A43B-051C34405DCF}" type="VALUE">
                      <a:rPr lang="en-US" b="1"/>
                      <a:pPr>
                        <a:defRPr b="1"/>
                      </a:pPr>
                      <a:t>[VALUE]</a:t>
                    </a:fld>
                    <a:endParaRPr lang="en-GB"/>
                  </a:p>
                </c:rich>
              </c:tx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31C2-43E7-AB45-8CDF11C29D80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28A58AFB-9FC3-4D71-B7D2-0E69E956DAC8}" type="VALUE">
                      <a:rPr lang="en-US" b="1"/>
                      <a:pPr/>
                      <a:t>[VALUE]</a:t>
                    </a:fld>
                    <a:endParaRPr lang="en-GB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31C2-43E7-AB45-8CDF11C29D80}"/>
                </c:ext>
              </c:extLst>
            </c:dLbl>
            <c:dLbl>
              <c:idx val="5"/>
              <c:layout>
                <c:manualLayout>
                  <c:x val="-3.4161229846269216E-2"/>
                  <c:y val="6.0514372163388806E-3"/>
                </c:manualLayout>
              </c:layout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1C2-43E7-AB45-8CDF11C29D80}"/>
                </c:ext>
              </c:extLst>
            </c:dLbl>
            <c:dLbl>
              <c:idx val="6"/>
              <c:layout>
                <c:manualLayout>
                  <c:x val="-3.1230826915866285E-2"/>
                  <c:y val="2.017145738779627E-3"/>
                </c:manualLayout>
              </c:layout>
              <c:tx>
                <c:rich>
                  <a:bodyPr/>
                  <a:lstStyle/>
                  <a:p>
                    <a:fld id="{EA19ED88-20A6-44D2-AD83-B59ACAB9E417}" type="VALUE">
                      <a:rPr lang="en-US" b="1"/>
                      <a:pPr/>
                      <a:t>[VALUE]</a:t>
                    </a:fld>
                    <a:endParaRPr lang="en-GB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31C2-43E7-AB45-8CDF11C29D80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A199C8AF-947A-4B1A-A6D2-B7A3848BD034}" type="VALUE">
                      <a:rPr lang="en-US" b="1"/>
                      <a:pPr/>
                      <a:t>[VALUE]</a:t>
                    </a:fld>
                    <a:endParaRPr lang="en-GB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31C2-43E7-AB45-8CDF11C29D80}"/>
                </c:ext>
              </c:extLst>
            </c:dLbl>
            <c:numFmt formatCode="#0.00,,,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45072</c:v>
                </c:pt>
                <c:pt idx="1">
                  <c:v>45079</c:v>
                </c:pt>
                <c:pt idx="2">
                  <c:v>45086</c:v>
                </c:pt>
                <c:pt idx="3">
                  <c:v>45093</c:v>
                </c:pt>
                <c:pt idx="4">
                  <c:v>45100</c:v>
                </c:pt>
                <c:pt idx="5">
                  <c:v>45107</c:v>
                </c:pt>
                <c:pt idx="6">
                  <c:v>45114</c:v>
                </c:pt>
                <c:pt idx="7">
                  <c:v>45121</c:v>
                </c:pt>
              </c:numCache>
            </c:numRef>
          </c:cat>
          <c:val>
            <c:numRef>
              <c:f>'NAV Trend'!$D$10:$K$10</c:f>
              <c:numCache>
                <c:formatCode>_(* #,##0.00_);_(* \(#,##0.00\);_(* "-"??_);_(@_)</c:formatCode>
                <c:ptCount val="8"/>
                <c:pt idx="0">
                  <c:v>1627489359351.6582</c:v>
                </c:pt>
                <c:pt idx="1">
                  <c:v>1637094592546.9585</c:v>
                </c:pt>
                <c:pt idx="2">
                  <c:v>1644224849788.0632</c:v>
                </c:pt>
                <c:pt idx="3">
                  <c:v>1783352855386.8538</c:v>
                </c:pt>
                <c:pt idx="4">
                  <c:v>1875033373373.3662</c:v>
                </c:pt>
                <c:pt idx="5">
                  <c:v>1877975298694.9844</c:v>
                </c:pt>
                <c:pt idx="6">
                  <c:v>1901850384231.1636</c:v>
                </c:pt>
                <c:pt idx="7">
                  <c:v>1922447870685.2349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&quot;N&quot;\ #0.00,,,\ &quot;bn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23781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>
                <a:solidFill>
                  <a:schemeClr val="bg1"/>
                </a:solidFill>
              </a:rPr>
              <a:t>MOVEMENT IN NAV BY CLASSes OF FUND</a:t>
            </a:r>
          </a:p>
          <a:p>
            <a:pPr>
              <a:defRPr/>
            </a:pPr>
            <a:r>
              <a:rPr lang="en-US" sz="1600">
                <a:solidFill>
                  <a:schemeClr val="bg1"/>
                </a:solidFill>
              </a:rPr>
              <a:t>(Eight (8) Weeks Ending JULY 14, 2023</a:t>
            </a:r>
            <a:r>
              <a:rPr lang="en-US"/>
              <a:t>)  </a:t>
            </a:r>
          </a:p>
        </c:rich>
      </c:tx>
      <c:layout>
        <c:manualLayout>
          <c:xMode val="edge"/>
          <c:yMode val="edge"/>
          <c:x val="0.24479213175276168"/>
          <c:y val="9.555552908382669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398927057194774"/>
          <c:y val="0.17748849472484626"/>
          <c:w val="0.78102643741975963"/>
          <c:h val="0.6296437459815248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'NAV Trend'!$B$9</c:f>
              <c:strCache>
                <c:ptCount val="1"/>
                <c:pt idx="0">
                  <c:v>SHARI'AH COMPLAINT FUNDS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45072</c:v>
                </c:pt>
                <c:pt idx="1">
                  <c:v>45079</c:v>
                </c:pt>
                <c:pt idx="2">
                  <c:v>45086</c:v>
                </c:pt>
                <c:pt idx="3">
                  <c:v>45093</c:v>
                </c:pt>
                <c:pt idx="4">
                  <c:v>45100</c:v>
                </c:pt>
                <c:pt idx="5">
                  <c:v>45107</c:v>
                </c:pt>
                <c:pt idx="6">
                  <c:v>45114</c:v>
                </c:pt>
                <c:pt idx="7">
                  <c:v>45121</c:v>
                </c:pt>
              </c:numCache>
            </c:numRef>
          </c:cat>
          <c:val>
            <c:numRef>
              <c:f>'NAV Trend'!$C$9:$K$9</c:f>
              <c:numCache>
                <c:formatCode>#,##0.00</c:formatCode>
                <c:ptCount val="9"/>
                <c:pt idx="0">
                  <c:v>25509760696.910004</c:v>
                </c:pt>
                <c:pt idx="1">
                  <c:v>25740009095.389999</c:v>
                </c:pt>
                <c:pt idx="2">
                  <c:v>25701609592.029999</c:v>
                </c:pt>
                <c:pt idx="3">
                  <c:v>25776389309.68</c:v>
                </c:pt>
                <c:pt idx="4">
                  <c:v>25810810447.57</c:v>
                </c:pt>
                <c:pt idx="5">
                  <c:v>26082310834.120003</c:v>
                </c:pt>
                <c:pt idx="6">
                  <c:v>26010301617.079998</c:v>
                </c:pt>
                <c:pt idx="7">
                  <c:v>26335558994.479996</c:v>
                </c:pt>
                <c:pt idx="8">
                  <c:v>27169515243.780003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Trend'!$B$8</c:f>
              <c:strCache>
                <c:ptCount val="1"/>
                <c:pt idx="0">
                  <c:v>ETHICAL FUNDS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45072</c:v>
                </c:pt>
                <c:pt idx="1">
                  <c:v>45079</c:v>
                </c:pt>
                <c:pt idx="2">
                  <c:v>45086</c:v>
                </c:pt>
                <c:pt idx="3">
                  <c:v>45093</c:v>
                </c:pt>
                <c:pt idx="4">
                  <c:v>45100</c:v>
                </c:pt>
                <c:pt idx="5">
                  <c:v>45107</c:v>
                </c:pt>
                <c:pt idx="6">
                  <c:v>45114</c:v>
                </c:pt>
                <c:pt idx="7">
                  <c:v>45121</c:v>
                </c:pt>
              </c:numCache>
            </c:numRef>
          </c:cat>
          <c:val>
            <c:numRef>
              <c:f>'NAV Trend'!$C$8:$K$8</c:f>
              <c:numCache>
                <c:formatCode>#,##0.00</c:formatCode>
                <c:ptCount val="9"/>
                <c:pt idx="0">
                  <c:v>3085351470.0200005</c:v>
                </c:pt>
                <c:pt idx="1">
                  <c:v>3105704717.4300003</c:v>
                </c:pt>
                <c:pt idx="2">
                  <c:v>3224901792.5799999</c:v>
                </c:pt>
                <c:pt idx="3">
                  <c:v>3226244064.04</c:v>
                </c:pt>
                <c:pt idx="4">
                  <c:v>3394394975.1899996</c:v>
                </c:pt>
                <c:pt idx="5">
                  <c:v>3378418489.8299999</c:v>
                </c:pt>
                <c:pt idx="6">
                  <c:v>3481681169.4399996</c:v>
                </c:pt>
                <c:pt idx="7">
                  <c:v>3684466270.75</c:v>
                </c:pt>
                <c:pt idx="8">
                  <c:v>3699554011.3700004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Trend'!$B$7</c:f>
              <c:strCache>
                <c:ptCount val="1"/>
                <c:pt idx="0">
                  <c:v>BALANCED FUNDS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45072</c:v>
                </c:pt>
                <c:pt idx="1">
                  <c:v>45079</c:v>
                </c:pt>
                <c:pt idx="2">
                  <c:v>45086</c:v>
                </c:pt>
                <c:pt idx="3">
                  <c:v>45093</c:v>
                </c:pt>
                <c:pt idx="4">
                  <c:v>45100</c:v>
                </c:pt>
                <c:pt idx="5">
                  <c:v>45107</c:v>
                </c:pt>
                <c:pt idx="6">
                  <c:v>45114</c:v>
                </c:pt>
                <c:pt idx="7">
                  <c:v>45121</c:v>
                </c:pt>
              </c:numCache>
            </c:numRef>
          </c:cat>
          <c:val>
            <c:numRef>
              <c:f>'NAV Trend'!$C$7:$K$7</c:f>
              <c:numCache>
                <c:formatCode>_(* #,##0.00_);_(* \(#,##0.00\);_(* "-"??_);_(@_)</c:formatCode>
                <c:ptCount val="9"/>
                <c:pt idx="0">
                  <c:v>32017254793.66489</c:v>
                </c:pt>
                <c:pt idx="1">
                  <c:v>32587344550.170525</c:v>
                </c:pt>
                <c:pt idx="2">
                  <c:v>33634490477.322308</c:v>
                </c:pt>
                <c:pt idx="3">
                  <c:v>33719080186.031113</c:v>
                </c:pt>
                <c:pt idx="4">
                  <c:v>35744115521.98378</c:v>
                </c:pt>
                <c:pt idx="5">
                  <c:v>36228102075.464104</c:v>
                </c:pt>
                <c:pt idx="6">
                  <c:v>36851874319.96862</c:v>
                </c:pt>
                <c:pt idx="7">
                  <c:v>38388002959.524063</c:v>
                </c:pt>
                <c:pt idx="8">
                  <c:v>37664855902.908386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Trend'!$B$2</c:f>
              <c:strCache>
                <c:ptCount val="1"/>
                <c:pt idx="0">
                  <c:v>EQUITY BASED FUNDS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45072</c:v>
                </c:pt>
                <c:pt idx="1">
                  <c:v>45079</c:v>
                </c:pt>
                <c:pt idx="2">
                  <c:v>45086</c:v>
                </c:pt>
                <c:pt idx="3">
                  <c:v>45093</c:v>
                </c:pt>
                <c:pt idx="4">
                  <c:v>45100</c:v>
                </c:pt>
                <c:pt idx="5">
                  <c:v>45107</c:v>
                </c:pt>
                <c:pt idx="6">
                  <c:v>45114</c:v>
                </c:pt>
                <c:pt idx="7">
                  <c:v>45121</c:v>
                </c:pt>
              </c:numCache>
            </c:numRef>
          </c:cat>
          <c:val>
            <c:numRef>
              <c:f>'NAV Trend'!$C$2:$K$2</c:f>
              <c:numCache>
                <c:formatCode>#,##0.00</c:formatCode>
                <c:ptCount val="9"/>
                <c:pt idx="0">
                  <c:v>17079628906.379999</c:v>
                </c:pt>
                <c:pt idx="1">
                  <c:v>17454929325.299999</c:v>
                </c:pt>
                <c:pt idx="2">
                  <c:v>18617819180.259998</c:v>
                </c:pt>
                <c:pt idx="3">
                  <c:v>18707350348.629997</c:v>
                </c:pt>
                <c:pt idx="4">
                  <c:v>20030863173.209999</c:v>
                </c:pt>
                <c:pt idx="5">
                  <c:v>20288689104.509998</c:v>
                </c:pt>
                <c:pt idx="6">
                  <c:v>20576058059.739998</c:v>
                </c:pt>
                <c:pt idx="7">
                  <c:v>21710685651.219997</c:v>
                </c:pt>
                <c:pt idx="8">
                  <c:v>20938164830.360001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INVESTMENT TRUST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45072</c:v>
                </c:pt>
                <c:pt idx="1">
                  <c:v>45079</c:v>
                </c:pt>
                <c:pt idx="2">
                  <c:v>45086</c:v>
                </c:pt>
                <c:pt idx="3">
                  <c:v>45093</c:v>
                </c:pt>
                <c:pt idx="4">
                  <c:v>45100</c:v>
                </c:pt>
                <c:pt idx="5">
                  <c:v>45107</c:v>
                </c:pt>
                <c:pt idx="6">
                  <c:v>45114</c:v>
                </c:pt>
                <c:pt idx="7">
                  <c:v>45121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94202498345.429993</c:v>
                </c:pt>
                <c:pt idx="1">
                  <c:v>94230214273.230011</c:v>
                </c:pt>
                <c:pt idx="2">
                  <c:v>93351135037.830002</c:v>
                </c:pt>
                <c:pt idx="3">
                  <c:v>93428704507.080002</c:v>
                </c:pt>
                <c:pt idx="4">
                  <c:v>93449896565.160004</c:v>
                </c:pt>
                <c:pt idx="5">
                  <c:v>93463222418.470001</c:v>
                </c:pt>
                <c:pt idx="6">
                  <c:v>93491559414.529999</c:v>
                </c:pt>
                <c:pt idx="7">
                  <c:v>93531954973.449997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Trend'!$B$3</c:f>
              <c:strCache>
                <c:ptCount val="1"/>
                <c:pt idx="0">
                  <c:v>MONEY MARKET FUNDS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45072</c:v>
                </c:pt>
                <c:pt idx="1">
                  <c:v>45079</c:v>
                </c:pt>
                <c:pt idx="2">
                  <c:v>45086</c:v>
                </c:pt>
                <c:pt idx="3">
                  <c:v>45093</c:v>
                </c:pt>
                <c:pt idx="4">
                  <c:v>45100</c:v>
                </c:pt>
                <c:pt idx="5">
                  <c:v>45107</c:v>
                </c:pt>
                <c:pt idx="6">
                  <c:v>45114</c:v>
                </c:pt>
                <c:pt idx="7">
                  <c:v>45121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806087341383.99084</c:v>
                </c:pt>
                <c:pt idx="1">
                  <c:v>798748175531.57666</c:v>
                </c:pt>
                <c:pt idx="2">
                  <c:v>807261945859.45349</c:v>
                </c:pt>
                <c:pt idx="3">
                  <c:v>810860786783.24963</c:v>
                </c:pt>
                <c:pt idx="4">
                  <c:v>816758455712.61926</c:v>
                </c:pt>
                <c:pt idx="5">
                  <c:v>817523630430.57593</c:v>
                </c:pt>
                <c:pt idx="6">
                  <c:v>822530716125.65808</c:v>
                </c:pt>
                <c:pt idx="7">
                  <c:v>835884528785.64209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ser>
          <c:idx val="4"/>
          <c:order val="3"/>
          <c:tx>
            <c:strRef>
              <c:f>'NAV Trend'!$B$4</c:f>
              <c:strCache>
                <c:ptCount val="1"/>
                <c:pt idx="0">
                  <c:v>BONDS/FIXED INCOME FUNDS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45072</c:v>
                </c:pt>
                <c:pt idx="1">
                  <c:v>45079</c:v>
                </c:pt>
                <c:pt idx="2">
                  <c:v>45086</c:v>
                </c:pt>
                <c:pt idx="3">
                  <c:v>45093</c:v>
                </c:pt>
                <c:pt idx="4">
                  <c:v>45100</c:v>
                </c:pt>
                <c:pt idx="5">
                  <c:v>45107</c:v>
                </c:pt>
                <c:pt idx="6">
                  <c:v>45114</c:v>
                </c:pt>
                <c:pt idx="7">
                  <c:v>45121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326437563760.66541</c:v>
                </c:pt>
                <c:pt idx="1">
                  <c:v>323714339049.49524</c:v>
                </c:pt>
                <c:pt idx="2">
                  <c:v>323395950269.5387</c:v>
                </c:pt>
                <c:pt idx="3">
                  <c:v>319908980259.00153</c:v>
                </c:pt>
                <c:pt idx="4">
                  <c:v>317665884188.13855</c:v>
                </c:pt>
                <c:pt idx="5">
                  <c:v>327549421729.35663</c:v>
                </c:pt>
                <c:pt idx="6">
                  <c:v>321409973646.99713</c:v>
                </c:pt>
                <c:pt idx="7">
                  <c:v>320721885218.37311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Trend'!$B$5</c:f>
              <c:strCache>
                <c:ptCount val="1"/>
                <c:pt idx="0">
                  <c:v>DOLLAR FUNDS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45072</c:v>
                </c:pt>
                <c:pt idx="1">
                  <c:v>45079</c:v>
                </c:pt>
                <c:pt idx="2">
                  <c:v>45086</c:v>
                </c:pt>
                <c:pt idx="3">
                  <c:v>45093</c:v>
                </c:pt>
                <c:pt idx="4">
                  <c:v>45100</c:v>
                </c:pt>
                <c:pt idx="5">
                  <c:v>45107</c:v>
                </c:pt>
                <c:pt idx="6">
                  <c:v>45114</c:v>
                </c:pt>
                <c:pt idx="7">
                  <c:v>45121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329647629846.67249</c:v>
                </c:pt>
                <c:pt idx="1">
                  <c:v>331908642809.0658</c:v>
                </c:pt>
                <c:pt idx="2">
                  <c:v>331906740337.94391</c:v>
                </c:pt>
                <c:pt idx="3">
                  <c:v>338597314330.35101</c:v>
                </c:pt>
                <c:pt idx="4">
                  <c:v>470498434802.98218</c:v>
                </c:pt>
                <c:pt idx="5">
                  <c:v>550519578291.03943</c:v>
                </c:pt>
                <c:pt idx="6">
                  <c:v>553623134341.57056</c:v>
                </c:pt>
                <c:pt idx="7">
                  <c:v>561593301377.72437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44"/>
        <c:overlap val="-90"/>
        <c:axId val="1222378911"/>
        <c:axId val="1"/>
      </c:barChart>
      <c:catAx>
        <c:axId val="1222378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title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N&quot;\ #0.00,,,\ &quot;bn&quot;" sourceLinked="0"/>
        <c:majorTickMark val="none"/>
        <c:minorTickMark val="none"/>
        <c:tickLblPos val="low"/>
        <c:crossAx val="1222378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3828213780969686"/>
          <c:y val="0.87222287077957916"/>
          <c:w val="0.78992299039543135"/>
          <c:h val="7.26191525605441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0</xdr:colOff>
      <xdr:row>70</xdr:row>
      <xdr:rowOff>0</xdr:rowOff>
    </xdr:from>
    <xdr:to>
      <xdr:col>21</xdr:col>
      <xdr:colOff>990600</xdr:colOff>
      <xdr:row>74</xdr:row>
      <xdr:rowOff>66676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96</xdr:row>
      <xdr:rowOff>0</xdr:rowOff>
    </xdr:from>
    <xdr:to>
      <xdr:col>20</xdr:col>
      <xdr:colOff>304800</xdr:colOff>
      <xdr:row>97</xdr:row>
      <xdr:rowOff>142873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14430</xdr:colOff>
      <xdr:row>0</xdr:row>
      <xdr:rowOff>0</xdr:rowOff>
    </xdr:from>
    <xdr:to>
      <xdr:col>10</xdr:col>
      <xdr:colOff>532946</xdr:colOff>
      <xdr:row>23</xdr:row>
      <xdr:rowOff>217713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240"/>
  <sheetViews>
    <sheetView tabSelected="1" view="pageBreakPreview" zoomScale="120" zoomScaleNormal="160" zoomScaleSheetLayoutView="120" workbookViewId="0">
      <pane ySplit="1" topLeftCell="A2" activePane="bottomLeft" state="frozen"/>
      <selection activeCell="D1" sqref="D1"/>
      <selection pane="bottomLeft" activeCell="A2" sqref="A2"/>
    </sheetView>
  </sheetViews>
  <sheetFormatPr defaultColWidth="8.85546875" defaultRowHeight="12" customHeight="1"/>
  <cols>
    <col min="1" max="1" width="3.85546875" style="2" customWidth="1"/>
    <col min="2" max="2" width="33.42578125" style="3" customWidth="1"/>
    <col min="3" max="3" width="29.42578125" style="3" customWidth="1"/>
    <col min="4" max="4" width="16.85546875" style="3" customWidth="1"/>
    <col min="5" max="5" width="8.7109375" style="3" customWidth="1"/>
    <col min="6" max="7" width="9.42578125" style="3" customWidth="1"/>
    <col min="8" max="8" width="7.5703125" style="222" customWidth="1"/>
    <col min="9" max="9" width="7.28515625" style="222" customWidth="1"/>
    <col min="10" max="10" width="18" style="218" customWidth="1"/>
    <col min="11" max="11" width="8.7109375" style="3" customWidth="1"/>
    <col min="12" max="12" width="9.7109375" style="3" customWidth="1"/>
    <col min="13" max="13" width="9.42578125" style="3" customWidth="1"/>
    <col min="14" max="14" width="7.85546875" style="2" customWidth="1"/>
    <col min="15" max="15" width="7.28515625" style="2" customWidth="1"/>
    <col min="16" max="16" width="9" style="3" customWidth="1"/>
    <col min="17" max="17" width="9.42578125" style="3" customWidth="1"/>
    <col min="18" max="18" width="8.42578125" style="106" customWidth="1"/>
    <col min="19" max="19" width="7.5703125" style="106" customWidth="1"/>
    <col min="20" max="20" width="29" style="107" customWidth="1"/>
    <col min="21" max="21" width="18.42578125" style="106" customWidth="1"/>
    <col min="22" max="22" width="18.140625" style="106" customWidth="1"/>
    <col min="23" max="23" width="9.42578125" style="106" customWidth="1"/>
    <col min="24" max="24" width="18.42578125" style="106" customWidth="1"/>
    <col min="25" max="25" width="8.85546875" style="106" customWidth="1"/>
    <col min="26" max="26" width="25.140625" style="106" customWidth="1"/>
    <col min="27" max="32" width="8.85546875" style="106"/>
    <col min="33" max="33" width="9" style="106" bestFit="1" customWidth="1"/>
    <col min="34" max="42" width="8.85546875" style="106"/>
    <col min="43" max="43" width="9.28515625" style="106" bestFit="1" customWidth="1"/>
    <col min="44" max="51" width="8.85546875" style="106"/>
    <col min="52" max="52" width="8.85546875" style="106" customWidth="1"/>
    <col min="53" max="103" width="8.85546875" style="106"/>
    <col min="104" max="16384" width="8.85546875" style="3"/>
  </cols>
  <sheetData>
    <row r="1" spans="1:26" s="112" customFormat="1" ht="22.5" customHeight="1">
      <c r="A1" s="440" t="s">
        <v>283</v>
      </c>
      <c r="B1" s="441"/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  <c r="P1" s="442"/>
      <c r="Q1" s="442"/>
      <c r="R1" s="442"/>
      <c r="S1" s="443"/>
      <c r="T1" s="289"/>
      <c r="U1" s="113"/>
    </row>
    <row r="2" spans="1:26" s="112" customFormat="1" ht="25.5" customHeight="1">
      <c r="A2" s="242"/>
      <c r="B2" s="243"/>
      <c r="C2" s="243"/>
      <c r="D2" s="444" t="s">
        <v>280</v>
      </c>
      <c r="E2" s="445"/>
      <c r="F2" s="445"/>
      <c r="G2" s="445"/>
      <c r="H2" s="445"/>
      <c r="I2" s="446"/>
      <c r="J2" s="444" t="s">
        <v>284</v>
      </c>
      <c r="K2" s="445"/>
      <c r="L2" s="445"/>
      <c r="M2" s="445"/>
      <c r="N2" s="445"/>
      <c r="O2" s="446"/>
      <c r="P2" s="408" t="s">
        <v>62</v>
      </c>
      <c r="Q2" s="408"/>
      <c r="R2" s="408" t="s">
        <v>216</v>
      </c>
      <c r="S2" s="428"/>
      <c r="T2" s="289"/>
      <c r="U2" s="113"/>
    </row>
    <row r="3" spans="1:26" s="112" customFormat="1" ht="24.75" customHeight="1">
      <c r="A3" s="294" t="s">
        <v>1</v>
      </c>
      <c r="B3" s="295" t="s">
        <v>2</v>
      </c>
      <c r="C3" s="295" t="s">
        <v>194</v>
      </c>
      <c r="D3" s="296" t="s">
        <v>203</v>
      </c>
      <c r="E3" s="297" t="s">
        <v>61</v>
      </c>
      <c r="F3" s="297" t="s">
        <v>213</v>
      </c>
      <c r="G3" s="297" t="s">
        <v>214</v>
      </c>
      <c r="H3" s="297" t="s">
        <v>254</v>
      </c>
      <c r="I3" s="297" t="s">
        <v>255</v>
      </c>
      <c r="J3" s="298" t="s">
        <v>203</v>
      </c>
      <c r="K3" s="297" t="s">
        <v>61</v>
      </c>
      <c r="L3" s="297" t="s">
        <v>213</v>
      </c>
      <c r="M3" s="297" t="s">
        <v>214</v>
      </c>
      <c r="N3" s="297" t="s">
        <v>254</v>
      </c>
      <c r="O3" s="297" t="s">
        <v>255</v>
      </c>
      <c r="P3" s="299" t="s">
        <v>204</v>
      </c>
      <c r="Q3" s="300" t="s">
        <v>119</v>
      </c>
      <c r="R3" s="297" t="s">
        <v>257</v>
      </c>
      <c r="S3" s="301" t="s">
        <v>258</v>
      </c>
      <c r="T3" s="289"/>
      <c r="U3" s="113"/>
    </row>
    <row r="4" spans="1:26" s="112" customFormat="1" ht="5.25" customHeight="1">
      <c r="A4" s="432"/>
      <c r="B4" s="433"/>
      <c r="C4" s="434"/>
      <c r="D4" s="434"/>
      <c r="E4" s="434"/>
      <c r="F4" s="434"/>
      <c r="G4" s="434"/>
      <c r="H4" s="434"/>
      <c r="I4" s="434"/>
      <c r="J4" s="434"/>
      <c r="K4" s="434"/>
      <c r="L4" s="434"/>
      <c r="M4" s="434"/>
      <c r="N4" s="434"/>
      <c r="O4" s="434"/>
      <c r="P4" s="434"/>
      <c r="Q4" s="434"/>
      <c r="R4" s="434"/>
      <c r="S4" s="435"/>
      <c r="T4" s="289"/>
      <c r="U4" s="113"/>
    </row>
    <row r="5" spans="1:26" s="112" customFormat="1" ht="12.95" customHeight="1">
      <c r="A5" s="436" t="s">
        <v>0</v>
      </c>
      <c r="B5" s="437"/>
      <c r="C5" s="438"/>
      <c r="D5" s="438"/>
      <c r="E5" s="438"/>
      <c r="F5" s="438"/>
      <c r="G5" s="438"/>
      <c r="H5" s="438"/>
      <c r="I5" s="438"/>
      <c r="J5" s="438"/>
      <c r="K5" s="438"/>
      <c r="L5" s="438"/>
      <c r="M5" s="438"/>
      <c r="N5" s="438"/>
      <c r="O5" s="438"/>
      <c r="P5" s="438"/>
      <c r="Q5" s="438"/>
      <c r="R5" s="438"/>
      <c r="S5" s="439"/>
      <c r="T5" s="289"/>
      <c r="U5" s="113"/>
    </row>
    <row r="6" spans="1:26" s="112" customFormat="1" ht="12.95" customHeight="1">
      <c r="A6" s="399">
        <v>1</v>
      </c>
      <c r="B6" s="393" t="s">
        <v>13</v>
      </c>
      <c r="C6" s="394" t="s">
        <v>57</v>
      </c>
      <c r="D6" s="326">
        <v>584695405.27999997</v>
      </c>
      <c r="E6" s="333">
        <f t="shared" ref="E6:E21" si="0">(D6/$D$22)</f>
        <v>2.6931227077443495E-2</v>
      </c>
      <c r="F6" s="325">
        <v>260.4119</v>
      </c>
      <c r="G6" s="325">
        <v>262.25749999999999</v>
      </c>
      <c r="H6" s="334">
        <v>5.6329670758765493E-2</v>
      </c>
      <c r="I6" s="334">
        <v>0.38141534818143996</v>
      </c>
      <c r="J6" s="326">
        <v>584335122.71000004</v>
      </c>
      <c r="K6" s="333">
        <f t="shared" ref="K6:K11" si="1">(J6/$J$22)</f>
        <v>2.7907657019813101E-2</v>
      </c>
      <c r="L6" s="325">
        <v>248.48490000000001</v>
      </c>
      <c r="M6" s="325">
        <v>250.36150000000001</v>
      </c>
      <c r="N6" s="334">
        <v>-5.2515494986458577E-2</v>
      </c>
      <c r="O6" s="334">
        <v>0.31814596948094787</v>
      </c>
      <c r="P6" s="109">
        <f>((J6-D6)/D6)</f>
        <v>-6.1618847479637793E-4</v>
      </c>
      <c r="Q6" s="109">
        <f t="shared" ref="Q6:Q21" si="2">((M6-G6)/G6)</f>
        <v>-4.5359999237390682E-2</v>
      </c>
      <c r="R6" s="329">
        <f>L6-H6</f>
        <v>248.42857032924124</v>
      </c>
      <c r="S6" s="364">
        <f t="shared" ref="S6:S21" si="3">O6-I6</f>
        <v>-6.3269378700492096E-2</v>
      </c>
      <c r="U6" s="113"/>
    </row>
    <row r="7" spans="1:26" s="112" customFormat="1" ht="12.95" customHeight="1">
      <c r="A7" s="400">
        <v>2</v>
      </c>
      <c r="B7" s="393" t="s">
        <v>136</v>
      </c>
      <c r="C7" s="394" t="s">
        <v>135</v>
      </c>
      <c r="D7" s="325">
        <v>572405410.49000001</v>
      </c>
      <c r="E7" s="333">
        <f t="shared" si="0"/>
        <v>2.6365146623447824E-2</v>
      </c>
      <c r="F7" s="325">
        <v>188.90639999999999</v>
      </c>
      <c r="G7" s="325">
        <v>190.9725</v>
      </c>
      <c r="H7" s="334">
        <v>2.7368E-2</v>
      </c>
      <c r="I7" s="334">
        <v>0.30330000000000001</v>
      </c>
      <c r="J7" s="325">
        <v>552624626.29999995</v>
      </c>
      <c r="K7" s="333">
        <f t="shared" si="1"/>
        <v>2.6393173937512573E-2</v>
      </c>
      <c r="L7" s="325">
        <v>180.1292</v>
      </c>
      <c r="M7" s="325">
        <v>182.36279999999999</v>
      </c>
      <c r="N7" s="334">
        <v>-1.6215E-2</v>
      </c>
      <c r="O7" s="334">
        <v>0.2427</v>
      </c>
      <c r="P7" s="329">
        <v>5.6480000000000002E-3</v>
      </c>
      <c r="Q7" s="329">
        <f t="shared" si="2"/>
        <v>-4.5083454424066312E-2</v>
      </c>
      <c r="R7" s="329">
        <f t="shared" ref="R7:R21" si="4">N7-H7</f>
        <v>-4.3582999999999997E-2</v>
      </c>
      <c r="S7" s="364">
        <f t="shared" si="3"/>
        <v>-6.0600000000000015E-2</v>
      </c>
      <c r="T7" s="289"/>
      <c r="U7" s="113"/>
    </row>
    <row r="8" spans="1:26" s="112" customFormat="1" ht="12.95" customHeight="1">
      <c r="A8" s="400">
        <v>3</v>
      </c>
      <c r="B8" s="393" t="s">
        <v>11</v>
      </c>
      <c r="C8" s="394" t="s">
        <v>6</v>
      </c>
      <c r="D8" s="325">
        <v>3126219815.3699999</v>
      </c>
      <c r="E8" s="333">
        <f t="shared" si="0"/>
        <v>0.14399452258636183</v>
      </c>
      <c r="F8" s="325">
        <v>28.121300000000002</v>
      </c>
      <c r="G8" s="325">
        <v>28.969200000000001</v>
      </c>
      <c r="H8" s="315">
        <v>2.3498000000000001</v>
      </c>
      <c r="I8" s="315">
        <v>0.52190000000000003</v>
      </c>
      <c r="J8" s="325">
        <v>3038532776.5599999</v>
      </c>
      <c r="K8" s="333">
        <f t="shared" si="1"/>
        <v>0.14511934551944</v>
      </c>
      <c r="L8" s="325">
        <v>27.313300000000002</v>
      </c>
      <c r="M8" s="325">
        <v>28.136900000000001</v>
      </c>
      <c r="N8" s="315">
        <v>-1.4981</v>
      </c>
      <c r="O8" s="315">
        <v>0.43490000000000001</v>
      </c>
      <c r="P8" s="329">
        <f t="shared" ref="P8:P22" si="5">((J8-D8)/D8)</f>
        <v>-2.8048903784336693E-2</v>
      </c>
      <c r="Q8" s="329">
        <f t="shared" si="2"/>
        <v>-2.87305137870566E-2</v>
      </c>
      <c r="R8" s="329">
        <f t="shared" si="4"/>
        <v>-3.8479000000000001</v>
      </c>
      <c r="S8" s="364">
        <f t="shared" si="3"/>
        <v>-8.7000000000000022E-2</v>
      </c>
      <c r="T8" s="289"/>
      <c r="U8" s="113"/>
      <c r="V8" s="145"/>
      <c r="W8" s="114"/>
      <c r="X8" s="114"/>
      <c r="Y8" s="115"/>
    </row>
    <row r="9" spans="1:26" s="112" customFormat="1" ht="12.95" customHeight="1">
      <c r="A9" s="401">
        <v>4</v>
      </c>
      <c r="B9" s="393" t="s">
        <v>81</v>
      </c>
      <c r="C9" s="394" t="s">
        <v>80</v>
      </c>
      <c r="D9" s="325">
        <v>344255155.56</v>
      </c>
      <c r="E9" s="333">
        <f t="shared" si="0"/>
        <v>1.5856484732468829E-2</v>
      </c>
      <c r="F9" s="325">
        <v>167.18</v>
      </c>
      <c r="G9" s="325">
        <v>168.35</v>
      </c>
      <c r="H9" s="334">
        <v>4.02E-2</v>
      </c>
      <c r="I9" s="334">
        <v>0.2394</v>
      </c>
      <c r="J9" s="325">
        <v>346331395.12</v>
      </c>
      <c r="K9" s="333">
        <f t="shared" si="1"/>
        <v>1.6540675743359566E-2</v>
      </c>
      <c r="L9" s="325">
        <v>162.99</v>
      </c>
      <c r="M9" s="325">
        <v>164.13</v>
      </c>
      <c r="N9" s="334">
        <v>-2.5000000000000001E-2</v>
      </c>
      <c r="O9" s="334">
        <v>0.2084</v>
      </c>
      <c r="P9" s="329">
        <f t="shared" si="5"/>
        <v>6.0311066558250449E-3</v>
      </c>
      <c r="Q9" s="329">
        <f t="shared" si="2"/>
        <v>-2.506682506682506E-2</v>
      </c>
      <c r="R9" s="329">
        <f t="shared" si="4"/>
        <v>-6.5200000000000008E-2</v>
      </c>
      <c r="S9" s="364">
        <f t="shared" si="3"/>
        <v>-3.1E-2</v>
      </c>
      <c r="T9" s="289"/>
      <c r="U9" s="113"/>
      <c r="V9" s="145"/>
      <c r="W9" s="114"/>
      <c r="X9" s="114"/>
      <c r="Y9" s="115"/>
    </row>
    <row r="10" spans="1:26" s="112" customFormat="1" ht="12.95" customHeight="1">
      <c r="A10" s="401">
        <v>5</v>
      </c>
      <c r="B10" s="393" t="s">
        <v>52</v>
      </c>
      <c r="C10" s="394" t="s">
        <v>185</v>
      </c>
      <c r="D10" s="325">
        <v>573935538.22000003</v>
      </c>
      <c r="E10" s="333">
        <f t="shared" si="0"/>
        <v>2.6435624716796939E-2</v>
      </c>
      <c r="F10" s="325">
        <v>241.31</v>
      </c>
      <c r="G10" s="325">
        <v>244.42</v>
      </c>
      <c r="H10" s="315">
        <v>5.2299999999999999E-2</v>
      </c>
      <c r="I10" s="315">
        <v>0.45710000000000001</v>
      </c>
      <c r="J10" s="325">
        <v>530909123.12</v>
      </c>
      <c r="K10" s="333">
        <f t="shared" si="1"/>
        <v>2.5356048508615728E-2</v>
      </c>
      <c r="L10" s="325">
        <v>227.88</v>
      </c>
      <c r="M10" s="325">
        <v>230.66</v>
      </c>
      <c r="N10" s="315">
        <v>-5.6000000000000001E-2</v>
      </c>
      <c r="O10" s="315">
        <v>0.37609999999999999</v>
      </c>
      <c r="P10" s="329">
        <f t="shared" si="5"/>
        <v>-7.4967330361597528E-2</v>
      </c>
      <c r="Q10" s="329">
        <f t="shared" si="2"/>
        <v>-5.6296538744783534E-2</v>
      </c>
      <c r="R10" s="329">
        <f t="shared" si="4"/>
        <v>-0.10830000000000001</v>
      </c>
      <c r="S10" s="364">
        <f t="shared" si="3"/>
        <v>-8.1000000000000016E-2</v>
      </c>
      <c r="T10" s="289"/>
      <c r="U10" s="113"/>
      <c r="V10" s="145"/>
      <c r="W10" s="114"/>
      <c r="X10" s="114"/>
      <c r="Y10" s="115"/>
    </row>
    <row r="11" spans="1:26" s="112" customFormat="1" ht="12.95" customHeight="1">
      <c r="A11" s="402">
        <v>6</v>
      </c>
      <c r="B11" s="393" t="s">
        <v>8</v>
      </c>
      <c r="C11" s="394" t="s">
        <v>56</v>
      </c>
      <c r="D11" s="326">
        <v>325483870.17000002</v>
      </c>
      <c r="E11" s="333">
        <f t="shared" si="0"/>
        <v>1.4991874296319608E-2</v>
      </c>
      <c r="F11" s="325">
        <v>163.72</v>
      </c>
      <c r="G11" s="325">
        <v>168.23</v>
      </c>
      <c r="H11" s="334">
        <v>3.7699999999999997E-2</v>
      </c>
      <c r="I11" s="334">
        <v>0.30230000000000001</v>
      </c>
      <c r="J11" s="326">
        <v>297737609.66000003</v>
      </c>
      <c r="K11" s="333">
        <f t="shared" si="1"/>
        <v>1.4219852220681981E-2</v>
      </c>
      <c r="L11" s="325">
        <v>149.76</v>
      </c>
      <c r="M11" s="325">
        <v>153.83000000000001</v>
      </c>
      <c r="N11" s="334">
        <v>-8.5199999999999998E-2</v>
      </c>
      <c r="O11" s="334">
        <v>0.1913</v>
      </c>
      <c r="P11" s="329">
        <f t="shared" si="5"/>
        <v>-8.5246192063244602E-2</v>
      </c>
      <c r="Q11" s="329">
        <f t="shared" si="2"/>
        <v>-8.559709920941555E-2</v>
      </c>
      <c r="R11" s="329">
        <f t="shared" si="4"/>
        <v>-0.1229</v>
      </c>
      <c r="S11" s="364">
        <f t="shared" si="3"/>
        <v>-0.11100000000000002</v>
      </c>
      <c r="T11" s="289"/>
      <c r="U11" s="113"/>
      <c r="V11" s="147"/>
      <c r="W11" s="115"/>
      <c r="X11" s="115"/>
      <c r="Y11" s="116"/>
      <c r="Z11" s="117"/>
    </row>
    <row r="12" spans="1:26" s="112" customFormat="1" ht="12.95" customHeight="1">
      <c r="A12" s="402">
        <v>7</v>
      </c>
      <c r="B12" s="393" t="s">
        <v>217</v>
      </c>
      <c r="C12" s="394" t="s">
        <v>218</v>
      </c>
      <c r="D12" s="74">
        <v>26231006.219999999</v>
      </c>
      <c r="E12" s="333">
        <f t="shared" si="0"/>
        <v>1.2082071769357497E-3</v>
      </c>
      <c r="F12" s="325">
        <v>102</v>
      </c>
      <c r="G12" s="325">
        <v>105.11</v>
      </c>
      <c r="H12" s="334">
        <v>-3.5000000000000001E-3</v>
      </c>
      <c r="I12" s="334">
        <v>5.3100000000000001E-2</v>
      </c>
      <c r="J12" s="74">
        <v>26231006.219999999</v>
      </c>
      <c r="K12" s="333">
        <v>0.96619999999999995</v>
      </c>
      <c r="L12" s="325">
        <v>102</v>
      </c>
      <c r="M12" s="325">
        <v>105.11</v>
      </c>
      <c r="N12" s="334">
        <v>-3.3E-3</v>
      </c>
      <c r="O12" s="334">
        <v>5.8200000000000002E-2</v>
      </c>
      <c r="P12" s="329">
        <f t="shared" si="5"/>
        <v>0</v>
      </c>
      <c r="Q12" s="329">
        <f t="shared" si="2"/>
        <v>0</v>
      </c>
      <c r="R12" s="329">
        <f t="shared" si="4"/>
        <v>2.0000000000000009E-4</v>
      </c>
      <c r="S12" s="364">
        <f t="shared" si="3"/>
        <v>5.1000000000000004E-3</v>
      </c>
      <c r="T12" s="144"/>
      <c r="U12" s="113"/>
    </row>
    <row r="13" spans="1:26" s="330" customFormat="1" ht="12.95" customHeight="1">
      <c r="A13" s="401">
        <v>8</v>
      </c>
      <c r="B13" s="393" t="s">
        <v>272</v>
      </c>
      <c r="C13" s="394" t="s">
        <v>243</v>
      </c>
      <c r="D13" s="326">
        <v>449725218.62</v>
      </c>
      <c r="E13" s="333">
        <f t="shared" si="0"/>
        <v>2.0714464105131954E-2</v>
      </c>
      <c r="F13" s="325">
        <v>1.62</v>
      </c>
      <c r="G13" s="325">
        <v>1.67</v>
      </c>
      <c r="H13" s="334">
        <v>1.8200000000000001E-2</v>
      </c>
      <c r="I13" s="334">
        <v>0.2828</v>
      </c>
      <c r="J13" s="326">
        <v>449725218.62</v>
      </c>
      <c r="K13" s="333">
        <f t="shared" ref="K13:K19" si="6">(J13/$J$22)</f>
        <v>2.147873141049619E-2</v>
      </c>
      <c r="L13" s="325">
        <v>1.62</v>
      </c>
      <c r="M13" s="325">
        <v>1.67</v>
      </c>
      <c r="N13" s="334">
        <v>-4.1000000000000003E-3</v>
      </c>
      <c r="O13" s="334">
        <v>0.30080000000000001</v>
      </c>
      <c r="P13" s="329">
        <f t="shared" ref="P13" si="7">((J13-D13)/D13)</f>
        <v>0</v>
      </c>
      <c r="Q13" s="329">
        <f t="shared" ref="Q13" si="8">((M13-G13)/G13)</f>
        <v>0</v>
      </c>
      <c r="R13" s="329">
        <f t="shared" ref="R13" si="9">N13-H13</f>
        <v>-2.23E-2</v>
      </c>
      <c r="S13" s="364">
        <f t="shared" ref="S13" si="10">O13-I13</f>
        <v>1.8000000000000016E-2</v>
      </c>
      <c r="T13" s="144"/>
      <c r="U13" s="113"/>
    </row>
    <row r="14" spans="1:26" s="112" customFormat="1" ht="12.95" customHeight="1">
      <c r="A14" s="392">
        <v>9</v>
      </c>
      <c r="B14" s="393" t="s">
        <v>45</v>
      </c>
      <c r="C14" s="394" t="s">
        <v>132</v>
      </c>
      <c r="D14" s="326">
        <v>1281210573.99</v>
      </c>
      <c r="E14" s="333">
        <f t="shared" si="0"/>
        <v>5.9012902428441011E-2</v>
      </c>
      <c r="F14" s="325">
        <v>2.56</v>
      </c>
      <c r="G14" s="325">
        <v>2.61</v>
      </c>
      <c r="H14" s="334">
        <v>0.20280000000000001</v>
      </c>
      <c r="I14" s="334">
        <v>0.29320000000000002</v>
      </c>
      <c r="J14" s="326">
        <v>1261550143.4100001</v>
      </c>
      <c r="K14" s="333">
        <f t="shared" si="6"/>
        <v>6.0251228015015562E-2</v>
      </c>
      <c r="L14" s="325">
        <v>2.52</v>
      </c>
      <c r="M14" s="325">
        <v>2.57</v>
      </c>
      <c r="N14" s="334">
        <v>0.18329999999999999</v>
      </c>
      <c r="O14" s="334">
        <v>0.27529999999999999</v>
      </c>
      <c r="P14" s="329">
        <f t="shared" si="5"/>
        <v>-1.5345198501423993E-2</v>
      </c>
      <c r="Q14" s="329">
        <f t="shared" si="2"/>
        <v>-1.5325670498084306E-2</v>
      </c>
      <c r="R14" s="329">
        <f t="shared" si="4"/>
        <v>-1.9500000000000017E-2</v>
      </c>
      <c r="S14" s="364">
        <f t="shared" si="3"/>
        <v>-1.7900000000000027E-2</v>
      </c>
      <c r="T14" s="144"/>
      <c r="U14" s="113"/>
    </row>
    <row r="15" spans="1:26" s="112" customFormat="1" ht="12.95" customHeight="1">
      <c r="A15" s="392">
        <v>10</v>
      </c>
      <c r="B15" s="393" t="s">
        <v>53</v>
      </c>
      <c r="C15" s="394" t="s">
        <v>54</v>
      </c>
      <c r="D15" s="325">
        <v>407607051.43000001</v>
      </c>
      <c r="E15" s="333">
        <f t="shared" si="0"/>
        <v>1.8774490035836117E-2</v>
      </c>
      <c r="F15" s="325">
        <v>15.97</v>
      </c>
      <c r="G15" s="325">
        <v>16.057099999999998</v>
      </c>
      <c r="H15" s="334">
        <v>1.4322031082833142E-2</v>
      </c>
      <c r="I15" s="334">
        <v>0.37238752249914486</v>
      </c>
      <c r="J15" s="325">
        <v>390784417.70999998</v>
      </c>
      <c r="K15" s="333">
        <f t="shared" si="6"/>
        <v>1.8663737766710525E-2</v>
      </c>
      <c r="L15" s="325">
        <v>15.311171999999999</v>
      </c>
      <c r="M15" s="325">
        <v>15.404522999999999</v>
      </c>
      <c r="N15" s="334">
        <v>-1.0297920812350037E-2</v>
      </c>
      <c r="O15" s="334">
        <v>0.32491873579154551</v>
      </c>
      <c r="P15" s="329">
        <f t="shared" si="5"/>
        <v>-4.1271694542529394E-2</v>
      </c>
      <c r="Q15" s="329">
        <f t="shared" si="2"/>
        <v>-4.0641024842592945E-2</v>
      </c>
      <c r="R15" s="329">
        <f t="shared" si="4"/>
        <v>-2.4619951895183179E-2</v>
      </c>
      <c r="S15" s="364">
        <f t="shared" si="3"/>
        <v>-4.7468786707599353E-2</v>
      </c>
      <c r="T15" s="144"/>
      <c r="U15" s="148"/>
      <c r="V15" s="148"/>
    </row>
    <row r="16" spans="1:26" s="112" customFormat="1" ht="12.95" customHeight="1">
      <c r="A16" s="398">
        <v>11</v>
      </c>
      <c r="B16" s="393" t="s">
        <v>125</v>
      </c>
      <c r="C16" s="394" t="s">
        <v>90</v>
      </c>
      <c r="D16" s="325">
        <v>383283301.33999997</v>
      </c>
      <c r="E16" s="333">
        <f t="shared" si="0"/>
        <v>1.7654131587431555E-2</v>
      </c>
      <c r="F16" s="325">
        <v>1.949649</v>
      </c>
      <c r="G16" s="325">
        <v>1.981441</v>
      </c>
      <c r="H16" s="334">
        <v>-3.5616438356164383E-4</v>
      </c>
      <c r="I16" s="334">
        <v>0.3745</v>
      </c>
      <c r="J16" s="325">
        <v>367084140.81</v>
      </c>
      <c r="K16" s="333">
        <f t="shared" si="6"/>
        <v>1.753182018501134E-2</v>
      </c>
      <c r="L16" s="325">
        <v>1.8672489999999999</v>
      </c>
      <c r="M16" s="325">
        <v>1.8988970000000001</v>
      </c>
      <c r="N16" s="334">
        <v>-3.5616438356164383E-4</v>
      </c>
      <c r="O16" s="334">
        <v>0.31680000000000003</v>
      </c>
      <c r="P16" s="329">
        <f t="shared" si="5"/>
        <v>-4.2264195892088047E-2</v>
      </c>
      <c r="Q16" s="329">
        <f t="shared" si="2"/>
        <v>-4.1658570706874419E-2</v>
      </c>
      <c r="R16" s="329">
        <f t="shared" si="4"/>
        <v>0</v>
      </c>
      <c r="S16" s="364">
        <f t="shared" si="3"/>
        <v>-5.7699999999999974E-2</v>
      </c>
      <c r="T16" s="144"/>
      <c r="U16" s="149"/>
      <c r="V16" s="149"/>
    </row>
    <row r="17" spans="1:25" s="112" customFormat="1" ht="12.95" customHeight="1">
      <c r="A17" s="402">
        <v>12</v>
      </c>
      <c r="B17" s="393" t="s">
        <v>10</v>
      </c>
      <c r="C17" s="394" t="s">
        <v>9</v>
      </c>
      <c r="D17" s="326">
        <v>982455759.59000003</v>
      </c>
      <c r="E17" s="333">
        <f t="shared" si="0"/>
        <v>4.5252175604817549E-2</v>
      </c>
      <c r="F17" s="325">
        <v>24.08</v>
      </c>
      <c r="G17" s="325">
        <v>24.29</v>
      </c>
      <c r="H17" s="334">
        <v>3.2300000000000002E-2</v>
      </c>
      <c r="I17" s="334">
        <v>0.40060000000000001</v>
      </c>
      <c r="J17" s="326">
        <v>1001215094.3200001</v>
      </c>
      <c r="K17" s="333">
        <f t="shared" si="6"/>
        <v>4.7817710025295737E-2</v>
      </c>
      <c r="L17" s="325">
        <v>25.23</v>
      </c>
      <c r="M17" s="325">
        <v>25.71</v>
      </c>
      <c r="N17" s="334">
        <v>3.2300000000000002E-2</v>
      </c>
      <c r="O17" s="334">
        <v>0.40060000000000001</v>
      </c>
      <c r="P17" s="329">
        <f t="shared" si="5"/>
        <v>1.9094330250380633E-2</v>
      </c>
      <c r="Q17" s="329">
        <f t="shared" si="2"/>
        <v>5.846027171675594E-2</v>
      </c>
      <c r="R17" s="329">
        <f t="shared" si="4"/>
        <v>0</v>
      </c>
      <c r="S17" s="364">
        <f t="shared" si="3"/>
        <v>0</v>
      </c>
      <c r="T17" s="144"/>
      <c r="U17" s="150"/>
      <c r="V17" s="150"/>
    </row>
    <row r="18" spans="1:25" s="112" customFormat="1" ht="12.95" customHeight="1">
      <c r="A18" s="400">
        <v>13</v>
      </c>
      <c r="B18" s="393" t="s">
        <v>67</v>
      </c>
      <c r="C18" s="394" t="s">
        <v>5</v>
      </c>
      <c r="D18" s="326">
        <v>482936836.13</v>
      </c>
      <c r="E18" s="333">
        <f t="shared" si="0"/>
        <v>2.2244200109030741E-2</v>
      </c>
      <c r="F18" s="325">
        <v>4794.59</v>
      </c>
      <c r="G18" s="325">
        <v>4855.25</v>
      </c>
      <c r="H18" s="334">
        <v>7.4099999999999999E-2</v>
      </c>
      <c r="I18" s="334">
        <v>0.48280000000000001</v>
      </c>
      <c r="J18" s="326">
        <v>445404162.54000002</v>
      </c>
      <c r="K18" s="333">
        <f t="shared" si="6"/>
        <v>2.1272359165602286E-2</v>
      </c>
      <c r="L18" s="325">
        <v>4455.16</v>
      </c>
      <c r="M18" s="325">
        <v>4855.25</v>
      </c>
      <c r="N18" s="334">
        <v>-7.1599999999999997E-2</v>
      </c>
      <c r="O18" s="334">
        <v>0.37669999999999998</v>
      </c>
      <c r="P18" s="329">
        <f t="shared" si="5"/>
        <v>-7.7717562178041627E-2</v>
      </c>
      <c r="Q18" s="329">
        <f t="shared" si="2"/>
        <v>0</v>
      </c>
      <c r="R18" s="329">
        <f t="shared" si="4"/>
        <v>-0.1457</v>
      </c>
      <c r="S18" s="364">
        <f t="shared" si="3"/>
        <v>-0.10610000000000003</v>
      </c>
      <c r="T18" s="144"/>
      <c r="U18" s="149"/>
      <c r="V18" s="149"/>
    </row>
    <row r="19" spans="1:25" s="112" customFormat="1" ht="12.95" customHeight="1">
      <c r="A19" s="400">
        <v>14</v>
      </c>
      <c r="B19" s="393" t="s">
        <v>225</v>
      </c>
      <c r="C19" s="394" t="s">
        <v>5</v>
      </c>
      <c r="D19" s="326">
        <v>9588665625.8999996</v>
      </c>
      <c r="E19" s="333">
        <f t="shared" si="0"/>
        <v>0.44165650868613537</v>
      </c>
      <c r="F19" s="325">
        <v>16475.11</v>
      </c>
      <c r="G19" s="325">
        <v>16686.63</v>
      </c>
      <c r="H19" s="334">
        <v>4.1999999999999997E-3</v>
      </c>
      <c r="I19" s="334">
        <v>0.34870000000000001</v>
      </c>
      <c r="J19" s="326">
        <v>9084109500.1000004</v>
      </c>
      <c r="K19" s="333">
        <f t="shared" si="6"/>
        <v>0.43385414021233554</v>
      </c>
      <c r="L19" s="325">
        <v>15730.98</v>
      </c>
      <c r="M19" s="325">
        <v>15912.75</v>
      </c>
      <c r="N19" s="334">
        <v>4.1999999999999997E-3</v>
      </c>
      <c r="O19" s="334">
        <v>0.28620000000000001</v>
      </c>
      <c r="P19" s="329">
        <f t="shared" si="5"/>
        <v>-5.2620056375429318E-2</v>
      </c>
      <c r="Q19" s="329">
        <f t="shared" si="2"/>
        <v>-4.6377249330751685E-2</v>
      </c>
      <c r="R19" s="329">
        <f t="shared" si="4"/>
        <v>0</v>
      </c>
      <c r="S19" s="364">
        <f t="shared" si="3"/>
        <v>-6.25E-2</v>
      </c>
      <c r="T19" s="144"/>
      <c r="U19" s="151"/>
      <c r="V19" s="151"/>
    </row>
    <row r="20" spans="1:25" s="112" customFormat="1" ht="12.95" customHeight="1">
      <c r="A20" s="396">
        <v>15</v>
      </c>
      <c r="B20" s="393" t="s">
        <v>245</v>
      </c>
      <c r="C20" s="394" t="s">
        <v>246</v>
      </c>
      <c r="D20" s="74">
        <v>68560685.060000002</v>
      </c>
      <c r="E20" s="333">
        <f t="shared" si="0"/>
        <v>3.1579235295200059E-3</v>
      </c>
      <c r="F20" s="325">
        <v>127.7419</v>
      </c>
      <c r="G20" s="325">
        <v>128.28479999999999</v>
      </c>
      <c r="H20" s="334">
        <v>0.16061</v>
      </c>
      <c r="I20" s="334">
        <v>0.21590000000000001</v>
      </c>
      <c r="J20" s="74">
        <v>67241616.489999995</v>
      </c>
      <c r="K20" s="333">
        <v>0.96619999999999995</v>
      </c>
      <c r="L20" s="325">
        <v>125.2873</v>
      </c>
      <c r="M20" s="325">
        <v>125.80929999999999</v>
      </c>
      <c r="N20" s="334">
        <v>0.15121499999999999</v>
      </c>
      <c r="O20" s="334">
        <v>0.1925</v>
      </c>
      <c r="P20" s="329">
        <f t="shared" si="5"/>
        <v>-1.9239431006934104E-2</v>
      </c>
      <c r="Q20" s="329">
        <f t="shared" si="2"/>
        <v>-1.9296908129412035E-2</v>
      </c>
      <c r="R20" s="329">
        <f t="shared" si="4"/>
        <v>-9.3950000000000145E-3</v>
      </c>
      <c r="S20" s="364">
        <f t="shared" si="3"/>
        <v>-2.3400000000000004E-2</v>
      </c>
      <c r="T20" s="309"/>
      <c r="U20" s="309"/>
      <c r="V20" s="151"/>
    </row>
    <row r="21" spans="1:25" s="330" customFormat="1" ht="12.95" customHeight="1">
      <c r="A21" s="401">
        <v>16</v>
      </c>
      <c r="B21" s="394" t="s">
        <v>75</v>
      </c>
      <c r="C21" s="394" t="s">
        <v>41</v>
      </c>
      <c r="D21" s="325">
        <v>2513014397.8499999</v>
      </c>
      <c r="E21" s="333">
        <f t="shared" si="0"/>
        <v>0.11575011670388148</v>
      </c>
      <c r="F21" s="325">
        <v>1.2051000000000001</v>
      </c>
      <c r="G21" s="310">
        <v>1.2171000000000001</v>
      </c>
      <c r="H21" s="334">
        <v>2.0799999999999999E-2</v>
      </c>
      <c r="I21" s="334">
        <v>0.32229999999999998</v>
      </c>
      <c r="J21" s="325">
        <v>2494348876.6700001</v>
      </c>
      <c r="K21" s="333">
        <f>(J21/$J$22)</f>
        <v>0.11912929795323965</v>
      </c>
      <c r="L21" s="325">
        <v>1.1942999999999999</v>
      </c>
      <c r="M21" s="310">
        <v>1.2063999999999999</v>
      </c>
      <c r="N21" s="334">
        <v>-8.9999999999999993E-3</v>
      </c>
      <c r="O21" s="334">
        <v>0.311</v>
      </c>
      <c r="P21" s="329">
        <f t="shared" si="5"/>
        <v>-7.4275424748736201E-3</v>
      </c>
      <c r="Q21" s="329">
        <f t="shared" si="2"/>
        <v>-8.7913893681703659E-3</v>
      </c>
      <c r="R21" s="329">
        <f t="shared" si="4"/>
        <v>-2.98E-2</v>
      </c>
      <c r="S21" s="364">
        <f t="shared" si="3"/>
        <v>-1.1299999999999977E-2</v>
      </c>
      <c r="T21" s="309"/>
      <c r="U21" s="309"/>
      <c r="V21" s="151"/>
    </row>
    <row r="22" spans="1:25" s="112" customFormat="1" ht="12.95" customHeight="1">
      <c r="A22" s="214"/>
      <c r="C22" s="244" t="s">
        <v>42</v>
      </c>
      <c r="D22" s="70">
        <f>SUM(D6:D21)</f>
        <v>21710685651.219997</v>
      </c>
      <c r="E22" s="262">
        <f>(D22/$D$168)</f>
        <v>1.1415559200255753E-2</v>
      </c>
      <c r="F22" s="264"/>
      <c r="G22" s="71"/>
      <c r="H22" s="281"/>
      <c r="I22" s="281"/>
      <c r="J22" s="70">
        <f>SUM(J6:J21)</f>
        <v>20938164830.360001</v>
      </c>
      <c r="K22" s="262">
        <f>(J22/$J$168)</f>
        <v>1.0891408370358999E-2</v>
      </c>
      <c r="L22" s="264"/>
      <c r="M22" s="71"/>
      <c r="N22" s="281"/>
      <c r="O22" s="281"/>
      <c r="P22" s="266">
        <f t="shared" si="5"/>
        <v>-3.5582516060085195E-2</v>
      </c>
      <c r="Q22" s="266"/>
      <c r="R22" s="266">
        <f t="shared" ref="R22" si="11">N22-H22</f>
        <v>0</v>
      </c>
      <c r="S22" s="364">
        <f t="shared" ref="S22" si="12">O22-I22</f>
        <v>0</v>
      </c>
      <c r="T22" s="144"/>
      <c r="U22" s="152"/>
      <c r="X22" s="119"/>
      <c r="Y22" s="119"/>
    </row>
    <row r="23" spans="1:25" s="112" customFormat="1" ht="5.25" customHeight="1">
      <c r="A23" s="409"/>
      <c r="B23" s="410"/>
      <c r="C23" s="411"/>
      <c r="D23" s="411"/>
      <c r="E23" s="411"/>
      <c r="F23" s="411"/>
      <c r="G23" s="411"/>
      <c r="H23" s="411"/>
      <c r="I23" s="411"/>
      <c r="J23" s="411"/>
      <c r="K23" s="411"/>
      <c r="L23" s="411"/>
      <c r="M23" s="411"/>
      <c r="N23" s="411"/>
      <c r="O23" s="411"/>
      <c r="P23" s="411"/>
      <c r="Q23" s="411"/>
      <c r="R23" s="411"/>
      <c r="S23" s="424"/>
      <c r="T23" s="144"/>
      <c r="U23" s="152"/>
      <c r="X23" s="119"/>
      <c r="Y23" s="119"/>
    </row>
    <row r="24" spans="1:25" s="112" customFormat="1" ht="12.95" customHeight="1">
      <c r="A24" s="416" t="s">
        <v>44</v>
      </c>
      <c r="B24" s="417"/>
      <c r="C24" s="418"/>
      <c r="D24" s="418"/>
      <c r="E24" s="418"/>
      <c r="F24" s="418"/>
      <c r="G24" s="418"/>
      <c r="H24" s="418"/>
      <c r="I24" s="418"/>
      <c r="J24" s="418"/>
      <c r="K24" s="418"/>
      <c r="L24" s="418"/>
      <c r="M24" s="418"/>
      <c r="N24" s="418"/>
      <c r="O24" s="418"/>
      <c r="P24" s="418"/>
      <c r="Q24" s="418"/>
      <c r="R24" s="418"/>
      <c r="S24" s="419"/>
      <c r="T24" s="153"/>
      <c r="V24" s="154"/>
    </row>
    <row r="25" spans="1:25" s="112" customFormat="1" ht="12.95" customHeight="1">
      <c r="A25" s="399">
        <v>17</v>
      </c>
      <c r="B25" s="393" t="s">
        <v>115</v>
      </c>
      <c r="C25" s="394" t="s">
        <v>57</v>
      </c>
      <c r="D25" s="321">
        <v>831888909.58000004</v>
      </c>
      <c r="E25" s="193">
        <v>7.9600000000000004E-2</v>
      </c>
      <c r="F25" s="310">
        <v>100</v>
      </c>
      <c r="G25" s="310">
        <v>100</v>
      </c>
      <c r="H25" s="334">
        <v>0.10299999999999999</v>
      </c>
      <c r="I25" s="334">
        <v>0.10299999999999999</v>
      </c>
      <c r="J25" s="321">
        <v>834224445.30999994</v>
      </c>
      <c r="K25" s="333">
        <f t="shared" ref="K25:K41" si="13">(J25/$J$54)</f>
        <v>9.8544770289592785E-4</v>
      </c>
      <c r="L25" s="310">
        <v>100</v>
      </c>
      <c r="M25" s="310">
        <v>100</v>
      </c>
      <c r="N25" s="334">
        <v>0.10572585596315809</v>
      </c>
      <c r="O25" s="334">
        <v>0.10572585596315809</v>
      </c>
      <c r="P25" s="109">
        <f t="shared" ref="P25:P53" si="14">((J25-D25)/D25)</f>
        <v>2.8075091554941554E-3</v>
      </c>
      <c r="Q25" s="109">
        <f t="shared" ref="Q25:Q53" si="15">((M25-G25)/G25)</f>
        <v>0</v>
      </c>
      <c r="R25" s="329">
        <f t="shared" ref="R25:R53" si="16">N25-H25</f>
        <v>2.7258559631580942E-3</v>
      </c>
      <c r="S25" s="364">
        <f t="shared" ref="S25:S53" si="17">O25-I25</f>
        <v>2.7258559631580942E-3</v>
      </c>
      <c r="T25" s="156"/>
      <c r="U25" s="120"/>
      <c r="V25" s="154"/>
      <c r="W25" s="157"/>
    </row>
    <row r="26" spans="1:25" s="112" customFormat="1" ht="12.95" customHeight="1">
      <c r="A26" s="402">
        <v>18</v>
      </c>
      <c r="B26" s="393" t="s">
        <v>37</v>
      </c>
      <c r="C26" s="394" t="s">
        <v>36</v>
      </c>
      <c r="D26" s="321">
        <v>3325322527.29</v>
      </c>
      <c r="E26" s="193">
        <v>8.6400000000000005E-2</v>
      </c>
      <c r="F26" s="310">
        <v>100</v>
      </c>
      <c r="G26" s="310">
        <v>100</v>
      </c>
      <c r="H26" s="334">
        <v>0.11266900000000001</v>
      </c>
      <c r="I26" s="334">
        <v>0.11266900000000001</v>
      </c>
      <c r="J26" s="321">
        <v>3303171312.5599999</v>
      </c>
      <c r="K26" s="333">
        <f t="shared" si="13"/>
        <v>3.9019506087769628E-3</v>
      </c>
      <c r="L26" s="310">
        <v>100</v>
      </c>
      <c r="M26" s="310">
        <v>100</v>
      </c>
      <c r="N26" s="334">
        <v>0.112814</v>
      </c>
      <c r="O26" s="334">
        <v>0.112814</v>
      </c>
      <c r="P26" s="329">
        <f t="shared" si="14"/>
        <v>-6.6613733098702882E-3</v>
      </c>
      <c r="Q26" s="329">
        <f t="shared" si="15"/>
        <v>0</v>
      </c>
      <c r="R26" s="329">
        <f t="shared" si="16"/>
        <v>1.4499999999999236E-4</v>
      </c>
      <c r="S26" s="364">
        <f t="shared" si="17"/>
        <v>1.4499999999999236E-4</v>
      </c>
      <c r="T26" s="144"/>
      <c r="U26" s="113"/>
    </row>
    <row r="27" spans="1:25" s="112" customFormat="1" ht="12.95" customHeight="1">
      <c r="A27" s="400">
        <v>19</v>
      </c>
      <c r="B27" s="393" t="s">
        <v>137</v>
      </c>
      <c r="C27" s="394" t="s">
        <v>135</v>
      </c>
      <c r="D27" s="321">
        <v>524340085.01999998</v>
      </c>
      <c r="E27" s="193">
        <v>2.0000000000000001E-4</v>
      </c>
      <c r="F27" s="310">
        <v>100</v>
      </c>
      <c r="G27" s="310">
        <v>100</v>
      </c>
      <c r="H27" s="334">
        <v>6.9000000000000006E-2</v>
      </c>
      <c r="I27" s="334">
        <v>6.9000000000000006E-2</v>
      </c>
      <c r="J27" s="321">
        <v>519140753.98000002</v>
      </c>
      <c r="K27" s="333">
        <f t="shared" si="13"/>
        <v>6.1324750954659961E-4</v>
      </c>
      <c r="L27" s="310">
        <v>100</v>
      </c>
      <c r="M27" s="310">
        <v>100</v>
      </c>
      <c r="N27" s="334">
        <v>5.9900000000000002E-2</v>
      </c>
      <c r="O27" s="334">
        <v>5.9900000000000002E-2</v>
      </c>
      <c r="P27" s="329">
        <f t="shared" si="14"/>
        <v>-9.9159518574698392E-3</v>
      </c>
      <c r="Q27" s="329">
        <f t="shared" si="15"/>
        <v>0</v>
      </c>
      <c r="R27" s="329">
        <f t="shared" si="16"/>
        <v>-9.1000000000000039E-3</v>
      </c>
      <c r="S27" s="364">
        <f t="shared" si="17"/>
        <v>-9.1000000000000039E-3</v>
      </c>
      <c r="T27" s="144"/>
      <c r="U27" s="120"/>
    </row>
    <row r="28" spans="1:25" s="112" customFormat="1" ht="12.95" customHeight="1">
      <c r="A28" s="400">
        <v>20</v>
      </c>
      <c r="B28" s="393" t="s">
        <v>15</v>
      </c>
      <c r="C28" s="394" t="s">
        <v>6</v>
      </c>
      <c r="D28" s="321">
        <v>81325758691.130005</v>
      </c>
      <c r="E28" s="193">
        <v>6.54E-2</v>
      </c>
      <c r="F28" s="310">
        <v>1</v>
      </c>
      <c r="G28" s="310">
        <v>1</v>
      </c>
      <c r="H28" s="334">
        <v>9.1800000000000007E-2</v>
      </c>
      <c r="I28" s="334">
        <v>9.1800000000000007E-2</v>
      </c>
      <c r="J28" s="321">
        <v>80645865362.789993</v>
      </c>
      <c r="K28" s="333">
        <f t="shared" si="13"/>
        <v>9.5264869324565959E-2</v>
      </c>
      <c r="L28" s="310">
        <v>1</v>
      </c>
      <c r="M28" s="310">
        <v>1</v>
      </c>
      <c r="N28" s="334" t="s">
        <v>285</v>
      </c>
      <c r="O28" s="334">
        <v>8.6499999999999994E-2</v>
      </c>
      <c r="P28" s="329">
        <f t="shared" si="14"/>
        <v>-8.360122786215899E-3</v>
      </c>
      <c r="Q28" s="329">
        <f t="shared" si="15"/>
        <v>0</v>
      </c>
      <c r="R28" s="329" t="e">
        <f t="shared" si="16"/>
        <v>#VALUE!</v>
      </c>
      <c r="S28" s="364">
        <f t="shared" si="17"/>
        <v>-5.300000000000013E-3</v>
      </c>
      <c r="T28" s="153"/>
      <c r="U28" s="113"/>
    </row>
    <row r="29" spans="1:25" s="112" customFormat="1" ht="12.95" customHeight="1">
      <c r="A29" s="401">
        <v>21</v>
      </c>
      <c r="B29" s="393" t="s">
        <v>82</v>
      </c>
      <c r="C29" s="394" t="s">
        <v>80</v>
      </c>
      <c r="D29" s="321">
        <v>40930190328.449997</v>
      </c>
      <c r="E29" s="193">
        <v>6.9800000000000001E-2</v>
      </c>
      <c r="F29" s="310">
        <v>1</v>
      </c>
      <c r="G29" s="310">
        <v>1</v>
      </c>
      <c r="H29" s="334">
        <v>9.11E-2</v>
      </c>
      <c r="I29" s="334">
        <v>9.11E-2</v>
      </c>
      <c r="J29" s="321">
        <v>40539430957.650002</v>
      </c>
      <c r="K29" s="333">
        <f t="shared" si="13"/>
        <v>4.7888178461467791E-2</v>
      </c>
      <c r="L29" s="310">
        <v>1</v>
      </c>
      <c r="M29" s="310">
        <v>1</v>
      </c>
      <c r="N29" s="334">
        <v>9.1800000000000007E-2</v>
      </c>
      <c r="O29" s="334">
        <v>9.1800000000000007E-2</v>
      </c>
      <c r="P29" s="329">
        <f t="shared" si="14"/>
        <v>-9.5469717502970931E-3</v>
      </c>
      <c r="Q29" s="329">
        <f t="shared" si="15"/>
        <v>0</v>
      </c>
      <c r="R29" s="329">
        <f t="shared" si="16"/>
        <v>7.0000000000000617E-4</v>
      </c>
      <c r="S29" s="364">
        <f t="shared" si="17"/>
        <v>7.0000000000000617E-4</v>
      </c>
      <c r="T29" s="144"/>
      <c r="U29" s="148"/>
      <c r="V29" s="427"/>
      <c r="W29" s="427"/>
    </row>
    <row r="30" spans="1:25" s="112" customFormat="1" ht="12.95" customHeight="1">
      <c r="A30" s="402">
        <v>22</v>
      </c>
      <c r="B30" s="393" t="s">
        <v>97</v>
      </c>
      <c r="C30" s="394" t="s">
        <v>9</v>
      </c>
      <c r="D30" s="321">
        <v>5036249213.3599997</v>
      </c>
      <c r="E30" s="193">
        <v>5.3699999999999998E-2</v>
      </c>
      <c r="F30" s="310">
        <v>100</v>
      </c>
      <c r="G30" s="310">
        <v>100</v>
      </c>
      <c r="H30" s="334">
        <v>9.6500000000000002E-2</v>
      </c>
      <c r="I30" s="334">
        <v>9.6500000000000002E-2</v>
      </c>
      <c r="J30" s="321">
        <v>5022455086.3400002</v>
      </c>
      <c r="K30" s="333">
        <f t="shared" si="13"/>
        <v>5.9328959437199473E-3</v>
      </c>
      <c r="L30" s="310">
        <v>100</v>
      </c>
      <c r="M30" s="310">
        <v>100</v>
      </c>
      <c r="N30" s="334">
        <v>0.1047</v>
      </c>
      <c r="O30" s="334">
        <v>0.1047</v>
      </c>
      <c r="P30" s="329">
        <f t="shared" si="14"/>
        <v>-2.7389683146352029E-3</v>
      </c>
      <c r="Q30" s="329">
        <f t="shared" si="15"/>
        <v>0</v>
      </c>
      <c r="R30" s="329">
        <f t="shared" si="16"/>
        <v>8.199999999999999E-3</v>
      </c>
      <c r="S30" s="364">
        <f t="shared" si="17"/>
        <v>8.199999999999999E-3</v>
      </c>
      <c r="T30" s="144"/>
      <c r="U30" s="113"/>
      <c r="V30" s="429"/>
      <c r="W30" s="429"/>
    </row>
    <row r="31" spans="1:25" s="112" customFormat="1" ht="12.95" customHeight="1">
      <c r="A31" s="402">
        <v>23</v>
      </c>
      <c r="B31" s="393" t="s">
        <v>230</v>
      </c>
      <c r="C31" s="394" t="s">
        <v>7</v>
      </c>
      <c r="D31" s="321">
        <v>12713311422.23</v>
      </c>
      <c r="E31" s="193">
        <v>6.1269999999999998E-2</v>
      </c>
      <c r="F31" s="310">
        <v>100</v>
      </c>
      <c r="G31" s="310">
        <v>100</v>
      </c>
      <c r="H31" s="334">
        <v>0.1074</v>
      </c>
      <c r="I31" s="334">
        <v>0.1074</v>
      </c>
      <c r="J31" s="321">
        <v>12789705036.869999</v>
      </c>
      <c r="K31" s="333">
        <f t="shared" si="13"/>
        <v>1.5108146878405719E-2</v>
      </c>
      <c r="L31" s="310">
        <v>100</v>
      </c>
      <c r="M31" s="310">
        <v>100</v>
      </c>
      <c r="N31" s="334">
        <v>0.105239236361025</v>
      </c>
      <c r="O31" s="334">
        <v>0.105239236361025</v>
      </c>
      <c r="P31" s="329">
        <f t="shared" si="14"/>
        <v>6.0089470085992313E-3</v>
      </c>
      <c r="Q31" s="329">
        <f t="shared" si="15"/>
        <v>0</v>
      </c>
      <c r="R31" s="329">
        <f t="shared" si="16"/>
        <v>-2.160763638974994E-3</v>
      </c>
      <c r="S31" s="364">
        <f t="shared" si="17"/>
        <v>-2.160763638974994E-3</v>
      </c>
      <c r="T31" s="144"/>
      <c r="U31" s="113"/>
      <c r="V31" s="430"/>
      <c r="W31" s="430"/>
    </row>
    <row r="32" spans="1:25" s="112" customFormat="1" ht="12.95" customHeight="1">
      <c r="A32" s="401">
        <v>24</v>
      </c>
      <c r="B32" s="393" t="s">
        <v>89</v>
      </c>
      <c r="C32" s="394" t="s">
        <v>88</v>
      </c>
      <c r="D32" s="321">
        <v>5311125330.2299995</v>
      </c>
      <c r="E32" s="193">
        <v>7.0599999999999996E-2</v>
      </c>
      <c r="F32" s="310">
        <v>100</v>
      </c>
      <c r="G32" s="310">
        <v>100</v>
      </c>
      <c r="H32" s="334">
        <v>8.5699999999999998E-2</v>
      </c>
      <c r="I32" s="334">
        <v>8.5699999999999998E-2</v>
      </c>
      <c r="J32" s="321">
        <v>5341807931.9300003</v>
      </c>
      <c r="K32" s="333">
        <f t="shared" si="13"/>
        <v>6.3101391782825573E-3</v>
      </c>
      <c r="L32" s="310">
        <v>100</v>
      </c>
      <c r="M32" s="310">
        <v>100</v>
      </c>
      <c r="N32" s="334">
        <v>8.2000000000000003E-2</v>
      </c>
      <c r="O32" s="334">
        <v>8.2000000000000003E-2</v>
      </c>
      <c r="P32" s="329">
        <f t="shared" si="14"/>
        <v>5.7770434309581701E-3</v>
      </c>
      <c r="Q32" s="329">
        <f t="shared" si="15"/>
        <v>0</v>
      </c>
      <c r="R32" s="329">
        <f t="shared" si="16"/>
        <v>-3.699999999999995E-3</v>
      </c>
      <c r="S32" s="364">
        <f t="shared" si="17"/>
        <v>-3.699999999999995E-3</v>
      </c>
      <c r="T32" s="144"/>
      <c r="U32" s="113"/>
    </row>
    <row r="33" spans="1:23" s="112" customFormat="1" ht="12.95" customHeight="1">
      <c r="A33" s="402">
        <v>25</v>
      </c>
      <c r="B33" s="393" t="s">
        <v>179</v>
      </c>
      <c r="C33" s="394" t="s">
        <v>178</v>
      </c>
      <c r="D33" s="321">
        <v>44514190.369999997</v>
      </c>
      <c r="E33" s="193">
        <v>3.7000000000000002E-3</v>
      </c>
      <c r="F33" s="310">
        <v>100</v>
      </c>
      <c r="G33" s="310">
        <v>100</v>
      </c>
      <c r="H33" s="334">
        <v>0</v>
      </c>
      <c r="I33" s="334">
        <v>0</v>
      </c>
      <c r="J33" s="321">
        <v>44514190.369999997</v>
      </c>
      <c r="K33" s="333">
        <f t="shared" si="13"/>
        <v>5.2583458675905445E-5</v>
      </c>
      <c r="L33" s="310">
        <v>100</v>
      </c>
      <c r="M33" s="310">
        <v>100</v>
      </c>
      <c r="N33" s="334">
        <v>0</v>
      </c>
      <c r="O33" s="334">
        <v>0</v>
      </c>
      <c r="P33" s="329">
        <f t="shared" si="14"/>
        <v>0</v>
      </c>
      <c r="Q33" s="329">
        <f t="shared" si="15"/>
        <v>0</v>
      </c>
      <c r="R33" s="329">
        <f t="shared" si="16"/>
        <v>0</v>
      </c>
      <c r="S33" s="364">
        <f t="shared" si="17"/>
        <v>0</v>
      </c>
      <c r="T33" s="146"/>
      <c r="U33" s="158"/>
    </row>
    <row r="34" spans="1:23" s="112" customFormat="1" ht="12.95" customHeight="1">
      <c r="A34" s="402">
        <v>26</v>
      </c>
      <c r="B34" s="393" t="s">
        <v>108</v>
      </c>
      <c r="C34" s="394" t="s">
        <v>259</v>
      </c>
      <c r="D34" s="321">
        <v>5379116591</v>
      </c>
      <c r="E34" s="193">
        <v>6.3E-2</v>
      </c>
      <c r="F34" s="310">
        <v>1</v>
      </c>
      <c r="G34" s="310">
        <v>1</v>
      </c>
      <c r="H34" s="334">
        <v>9.5399999999999999E-2</v>
      </c>
      <c r="I34" s="334">
        <v>9.5399999999999999E-2</v>
      </c>
      <c r="J34" s="321">
        <v>5083820454.8599997</v>
      </c>
      <c r="K34" s="333">
        <f t="shared" si="13"/>
        <v>6.005385262134638E-3</v>
      </c>
      <c r="L34" s="310">
        <v>1</v>
      </c>
      <c r="M34" s="310">
        <v>1</v>
      </c>
      <c r="N34" s="334">
        <v>9.2899999999999996E-2</v>
      </c>
      <c r="O34" s="334">
        <v>9.2899999999999996E-2</v>
      </c>
      <c r="P34" s="329">
        <f t="shared" si="14"/>
        <v>-5.4896771829424797E-2</v>
      </c>
      <c r="Q34" s="329">
        <f t="shared" si="15"/>
        <v>0</v>
      </c>
      <c r="R34" s="329">
        <f t="shared" si="16"/>
        <v>-2.5000000000000022E-3</v>
      </c>
      <c r="S34" s="364">
        <f t="shared" si="17"/>
        <v>-2.5000000000000022E-3</v>
      </c>
      <c r="T34" s="159"/>
      <c r="U34" s="113"/>
      <c r="V34" s="427"/>
      <c r="W34" s="427"/>
    </row>
    <row r="35" spans="1:23" s="112" customFormat="1" ht="12.95" customHeight="1">
      <c r="A35" s="391">
        <v>27</v>
      </c>
      <c r="B35" s="393" t="s">
        <v>100</v>
      </c>
      <c r="C35" s="394" t="s">
        <v>98</v>
      </c>
      <c r="D35" s="321">
        <v>13358985636.48</v>
      </c>
      <c r="E35" s="193">
        <v>4.5100000000000001E-2</v>
      </c>
      <c r="F35" s="69">
        <v>100</v>
      </c>
      <c r="G35" s="69">
        <v>100</v>
      </c>
      <c r="H35" s="334">
        <v>9.2100000000000001E-2</v>
      </c>
      <c r="I35" s="334">
        <v>9.2100000000000001E-2</v>
      </c>
      <c r="J35" s="321">
        <v>13336306643.370001</v>
      </c>
      <c r="K35" s="333">
        <f t="shared" si="13"/>
        <v>1.5753833180878536E-2</v>
      </c>
      <c r="L35" s="69">
        <v>100</v>
      </c>
      <c r="M35" s="69">
        <v>100</v>
      </c>
      <c r="N35" s="334">
        <v>9.0300000000000005E-2</v>
      </c>
      <c r="O35" s="334">
        <v>9.0300000000000005E-2</v>
      </c>
      <c r="P35" s="329">
        <f t="shared" si="14"/>
        <v>-1.6976583198104599E-3</v>
      </c>
      <c r="Q35" s="329">
        <f t="shared" si="15"/>
        <v>0</v>
      </c>
      <c r="R35" s="329">
        <f t="shared" si="16"/>
        <v>-1.799999999999996E-3</v>
      </c>
      <c r="S35" s="364">
        <f t="shared" si="17"/>
        <v>-1.799999999999996E-3</v>
      </c>
      <c r="T35" s="144"/>
      <c r="U35" s="122"/>
    </row>
    <row r="36" spans="1:23" s="112" customFormat="1" ht="12.95" customHeight="1">
      <c r="A36" s="391">
        <v>28</v>
      </c>
      <c r="B36" s="393" t="s">
        <v>99</v>
      </c>
      <c r="C36" s="394" t="s">
        <v>98</v>
      </c>
      <c r="D36" s="321">
        <v>597605629.16999996</v>
      </c>
      <c r="E36" s="193">
        <v>5.2900000000000003E-2</v>
      </c>
      <c r="F36" s="69">
        <v>1000000</v>
      </c>
      <c r="G36" s="69">
        <v>1000000</v>
      </c>
      <c r="H36" s="334">
        <v>8.3900000000000002E-2</v>
      </c>
      <c r="I36" s="334">
        <v>8.3900000000000002E-2</v>
      </c>
      <c r="J36" s="321">
        <v>1164580342.51</v>
      </c>
      <c r="K36" s="333">
        <f t="shared" si="13"/>
        <v>1.3756885569779353E-3</v>
      </c>
      <c r="L36" s="69">
        <v>1000000</v>
      </c>
      <c r="M36" s="69">
        <v>1000000</v>
      </c>
      <c r="N36" s="334">
        <v>5.6899999999999999E-2</v>
      </c>
      <c r="O36" s="334">
        <v>5.6899999999999999E-2</v>
      </c>
      <c r="P36" s="329">
        <f t="shared" si="14"/>
        <v>0.94874393021942838</v>
      </c>
      <c r="Q36" s="329">
        <f t="shared" si="15"/>
        <v>0</v>
      </c>
      <c r="R36" s="329">
        <f t="shared" si="16"/>
        <v>-2.7000000000000003E-2</v>
      </c>
      <c r="S36" s="364">
        <f t="shared" si="17"/>
        <v>-2.7000000000000003E-2</v>
      </c>
      <c r="T36" s="144"/>
      <c r="U36" s="123"/>
    </row>
    <row r="37" spans="1:23" s="112" customFormat="1" ht="12.95" customHeight="1">
      <c r="A37" s="391">
        <v>29</v>
      </c>
      <c r="B37" s="393" t="s">
        <v>169</v>
      </c>
      <c r="C37" s="394" t="s">
        <v>168</v>
      </c>
      <c r="D37" s="321">
        <v>2233493440.9299998</v>
      </c>
      <c r="E37" s="193">
        <v>9.0300000000000005E-2</v>
      </c>
      <c r="F37" s="310">
        <v>1</v>
      </c>
      <c r="G37" s="310">
        <v>1</v>
      </c>
      <c r="H37" s="334">
        <v>0.12529999999999999</v>
      </c>
      <c r="I37" s="334">
        <v>0.12529999999999999</v>
      </c>
      <c r="J37" s="321">
        <v>2301638322.0799999</v>
      </c>
      <c r="K37" s="333">
        <f t="shared" si="13"/>
        <v>2.7188656603656888E-3</v>
      </c>
      <c r="L37" s="310">
        <v>1</v>
      </c>
      <c r="M37" s="310">
        <v>1</v>
      </c>
      <c r="N37" s="334">
        <v>0.1242</v>
      </c>
      <c r="O37" s="334">
        <v>0.1242</v>
      </c>
      <c r="P37" s="329">
        <f t="shared" si="14"/>
        <v>3.0510446057824724E-2</v>
      </c>
      <c r="Q37" s="329">
        <f t="shared" si="15"/>
        <v>0</v>
      </c>
      <c r="R37" s="329">
        <f t="shared" si="16"/>
        <v>-1.0999999999999899E-3</v>
      </c>
      <c r="S37" s="364">
        <f t="shared" si="17"/>
        <v>-1.0999999999999899E-3</v>
      </c>
      <c r="T37" s="144"/>
      <c r="U37" s="122"/>
    </row>
    <row r="38" spans="1:23" s="112" customFormat="1" ht="12.95" customHeight="1">
      <c r="A38" s="402">
        <v>30</v>
      </c>
      <c r="B38" s="393" t="s">
        <v>262</v>
      </c>
      <c r="C38" s="394" t="s">
        <v>133</v>
      </c>
      <c r="D38" s="321">
        <v>267941343.74000001</v>
      </c>
      <c r="E38" s="333">
        <f>(D38/$J$54)</f>
        <v>3.1651216070671776E-4</v>
      </c>
      <c r="F38" s="310">
        <v>1</v>
      </c>
      <c r="G38" s="310">
        <v>1</v>
      </c>
      <c r="H38" s="320">
        <v>7.7399999999999997E-2</v>
      </c>
      <c r="I38" s="320">
        <v>7.7399999999999997E-2</v>
      </c>
      <c r="J38" s="321">
        <v>267804689.91999999</v>
      </c>
      <c r="K38" s="333">
        <f t="shared" si="13"/>
        <v>3.163507350930618E-4</v>
      </c>
      <c r="L38" s="310">
        <v>1</v>
      </c>
      <c r="M38" s="310">
        <v>1</v>
      </c>
      <c r="N38" s="320">
        <v>7.7200000000000005E-2</v>
      </c>
      <c r="O38" s="320">
        <v>7.7200000000000005E-2</v>
      </c>
      <c r="P38" s="329">
        <f t="shared" si="14"/>
        <v>-5.1001393847090008E-4</v>
      </c>
      <c r="Q38" s="329">
        <f t="shared" si="15"/>
        <v>0</v>
      </c>
      <c r="R38" s="329">
        <f t="shared" si="16"/>
        <v>-1.9999999999999185E-4</v>
      </c>
      <c r="S38" s="364">
        <f t="shared" si="17"/>
        <v>-1.9999999999999185E-4</v>
      </c>
      <c r="T38" s="144"/>
      <c r="U38" s="122"/>
      <c r="V38" s="124"/>
    </row>
    <row r="39" spans="1:23" s="112" customFormat="1" ht="12.95" customHeight="1">
      <c r="A39" s="401">
        <v>31</v>
      </c>
      <c r="B39" s="393" t="s">
        <v>14</v>
      </c>
      <c r="C39" s="394" t="s">
        <v>185</v>
      </c>
      <c r="D39" s="321">
        <v>198768512276.39999</v>
      </c>
      <c r="E39" s="193">
        <v>6.2600000000000003E-2</v>
      </c>
      <c r="F39" s="310">
        <v>100</v>
      </c>
      <c r="G39" s="310">
        <v>100</v>
      </c>
      <c r="H39" s="334">
        <v>0.1045</v>
      </c>
      <c r="I39" s="334">
        <v>0.1045</v>
      </c>
      <c r="J39" s="321">
        <v>201580231819.81</v>
      </c>
      <c r="K39" s="333">
        <f t="shared" si="13"/>
        <v>0.23812150017042802</v>
      </c>
      <c r="L39" s="310">
        <v>100</v>
      </c>
      <c r="M39" s="310">
        <v>100</v>
      </c>
      <c r="N39" s="334">
        <v>0.1022</v>
      </c>
      <c r="O39" s="334">
        <v>0.1022</v>
      </c>
      <c r="P39" s="329">
        <f t="shared" si="14"/>
        <v>1.4145698990291443E-2</v>
      </c>
      <c r="Q39" s="329">
        <f t="shared" si="15"/>
        <v>0</v>
      </c>
      <c r="R39" s="329">
        <f t="shared" si="16"/>
        <v>-2.2999999999999965E-3</v>
      </c>
      <c r="S39" s="364">
        <f t="shared" si="17"/>
        <v>-2.2999999999999965E-3</v>
      </c>
      <c r="T39" s="153"/>
      <c r="U39" s="431"/>
      <c r="V39" s="186"/>
    </row>
    <row r="40" spans="1:23" s="112" customFormat="1" ht="12.95" customHeight="1">
      <c r="A40" s="399">
        <v>32</v>
      </c>
      <c r="B40" s="393" t="s">
        <v>122</v>
      </c>
      <c r="C40" s="394" t="s">
        <v>175</v>
      </c>
      <c r="D40" s="321">
        <v>600565117.19000006</v>
      </c>
      <c r="E40" s="193">
        <v>4.9799999999999997E-2</v>
      </c>
      <c r="F40" s="310">
        <v>10</v>
      </c>
      <c r="G40" s="310">
        <v>10</v>
      </c>
      <c r="H40" s="334">
        <v>0.1051</v>
      </c>
      <c r="I40" s="334">
        <v>0.1051</v>
      </c>
      <c r="J40" s="321">
        <v>631223080.52999997</v>
      </c>
      <c r="K40" s="333">
        <f t="shared" si="13"/>
        <v>7.4564745521456038E-4</v>
      </c>
      <c r="L40" s="310">
        <v>10</v>
      </c>
      <c r="M40" s="310">
        <v>10</v>
      </c>
      <c r="N40" s="334">
        <v>8.5599999999999996E-2</v>
      </c>
      <c r="O40" s="334">
        <v>8.5599999999999996E-2</v>
      </c>
      <c r="P40" s="109">
        <f t="shared" si="14"/>
        <v>5.1048524901756306E-2</v>
      </c>
      <c r="Q40" s="329">
        <f t="shared" si="15"/>
        <v>0</v>
      </c>
      <c r="R40" s="329">
        <f t="shared" si="16"/>
        <v>-1.9500000000000003E-2</v>
      </c>
      <c r="S40" s="364">
        <f t="shared" si="17"/>
        <v>-1.9500000000000003E-2</v>
      </c>
      <c r="T40" s="155"/>
      <c r="U40" s="431"/>
      <c r="V40" s="186"/>
    </row>
    <row r="41" spans="1:23" s="112" customFormat="1" ht="12.95" customHeight="1">
      <c r="A41" s="402">
        <v>33</v>
      </c>
      <c r="B41" s="393" t="s">
        <v>86</v>
      </c>
      <c r="C41" s="394" t="s">
        <v>87</v>
      </c>
      <c r="D41" s="321">
        <v>2367062198.1420093</v>
      </c>
      <c r="E41" s="193">
        <v>4.2599999999999999E-2</v>
      </c>
      <c r="F41" s="310">
        <v>100</v>
      </c>
      <c r="G41" s="310">
        <v>100</v>
      </c>
      <c r="H41" s="334">
        <v>8.0600000000000005E-2</v>
      </c>
      <c r="I41" s="334">
        <v>9.9000000000000005E-2</v>
      </c>
      <c r="J41" s="321">
        <v>2360216427.2076592</v>
      </c>
      <c r="K41" s="333">
        <f t="shared" si="13"/>
        <v>2.7880624568184672E-3</v>
      </c>
      <c r="L41" s="310">
        <v>100</v>
      </c>
      <c r="M41" s="310">
        <v>100</v>
      </c>
      <c r="N41" s="334">
        <v>0.109</v>
      </c>
      <c r="O41" s="334">
        <v>9.06E-2</v>
      </c>
      <c r="P41" s="329">
        <f t="shared" si="14"/>
        <v>-2.8920959236827409E-3</v>
      </c>
      <c r="Q41" s="329">
        <f t="shared" si="15"/>
        <v>0</v>
      </c>
      <c r="R41" s="329">
        <f t="shared" si="16"/>
        <v>2.8399999999999995E-2</v>
      </c>
      <c r="S41" s="364">
        <f t="shared" si="17"/>
        <v>-8.4000000000000047E-3</v>
      </c>
      <c r="T41" s="146"/>
      <c r="U41" s="122"/>
    </row>
    <row r="42" spans="1:23" s="330" customFormat="1" ht="12.95" customHeight="1">
      <c r="A42" s="401">
        <v>34</v>
      </c>
      <c r="B42" s="393" t="s">
        <v>273</v>
      </c>
      <c r="C42" s="394" t="s">
        <v>243</v>
      </c>
      <c r="D42" s="321">
        <v>20560355838.720001</v>
      </c>
      <c r="E42" s="193">
        <v>4.7199999999999999E-2</v>
      </c>
      <c r="F42" s="310">
        <v>100</v>
      </c>
      <c r="G42" s="310">
        <v>100</v>
      </c>
      <c r="H42" s="334">
        <v>8.6199999999999999E-2</v>
      </c>
      <c r="I42" s="334">
        <v>8.3000000000000004E-2</v>
      </c>
      <c r="J42" s="321">
        <v>20706609914.98</v>
      </c>
      <c r="K42" s="333">
        <f t="shared" ref="K42" si="18">(J42/$J$54)</f>
        <v>2.4460181297967631E-2</v>
      </c>
      <c r="L42" s="310">
        <v>100</v>
      </c>
      <c r="M42" s="310">
        <v>100</v>
      </c>
      <c r="N42" s="334">
        <v>8.5000000000000006E-2</v>
      </c>
      <c r="O42" s="334">
        <v>8.4400000000000003E-2</v>
      </c>
      <c r="P42" s="329">
        <f t="shared" ref="P42" si="19">((J42-D42)/D42)</f>
        <v>7.1134019959210723E-3</v>
      </c>
      <c r="Q42" s="329">
        <f t="shared" ref="Q42" si="20">((M42-G42)/G42)</f>
        <v>0</v>
      </c>
      <c r="R42" s="329">
        <f t="shared" ref="R42" si="21">N42-H42</f>
        <v>-1.1999999999999927E-3</v>
      </c>
      <c r="S42" s="364">
        <f t="shared" ref="S42" si="22">O42-I42</f>
        <v>1.3999999999999985E-3</v>
      </c>
      <c r="T42" s="146"/>
      <c r="U42" s="122"/>
    </row>
    <row r="43" spans="1:23" s="112" customFormat="1" ht="12.95" customHeight="1">
      <c r="A43" s="392">
        <v>35</v>
      </c>
      <c r="B43" s="393" t="s">
        <v>121</v>
      </c>
      <c r="C43" s="394" t="s">
        <v>132</v>
      </c>
      <c r="D43" s="321">
        <v>3238806802.1300001</v>
      </c>
      <c r="E43" s="193">
        <v>4.8399999999999999E-2</v>
      </c>
      <c r="F43" s="310">
        <v>1</v>
      </c>
      <c r="G43" s="310">
        <v>1</v>
      </c>
      <c r="H43" s="334">
        <v>7.6999999999999999E-2</v>
      </c>
      <c r="I43" s="334">
        <v>7.6999999999999999E-2</v>
      </c>
      <c r="J43" s="321">
        <v>3250069370.8099999</v>
      </c>
      <c r="K43" s="333">
        <f t="shared" ref="K43:K53" si="23">(J43/$J$54)</f>
        <v>3.8392226621062021E-3</v>
      </c>
      <c r="L43" s="310">
        <v>1</v>
      </c>
      <c r="M43" s="310">
        <v>1</v>
      </c>
      <c r="N43" s="334">
        <v>7.6999999999999999E-2</v>
      </c>
      <c r="O43" s="334">
        <v>7.6999999999999999E-2</v>
      </c>
      <c r="P43" s="109">
        <f t="shared" si="14"/>
        <v>3.4773820632317447E-3</v>
      </c>
      <c r="Q43" s="109">
        <f t="shared" si="15"/>
        <v>0</v>
      </c>
      <c r="R43" s="329">
        <f t="shared" si="16"/>
        <v>0</v>
      </c>
      <c r="S43" s="364">
        <f t="shared" si="17"/>
        <v>0</v>
      </c>
      <c r="T43" s="144"/>
      <c r="U43" s="160"/>
      <c r="V43" s="186"/>
    </row>
    <row r="44" spans="1:23" s="112" customFormat="1" ht="12.95" customHeight="1">
      <c r="A44" s="392">
        <v>36</v>
      </c>
      <c r="B44" s="393" t="s">
        <v>55</v>
      </c>
      <c r="C44" s="394" t="s">
        <v>54</v>
      </c>
      <c r="D44" s="316">
        <v>3209541710.29</v>
      </c>
      <c r="E44" s="193">
        <v>6.4500000000000002E-2</v>
      </c>
      <c r="F44" s="310">
        <v>10</v>
      </c>
      <c r="G44" s="310">
        <v>10</v>
      </c>
      <c r="H44" s="334">
        <v>0.11459999999999999</v>
      </c>
      <c r="I44" s="334">
        <v>0.11459999999999999</v>
      </c>
      <c r="J44" s="316">
        <v>3069097115.7800002</v>
      </c>
      <c r="K44" s="333">
        <f t="shared" si="23"/>
        <v>3.6254448304808796E-3</v>
      </c>
      <c r="L44" s="310">
        <v>10</v>
      </c>
      <c r="M44" s="310">
        <v>10</v>
      </c>
      <c r="N44" s="334">
        <v>9.6500000000000002E-2</v>
      </c>
      <c r="O44" s="334">
        <v>9.6500000000000002E-2</v>
      </c>
      <c r="P44" s="329">
        <f t="shared" si="14"/>
        <v>-4.3758457495574908E-2</v>
      </c>
      <c r="Q44" s="329">
        <f t="shared" si="15"/>
        <v>0</v>
      </c>
      <c r="R44" s="329">
        <f t="shared" si="16"/>
        <v>-1.8099999999999991E-2</v>
      </c>
      <c r="S44" s="364">
        <f t="shared" si="17"/>
        <v>-1.8099999999999991E-2</v>
      </c>
      <c r="T44" s="144"/>
      <c r="U44" s="160"/>
      <c r="V44" s="186"/>
    </row>
    <row r="45" spans="1:23" s="112" customFormat="1" ht="12.95" customHeight="1">
      <c r="A45" s="392">
        <v>37</v>
      </c>
      <c r="B45" s="393" t="s">
        <v>188</v>
      </c>
      <c r="C45" s="394" t="s">
        <v>172</v>
      </c>
      <c r="D45" s="321">
        <v>4004013863.0700002</v>
      </c>
      <c r="E45" s="193">
        <v>7.8700000000000006E-2</v>
      </c>
      <c r="F45" s="310">
        <v>100</v>
      </c>
      <c r="G45" s="310">
        <v>100</v>
      </c>
      <c r="H45" s="334">
        <v>0.10979999999999999</v>
      </c>
      <c r="I45" s="334">
        <v>0.10979999999999999</v>
      </c>
      <c r="J45" s="321">
        <v>4376513911.0299997</v>
      </c>
      <c r="K45" s="333">
        <f t="shared" si="23"/>
        <v>5.169862384833291E-3</v>
      </c>
      <c r="L45" s="310">
        <v>100</v>
      </c>
      <c r="M45" s="310">
        <v>100</v>
      </c>
      <c r="N45" s="334">
        <v>0.1077</v>
      </c>
      <c r="O45" s="334">
        <v>0.1077</v>
      </c>
      <c r="P45" s="329">
        <f t="shared" si="14"/>
        <v>9.3031657905997447E-2</v>
      </c>
      <c r="Q45" s="329">
        <f t="shared" si="15"/>
        <v>0</v>
      </c>
      <c r="R45" s="329">
        <f t="shared" si="16"/>
        <v>-2.0999999999999908E-3</v>
      </c>
      <c r="S45" s="364">
        <f t="shared" si="17"/>
        <v>-2.0999999999999908E-3</v>
      </c>
      <c r="T45" s="144"/>
      <c r="U45" s="122"/>
    </row>
    <row r="46" spans="1:23" s="112" customFormat="1" ht="12.95" customHeight="1">
      <c r="A46" s="402">
        <v>38</v>
      </c>
      <c r="B46" s="393" t="s">
        <v>162</v>
      </c>
      <c r="C46" s="394" t="s">
        <v>160</v>
      </c>
      <c r="D46" s="321">
        <v>142166213</v>
      </c>
      <c r="E46" s="193">
        <v>2.9985000000000001E-2</v>
      </c>
      <c r="F46" s="310">
        <v>1</v>
      </c>
      <c r="G46" s="310">
        <v>1</v>
      </c>
      <c r="H46" s="334">
        <v>6.4399999999999999E-2</v>
      </c>
      <c r="I46" s="334">
        <v>6.4421000000000006E-2</v>
      </c>
      <c r="J46" s="321">
        <v>142612914.30000001</v>
      </c>
      <c r="K46" s="333">
        <f t="shared" si="23"/>
        <v>1.6846493721243652E-4</v>
      </c>
      <c r="L46" s="310">
        <v>1</v>
      </c>
      <c r="M46" s="310">
        <v>1</v>
      </c>
      <c r="N46" s="334">
        <v>6.5799999999999997E-2</v>
      </c>
      <c r="O46" s="334">
        <v>6.5799999999999997E-2</v>
      </c>
      <c r="P46" s="329">
        <f t="shared" si="14"/>
        <v>3.1421059235784239E-3</v>
      </c>
      <c r="Q46" s="329">
        <f t="shared" si="15"/>
        <v>0</v>
      </c>
      <c r="R46" s="329">
        <f t="shared" si="16"/>
        <v>1.3999999999999985E-3</v>
      </c>
      <c r="S46" s="364">
        <f t="shared" si="17"/>
        <v>1.3789999999999913E-3</v>
      </c>
      <c r="T46" s="144"/>
      <c r="U46" s="122"/>
    </row>
    <row r="47" spans="1:23" s="112" customFormat="1" ht="12.95" customHeight="1">
      <c r="A47" s="398">
        <v>39</v>
      </c>
      <c r="B47" s="393" t="s">
        <v>95</v>
      </c>
      <c r="C47" s="394" t="s">
        <v>90</v>
      </c>
      <c r="D47" s="316">
        <v>717496204.33000004</v>
      </c>
      <c r="E47" s="193">
        <v>6.6600000000000006E-2</v>
      </c>
      <c r="F47" s="310">
        <v>10</v>
      </c>
      <c r="G47" s="310">
        <v>10</v>
      </c>
      <c r="H47" s="334">
        <v>0.1069</v>
      </c>
      <c r="I47" s="334">
        <v>0.1069</v>
      </c>
      <c r="J47" s="316">
        <v>746863329.35000002</v>
      </c>
      <c r="K47" s="333">
        <f t="shared" si="23"/>
        <v>8.8225028219074148E-4</v>
      </c>
      <c r="L47" s="310">
        <v>10</v>
      </c>
      <c r="M47" s="310">
        <v>10</v>
      </c>
      <c r="N47" s="334">
        <v>9.8000000000000004E-2</v>
      </c>
      <c r="O47" s="334">
        <v>9.8000000000000004E-2</v>
      </c>
      <c r="P47" s="329">
        <f t="shared" si="14"/>
        <v>4.0930007493800033E-2</v>
      </c>
      <c r="Q47" s="329">
        <f t="shared" si="15"/>
        <v>0</v>
      </c>
      <c r="R47" s="329">
        <f t="shared" si="16"/>
        <v>-8.8999999999999913E-3</v>
      </c>
      <c r="S47" s="364">
        <f t="shared" si="17"/>
        <v>-8.8999999999999913E-3</v>
      </c>
      <c r="T47" s="153"/>
      <c r="U47" s="122"/>
    </row>
    <row r="48" spans="1:23" s="112" customFormat="1" ht="12.95" customHeight="1">
      <c r="A48" s="400">
        <v>40</v>
      </c>
      <c r="B48" s="393" t="s">
        <v>34</v>
      </c>
      <c r="C48" s="394" t="s">
        <v>5</v>
      </c>
      <c r="D48" s="321">
        <v>351806490156.37</v>
      </c>
      <c r="E48" s="193">
        <v>3.6200000000000003E-2</v>
      </c>
      <c r="F48" s="310">
        <v>100</v>
      </c>
      <c r="G48" s="310">
        <v>100</v>
      </c>
      <c r="H48" s="334">
        <v>0.1051</v>
      </c>
      <c r="I48" s="334">
        <v>0.1051</v>
      </c>
      <c r="J48" s="321">
        <v>359958395664.09998</v>
      </c>
      <c r="K48" s="333">
        <f t="shared" si="23"/>
        <v>0.42520951782164079</v>
      </c>
      <c r="L48" s="310">
        <v>100</v>
      </c>
      <c r="M48" s="310">
        <v>100</v>
      </c>
      <c r="N48" s="334">
        <v>0.10199999999999999</v>
      </c>
      <c r="O48" s="334">
        <v>0.10199999999999999</v>
      </c>
      <c r="P48" s="329">
        <f t="shared" si="14"/>
        <v>2.3171560888790434E-2</v>
      </c>
      <c r="Q48" s="329">
        <f t="shared" si="15"/>
        <v>0</v>
      </c>
      <c r="R48" s="329">
        <f t="shared" si="16"/>
        <v>-3.1000000000000055E-3</v>
      </c>
      <c r="S48" s="364">
        <f t="shared" si="17"/>
        <v>-3.1000000000000055E-3</v>
      </c>
      <c r="T48" s="153"/>
      <c r="U48" s="122"/>
    </row>
    <row r="49" spans="1:23" s="112" customFormat="1" ht="12.95" customHeight="1">
      <c r="A49" s="399">
        <v>41</v>
      </c>
      <c r="B49" s="393" t="s">
        <v>150</v>
      </c>
      <c r="C49" s="394" t="s">
        <v>149</v>
      </c>
      <c r="D49" s="321">
        <v>1983737881.28</v>
      </c>
      <c r="E49" s="193">
        <v>5.3145060299999998E-2</v>
      </c>
      <c r="F49" s="310">
        <v>1</v>
      </c>
      <c r="G49" s="310">
        <v>1</v>
      </c>
      <c r="H49" s="334">
        <v>0.12791897504779323</v>
      </c>
      <c r="I49" s="334">
        <v>0.12791897504779323</v>
      </c>
      <c r="J49" s="321">
        <v>1981069177.02</v>
      </c>
      <c r="K49" s="333">
        <f t="shared" si="23"/>
        <v>2.3401856427820544E-3</v>
      </c>
      <c r="L49" s="310">
        <v>1</v>
      </c>
      <c r="M49" s="310">
        <v>1</v>
      </c>
      <c r="N49" s="334">
        <v>0.12846515326120364</v>
      </c>
      <c r="O49" s="334">
        <v>0.12846515326120364</v>
      </c>
      <c r="P49" s="329">
        <f t="shared" si="14"/>
        <v>-1.3452907691000075E-3</v>
      </c>
      <c r="Q49" s="329">
        <f t="shared" si="15"/>
        <v>0</v>
      </c>
      <c r="R49" s="329">
        <f t="shared" si="16"/>
        <v>5.4617821341040873E-4</v>
      </c>
      <c r="S49" s="364">
        <f t="shared" si="17"/>
        <v>5.4617821341040873E-4</v>
      </c>
      <c r="T49" s="144"/>
      <c r="U49" s="122"/>
    </row>
    <row r="50" spans="1:23" s="112" customFormat="1" ht="12.95" customHeight="1">
      <c r="A50" s="401">
        <v>42</v>
      </c>
      <c r="B50" s="393" t="s">
        <v>76</v>
      </c>
      <c r="C50" s="394" t="s">
        <v>41</v>
      </c>
      <c r="D50" s="321">
        <v>46856482719.209999</v>
      </c>
      <c r="E50" s="193">
        <v>5.2600000000000001E-2</v>
      </c>
      <c r="F50" s="310">
        <v>1</v>
      </c>
      <c r="G50" s="310">
        <v>1</v>
      </c>
      <c r="H50" s="334">
        <v>0.1033</v>
      </c>
      <c r="I50" s="334">
        <v>0.1033</v>
      </c>
      <c r="J50" s="321">
        <v>46205218883.139999</v>
      </c>
      <c r="K50" s="333">
        <f t="shared" si="23"/>
        <v>5.4581026804211834E-2</v>
      </c>
      <c r="L50" s="310">
        <v>1</v>
      </c>
      <c r="M50" s="310">
        <v>1</v>
      </c>
      <c r="N50" s="334">
        <v>0.09</v>
      </c>
      <c r="O50" s="334">
        <v>0.09</v>
      </c>
      <c r="P50" s="329">
        <f t="shared" si="14"/>
        <v>-1.3899119145855086E-2</v>
      </c>
      <c r="Q50" s="329">
        <f t="shared" si="15"/>
        <v>0</v>
      </c>
      <c r="R50" s="329">
        <f t="shared" si="16"/>
        <v>-1.3300000000000006E-2</v>
      </c>
      <c r="S50" s="364">
        <f t="shared" si="17"/>
        <v>-1.3300000000000006E-2</v>
      </c>
      <c r="T50" s="144"/>
      <c r="U50" s="122"/>
    </row>
    <row r="51" spans="1:23" s="112" customFormat="1" ht="12.95" customHeight="1">
      <c r="A51" s="396">
        <v>43</v>
      </c>
      <c r="B51" s="393" t="s">
        <v>159</v>
      </c>
      <c r="C51" s="394" t="s">
        <v>106</v>
      </c>
      <c r="D51" s="321">
        <v>1969128508.02</v>
      </c>
      <c r="E51" s="193">
        <v>6.4199999999999993E-2</v>
      </c>
      <c r="F51" s="310">
        <v>1</v>
      </c>
      <c r="G51" s="310">
        <v>1</v>
      </c>
      <c r="H51" s="334">
        <v>6.7000000000000004E-2</v>
      </c>
      <c r="I51" s="334">
        <v>6.7000000000000004E-2</v>
      </c>
      <c r="J51" s="321">
        <v>1912438357.3499999</v>
      </c>
      <c r="K51" s="333">
        <f t="shared" si="23"/>
        <v>2.2591138353423505E-3</v>
      </c>
      <c r="L51" s="310">
        <v>1</v>
      </c>
      <c r="M51" s="310">
        <v>1</v>
      </c>
      <c r="N51" s="334">
        <v>6.5600000000000006E-2</v>
      </c>
      <c r="O51" s="334">
        <v>6.5600000000000006E-2</v>
      </c>
      <c r="P51" s="329">
        <f t="shared" si="14"/>
        <v>-2.8789462160091935E-2</v>
      </c>
      <c r="Q51" s="329">
        <f t="shared" si="15"/>
        <v>0</v>
      </c>
      <c r="R51" s="329">
        <f t="shared" si="16"/>
        <v>-1.3999999999999985E-3</v>
      </c>
      <c r="S51" s="364">
        <f t="shared" si="17"/>
        <v>-1.3999999999999985E-3</v>
      </c>
      <c r="T51" s="88"/>
      <c r="U51" s="122"/>
    </row>
    <row r="52" spans="1:23" s="112" customFormat="1" ht="12.95" customHeight="1">
      <c r="A52" s="401">
        <v>44</v>
      </c>
      <c r="B52" s="393" t="s">
        <v>131</v>
      </c>
      <c r="C52" s="394" t="s">
        <v>38</v>
      </c>
      <c r="D52" s="321">
        <v>1475000894.24</v>
      </c>
      <c r="E52" s="193">
        <v>2.2200000000000001E-2</v>
      </c>
      <c r="F52" s="310">
        <v>1</v>
      </c>
      <c r="G52" s="310">
        <v>1</v>
      </c>
      <c r="H52" s="334">
        <v>9.2299999999999993E-2</v>
      </c>
      <c r="I52" s="334">
        <v>9.2299999999999993E-2</v>
      </c>
      <c r="J52" s="321">
        <v>1472255115.6199999</v>
      </c>
      <c r="K52" s="333">
        <f t="shared" si="23"/>
        <v>1.7391367873730613E-3</v>
      </c>
      <c r="L52" s="310">
        <v>1</v>
      </c>
      <c r="M52" s="310">
        <v>1</v>
      </c>
      <c r="N52" s="334">
        <v>9.4899999999999998E-2</v>
      </c>
      <c r="O52" s="334">
        <v>9.4899999999999998E-2</v>
      </c>
      <c r="P52" s="329">
        <f t="shared" si="14"/>
        <v>-1.861543698531042E-3</v>
      </c>
      <c r="Q52" s="329">
        <f t="shared" si="15"/>
        <v>0</v>
      </c>
      <c r="R52" s="329">
        <f t="shared" si="16"/>
        <v>2.6000000000000051E-3</v>
      </c>
      <c r="S52" s="364">
        <f t="shared" si="17"/>
        <v>2.6000000000000051E-3</v>
      </c>
      <c r="U52" s="122"/>
    </row>
    <row r="53" spans="1:23" s="112" customFormat="1" ht="12.95" customHeight="1">
      <c r="A53" s="399">
        <v>45</v>
      </c>
      <c r="B53" s="393" t="s">
        <v>112</v>
      </c>
      <c r="C53" s="394" t="s">
        <v>12</v>
      </c>
      <c r="D53" s="321">
        <v>26305325064.27</v>
      </c>
      <c r="E53" s="193">
        <v>5.9200000000000003E-2</v>
      </c>
      <c r="F53" s="310">
        <v>1</v>
      </c>
      <c r="G53" s="310">
        <v>1</v>
      </c>
      <c r="H53" s="334">
        <v>0.1014</v>
      </c>
      <c r="I53" s="334">
        <v>0.1014</v>
      </c>
      <c r="J53" s="321">
        <v>26956318666.68</v>
      </c>
      <c r="K53" s="333">
        <f t="shared" si="23"/>
        <v>3.184280016961042E-2</v>
      </c>
      <c r="L53" s="310">
        <v>1</v>
      </c>
      <c r="M53" s="310">
        <v>1</v>
      </c>
      <c r="N53" s="334">
        <v>9.7699999999999995E-2</v>
      </c>
      <c r="O53" s="334">
        <v>9.7699999999999995E-2</v>
      </c>
      <c r="P53" s="329">
        <f t="shared" si="14"/>
        <v>2.4747597713370647E-2</v>
      </c>
      <c r="Q53" s="329">
        <f t="shared" si="15"/>
        <v>0</v>
      </c>
      <c r="R53" s="329">
        <f t="shared" si="16"/>
        <v>-3.7000000000000088E-3</v>
      </c>
      <c r="S53" s="364">
        <f t="shared" si="17"/>
        <v>-3.7000000000000088E-3</v>
      </c>
      <c r="T53" s="161"/>
      <c r="U53" s="122"/>
    </row>
    <row r="54" spans="1:23" s="112" customFormat="1" ht="12.95" customHeight="1">
      <c r="A54" s="214"/>
      <c r="C54" s="244" t="s">
        <v>42</v>
      </c>
      <c r="D54" s="76">
        <f>SUM(D25:D53)</f>
        <v>835884528785.64209</v>
      </c>
      <c r="E54" s="262">
        <f>(D54/$D$168)</f>
        <v>0.43951119168795938</v>
      </c>
      <c r="F54" s="264"/>
      <c r="G54" s="73"/>
      <c r="H54" s="280"/>
      <c r="I54" s="280"/>
      <c r="J54" s="76">
        <f>SUM(J25:J53)</f>
        <v>846543599278.24768</v>
      </c>
      <c r="K54" s="262">
        <f>(J54/$J$168)</f>
        <v>0.44034671222398697</v>
      </c>
      <c r="L54" s="264"/>
      <c r="M54" s="73"/>
      <c r="N54" s="280"/>
      <c r="O54" s="280"/>
      <c r="P54" s="266">
        <f t="shared" ref="P54" si="24">((J54-D54)/D54)</f>
        <v>1.2751845650368594E-2</v>
      </c>
      <c r="Q54" s="266"/>
      <c r="R54" s="266">
        <f t="shared" ref="R54:S54" si="25">N54-H54</f>
        <v>0</v>
      </c>
      <c r="S54" s="364">
        <f t="shared" si="25"/>
        <v>0</v>
      </c>
    </row>
    <row r="55" spans="1:23" s="112" customFormat="1" ht="4.5" customHeight="1">
      <c r="A55" s="409">
        <v>1</v>
      </c>
      <c r="B55" s="410"/>
      <c r="C55" s="411"/>
      <c r="D55" s="411"/>
      <c r="E55" s="411"/>
      <c r="F55" s="411"/>
      <c r="G55" s="411"/>
      <c r="H55" s="411"/>
      <c r="I55" s="411"/>
      <c r="J55" s="411"/>
      <c r="K55" s="411"/>
      <c r="L55" s="411"/>
      <c r="M55" s="411"/>
      <c r="N55" s="411"/>
      <c r="O55" s="411"/>
      <c r="P55" s="411"/>
      <c r="Q55" s="411"/>
      <c r="R55" s="411"/>
      <c r="S55" s="424"/>
    </row>
    <row r="56" spans="1:23" s="112" customFormat="1" ht="12.95" customHeight="1">
      <c r="A56" s="416" t="s">
        <v>263</v>
      </c>
      <c r="B56" s="417"/>
      <c r="C56" s="418"/>
      <c r="D56" s="418"/>
      <c r="E56" s="418"/>
      <c r="F56" s="418"/>
      <c r="G56" s="418"/>
      <c r="H56" s="418"/>
      <c r="I56" s="418"/>
      <c r="J56" s="418"/>
      <c r="K56" s="418"/>
      <c r="L56" s="418"/>
      <c r="M56" s="418"/>
      <c r="N56" s="418"/>
      <c r="O56" s="418"/>
      <c r="P56" s="418"/>
      <c r="Q56" s="418"/>
      <c r="R56" s="418"/>
      <c r="S56" s="419"/>
      <c r="V56" s="124"/>
      <c r="W56" s="125"/>
    </row>
    <row r="57" spans="1:23" s="112" customFormat="1" ht="12.95" customHeight="1">
      <c r="A57" s="400">
        <v>46</v>
      </c>
      <c r="B57" s="393" t="s">
        <v>138</v>
      </c>
      <c r="C57" s="394" t="s">
        <v>135</v>
      </c>
      <c r="D57" s="326">
        <v>466969177.01999998</v>
      </c>
      <c r="E57" s="333">
        <f>(D57/$D$87)</f>
        <v>1.4559941137227042E-3</v>
      </c>
      <c r="F57" s="327">
        <v>1.3539000000000001</v>
      </c>
      <c r="G57" s="327">
        <v>1.3539000000000001</v>
      </c>
      <c r="H57" s="334">
        <v>-4.7540000000000004E-3</v>
      </c>
      <c r="I57" s="334">
        <v>9.9699999999999997E-2</v>
      </c>
      <c r="J57" s="326">
        <v>297803859.43000001</v>
      </c>
      <c r="K57" s="333">
        <f t="shared" ref="K57:K76" si="26">(J57/$J$87)</f>
        <v>9.6113191871212043E-4</v>
      </c>
      <c r="L57" s="327">
        <v>1.3573</v>
      </c>
      <c r="M57" s="327">
        <v>1.3573</v>
      </c>
      <c r="N57" s="334">
        <v>5.9000000000000003E-4</v>
      </c>
      <c r="O57" s="334">
        <v>0.1024</v>
      </c>
      <c r="P57" s="329">
        <v>-8.3999999999999995E-5</v>
      </c>
      <c r="Q57" s="329">
        <f t="shared" ref="Q57:Q67" si="27">((M57-G57)/G57)</f>
        <v>2.511263756555024E-3</v>
      </c>
      <c r="R57" s="329">
        <f t="shared" ref="R57:R86" si="28">N57-H57</f>
        <v>5.3440000000000007E-3</v>
      </c>
      <c r="S57" s="364">
        <f t="shared" ref="S57:S86" si="29">O57-I57</f>
        <v>2.7000000000000079E-3</v>
      </c>
      <c r="T57" s="144"/>
    </row>
    <row r="58" spans="1:23" s="112" customFormat="1" ht="12.95" customHeight="1">
      <c r="A58" s="400">
        <v>47</v>
      </c>
      <c r="B58" s="393" t="s">
        <v>144</v>
      </c>
      <c r="C58" s="394" t="s">
        <v>6</v>
      </c>
      <c r="D58" s="326">
        <v>569797345.80999994</v>
      </c>
      <c r="E58" s="333">
        <f>(D58/$D$87)</f>
        <v>1.7766088691516526E-3</v>
      </c>
      <c r="F58" s="327">
        <v>1.1335999999999999</v>
      </c>
      <c r="G58" s="327">
        <v>1.1335999999999999</v>
      </c>
      <c r="H58" s="334">
        <v>-7.8100000000000003E-2</v>
      </c>
      <c r="I58" s="334">
        <v>4.5600000000000002E-2</v>
      </c>
      <c r="J58" s="326">
        <v>569420483.15999997</v>
      </c>
      <c r="K58" s="333">
        <f t="shared" si="26"/>
        <v>1.8377471755438943E-3</v>
      </c>
      <c r="L58" s="327">
        <v>1.133</v>
      </c>
      <c r="M58" s="327">
        <v>1.133</v>
      </c>
      <c r="N58" s="334">
        <v>-2.76E-2</v>
      </c>
      <c r="O58" s="334">
        <v>4.2900000000000001E-2</v>
      </c>
      <c r="P58" s="329">
        <f t="shared" ref="P58:P67" si="30">((J58-D58)/D58)</f>
        <v>-6.6139769300652682E-4</v>
      </c>
      <c r="Q58" s="329">
        <f t="shared" si="27"/>
        <v>-5.2928722653487466E-4</v>
      </c>
      <c r="R58" s="329">
        <f t="shared" si="28"/>
        <v>5.0500000000000003E-2</v>
      </c>
      <c r="S58" s="364">
        <f t="shared" si="29"/>
        <v>-2.700000000000001E-3</v>
      </c>
      <c r="T58" s="144"/>
      <c r="U58" s="126"/>
    </row>
    <row r="59" spans="1:23" s="112" customFormat="1" ht="12.95" customHeight="1">
      <c r="A59" s="400">
        <v>48</v>
      </c>
      <c r="B59" s="393" t="s">
        <v>226</v>
      </c>
      <c r="C59" s="394" t="s">
        <v>6</v>
      </c>
      <c r="D59" s="326">
        <v>593230861.70000005</v>
      </c>
      <c r="E59" s="333">
        <f>(D59/$D$87)</f>
        <v>1.849673779811069E-3</v>
      </c>
      <c r="F59" s="327">
        <v>1.0313000000000001</v>
      </c>
      <c r="G59" s="327">
        <v>1.0313000000000001</v>
      </c>
      <c r="H59" s="334">
        <v>-5.1000000000000004E-3</v>
      </c>
      <c r="I59" s="334">
        <v>-7.7000000000000002E-3</v>
      </c>
      <c r="J59" s="326">
        <v>590474118.48000002</v>
      </c>
      <c r="K59" s="333">
        <f t="shared" si="26"/>
        <v>1.9056956599917034E-3</v>
      </c>
      <c r="L59" s="327">
        <v>1.0317000000000001</v>
      </c>
      <c r="M59" s="327">
        <v>1.0317000000000001</v>
      </c>
      <c r="N59" s="334">
        <v>2.0199999999999999E-2</v>
      </c>
      <c r="O59" s="334">
        <v>-6.7000000000000002E-3</v>
      </c>
      <c r="P59" s="329">
        <f t="shared" si="30"/>
        <v>-4.6469989981642729E-3</v>
      </c>
      <c r="Q59" s="329">
        <f t="shared" si="27"/>
        <v>3.8785998254625801E-4</v>
      </c>
      <c r="R59" s="329">
        <f t="shared" si="28"/>
        <v>2.53E-2</v>
      </c>
      <c r="S59" s="364">
        <f t="shared" si="29"/>
        <v>1E-3</v>
      </c>
      <c r="T59" s="144"/>
      <c r="U59" s="127"/>
      <c r="V59" s="120"/>
    </row>
    <row r="60" spans="1:23" s="128" customFormat="1" ht="12.95" customHeight="1">
      <c r="A60" s="402">
        <v>49</v>
      </c>
      <c r="B60" s="393" t="s">
        <v>167</v>
      </c>
      <c r="C60" s="394" t="s">
        <v>147</v>
      </c>
      <c r="D60" s="326">
        <v>253831885.16</v>
      </c>
      <c r="E60" s="333">
        <f>(D60/$D$87)</f>
        <v>7.914392402226339E-4</v>
      </c>
      <c r="F60" s="74">
        <v>1108.6300000000001</v>
      </c>
      <c r="G60" s="74">
        <v>1108.6300000000001</v>
      </c>
      <c r="H60" s="334">
        <v>1.8E-3</v>
      </c>
      <c r="I60" s="334">
        <v>5.2499999999999998E-2</v>
      </c>
      <c r="J60" s="326">
        <v>258686348.22</v>
      </c>
      <c r="K60" s="333">
        <f t="shared" si="26"/>
        <v>8.3488409681863843E-4</v>
      </c>
      <c r="L60" s="74">
        <v>1130.42</v>
      </c>
      <c r="M60" s="74">
        <v>1130.42</v>
      </c>
      <c r="N60" s="334">
        <v>1.9400000000000001E-2</v>
      </c>
      <c r="O60" s="334">
        <v>5.1400000000000001E-2</v>
      </c>
      <c r="P60" s="329">
        <f t="shared" si="30"/>
        <v>1.9124717357474803E-2</v>
      </c>
      <c r="Q60" s="329">
        <f t="shared" si="27"/>
        <v>1.9654889367958617E-2</v>
      </c>
      <c r="R60" s="329">
        <f t="shared" si="28"/>
        <v>1.7600000000000001E-2</v>
      </c>
      <c r="S60" s="364">
        <f t="shared" si="29"/>
        <v>-1.0999999999999968E-3</v>
      </c>
      <c r="T60" s="153"/>
      <c r="U60" s="162"/>
    </row>
    <row r="61" spans="1:23" s="112" customFormat="1" ht="12.95" customHeight="1">
      <c r="A61" s="402">
        <v>50</v>
      </c>
      <c r="B61" s="393" t="s">
        <v>176</v>
      </c>
      <c r="C61" s="394" t="s">
        <v>177</v>
      </c>
      <c r="D61" s="326">
        <v>1397180405.9300001</v>
      </c>
      <c r="E61" s="333">
        <f>(D61/$J$87)</f>
        <v>4.5092588353581372E-3</v>
      </c>
      <c r="F61" s="74">
        <v>1.0472999999999999</v>
      </c>
      <c r="G61" s="74">
        <v>1.0472999999999999</v>
      </c>
      <c r="H61" s="334">
        <v>1.5E-3</v>
      </c>
      <c r="I61" s="334">
        <v>4.4400000000000002E-2</v>
      </c>
      <c r="J61" s="326">
        <v>1396161113.3599999</v>
      </c>
      <c r="K61" s="333">
        <f t="shared" si="26"/>
        <v>4.5059691713980783E-3</v>
      </c>
      <c r="L61" s="74">
        <v>1.0119</v>
      </c>
      <c r="M61" s="74">
        <v>1.0119</v>
      </c>
      <c r="N61" s="334">
        <v>1.6000000000000001E-3</v>
      </c>
      <c r="O61" s="334">
        <v>4.5900000000000003E-2</v>
      </c>
      <c r="P61" s="329">
        <f t="shared" si="30"/>
        <v>-7.2953540263950649E-4</v>
      </c>
      <c r="Q61" s="329">
        <f t="shared" si="27"/>
        <v>-3.3801203093669317E-2</v>
      </c>
      <c r="R61" s="329">
        <f t="shared" si="28"/>
        <v>1.0000000000000005E-4</v>
      </c>
      <c r="S61" s="364">
        <f t="shared" si="29"/>
        <v>1.5000000000000013E-3</v>
      </c>
      <c r="T61" s="144"/>
      <c r="U61" s="131"/>
      <c r="V61" s="131"/>
    </row>
    <row r="62" spans="1:23" s="112" customFormat="1" ht="12.95" customHeight="1">
      <c r="A62" s="402">
        <v>51</v>
      </c>
      <c r="B62" s="393" t="s">
        <v>105</v>
      </c>
      <c r="C62" s="394" t="s">
        <v>102</v>
      </c>
      <c r="D62" s="326">
        <v>428104942.13</v>
      </c>
      <c r="E62" s="333">
        <f t="shared" ref="E62:E86" si="31">(D62/$D$87)</f>
        <v>1.3348167426694686E-3</v>
      </c>
      <c r="F62" s="74">
        <v>2.21</v>
      </c>
      <c r="G62" s="74">
        <v>2.21</v>
      </c>
      <c r="H62" s="334">
        <v>3.8147123581899825E-2</v>
      </c>
      <c r="I62" s="334">
        <v>0.15983047807892151</v>
      </c>
      <c r="J62" s="326">
        <v>428854878.23000002</v>
      </c>
      <c r="K62" s="333">
        <f t="shared" si="26"/>
        <v>1.3840858635988855E-3</v>
      </c>
      <c r="L62" s="74">
        <v>2.2139000000000002</v>
      </c>
      <c r="M62" s="74">
        <v>2.2139000000000002</v>
      </c>
      <c r="N62" s="334">
        <v>9.1328031796637413E-2</v>
      </c>
      <c r="O62" s="334">
        <v>0.15756280621174207</v>
      </c>
      <c r="P62" s="109">
        <f t="shared" si="30"/>
        <v>1.7517576327635465E-3</v>
      </c>
      <c r="Q62" s="109">
        <f t="shared" si="27"/>
        <v>1.7647058823530484E-3</v>
      </c>
      <c r="R62" s="329">
        <f t="shared" si="28"/>
        <v>5.3180908214737588E-2</v>
      </c>
      <c r="S62" s="364">
        <f t="shared" si="29"/>
        <v>-2.2676718671794382E-3</v>
      </c>
      <c r="T62" s="144"/>
      <c r="U62" s="131"/>
      <c r="V62" s="131"/>
    </row>
    <row r="63" spans="1:23" s="112" customFormat="1" ht="12" customHeight="1">
      <c r="A63" s="402">
        <v>52</v>
      </c>
      <c r="B63" s="393" t="s">
        <v>18</v>
      </c>
      <c r="C63" s="394" t="s">
        <v>7</v>
      </c>
      <c r="D63" s="326">
        <v>3364534181.98317</v>
      </c>
      <c r="E63" s="333">
        <f t="shared" si="31"/>
        <v>1.0490503882179186E-2</v>
      </c>
      <c r="F63" s="326">
        <v>3858.8447676742999</v>
      </c>
      <c r="G63" s="326">
        <v>3858.8447676742999</v>
      </c>
      <c r="H63" s="334">
        <v>7.9907913743838502E-2</v>
      </c>
      <c r="I63" s="334">
        <v>7.67456287088054E-2</v>
      </c>
      <c r="J63" s="326">
        <v>3363372917.55371</v>
      </c>
      <c r="K63" s="333">
        <f t="shared" si="26"/>
        <v>1.0854946849178178E-2</v>
      </c>
      <c r="L63" s="326">
        <v>3864.4071978944298</v>
      </c>
      <c r="M63" s="326">
        <v>3864.4071978944298</v>
      </c>
      <c r="N63" s="334">
        <v>7.5162651466323005E-2</v>
      </c>
      <c r="O63" s="334">
        <v>7.6795459605179112E-2</v>
      </c>
      <c r="P63" s="329">
        <f t="shared" si="30"/>
        <v>-3.4514864960461189E-4</v>
      </c>
      <c r="Q63" s="329">
        <f t="shared" si="27"/>
        <v>1.441475507573318E-3</v>
      </c>
      <c r="R63" s="329">
        <f t="shared" si="28"/>
        <v>-4.7452622775154968E-3</v>
      </c>
      <c r="S63" s="364">
        <f t="shared" si="29"/>
        <v>4.9830896373712075E-5</v>
      </c>
      <c r="T63" s="144"/>
      <c r="U63" s="164"/>
      <c r="V63" s="131"/>
    </row>
    <row r="64" spans="1:23" s="112" customFormat="1" ht="12.75" customHeight="1">
      <c r="A64" s="401">
        <v>53</v>
      </c>
      <c r="B64" s="393" t="s">
        <v>222</v>
      </c>
      <c r="C64" s="394" t="s">
        <v>88</v>
      </c>
      <c r="D64" s="326">
        <v>315087741.38</v>
      </c>
      <c r="E64" s="333">
        <f t="shared" si="31"/>
        <v>9.8243292990580632E-4</v>
      </c>
      <c r="F64" s="327">
        <v>103.99</v>
      </c>
      <c r="G64" s="327">
        <v>103.99</v>
      </c>
      <c r="H64" s="334">
        <v>1E-3</v>
      </c>
      <c r="I64" s="334">
        <v>5.7599999999999998E-2</v>
      </c>
      <c r="J64" s="326">
        <v>312553095.89999998</v>
      </c>
      <c r="K64" s="333">
        <f t="shared" si="26"/>
        <v>1.0087335917565289E-3</v>
      </c>
      <c r="L64" s="327">
        <v>106.81</v>
      </c>
      <c r="M64" s="327">
        <v>106.81</v>
      </c>
      <c r="N64" s="334">
        <v>2E-3</v>
      </c>
      <c r="O64" s="334">
        <v>0.1028</v>
      </c>
      <c r="P64" s="329">
        <f t="shared" si="30"/>
        <v>-8.0442529084087822E-3</v>
      </c>
      <c r="Q64" s="329">
        <f t="shared" si="27"/>
        <v>2.7117992114626479E-2</v>
      </c>
      <c r="R64" s="329">
        <f t="shared" si="28"/>
        <v>1E-3</v>
      </c>
      <c r="S64" s="364">
        <f t="shared" si="29"/>
        <v>4.5200000000000004E-2</v>
      </c>
      <c r="T64" s="146"/>
      <c r="U64" s="184"/>
      <c r="V64" s="165"/>
    </row>
    <row r="65" spans="1:23" s="112" customFormat="1" ht="12" customHeight="1">
      <c r="A65" s="402">
        <v>54</v>
      </c>
      <c r="B65" s="393" t="s">
        <v>110</v>
      </c>
      <c r="C65" s="394" t="s">
        <v>107</v>
      </c>
      <c r="D65" s="326">
        <v>355576575.60000002</v>
      </c>
      <c r="E65" s="333">
        <f t="shared" si="31"/>
        <v>1.1086757467701186E-3</v>
      </c>
      <c r="F65" s="327">
        <v>1.4528000000000001</v>
      </c>
      <c r="G65" s="327">
        <v>1.4528000000000001</v>
      </c>
      <c r="H65" s="334">
        <v>-1.18E-2</v>
      </c>
      <c r="I65" s="334">
        <v>8.2199999999999995E-2</v>
      </c>
      <c r="J65" s="326">
        <v>357093615.06</v>
      </c>
      <c r="K65" s="333">
        <f t="shared" si="26"/>
        <v>1.1524836248240061E-3</v>
      </c>
      <c r="L65" s="327">
        <v>1.4583999999999999</v>
      </c>
      <c r="M65" s="327">
        <v>1.4583999999999999</v>
      </c>
      <c r="N65" s="334">
        <v>4.3E-3</v>
      </c>
      <c r="O65" s="334">
        <v>8.6099999999999996E-2</v>
      </c>
      <c r="P65" s="329">
        <f t="shared" si="30"/>
        <v>4.266421255225054E-3</v>
      </c>
      <c r="Q65" s="329">
        <f t="shared" si="27"/>
        <v>3.8546255506606737E-3</v>
      </c>
      <c r="R65" s="329">
        <f t="shared" si="28"/>
        <v>1.61E-2</v>
      </c>
      <c r="S65" s="364">
        <f t="shared" si="29"/>
        <v>3.9000000000000007E-3</v>
      </c>
      <c r="T65" s="153"/>
      <c r="U65" s="186"/>
      <c r="V65" s="166"/>
      <c r="W65" s="184"/>
    </row>
    <row r="66" spans="1:23" s="112" customFormat="1" ht="12.95" customHeight="1">
      <c r="A66" s="402">
        <v>55</v>
      </c>
      <c r="B66" s="393" t="s">
        <v>238</v>
      </c>
      <c r="C66" s="394" t="s">
        <v>237</v>
      </c>
      <c r="D66" s="326">
        <v>857422739.38999999</v>
      </c>
      <c r="E66" s="333">
        <f t="shared" si="31"/>
        <v>2.6734151266484293E-3</v>
      </c>
      <c r="F66" s="74">
        <v>1000</v>
      </c>
      <c r="G66" s="74">
        <v>1000</v>
      </c>
      <c r="H66" s="334">
        <v>1.16300224152801E-4</v>
      </c>
      <c r="I66" s="334">
        <v>0.1628</v>
      </c>
      <c r="J66" s="326">
        <v>657726995.08000004</v>
      </c>
      <c r="K66" s="333">
        <f t="shared" si="26"/>
        <v>2.1227475358444447E-3</v>
      </c>
      <c r="L66" s="74">
        <v>1000</v>
      </c>
      <c r="M66" s="74">
        <v>1000</v>
      </c>
      <c r="N66" s="334">
        <v>3.0364942999999999E-3</v>
      </c>
      <c r="O66" s="334">
        <v>0.16159999999999999</v>
      </c>
      <c r="P66" s="329">
        <f t="shared" si="30"/>
        <v>-0.23290231893321417</v>
      </c>
      <c r="Q66" s="329">
        <f t="shared" si="27"/>
        <v>0</v>
      </c>
      <c r="R66" s="329">
        <f t="shared" si="28"/>
        <v>2.9201940758471988E-3</v>
      </c>
      <c r="S66" s="364">
        <f t="shared" si="29"/>
        <v>-1.2000000000000066E-3</v>
      </c>
      <c r="T66" s="144"/>
      <c r="U66" s="131"/>
      <c r="V66" s="166"/>
      <c r="W66" s="184"/>
    </row>
    <row r="67" spans="1:23" s="112" customFormat="1" ht="12.95" customHeight="1">
      <c r="A67" s="391">
        <v>56</v>
      </c>
      <c r="B67" s="393" t="s">
        <v>101</v>
      </c>
      <c r="C67" s="394" t="s">
        <v>98</v>
      </c>
      <c r="D67" s="326">
        <v>264535189.61000001</v>
      </c>
      <c r="E67" s="333">
        <f t="shared" si="31"/>
        <v>8.2481178180242765E-4</v>
      </c>
      <c r="F67" s="74">
        <v>1093.9100000000001</v>
      </c>
      <c r="G67" s="74">
        <v>1094.5</v>
      </c>
      <c r="H67" s="334">
        <v>-1.4E-3</v>
      </c>
      <c r="I67" s="334">
        <v>5.2999999999999999E-2</v>
      </c>
      <c r="J67" s="326">
        <v>265596152.59999999</v>
      </c>
      <c r="K67" s="333">
        <f t="shared" si="26"/>
        <v>8.5718479350667398E-4</v>
      </c>
      <c r="L67" s="74">
        <v>1099.19</v>
      </c>
      <c r="M67" s="74">
        <v>1100.3499999999999</v>
      </c>
      <c r="N67" s="334">
        <v>5.0000000000000001E-3</v>
      </c>
      <c r="O67" s="334">
        <v>5.8000000000000003E-2</v>
      </c>
      <c r="P67" s="329">
        <f t="shared" si="30"/>
        <v>4.0106686432309462E-3</v>
      </c>
      <c r="Q67" s="329">
        <f t="shared" si="27"/>
        <v>5.3449063499313929E-3</v>
      </c>
      <c r="R67" s="329">
        <f t="shared" si="28"/>
        <v>6.4000000000000003E-3</v>
      </c>
      <c r="S67" s="364">
        <f t="shared" si="29"/>
        <v>5.0000000000000044E-3</v>
      </c>
      <c r="T67" s="144"/>
      <c r="U67" s="167"/>
      <c r="V67" s="163"/>
    </row>
    <row r="68" spans="1:23" s="112" customFormat="1" ht="12.95" customHeight="1">
      <c r="A68" s="391">
        <v>57</v>
      </c>
      <c r="B68" s="393" t="s">
        <v>170</v>
      </c>
      <c r="C68" s="394" t="s">
        <v>168</v>
      </c>
      <c r="D68" s="326">
        <v>723138750.88999999</v>
      </c>
      <c r="E68" s="333">
        <f t="shared" si="31"/>
        <v>2.2547221883459224E-3</v>
      </c>
      <c r="F68" s="311">
        <v>1.0637000000000001</v>
      </c>
      <c r="G68" s="311">
        <v>1.1289</v>
      </c>
      <c r="H68" s="334">
        <v>0.12894405729771533</v>
      </c>
      <c r="I68" s="334">
        <v>0.11166973939907363</v>
      </c>
      <c r="J68" s="326">
        <v>724601569.22000003</v>
      </c>
      <c r="K68" s="333">
        <f t="shared" si="26"/>
        <v>2.3385784786645199E-3</v>
      </c>
      <c r="L68" s="311">
        <v>1.07</v>
      </c>
      <c r="M68" s="311">
        <v>1.0658000000000001</v>
      </c>
      <c r="N68" s="334">
        <v>0.12559999999999999</v>
      </c>
      <c r="O68" s="334">
        <v>0.1113</v>
      </c>
      <c r="P68" s="329">
        <v>0.10585480093676825</v>
      </c>
      <c r="Q68" s="329">
        <f>(M68-G68)/G68</f>
        <v>-5.5895119142528066E-2</v>
      </c>
      <c r="R68" s="329">
        <f t="shared" si="28"/>
        <v>-3.344057297715336E-3</v>
      </c>
      <c r="S68" s="364">
        <f t="shared" si="29"/>
        <v>-3.6973939907362918E-4</v>
      </c>
      <c r="T68" s="88"/>
      <c r="U68" s="166"/>
      <c r="V68" s="186"/>
    </row>
    <row r="69" spans="1:23" s="112" customFormat="1" ht="12" customHeight="1">
      <c r="A69" s="401">
        <v>58</v>
      </c>
      <c r="B69" s="393" t="s">
        <v>251</v>
      </c>
      <c r="C69" s="394" t="s">
        <v>185</v>
      </c>
      <c r="D69" s="326">
        <v>67204708627.720001</v>
      </c>
      <c r="E69" s="333">
        <f t="shared" si="31"/>
        <v>0.20954201046168602</v>
      </c>
      <c r="F69" s="311">
        <v>1560.5</v>
      </c>
      <c r="G69" s="326">
        <v>1560.5</v>
      </c>
      <c r="H69" s="334">
        <v>2.2000000000000001E-3</v>
      </c>
      <c r="I69" s="334">
        <v>0.1179</v>
      </c>
      <c r="J69" s="326">
        <v>67192842137.190002</v>
      </c>
      <c r="K69" s="333">
        <f t="shared" si="26"/>
        <v>0.2168581206793195</v>
      </c>
      <c r="L69" s="311">
        <v>1563.84</v>
      </c>
      <c r="M69" s="326">
        <v>1563.84</v>
      </c>
      <c r="N69" s="334">
        <v>2.0999999999999999E-3</v>
      </c>
      <c r="O69" s="334">
        <v>0.1176</v>
      </c>
      <c r="P69" s="329">
        <f t="shared" ref="P69:P86" si="32">((J69-D69)/D69)</f>
        <v>-1.765723082847233E-4</v>
      </c>
      <c r="Q69" s="329">
        <f t="shared" ref="Q69:Q86" si="33">((M69-G69)/G69)</f>
        <v>2.1403396347324053E-3</v>
      </c>
      <c r="R69" s="329">
        <f t="shared" si="28"/>
        <v>-1.0000000000000026E-4</v>
      </c>
      <c r="S69" s="364">
        <f t="shared" si="29"/>
        <v>-3.0000000000000859E-4</v>
      </c>
      <c r="U69" s="166"/>
      <c r="V69" s="186"/>
    </row>
    <row r="70" spans="1:23" s="112" customFormat="1" ht="12.95" customHeight="1">
      <c r="A70" s="399">
        <v>59</v>
      </c>
      <c r="B70" s="393" t="s">
        <v>174</v>
      </c>
      <c r="C70" s="394" t="s">
        <v>175</v>
      </c>
      <c r="D70" s="326">
        <v>21859957.219999999</v>
      </c>
      <c r="E70" s="333">
        <f t="shared" si="31"/>
        <v>6.8158607901409638E-5</v>
      </c>
      <c r="F70" s="326">
        <v>0.65210000000000001</v>
      </c>
      <c r="G70" s="326">
        <v>0.65210000000000001</v>
      </c>
      <c r="H70" s="334">
        <v>2.2000000000000001E-3</v>
      </c>
      <c r="I70" s="334">
        <v>-4.57</v>
      </c>
      <c r="J70" s="326">
        <v>21906034.350000001</v>
      </c>
      <c r="K70" s="333">
        <f t="shared" si="26"/>
        <v>7.0699516341016678E-5</v>
      </c>
      <c r="L70" s="326">
        <v>0.65349999999999997</v>
      </c>
      <c r="M70" s="326">
        <v>0.65349999999999997</v>
      </c>
      <c r="N70" s="334">
        <v>2.0999999999999999E-3</v>
      </c>
      <c r="O70" s="334">
        <v>-4.36E-2</v>
      </c>
      <c r="P70" s="109">
        <f t="shared" si="32"/>
        <v>2.1078325788234406E-3</v>
      </c>
      <c r="Q70" s="109">
        <f t="shared" si="33"/>
        <v>2.1469099831313552E-3</v>
      </c>
      <c r="R70" s="329">
        <f t="shared" si="28"/>
        <v>-1.0000000000000026E-4</v>
      </c>
      <c r="S70" s="364">
        <f t="shared" si="29"/>
        <v>4.5264000000000006</v>
      </c>
      <c r="U70" s="426"/>
      <c r="V70" s="426"/>
    </row>
    <row r="71" spans="1:23" s="128" customFormat="1" ht="12.95" customHeight="1">
      <c r="A71" s="399">
        <v>60</v>
      </c>
      <c r="B71" s="393" t="s">
        <v>104</v>
      </c>
      <c r="C71" s="394" t="s">
        <v>103</v>
      </c>
      <c r="D71" s="326">
        <v>979375730.53999996</v>
      </c>
      <c r="E71" s="333">
        <f t="shared" si="31"/>
        <v>3.0536604319133464E-3</v>
      </c>
      <c r="F71" s="326">
        <v>205.903086</v>
      </c>
      <c r="G71" s="326">
        <v>206.96445700000001</v>
      </c>
      <c r="H71" s="334">
        <v>1.6000000000000001E-3</v>
      </c>
      <c r="I71" s="334">
        <v>3.7900000000000003E-2</v>
      </c>
      <c r="J71" s="326">
        <v>988314510.83000004</v>
      </c>
      <c r="K71" s="333">
        <f t="shared" si="26"/>
        <v>3.1896853986485914E-3</v>
      </c>
      <c r="L71" s="326">
        <v>206.41189700000001</v>
      </c>
      <c r="M71" s="326">
        <v>207.55206699999999</v>
      </c>
      <c r="N71" s="334">
        <v>1.6000000000000001E-3</v>
      </c>
      <c r="O71" s="334">
        <v>4.0800000000000003E-2</v>
      </c>
      <c r="P71" s="329">
        <f t="shared" si="32"/>
        <v>9.1270183763605128E-3</v>
      </c>
      <c r="Q71" s="329">
        <f t="shared" si="33"/>
        <v>2.839183155008996E-3</v>
      </c>
      <c r="R71" s="329">
        <f t="shared" si="28"/>
        <v>0</v>
      </c>
      <c r="S71" s="364">
        <f t="shared" si="29"/>
        <v>2.8999999999999998E-3</v>
      </c>
      <c r="T71" s="168"/>
      <c r="U71" s="169"/>
      <c r="V71" s="406"/>
      <c r="W71" s="129"/>
    </row>
    <row r="72" spans="1:23" s="112" customFormat="1" ht="12.95" customHeight="1">
      <c r="A72" s="392">
        <v>61</v>
      </c>
      <c r="B72" s="393" t="s">
        <v>111</v>
      </c>
      <c r="C72" s="394" t="s">
        <v>132</v>
      </c>
      <c r="D72" s="326">
        <v>1244684457.24</v>
      </c>
      <c r="E72" s="333">
        <f t="shared" si="31"/>
        <v>3.8808840762223611E-3</v>
      </c>
      <c r="F72" s="327">
        <v>3.51</v>
      </c>
      <c r="G72" s="327">
        <v>3.51</v>
      </c>
      <c r="H72" s="320">
        <v>-6.4999999999999997E-3</v>
      </c>
      <c r="I72" s="320">
        <v>-3.2199999999999999E-2</v>
      </c>
      <c r="J72" s="326">
        <v>1244226232.96</v>
      </c>
      <c r="K72" s="333">
        <f t="shared" si="26"/>
        <v>4.0156146696207996E-3</v>
      </c>
      <c r="L72" s="327">
        <v>3.51</v>
      </c>
      <c r="M72" s="327">
        <v>3.51</v>
      </c>
      <c r="N72" s="320">
        <v>-6.4999999999999997E-3</v>
      </c>
      <c r="O72" s="320">
        <v>-3.1099999999999999E-2</v>
      </c>
      <c r="P72" s="329">
        <f t="shared" si="32"/>
        <v>-3.6814493611983507E-4</v>
      </c>
      <c r="Q72" s="329">
        <f t="shared" si="33"/>
        <v>0</v>
      </c>
      <c r="R72" s="329">
        <f t="shared" si="28"/>
        <v>0</v>
      </c>
      <c r="S72" s="364">
        <f t="shared" si="29"/>
        <v>1.1000000000000003E-3</v>
      </c>
      <c r="U72" s="170"/>
      <c r="V72" s="406"/>
    </row>
    <row r="73" spans="1:23" s="112" customFormat="1" ht="12.95" customHeight="1">
      <c r="A73" s="401">
        <v>62</v>
      </c>
      <c r="B73" s="393" t="s">
        <v>85</v>
      </c>
      <c r="C73" s="394" t="s">
        <v>23</v>
      </c>
      <c r="D73" s="326">
        <v>16634890992.860001</v>
      </c>
      <c r="E73" s="333">
        <f t="shared" si="31"/>
        <v>5.1867027975136891E-2</v>
      </c>
      <c r="F73" s="326">
        <v>1198.94</v>
      </c>
      <c r="G73" s="326">
        <v>1198.94</v>
      </c>
      <c r="H73" s="334">
        <v>1.6999999999999999E-3</v>
      </c>
      <c r="I73" s="334">
        <v>5.0599999999999999E-2</v>
      </c>
      <c r="J73" s="326">
        <v>16604859331.24</v>
      </c>
      <c r="K73" s="333">
        <f t="shared" si="26"/>
        <v>5.3590508664078926E-2</v>
      </c>
      <c r="L73" s="326">
        <v>1176.9100000000001</v>
      </c>
      <c r="M73" s="326">
        <v>1176.9100000000001</v>
      </c>
      <c r="N73" s="334">
        <v>-1.84E-2</v>
      </c>
      <c r="O73" s="334">
        <v>5.3499999999999999E-2</v>
      </c>
      <c r="P73" s="329">
        <f t="shared" si="32"/>
        <v>-1.8053416540505722E-3</v>
      </c>
      <c r="Q73" s="329">
        <f t="shared" si="33"/>
        <v>-1.8374564198375208E-2</v>
      </c>
      <c r="R73" s="329">
        <f t="shared" si="28"/>
        <v>-2.01E-2</v>
      </c>
      <c r="S73" s="364">
        <f t="shared" si="29"/>
        <v>2.8999999999999998E-3</v>
      </c>
      <c r="T73" s="171"/>
      <c r="U73" s="130"/>
      <c r="V73" s="406"/>
    </row>
    <row r="74" spans="1:23" s="112" customFormat="1" ht="12.95" customHeight="1">
      <c r="A74" s="402">
        <v>63</v>
      </c>
      <c r="B74" s="394" t="s">
        <v>232</v>
      </c>
      <c r="C74" s="465" t="s">
        <v>9</v>
      </c>
      <c r="D74" s="326">
        <v>1286103304</v>
      </c>
      <c r="E74" s="333">
        <f t="shared" si="31"/>
        <v>4.0100266407586066E-3</v>
      </c>
      <c r="F74" s="327">
        <v>103.64</v>
      </c>
      <c r="G74" s="327">
        <v>103.64</v>
      </c>
      <c r="H74" s="334">
        <v>1.6999999999999999E-3</v>
      </c>
      <c r="I74" s="334">
        <v>0.1028</v>
      </c>
      <c r="J74" s="326">
        <v>1286103304</v>
      </c>
      <c r="K74" s="333">
        <f t="shared" si="26"/>
        <v>4.1507686925262004E-3</v>
      </c>
      <c r="L74" s="327">
        <v>103.83</v>
      </c>
      <c r="M74" s="327">
        <v>103.83</v>
      </c>
      <c r="N74" s="334">
        <v>1.6999999999999999E-3</v>
      </c>
      <c r="O74" s="334">
        <v>0.1028</v>
      </c>
      <c r="P74" s="329">
        <f t="shared" si="32"/>
        <v>0</v>
      </c>
      <c r="Q74" s="329">
        <f t="shared" si="33"/>
        <v>1.8332690081049568E-3</v>
      </c>
      <c r="R74" s="329">
        <f t="shared" si="28"/>
        <v>0</v>
      </c>
      <c r="S74" s="364">
        <f t="shared" si="29"/>
        <v>0</v>
      </c>
      <c r="T74" s="123"/>
      <c r="U74" s="130"/>
      <c r="V74" s="406"/>
    </row>
    <row r="75" spans="1:23" s="112" customFormat="1" ht="12.95" customHeight="1">
      <c r="A75" s="399">
        <v>64</v>
      </c>
      <c r="B75" s="393" t="s">
        <v>17</v>
      </c>
      <c r="C75" s="394" t="s">
        <v>57</v>
      </c>
      <c r="D75" s="326">
        <v>1582302147.95</v>
      </c>
      <c r="E75" s="333">
        <f t="shared" si="31"/>
        <v>4.933564626787605E-3</v>
      </c>
      <c r="F75" s="327">
        <v>341.1628</v>
      </c>
      <c r="G75" s="327">
        <v>341.1628</v>
      </c>
      <c r="H75" s="334">
        <v>2E-3</v>
      </c>
      <c r="I75" s="334">
        <v>0.1013</v>
      </c>
      <c r="J75" s="326">
        <v>1585745578.7</v>
      </c>
      <c r="K75" s="333">
        <f t="shared" si="26"/>
        <v>5.1178339110928856E-3</v>
      </c>
      <c r="L75" s="327">
        <v>341.84410000000003</v>
      </c>
      <c r="M75" s="327">
        <v>341.84410000000003</v>
      </c>
      <c r="N75" s="334">
        <v>2E-3</v>
      </c>
      <c r="O75" s="334">
        <v>0.10343997149375395</v>
      </c>
      <c r="P75" s="109">
        <f t="shared" si="32"/>
        <v>2.1762156832443426E-3</v>
      </c>
      <c r="Q75" s="109">
        <f t="shared" si="33"/>
        <v>1.9969938105796458E-3</v>
      </c>
      <c r="R75" s="329">
        <f t="shared" si="28"/>
        <v>0</v>
      </c>
      <c r="S75" s="364">
        <f t="shared" si="29"/>
        <v>2.1399714937539449E-3</v>
      </c>
      <c r="T75" s="144"/>
      <c r="U75" s="172"/>
      <c r="V75" s="406"/>
    </row>
    <row r="76" spans="1:23" s="112" customFormat="1" ht="12.95" customHeight="1">
      <c r="A76" s="398">
        <v>65</v>
      </c>
      <c r="B76" s="393" t="s">
        <v>91</v>
      </c>
      <c r="C76" s="394" t="s">
        <v>90</v>
      </c>
      <c r="D76" s="326">
        <v>53504095.560000002</v>
      </c>
      <c r="E76" s="333">
        <f t="shared" si="31"/>
        <v>1.6682396189948226E-4</v>
      </c>
      <c r="F76" s="327">
        <v>11.653688000000001</v>
      </c>
      <c r="G76" s="326">
        <v>11.987636999999999</v>
      </c>
      <c r="H76" s="334">
        <v>2.0383561643835618E-2</v>
      </c>
      <c r="I76" s="334">
        <v>5.6399999999999999E-2</v>
      </c>
      <c r="J76" s="326">
        <v>53581620.880000003</v>
      </c>
      <c r="K76" s="333">
        <f t="shared" si="26"/>
        <v>1.7292927694983372E-4</v>
      </c>
      <c r="L76" s="327">
        <v>11.670572999999999</v>
      </c>
      <c r="M76" s="326">
        <v>12.005623</v>
      </c>
      <c r="N76" s="334">
        <v>2.0383561643835618E-2</v>
      </c>
      <c r="O76" s="334">
        <v>5.79E-2</v>
      </c>
      <c r="P76" s="329">
        <f t="shared" si="32"/>
        <v>1.4489604802881428E-3</v>
      </c>
      <c r="Q76" s="329">
        <f t="shared" si="33"/>
        <v>1.5003790989000169E-3</v>
      </c>
      <c r="R76" s="329">
        <f t="shared" si="28"/>
        <v>0</v>
      </c>
      <c r="S76" s="364">
        <f t="shared" si="29"/>
        <v>1.5000000000000013E-3</v>
      </c>
      <c r="T76" s="153"/>
      <c r="U76" s="172"/>
      <c r="V76" s="406"/>
    </row>
    <row r="77" spans="1:23" s="112" customFormat="1" ht="12.95" customHeight="1">
      <c r="A77" s="401">
        <v>66</v>
      </c>
      <c r="B77" s="393" t="s">
        <v>35</v>
      </c>
      <c r="C77" s="394" t="s">
        <v>20</v>
      </c>
      <c r="D77" s="326">
        <v>6693845333.0900002</v>
      </c>
      <c r="E77" s="333">
        <f t="shared" si="31"/>
        <v>2.0871183544373017E-2</v>
      </c>
      <c r="F77" s="327">
        <v>1.06</v>
      </c>
      <c r="G77" s="327">
        <v>1.06</v>
      </c>
      <c r="H77" s="334">
        <v>0</v>
      </c>
      <c r="I77" s="334">
        <v>0.1101</v>
      </c>
      <c r="J77" s="326">
        <v>6774295169.1400003</v>
      </c>
      <c r="K77" s="333">
        <f>(J77/$J$119)</f>
        <v>7.2396291122098555E-2</v>
      </c>
      <c r="L77" s="327">
        <v>1.06</v>
      </c>
      <c r="M77" s="327">
        <v>1.06</v>
      </c>
      <c r="N77" s="334">
        <v>0</v>
      </c>
      <c r="O77" s="334">
        <v>0.11</v>
      </c>
      <c r="P77" s="329">
        <f t="shared" si="32"/>
        <v>1.2018478474892262E-2</v>
      </c>
      <c r="Q77" s="329">
        <f t="shared" si="33"/>
        <v>0</v>
      </c>
      <c r="R77" s="329">
        <f t="shared" si="28"/>
        <v>0</v>
      </c>
      <c r="S77" s="364">
        <f t="shared" si="29"/>
        <v>-1.0000000000000286E-4</v>
      </c>
      <c r="T77" s="144"/>
      <c r="U77" s="172"/>
      <c r="V77" s="406"/>
    </row>
    <row r="78" spans="1:23" s="112" customFormat="1" ht="12.95" customHeight="1">
      <c r="A78" s="400">
        <v>67</v>
      </c>
      <c r="B78" s="393" t="s">
        <v>68</v>
      </c>
      <c r="C78" s="394" t="s">
        <v>5</v>
      </c>
      <c r="D78" s="326">
        <v>23984686825.459999</v>
      </c>
      <c r="E78" s="333">
        <f t="shared" si="31"/>
        <v>7.4783443010536396E-2</v>
      </c>
      <c r="F78" s="326">
        <v>4775.93</v>
      </c>
      <c r="G78" s="326">
        <v>4775.93</v>
      </c>
      <c r="H78" s="334">
        <v>1.8E-3</v>
      </c>
      <c r="I78" s="334">
        <v>4.4600000000000001E-2</v>
      </c>
      <c r="J78" s="326">
        <v>23680282293.150002</v>
      </c>
      <c r="K78" s="333">
        <f t="shared" ref="K78:K86" si="34">(J78/$J$87)</f>
        <v>7.6425722620326597E-2</v>
      </c>
      <c r="L78" s="326">
        <v>4785.92</v>
      </c>
      <c r="M78" s="326">
        <v>4785.92</v>
      </c>
      <c r="N78" s="334">
        <v>2.0999999999999999E-3</v>
      </c>
      <c r="O78" s="334">
        <v>4.6800000000000001E-2</v>
      </c>
      <c r="P78" s="329">
        <f t="shared" si="32"/>
        <v>-1.2691620054295182E-2</v>
      </c>
      <c r="Q78" s="329">
        <f t="shared" si="33"/>
        <v>2.0917392005326252E-3</v>
      </c>
      <c r="R78" s="329">
        <f t="shared" si="28"/>
        <v>2.9999999999999992E-4</v>
      </c>
      <c r="S78" s="364">
        <f t="shared" si="29"/>
        <v>2.2000000000000006E-3</v>
      </c>
      <c r="T78" s="144"/>
      <c r="U78" s="172"/>
      <c r="V78" s="406"/>
    </row>
    <row r="79" spans="1:23" s="112" customFormat="1" ht="12.95" customHeight="1">
      <c r="A79" s="400">
        <v>68</v>
      </c>
      <c r="B79" s="393" t="s">
        <v>16</v>
      </c>
      <c r="C79" s="394" t="s">
        <v>5</v>
      </c>
      <c r="D79" s="326">
        <v>43620412227.959999</v>
      </c>
      <c r="E79" s="333">
        <f t="shared" si="31"/>
        <v>0.13600697126814323</v>
      </c>
      <c r="F79" s="327">
        <v>250.04</v>
      </c>
      <c r="G79" s="327">
        <v>251.4</v>
      </c>
      <c r="H79" s="334">
        <v>5.4000000000000003E-3</v>
      </c>
      <c r="I79" s="334">
        <v>2.58E-2</v>
      </c>
      <c r="J79" s="326">
        <v>43360607259.209999</v>
      </c>
      <c r="K79" s="333">
        <f t="shared" si="34"/>
        <v>0.13994198641795352</v>
      </c>
      <c r="L79" s="327">
        <v>251.59</v>
      </c>
      <c r="M79" s="327">
        <v>251.59</v>
      </c>
      <c r="N79" s="334">
        <v>8.0000000000000004E-4</v>
      </c>
      <c r="O79" s="334">
        <v>2.6599999999999999E-2</v>
      </c>
      <c r="P79" s="329">
        <f t="shared" si="32"/>
        <v>-5.956041116536471E-3</v>
      </c>
      <c r="Q79" s="329">
        <f t="shared" si="33"/>
        <v>7.5576770087509035E-4</v>
      </c>
      <c r="R79" s="329">
        <f t="shared" si="28"/>
        <v>-4.5999999999999999E-3</v>
      </c>
      <c r="S79" s="364">
        <f t="shared" si="29"/>
        <v>7.9999999999999863E-4</v>
      </c>
      <c r="T79" s="144"/>
      <c r="U79" s="172"/>
      <c r="V79" s="406"/>
    </row>
    <row r="80" spans="1:23" s="112" customFormat="1" ht="12.95" customHeight="1">
      <c r="A80" s="400">
        <v>69</v>
      </c>
      <c r="B80" s="393" t="s">
        <v>69</v>
      </c>
      <c r="C80" s="394" t="s">
        <v>5</v>
      </c>
      <c r="D80" s="326">
        <v>280167437.07999998</v>
      </c>
      <c r="E80" s="333">
        <f t="shared" si="31"/>
        <v>8.7355260115548269E-4</v>
      </c>
      <c r="F80" s="326">
        <v>4963.43</v>
      </c>
      <c r="G80" s="326">
        <v>4988.32</v>
      </c>
      <c r="H80" s="334">
        <v>2.9000000000000001E-2</v>
      </c>
      <c r="I80" s="334">
        <v>0.17130000000000001</v>
      </c>
      <c r="J80" s="326">
        <v>275240451.76999998</v>
      </c>
      <c r="K80" s="333">
        <f t="shared" si="34"/>
        <v>8.88310796318181E-4</v>
      </c>
      <c r="L80" s="326">
        <v>4876.1400000000003</v>
      </c>
      <c r="M80" s="326">
        <v>4897.6899999999996</v>
      </c>
      <c r="N80" s="334">
        <v>-1.8200000000000001E-2</v>
      </c>
      <c r="O80" s="334">
        <v>0.15</v>
      </c>
      <c r="P80" s="329">
        <f t="shared" si="32"/>
        <v>-1.7585859946290382E-2</v>
      </c>
      <c r="Q80" s="329">
        <f t="shared" si="33"/>
        <v>-1.8168441479295659E-2</v>
      </c>
      <c r="R80" s="329">
        <f t="shared" si="28"/>
        <v>-4.7200000000000006E-2</v>
      </c>
      <c r="S80" s="364">
        <f t="shared" si="29"/>
        <v>-2.1300000000000013E-2</v>
      </c>
      <c r="T80" s="144"/>
      <c r="U80" s="172"/>
      <c r="V80" s="406"/>
    </row>
    <row r="81" spans="1:22" s="112" customFormat="1" ht="12.95" customHeight="1">
      <c r="A81" s="400">
        <v>70</v>
      </c>
      <c r="B81" s="393" t="s">
        <v>166</v>
      </c>
      <c r="C81" s="394" t="s">
        <v>5</v>
      </c>
      <c r="D81" s="326">
        <v>18897586830.689999</v>
      </c>
      <c r="E81" s="333">
        <f t="shared" si="31"/>
        <v>5.8922037134519246E-2</v>
      </c>
      <c r="F81" s="327">
        <v>120.36</v>
      </c>
      <c r="G81" s="327">
        <v>120.36</v>
      </c>
      <c r="H81" s="334">
        <v>1.9E-3</v>
      </c>
      <c r="I81" s="334">
        <v>4.6600000000000003E-2</v>
      </c>
      <c r="J81" s="326">
        <v>8837639296.7099991</v>
      </c>
      <c r="K81" s="333">
        <f t="shared" si="34"/>
        <v>2.8522589433160443E-2</v>
      </c>
      <c r="L81" s="327">
        <v>120.58</v>
      </c>
      <c r="M81" s="327">
        <v>120.58</v>
      </c>
      <c r="N81" s="334">
        <v>1.8E-3</v>
      </c>
      <c r="O81" s="334">
        <v>4.8500000000000001E-2</v>
      </c>
      <c r="P81" s="329">
        <f t="shared" si="32"/>
        <v>-0.53234032599561742</v>
      </c>
      <c r="Q81" s="329">
        <f t="shared" si="33"/>
        <v>1.8278497839813797E-3</v>
      </c>
      <c r="R81" s="329">
        <f t="shared" si="28"/>
        <v>-1.0000000000000005E-4</v>
      </c>
      <c r="S81" s="364">
        <f t="shared" si="29"/>
        <v>1.8999999999999989E-3</v>
      </c>
      <c r="T81" s="144"/>
      <c r="U81" s="172"/>
      <c r="V81" s="406"/>
    </row>
    <row r="82" spans="1:22" s="112" customFormat="1" ht="12.95" customHeight="1">
      <c r="A82" s="400">
        <v>71</v>
      </c>
      <c r="B82" s="393" t="s">
        <v>63</v>
      </c>
      <c r="C82" s="394" t="s">
        <v>5</v>
      </c>
      <c r="D82" s="326">
        <v>14289020432.26</v>
      </c>
      <c r="E82" s="333">
        <f t="shared" si="31"/>
        <v>4.4552682840869724E-2</v>
      </c>
      <c r="F82" s="327">
        <v>342.37</v>
      </c>
      <c r="G82" s="327">
        <v>342.37</v>
      </c>
      <c r="H82" s="334">
        <v>8.0000000000000004E-4</v>
      </c>
      <c r="I82" s="334">
        <v>2.9600000000000001E-2</v>
      </c>
      <c r="J82" s="326">
        <v>14284793785.51</v>
      </c>
      <c r="K82" s="333">
        <f t="shared" si="34"/>
        <v>4.6102731125623277E-2</v>
      </c>
      <c r="L82" s="327">
        <v>342.66</v>
      </c>
      <c r="M82" s="327">
        <v>342.66</v>
      </c>
      <c r="N82" s="334">
        <v>8.0000000000000004E-4</v>
      </c>
      <c r="O82" s="334">
        <v>3.0499999999999999E-2</v>
      </c>
      <c r="P82" s="329">
        <f t="shared" si="32"/>
        <v>-2.9579681616645985E-4</v>
      </c>
      <c r="Q82" s="329">
        <f t="shared" si="33"/>
        <v>8.4703683149814661E-4</v>
      </c>
      <c r="R82" s="329">
        <f t="shared" si="28"/>
        <v>0</v>
      </c>
      <c r="S82" s="364">
        <f t="shared" si="29"/>
        <v>8.9999999999999802E-4</v>
      </c>
      <c r="T82" s="144"/>
      <c r="U82" s="172"/>
      <c r="V82" s="406"/>
    </row>
    <row r="83" spans="1:22" s="112" customFormat="1" ht="12.95" customHeight="1">
      <c r="A83" s="396">
        <v>72</v>
      </c>
      <c r="B83" s="393" t="s">
        <v>247</v>
      </c>
      <c r="C83" s="394" t="s">
        <v>246</v>
      </c>
      <c r="D83" s="326">
        <v>70322722.430000007</v>
      </c>
      <c r="E83" s="333">
        <f t="shared" si="31"/>
        <v>2.1926387213058027E-4</v>
      </c>
      <c r="F83" s="74">
        <v>106.58</v>
      </c>
      <c r="G83" s="74">
        <v>106.58</v>
      </c>
      <c r="H83" s="334">
        <v>4.0091000000000002E-2</v>
      </c>
      <c r="I83" s="334">
        <v>4.5600000000000002E-2</v>
      </c>
      <c r="J83" s="326">
        <v>70398567.409999996</v>
      </c>
      <c r="K83" s="333">
        <f t="shared" si="34"/>
        <v>2.2720427565601158E-4</v>
      </c>
      <c r="L83" s="74">
        <v>106.6874</v>
      </c>
      <c r="M83" s="74">
        <v>106.6874</v>
      </c>
      <c r="N83" s="334">
        <v>4.1591000000000003E-2</v>
      </c>
      <c r="O83" s="334">
        <v>4.6600000000000003E-2</v>
      </c>
      <c r="P83" s="329">
        <f t="shared" si="32"/>
        <v>1.0785273575761544E-3</v>
      </c>
      <c r="Q83" s="329">
        <f t="shared" si="33"/>
        <v>1.0076937511728128E-3</v>
      </c>
      <c r="R83" s="329">
        <f t="shared" si="28"/>
        <v>1.5000000000000013E-3</v>
      </c>
      <c r="S83" s="364">
        <f t="shared" si="29"/>
        <v>1.0000000000000009E-3</v>
      </c>
      <c r="T83" s="144"/>
      <c r="U83" s="172"/>
      <c r="V83" s="406"/>
    </row>
    <row r="84" spans="1:22" s="330" customFormat="1" ht="12.95" customHeight="1">
      <c r="A84" s="401">
        <v>73</v>
      </c>
      <c r="B84" s="393" t="s">
        <v>157</v>
      </c>
      <c r="C84" s="394" t="s">
        <v>41</v>
      </c>
      <c r="D84" s="326">
        <v>102115129443.03</v>
      </c>
      <c r="E84" s="333">
        <f t="shared" si="31"/>
        <v>0.31839152284073741</v>
      </c>
      <c r="F84" s="326">
        <v>1.8872</v>
      </c>
      <c r="G84" s="326">
        <v>1.8872</v>
      </c>
      <c r="H84" s="334">
        <v>5.9799999999999999E-2</v>
      </c>
      <c r="I84" s="334">
        <v>7.17E-2</v>
      </c>
      <c r="J84" s="326">
        <v>102212737743.98</v>
      </c>
      <c r="K84" s="333">
        <f t="shared" si="34"/>
        <v>0.32988130151409928</v>
      </c>
      <c r="L84" s="326">
        <v>1.8893</v>
      </c>
      <c r="M84" s="326">
        <v>1.8893</v>
      </c>
      <c r="N84" s="334">
        <v>5.9700000000000003E-2</v>
      </c>
      <c r="O84" s="334">
        <v>7.1099999999999997E-2</v>
      </c>
      <c r="P84" s="109">
        <f t="shared" si="32"/>
        <v>9.5586522273815059E-4</v>
      </c>
      <c r="Q84" s="109">
        <f t="shared" si="33"/>
        <v>1.112759643916909E-3</v>
      </c>
      <c r="R84" s="329">
        <f t="shared" si="28"/>
        <v>-9.9999999999995925E-5</v>
      </c>
      <c r="S84" s="364">
        <f t="shared" si="29"/>
        <v>-6.0000000000000331E-4</v>
      </c>
      <c r="T84" s="144"/>
      <c r="U84" s="172"/>
      <c r="V84" s="338"/>
    </row>
    <row r="85" spans="1:22" s="330" customFormat="1" ht="12.95" customHeight="1">
      <c r="A85" s="401">
        <v>74</v>
      </c>
      <c r="B85" s="393" t="s">
        <v>274</v>
      </c>
      <c r="C85" s="394" t="s">
        <v>243</v>
      </c>
      <c r="D85" s="326">
        <v>9616989727.2199993</v>
      </c>
      <c r="E85" s="333">
        <f t="shared" si="31"/>
        <v>2.9985448983850863E-2</v>
      </c>
      <c r="F85" s="327">
        <v>1</v>
      </c>
      <c r="G85" s="327">
        <v>1</v>
      </c>
      <c r="H85" s="334">
        <v>0.06</v>
      </c>
      <c r="I85" s="334">
        <v>0.06</v>
      </c>
      <c r="J85" s="326">
        <v>9591117333.0599995</v>
      </c>
      <c r="K85" s="333">
        <f t="shared" si="34"/>
        <v>3.0954363796899812E-2</v>
      </c>
      <c r="L85" s="327">
        <v>1</v>
      </c>
      <c r="M85" s="327">
        <v>1</v>
      </c>
      <c r="N85" s="334">
        <v>0.06</v>
      </c>
      <c r="O85" s="334">
        <v>0.06</v>
      </c>
      <c r="P85" s="329">
        <f t="shared" si="32"/>
        <v>-2.6902798998287821E-3</v>
      </c>
      <c r="Q85" s="329">
        <f t="shared" si="33"/>
        <v>0</v>
      </c>
      <c r="R85" s="329">
        <f t="shared" si="28"/>
        <v>0</v>
      </c>
      <c r="S85" s="364">
        <f t="shared" si="29"/>
        <v>0</v>
      </c>
      <c r="T85" s="144"/>
      <c r="U85" s="172"/>
      <c r="V85" s="339"/>
    </row>
    <row r="86" spans="1:22" s="112" customFormat="1" ht="12.95" customHeight="1">
      <c r="A86" s="399">
        <v>75</v>
      </c>
      <c r="B86" s="393" t="s">
        <v>19</v>
      </c>
      <c r="C86" s="394" t="s">
        <v>12</v>
      </c>
      <c r="D86" s="326">
        <v>2556885129.46</v>
      </c>
      <c r="E86" s="333">
        <f t="shared" si="31"/>
        <v>7.9722814291861253E-3</v>
      </c>
      <c r="F86" s="327">
        <v>24.434999999999999</v>
      </c>
      <c r="G86" s="327">
        <v>24.434999999999999</v>
      </c>
      <c r="H86" s="334">
        <v>1.1999999999999999E-3</v>
      </c>
      <c r="I86" s="334">
        <v>3.7199999999999997E-2</v>
      </c>
      <c r="J86" s="326">
        <v>2559982736.77</v>
      </c>
      <c r="K86" s="333">
        <f t="shared" si="34"/>
        <v>8.2620860736024176E-3</v>
      </c>
      <c r="L86" s="327">
        <v>24.439900000000002</v>
      </c>
      <c r="M86" s="327">
        <v>24.439900000000002</v>
      </c>
      <c r="N86" s="334">
        <v>1E-3</v>
      </c>
      <c r="O86" s="334">
        <v>3.8699999999999998E-2</v>
      </c>
      <c r="P86" s="329">
        <f t="shared" si="32"/>
        <v>1.2114769155289115E-3</v>
      </c>
      <c r="Q86" s="329">
        <f t="shared" si="33"/>
        <v>2.0053202373655787E-4</v>
      </c>
      <c r="R86" s="329">
        <f t="shared" si="28"/>
        <v>-1.9999999999999987E-4</v>
      </c>
      <c r="S86" s="364">
        <f t="shared" si="29"/>
        <v>1.5000000000000013E-3</v>
      </c>
      <c r="T86" s="144"/>
      <c r="U86" s="172"/>
      <c r="V86" s="291"/>
    </row>
    <row r="87" spans="1:22" s="112" customFormat="1" ht="12.95" customHeight="1">
      <c r="A87" s="214"/>
      <c r="C87" s="244" t="s">
        <v>42</v>
      </c>
      <c r="D87" s="76">
        <f>SUM(D57:D86)</f>
        <v>320721885218.37311</v>
      </c>
      <c r="E87" s="262">
        <f>(D87/$D$168)</f>
        <v>0.16863675916758677</v>
      </c>
      <c r="F87" s="327"/>
      <c r="G87" s="327"/>
      <c r="H87" s="334"/>
      <c r="I87" s="334"/>
      <c r="J87" s="76">
        <f>SUM(J57:J86)</f>
        <v>309847018533.15375</v>
      </c>
      <c r="K87" s="262">
        <f>(J87/$J$168)</f>
        <v>0.161173170548813</v>
      </c>
      <c r="L87" s="264"/>
      <c r="M87" s="73"/>
      <c r="N87" s="279"/>
      <c r="O87" s="279"/>
      <c r="P87" s="266">
        <f t="shared" ref="P87" si="35">((J87-D87)/D87)</f>
        <v>-3.3907466831628534E-2</v>
      </c>
      <c r="Q87" s="266"/>
      <c r="R87" s="266">
        <f t="shared" ref="R87:S87" si="36">N87-H87</f>
        <v>0</v>
      </c>
      <c r="S87" s="364">
        <f t="shared" si="36"/>
        <v>0</v>
      </c>
      <c r="T87" s="88"/>
      <c r="U87" s="173"/>
      <c r="V87" s="185"/>
    </row>
    <row r="88" spans="1:22" s="112" customFormat="1" ht="5.25" customHeight="1">
      <c r="A88" s="409"/>
      <c r="B88" s="410"/>
      <c r="C88" s="411"/>
      <c r="D88" s="411"/>
      <c r="E88" s="411"/>
      <c r="F88" s="411"/>
      <c r="G88" s="411"/>
      <c r="H88" s="411"/>
      <c r="I88" s="411"/>
      <c r="J88" s="411"/>
      <c r="K88" s="411"/>
      <c r="L88" s="411"/>
      <c r="M88" s="411"/>
      <c r="N88" s="411"/>
      <c r="O88" s="411"/>
      <c r="P88" s="411"/>
      <c r="Q88" s="411"/>
      <c r="R88" s="411"/>
      <c r="S88" s="424"/>
      <c r="T88" s="88"/>
      <c r="U88" s="173"/>
      <c r="V88" s="185"/>
    </row>
    <row r="89" spans="1:22" s="112" customFormat="1" ht="12" customHeight="1">
      <c r="A89" s="416" t="s">
        <v>195</v>
      </c>
      <c r="B89" s="417"/>
      <c r="C89" s="418"/>
      <c r="D89" s="418"/>
      <c r="E89" s="418"/>
      <c r="F89" s="418"/>
      <c r="G89" s="418"/>
      <c r="H89" s="418"/>
      <c r="I89" s="418"/>
      <c r="J89" s="418"/>
      <c r="K89" s="418"/>
      <c r="L89" s="418"/>
      <c r="M89" s="418"/>
      <c r="N89" s="418"/>
      <c r="O89" s="418"/>
      <c r="P89" s="418"/>
      <c r="Q89" s="418"/>
      <c r="R89" s="418"/>
      <c r="S89" s="419"/>
      <c r="T89" s="88"/>
      <c r="U89" s="173"/>
      <c r="V89" s="185"/>
    </row>
    <row r="90" spans="1:22" s="112" customFormat="1" ht="12.95" customHeight="1">
      <c r="A90" s="420" t="s">
        <v>196</v>
      </c>
      <c r="B90" s="421"/>
      <c r="C90" s="422"/>
      <c r="D90" s="422"/>
      <c r="E90" s="422"/>
      <c r="F90" s="422"/>
      <c r="G90" s="422"/>
      <c r="H90" s="422"/>
      <c r="I90" s="422"/>
      <c r="J90" s="422"/>
      <c r="K90" s="422"/>
      <c r="L90" s="422"/>
      <c r="M90" s="422"/>
      <c r="N90" s="422"/>
      <c r="O90" s="422"/>
      <c r="P90" s="422"/>
      <c r="Q90" s="422"/>
      <c r="R90" s="422"/>
      <c r="S90" s="423"/>
      <c r="T90" s="88"/>
      <c r="U90" s="173"/>
      <c r="V90" s="185"/>
    </row>
    <row r="91" spans="1:22" s="112" customFormat="1" ht="12.95" customHeight="1">
      <c r="A91" s="399">
        <v>76</v>
      </c>
      <c r="B91" s="393" t="s">
        <v>145</v>
      </c>
      <c r="C91" s="394" t="s">
        <v>57</v>
      </c>
      <c r="D91" s="326">
        <v>1344517092.97</v>
      </c>
      <c r="E91" s="333">
        <f t="shared" ref="E91:E100" si="37">(D91/$D$112)</f>
        <v>2.3941116991096118E-3</v>
      </c>
      <c r="F91" s="326">
        <f>108.2525*786.68</f>
        <v>85160.076699999991</v>
      </c>
      <c r="G91" s="326">
        <f>108.2525*786.68</f>
        <v>85160.076699999991</v>
      </c>
      <c r="H91" s="334">
        <v>-1.506821790937271E-3</v>
      </c>
      <c r="I91" s="334">
        <v>8.48E-2</v>
      </c>
      <c r="J91" s="326">
        <v>1336163219.55</v>
      </c>
      <c r="K91" s="333">
        <f t="shared" ref="K91:K100" si="38">(J91/$J$112)</f>
        <v>2.2918250149925753E-3</v>
      </c>
      <c r="L91" s="326">
        <f>109.1769*775.17</f>
        <v>84630.657573000004</v>
      </c>
      <c r="M91" s="326">
        <f>109.1769*775.17</f>
        <v>84630.657573000004</v>
      </c>
      <c r="N91" s="334">
        <v>3.2000000000000002E-3</v>
      </c>
      <c r="O91" s="334">
        <v>8.48E-2</v>
      </c>
      <c r="P91" s="329">
        <f t="shared" ref="P91:P100" si="39">((J91-D91)/D91)</f>
        <v>-6.2132891159803758E-3</v>
      </c>
      <c r="Q91" s="329">
        <f t="shared" ref="Q91:Q100" si="40">((M91-G91)/G91)</f>
        <v>-6.2167525854281728E-3</v>
      </c>
      <c r="R91" s="329">
        <f t="shared" ref="R91:R100" si="41">N91-H91</f>
        <v>4.7068217909372713E-3</v>
      </c>
      <c r="S91" s="364">
        <f t="shared" ref="S91:S100" si="42">O91-I91</f>
        <v>0</v>
      </c>
      <c r="T91" s="88"/>
      <c r="U91" s="173"/>
      <c r="V91" s="185"/>
    </row>
    <row r="92" spans="1:22" s="112" customFormat="1" ht="12.95" customHeight="1">
      <c r="A92" s="400">
        <v>77</v>
      </c>
      <c r="B92" s="393" t="s">
        <v>146</v>
      </c>
      <c r="C92" s="394" t="s">
        <v>6</v>
      </c>
      <c r="D92" s="326">
        <f>11535371.33*786.68</f>
        <v>9074645917.8843994</v>
      </c>
      <c r="E92" s="333">
        <f t="shared" si="37"/>
        <v>1.6158750283563027E-2</v>
      </c>
      <c r="F92" s="326">
        <f>1.1421*786.68</f>
        <v>898.46722799999986</v>
      </c>
      <c r="G92" s="326">
        <f>1.1421*786.68</f>
        <v>898.46722799999986</v>
      </c>
      <c r="H92" s="334">
        <v>5.4800000000000001E-2</v>
      </c>
      <c r="I92" s="334">
        <v>2.9000000000000001E-2</v>
      </c>
      <c r="J92" s="326">
        <f>10990681.69*775.17</f>
        <v>8519646725.6372995</v>
      </c>
      <c r="K92" s="333">
        <f t="shared" si="38"/>
        <v>1.4613139472055715E-2</v>
      </c>
      <c r="L92" s="326">
        <f>1.1433*775.17</f>
        <v>886.25186099999996</v>
      </c>
      <c r="M92" s="326">
        <f>1.1433*775.17</f>
        <v>886.25186099999996</v>
      </c>
      <c r="N92" s="334">
        <v>5.4800000000000001E-2</v>
      </c>
      <c r="O92" s="334">
        <v>2.9899999999999999E-2</v>
      </c>
      <c r="P92" s="329">
        <f t="shared" si="39"/>
        <v>-6.1159322057216817E-2</v>
      </c>
      <c r="Q92" s="329">
        <f t="shared" si="40"/>
        <v>-1.3595784709022134E-2</v>
      </c>
      <c r="R92" s="329">
        <f t="shared" si="41"/>
        <v>0</v>
      </c>
      <c r="S92" s="364">
        <f t="shared" si="42"/>
        <v>8.9999999999999802E-4</v>
      </c>
      <c r="U92" s="164"/>
      <c r="V92" s="163"/>
    </row>
    <row r="93" spans="1:22" s="112" customFormat="1" ht="12.95" customHeight="1">
      <c r="A93" s="391">
        <v>78</v>
      </c>
      <c r="B93" s="393" t="s">
        <v>171</v>
      </c>
      <c r="C93" s="394" t="s">
        <v>168</v>
      </c>
      <c r="D93" s="326">
        <v>1912043563.2711997</v>
      </c>
      <c r="E93" s="333">
        <f t="shared" si="37"/>
        <v>3.4046765846040077E-3</v>
      </c>
      <c r="F93" s="326">
        <v>82132.629403999992</v>
      </c>
      <c r="G93" s="326">
        <v>82132.629403999992</v>
      </c>
      <c r="H93" s="334">
        <v>6.5868611934407836E-2</v>
      </c>
      <c r="I93" s="334">
        <v>5.4504487907462831E-2</v>
      </c>
      <c r="J93" s="326">
        <v>1945887097.45</v>
      </c>
      <c r="K93" s="333">
        <f>(J93/$J$112)</f>
        <v>3.337640687182771E-3</v>
      </c>
      <c r="L93" s="326">
        <v>81017.490000000005</v>
      </c>
      <c r="M93" s="326">
        <v>81017.490000000005</v>
      </c>
      <c r="N93" s="334">
        <v>6.4500000000000002E-2</v>
      </c>
      <c r="O93" s="334">
        <v>5.45E-2</v>
      </c>
      <c r="P93" s="329">
        <f>((J93-D93)/D93)</f>
        <v>1.770018990618576E-2</v>
      </c>
      <c r="Q93" s="329">
        <f t="shared" si="40"/>
        <v>-1.3577300667128986E-2</v>
      </c>
      <c r="R93" s="329">
        <f t="shared" si="41"/>
        <v>-1.3686119344078346E-3</v>
      </c>
      <c r="S93" s="364">
        <f t="shared" si="42"/>
        <v>-4.4879074628315085E-6</v>
      </c>
      <c r="T93" s="397">
        <v>775.673</v>
      </c>
      <c r="U93" s="174"/>
      <c r="V93" s="163"/>
    </row>
    <row r="94" spans="1:22" s="112" customFormat="1" ht="12.95" customHeight="1">
      <c r="A94" s="401">
        <v>79</v>
      </c>
      <c r="B94" s="393" t="s">
        <v>239</v>
      </c>
      <c r="C94" s="394" t="s">
        <v>185</v>
      </c>
      <c r="D94" s="326">
        <v>22160007773.43</v>
      </c>
      <c r="E94" s="333">
        <f t="shared" si="37"/>
        <v>3.9459173959280024E-2</v>
      </c>
      <c r="F94" s="326">
        <v>96529.83</v>
      </c>
      <c r="G94" s="326">
        <v>96529.83</v>
      </c>
      <c r="H94" s="334">
        <v>1.1000000000000001E-3</v>
      </c>
      <c r="I94" s="334">
        <v>7.1999999999999995E-2</v>
      </c>
      <c r="J94" s="326">
        <v>22930145770.439999</v>
      </c>
      <c r="K94" s="333">
        <f t="shared" si="38"/>
        <v>3.9330435762046562E-2</v>
      </c>
      <c r="L94" s="326">
        <v>96529.83</v>
      </c>
      <c r="M94" s="326">
        <v>96529.83</v>
      </c>
      <c r="N94" s="334">
        <v>1.1000000000000001E-3</v>
      </c>
      <c r="O94" s="334">
        <v>7.1800000000000003E-2</v>
      </c>
      <c r="P94" s="329">
        <f t="shared" si="39"/>
        <v>3.4753507529604703E-2</v>
      </c>
      <c r="Q94" s="329">
        <f t="shared" si="40"/>
        <v>0</v>
      </c>
      <c r="R94" s="329">
        <f t="shared" si="41"/>
        <v>0</v>
      </c>
      <c r="S94" s="364">
        <f t="shared" si="42"/>
        <v>-1.9999999999999185E-4</v>
      </c>
      <c r="U94" s="174"/>
      <c r="V94" s="163"/>
    </row>
    <row r="95" spans="1:22" s="330" customFormat="1" ht="12.95" customHeight="1">
      <c r="A95" s="401">
        <v>80</v>
      </c>
      <c r="B95" s="404" t="s">
        <v>267</v>
      </c>
      <c r="C95" s="404" t="s">
        <v>185</v>
      </c>
      <c r="D95" s="326">
        <v>15343617291.120001</v>
      </c>
      <c r="E95" s="333">
        <f t="shared" si="37"/>
        <v>2.7321581745149724E-2</v>
      </c>
      <c r="F95" s="326">
        <v>85086.09</v>
      </c>
      <c r="G95" s="326">
        <v>85086.09</v>
      </c>
      <c r="H95" s="334">
        <v>1.8E-3</v>
      </c>
      <c r="I95" s="334">
        <v>9.8900000000000002E-2</v>
      </c>
      <c r="J95" s="326">
        <v>16593265112.24</v>
      </c>
      <c r="K95" s="333">
        <f t="shared" si="38"/>
        <v>2.846123849857413E-2</v>
      </c>
      <c r="L95" s="326">
        <v>85086.09</v>
      </c>
      <c r="M95" s="326">
        <v>85086.09</v>
      </c>
      <c r="N95" s="334">
        <v>1.9E-3</v>
      </c>
      <c r="O95" s="334">
        <v>9.5000000000000001E-2</v>
      </c>
      <c r="P95" s="329">
        <f t="shared" si="39"/>
        <v>8.1444146931585873E-2</v>
      </c>
      <c r="Q95" s="329">
        <f t="shared" si="40"/>
        <v>0</v>
      </c>
      <c r="R95" s="329">
        <f t="shared" si="41"/>
        <v>1.0000000000000005E-4</v>
      </c>
      <c r="S95" s="364">
        <f t="shared" si="42"/>
        <v>-3.9000000000000007E-3</v>
      </c>
      <c r="U95" s="332"/>
      <c r="V95" s="163"/>
    </row>
    <row r="96" spans="1:22" s="112" customFormat="1" ht="12.95" customHeight="1">
      <c r="A96" s="402">
        <v>81</v>
      </c>
      <c r="B96" s="393" t="s">
        <v>236</v>
      </c>
      <c r="C96" s="394" t="s">
        <v>218</v>
      </c>
      <c r="D96" s="326">
        <f>80125.13*787.18</f>
        <v>63072899.833399996</v>
      </c>
      <c r="E96" s="333">
        <f t="shared" si="37"/>
        <v>1.1231063418788454E-4</v>
      </c>
      <c r="F96" s="326">
        <f>101.39*787.18</f>
        <v>79812.180200000003</v>
      </c>
      <c r="G96" s="326">
        <f>101.39*787.18</f>
        <v>79812.180200000003</v>
      </c>
      <c r="H96" s="334">
        <v>0</v>
      </c>
      <c r="I96" s="334">
        <v>3.3000000000000002E-2</v>
      </c>
      <c r="J96" s="326">
        <f>80125.13*775.67</f>
        <v>62150659.587099999</v>
      </c>
      <c r="K96" s="333">
        <f t="shared" si="38"/>
        <v>1.066025723922973E-4</v>
      </c>
      <c r="L96" s="326">
        <f>101.39*775.67</f>
        <v>78645.181299999997</v>
      </c>
      <c r="M96" s="326">
        <f>101.39*775.67</f>
        <v>78645.181299999997</v>
      </c>
      <c r="N96" s="334">
        <v>0</v>
      </c>
      <c r="O96" s="334">
        <v>3.4000000000000002E-2</v>
      </c>
      <c r="P96" s="329">
        <f t="shared" si="39"/>
        <v>-1.4621814578622378E-2</v>
      </c>
      <c r="Q96" s="329">
        <f t="shared" si="40"/>
        <v>-1.4621814578622499E-2</v>
      </c>
      <c r="R96" s="329">
        <f t="shared" si="41"/>
        <v>0</v>
      </c>
      <c r="S96" s="364">
        <f t="shared" si="42"/>
        <v>1.0000000000000009E-3</v>
      </c>
      <c r="T96" s="124"/>
      <c r="U96" s="174"/>
      <c r="V96" s="131"/>
    </row>
    <row r="97" spans="1:43" s="112" customFormat="1" ht="12.95" customHeight="1">
      <c r="A97" s="392">
        <v>82</v>
      </c>
      <c r="B97" s="393" t="s">
        <v>120</v>
      </c>
      <c r="C97" s="394" t="s">
        <v>132</v>
      </c>
      <c r="D97" s="326">
        <v>10164567268.68</v>
      </c>
      <c r="E97" s="333">
        <f t="shared" si="37"/>
        <v>1.8099516578534421E-2</v>
      </c>
      <c r="F97" s="326">
        <v>786.68</v>
      </c>
      <c r="G97" s="326">
        <v>786.68</v>
      </c>
      <c r="H97" s="320">
        <v>1.21E-2</v>
      </c>
      <c r="I97" s="320">
        <v>5.5899999999999998E-2</v>
      </c>
      <c r="J97" s="326">
        <v>10025172428.25</v>
      </c>
      <c r="K97" s="333">
        <f t="shared" si="38"/>
        <v>1.7195459816963955E-2</v>
      </c>
      <c r="L97" s="326">
        <v>775.173</v>
      </c>
      <c r="M97" s="326">
        <v>775.173</v>
      </c>
      <c r="N97" s="320">
        <v>1.2999999999999999E-2</v>
      </c>
      <c r="O97" s="320">
        <v>5.57E-2</v>
      </c>
      <c r="P97" s="329">
        <f t="shared" si="39"/>
        <v>-1.3713799785605878E-2</v>
      </c>
      <c r="Q97" s="329">
        <f t="shared" si="40"/>
        <v>-1.462729445263633E-2</v>
      </c>
      <c r="R97" s="329">
        <f t="shared" si="41"/>
        <v>8.9999999999999976E-4</v>
      </c>
      <c r="S97" s="364">
        <f t="shared" si="42"/>
        <v>-1.9999999999999879E-4</v>
      </c>
      <c r="U97" s="174"/>
      <c r="V97" s="131"/>
    </row>
    <row r="98" spans="1:43" s="330" customFormat="1" ht="12.95" customHeight="1">
      <c r="A98" s="392">
        <v>83</v>
      </c>
      <c r="B98" s="393" t="s">
        <v>250</v>
      </c>
      <c r="C98" s="394" t="s">
        <v>172</v>
      </c>
      <c r="D98" s="326">
        <f>2124436.15*787.18</f>
        <v>1672313648.5569999</v>
      </c>
      <c r="E98" s="333">
        <f t="shared" si="37"/>
        <v>2.9778019866946587E-3</v>
      </c>
      <c r="F98" s="326">
        <f>101.42*787.18</f>
        <v>79835.795599999998</v>
      </c>
      <c r="G98" s="326">
        <f>101.42*787.18</f>
        <v>79835.795599999998</v>
      </c>
      <c r="H98" s="334">
        <v>1.35E-2</v>
      </c>
      <c r="I98" s="334">
        <v>5.3900000000000003E-2</v>
      </c>
      <c r="J98" s="326">
        <f>2177008.55*775.67</f>
        <v>1688640221.9784997</v>
      </c>
      <c r="K98" s="333">
        <f t="shared" si="38"/>
        <v>2.896403557161469E-3</v>
      </c>
      <c r="L98" s="326">
        <f>101.63*775.67</f>
        <v>78831.342099999994</v>
      </c>
      <c r="M98" s="326">
        <f>101.63*775.67</f>
        <v>78831.342099999994</v>
      </c>
      <c r="N98" s="334">
        <v>2E-3</v>
      </c>
      <c r="O98" s="334">
        <v>5.6000000000000001E-2</v>
      </c>
      <c r="P98" s="329">
        <f t="shared" si="39"/>
        <v>9.7628656176953071E-3</v>
      </c>
      <c r="Q98" s="329">
        <f t="shared" si="40"/>
        <v>-1.2581492956274908E-2</v>
      </c>
      <c r="R98" s="329">
        <f t="shared" si="41"/>
        <v>-1.15E-2</v>
      </c>
      <c r="S98" s="364">
        <f t="shared" si="42"/>
        <v>2.0999999999999977E-3</v>
      </c>
      <c r="U98" s="332"/>
      <c r="V98" s="331"/>
    </row>
    <row r="99" spans="1:43" s="330" customFormat="1" ht="12.95" customHeight="1">
      <c r="A99" s="398">
        <v>84</v>
      </c>
      <c r="B99" s="393" t="s">
        <v>127</v>
      </c>
      <c r="C99" s="394" t="s">
        <v>90</v>
      </c>
      <c r="D99" s="326">
        <f>1704948.86*787.18</f>
        <v>1342101643.6148</v>
      </c>
      <c r="E99" s="333">
        <f t="shared" si="37"/>
        <v>2.3898106339984818E-3</v>
      </c>
      <c r="F99" s="326">
        <f>125.7*787.18</f>
        <v>98948.525999999998</v>
      </c>
      <c r="G99" s="326">
        <f>129.4*787.18</f>
        <v>101861.092</v>
      </c>
      <c r="H99" s="334">
        <v>1.6799999999999999E-2</v>
      </c>
      <c r="I99" s="334">
        <v>0.13150000000000001</v>
      </c>
      <c r="J99" s="326">
        <f>1715533.68*775.67</f>
        <v>1330688009.5655999</v>
      </c>
      <c r="K99" s="333">
        <f t="shared" si="38"/>
        <v>2.2824337796846532E-3</v>
      </c>
      <c r="L99" s="326">
        <f>126.48*775.67</f>
        <v>98106.741599999994</v>
      </c>
      <c r="M99" s="326">
        <f>126.48*775.67</f>
        <v>98106.741599999994</v>
      </c>
      <c r="N99" s="334">
        <v>1.6799999999999999E-2</v>
      </c>
      <c r="O99" s="334">
        <v>0.1386</v>
      </c>
      <c r="P99" s="329">
        <f t="shared" si="39"/>
        <v>-8.5042992857520955E-3</v>
      </c>
      <c r="Q99" s="329">
        <f t="shared" si="40"/>
        <v>-3.6857551065720071E-2</v>
      </c>
      <c r="R99" s="329">
        <f t="shared" si="41"/>
        <v>0</v>
      </c>
      <c r="S99" s="364">
        <f t="shared" si="42"/>
        <v>7.0999999999999952E-3</v>
      </c>
      <c r="U99" s="332"/>
      <c r="V99" s="331"/>
    </row>
    <row r="100" spans="1:43" s="330" customFormat="1" ht="12.95" customHeight="1">
      <c r="A100" s="401">
        <v>85</v>
      </c>
      <c r="B100" s="393" t="s">
        <v>252</v>
      </c>
      <c r="C100" s="394" t="s">
        <v>41</v>
      </c>
      <c r="D100" s="326">
        <v>115362369025.59</v>
      </c>
      <c r="E100" s="333">
        <f t="shared" si="37"/>
        <v>0.20541977395844674</v>
      </c>
      <c r="F100" s="326">
        <v>93090.25</v>
      </c>
      <c r="G100" s="326">
        <v>93090.25</v>
      </c>
      <c r="H100" s="334">
        <v>4.5600000000000002E-2</v>
      </c>
      <c r="I100" s="334">
        <v>5.8700000000000002E-2</v>
      </c>
      <c r="J100" s="326">
        <v>120462231205.64999</v>
      </c>
      <c r="K100" s="333">
        <f t="shared" si="38"/>
        <v>0.20662023231855386</v>
      </c>
      <c r="L100" s="326">
        <v>97485.98</v>
      </c>
      <c r="M100" s="326">
        <v>97485.98</v>
      </c>
      <c r="N100" s="334">
        <v>5.57E-2</v>
      </c>
      <c r="O100" s="334">
        <v>5.8200000000000002E-2</v>
      </c>
      <c r="P100" s="329">
        <f t="shared" si="39"/>
        <v>4.4207328812125316E-2</v>
      </c>
      <c r="Q100" s="329">
        <f t="shared" si="40"/>
        <v>4.7220090181302507E-2</v>
      </c>
      <c r="R100" s="329">
        <f t="shared" si="41"/>
        <v>1.0099999999999998E-2</v>
      </c>
      <c r="S100" s="364">
        <f t="shared" si="42"/>
        <v>-5.0000000000000044E-4</v>
      </c>
      <c r="U100" s="332"/>
      <c r="V100" s="331"/>
    </row>
    <row r="101" spans="1:43" s="112" customFormat="1" ht="4.5" customHeight="1">
      <c r="A101" s="409"/>
      <c r="B101" s="410"/>
      <c r="C101" s="411"/>
      <c r="D101" s="411"/>
      <c r="E101" s="411"/>
      <c r="F101" s="411"/>
      <c r="G101" s="411"/>
      <c r="H101" s="411"/>
      <c r="I101" s="411"/>
      <c r="J101" s="411"/>
      <c r="K101" s="411"/>
      <c r="L101" s="411"/>
      <c r="M101" s="411"/>
      <c r="N101" s="411"/>
      <c r="O101" s="411"/>
      <c r="P101" s="411"/>
      <c r="Q101" s="411"/>
      <c r="R101" s="411"/>
      <c r="S101" s="424"/>
      <c r="U101" s="175"/>
      <c r="V101" s="131"/>
    </row>
    <row r="102" spans="1:43" s="112" customFormat="1" ht="12.95" customHeight="1">
      <c r="A102" s="420" t="s">
        <v>197</v>
      </c>
      <c r="B102" s="421"/>
      <c r="C102" s="422"/>
      <c r="D102" s="422"/>
      <c r="E102" s="422"/>
      <c r="F102" s="422"/>
      <c r="G102" s="422"/>
      <c r="H102" s="422"/>
      <c r="I102" s="422"/>
      <c r="J102" s="422"/>
      <c r="K102" s="422"/>
      <c r="L102" s="422"/>
      <c r="M102" s="422"/>
      <c r="N102" s="422"/>
      <c r="O102" s="422"/>
      <c r="P102" s="422"/>
      <c r="Q102" s="422"/>
      <c r="R102" s="422"/>
      <c r="S102" s="423"/>
      <c r="T102" s="176"/>
      <c r="U102" s="175"/>
      <c r="V102" s="131"/>
      <c r="AQ102" s="121">
        <v>185280902</v>
      </c>
    </row>
    <row r="103" spans="1:43" s="112" customFormat="1" ht="12.95" customHeight="1">
      <c r="A103" s="402">
        <v>86</v>
      </c>
      <c r="B103" s="393" t="s">
        <v>148</v>
      </c>
      <c r="C103" s="394" t="s">
        <v>147</v>
      </c>
      <c r="D103" s="325">
        <v>661952778.97000003</v>
      </c>
      <c r="E103" s="333">
        <f>(D103/$D$112)</f>
        <v>1.1787049050372743E-3</v>
      </c>
      <c r="F103" s="326">
        <v>73361.63</v>
      </c>
      <c r="G103" s="326">
        <v>73361.63</v>
      </c>
      <c r="H103" s="334">
        <v>-8.5000000000000006E-3</v>
      </c>
      <c r="I103" s="334">
        <v>4.8099999999999997E-2</v>
      </c>
      <c r="J103" s="325">
        <v>683317247.75</v>
      </c>
      <c r="K103" s="333">
        <f t="shared" ref="K103:K111" si="43">(J103/$J$112)</f>
        <v>1.1720451054600572E-3</v>
      </c>
      <c r="L103" s="326">
        <v>75730.59</v>
      </c>
      <c r="M103" s="326">
        <v>75730.59</v>
      </c>
      <c r="N103" s="334">
        <v>3.04E-2</v>
      </c>
      <c r="O103" s="334">
        <v>4.7E-2</v>
      </c>
      <c r="P103" s="329">
        <f t="shared" ref="P103:P111" si="44">((J103-D103)/D103)</f>
        <v>3.2274913647531073E-2</v>
      </c>
      <c r="Q103" s="329">
        <f t="shared" ref="Q103:Q111" si="45">((M103-G103)/G103)</f>
        <v>3.2291539869002253E-2</v>
      </c>
      <c r="R103" s="329">
        <f t="shared" ref="R103:R111" si="46">N103-H103</f>
        <v>3.8900000000000004E-2</v>
      </c>
      <c r="S103" s="364">
        <f t="shared" ref="S103:S111" si="47">O103-I103</f>
        <v>-1.0999999999999968E-3</v>
      </c>
      <c r="T103"/>
      <c r="U103" s="425"/>
      <c r="V103" s="131"/>
    </row>
    <row r="104" spans="1:43" s="112" customFormat="1" ht="12.95" customHeight="1">
      <c r="A104" s="401">
        <v>87</v>
      </c>
      <c r="B104" s="394" t="s">
        <v>227</v>
      </c>
      <c r="C104" s="394" t="s">
        <v>80</v>
      </c>
      <c r="D104" s="326">
        <f>6248401.58*787.18</f>
        <v>4918616755.7444</v>
      </c>
      <c r="E104" s="333">
        <f>(D104/$J$112)</f>
        <v>8.4365508307982697E-3</v>
      </c>
      <c r="F104" s="325">
        <f>126.79*787.18</f>
        <v>99806.552200000006</v>
      </c>
      <c r="G104" s="325">
        <f>127.68*787.18</f>
        <v>100507.1424</v>
      </c>
      <c r="H104" s="334">
        <v>8.0000000000000004E-4</v>
      </c>
      <c r="I104" s="334">
        <v>2.3300000000000001E-2</v>
      </c>
      <c r="J104" s="326">
        <f>6272430.48*775.67</f>
        <v>4865336150.4216003</v>
      </c>
      <c r="K104" s="333">
        <f t="shared" si="43"/>
        <v>8.3451624268173069E-3</v>
      </c>
      <c r="L104" s="325">
        <f>126.88*775.67</f>
        <v>98417.00959999999</v>
      </c>
      <c r="M104" s="325">
        <f>127.77*775.67</f>
        <v>99107.355899999995</v>
      </c>
      <c r="N104" s="334">
        <v>8.0000000000000004E-4</v>
      </c>
      <c r="O104" s="334">
        <v>2.41E-2</v>
      </c>
      <c r="P104" s="329">
        <f t="shared" si="44"/>
        <v>-1.0832436835127241E-2</v>
      </c>
      <c r="Q104" s="329">
        <f t="shared" si="45"/>
        <v>-1.3927234090778428E-2</v>
      </c>
      <c r="R104" s="329">
        <f t="shared" si="46"/>
        <v>0</v>
      </c>
      <c r="S104" s="364">
        <f t="shared" si="47"/>
        <v>7.9999999999999863E-4</v>
      </c>
      <c r="U104" s="425"/>
      <c r="V104" s="132"/>
    </row>
    <row r="105" spans="1:43" s="112" customFormat="1" ht="12.75" customHeight="1">
      <c r="A105" s="401">
        <v>88</v>
      </c>
      <c r="B105" s="393" t="s">
        <v>142</v>
      </c>
      <c r="C105" s="394" t="s">
        <v>88</v>
      </c>
      <c r="D105" s="325">
        <v>8238826600.2600002</v>
      </c>
      <c r="E105" s="333">
        <f t="shared" ref="E105:E111" si="48">(D105/$D$112)</f>
        <v>1.4670450270770971E-2</v>
      </c>
      <c r="F105" s="325">
        <v>87005.03</v>
      </c>
      <c r="G105" s="325">
        <v>87005.03</v>
      </c>
      <c r="H105" s="334">
        <v>1E-3</v>
      </c>
      <c r="I105" s="334">
        <v>7.2999999999999995E-2</v>
      </c>
      <c r="J105" s="325">
        <v>7748915714.5600004</v>
      </c>
      <c r="K105" s="333">
        <f t="shared" si="43"/>
        <v>1.329115980282611E-2</v>
      </c>
      <c r="L105" s="325">
        <v>83687.839999999997</v>
      </c>
      <c r="M105" s="325">
        <v>83687.839999999997</v>
      </c>
      <c r="N105" s="334">
        <v>1.2999999999999999E-3</v>
      </c>
      <c r="O105" s="334">
        <v>7.3200000000000001E-2</v>
      </c>
      <c r="P105" s="329">
        <f t="shared" si="44"/>
        <v>-5.946367237350756E-2</v>
      </c>
      <c r="Q105" s="329">
        <f t="shared" si="45"/>
        <v>-3.8126416369260514E-2</v>
      </c>
      <c r="R105" s="329">
        <f t="shared" si="46"/>
        <v>2.9999999999999992E-4</v>
      </c>
      <c r="S105" s="364">
        <f t="shared" si="47"/>
        <v>2.0000000000000573E-4</v>
      </c>
      <c r="T105" s="177"/>
      <c r="U105" s="178"/>
      <c r="V105" s="179"/>
      <c r="W105" s="186"/>
      <c r="X105" s="184"/>
      <c r="Y105" s="142"/>
    </row>
    <row r="106" spans="1:43" s="112" customFormat="1" ht="12.95" customHeight="1" thickBot="1">
      <c r="A106" s="402">
        <v>89</v>
      </c>
      <c r="B106" s="393" t="s">
        <v>153</v>
      </c>
      <c r="C106" s="394" t="s">
        <v>7</v>
      </c>
      <c r="D106" s="325">
        <v>2835056692.0191488</v>
      </c>
      <c r="E106" s="333">
        <f t="shared" si="48"/>
        <v>5.0482380845071834E-3</v>
      </c>
      <c r="F106" s="325">
        <v>921.13522898361782</v>
      </c>
      <c r="G106" s="325">
        <v>921.13522898361782</v>
      </c>
      <c r="H106" s="334">
        <v>5.5498654669035481E-2</v>
      </c>
      <c r="I106" s="334">
        <v>5.5495553989813255E-2</v>
      </c>
      <c r="J106" s="325">
        <v>2805838252.3345246</v>
      </c>
      <c r="K106" s="333">
        <f t="shared" si="43"/>
        <v>4.8126532751657453E-3</v>
      </c>
      <c r="L106" s="325">
        <v>899.3648870078307</v>
      </c>
      <c r="M106" s="325">
        <v>899.3648870078307</v>
      </c>
      <c r="N106" s="334">
        <v>5.5881746647406728E-2</v>
      </c>
      <c r="O106" s="334">
        <v>5.556675716916723E-2</v>
      </c>
      <c r="P106" s="329">
        <f t="shared" si="44"/>
        <v>-1.0306121837660538E-2</v>
      </c>
      <c r="Q106" s="329">
        <f t="shared" si="45"/>
        <v>-2.3634251834889163E-2</v>
      </c>
      <c r="R106" s="329">
        <f t="shared" si="46"/>
        <v>3.830919783712472E-4</v>
      </c>
      <c r="S106" s="364">
        <f t="shared" si="47"/>
        <v>7.1203179353974966E-5</v>
      </c>
      <c r="T106" s="166"/>
      <c r="U106" s="160"/>
      <c r="V106" s="179"/>
      <c r="W106" s="186"/>
      <c r="X106" s="184"/>
      <c r="Y106" s="143"/>
    </row>
    <row r="107" spans="1:43" s="112" customFormat="1" ht="12.75" customHeight="1">
      <c r="A107" s="402">
        <v>90</v>
      </c>
      <c r="B107" s="394" t="s">
        <v>192</v>
      </c>
      <c r="C107" s="465" t="s">
        <v>9</v>
      </c>
      <c r="D107" s="326">
        <v>7899646733.8199997</v>
      </c>
      <c r="E107" s="333">
        <f t="shared" si="48"/>
        <v>1.4066490313257393E-2</v>
      </c>
      <c r="F107" s="325">
        <f>1.0235*787.18</f>
        <v>805.67872999999997</v>
      </c>
      <c r="G107" s="325">
        <f>1.0235*787.18</f>
        <v>805.67872999999997</v>
      </c>
      <c r="H107" s="334">
        <v>1.6000000000000001E-3</v>
      </c>
      <c r="I107" s="334">
        <v>9.01E-2</v>
      </c>
      <c r="J107" s="326">
        <v>8010751415.9200001</v>
      </c>
      <c r="K107" s="333">
        <f t="shared" si="43"/>
        <v>1.3740267817037929E-2</v>
      </c>
      <c r="L107" s="325">
        <f>1.0235*775.67</f>
        <v>793.89824499999997</v>
      </c>
      <c r="M107" s="325">
        <f>1.0235*775.67</f>
        <v>793.89824499999997</v>
      </c>
      <c r="N107" s="334">
        <v>1.6000000000000001E-3</v>
      </c>
      <c r="O107" s="334">
        <v>9.8400000000000001E-2</v>
      </c>
      <c r="P107" s="329">
        <f t="shared" si="44"/>
        <v>1.4064512736289657E-2</v>
      </c>
      <c r="Q107" s="329">
        <f t="shared" si="45"/>
        <v>-1.4621814578622423E-2</v>
      </c>
      <c r="R107" s="329">
        <f t="shared" si="46"/>
        <v>0</v>
      </c>
      <c r="S107" s="364">
        <f t="shared" si="47"/>
        <v>8.3000000000000018E-3</v>
      </c>
      <c r="U107" s="184"/>
      <c r="V107" s="184"/>
      <c r="W107" s="184"/>
      <c r="X107" s="186"/>
    </row>
    <row r="108" spans="1:43" s="112" customFormat="1" ht="12.75" customHeight="1">
      <c r="A108" s="402">
        <v>91</v>
      </c>
      <c r="B108" s="393" t="s">
        <v>161</v>
      </c>
      <c r="C108" s="394" t="s">
        <v>160</v>
      </c>
      <c r="D108" s="325">
        <v>189520017.80000001</v>
      </c>
      <c r="E108" s="333">
        <f t="shared" si="48"/>
        <v>3.3746844439750529E-4</v>
      </c>
      <c r="F108" s="325">
        <v>791.75</v>
      </c>
      <c r="G108" s="325">
        <v>791.75</v>
      </c>
      <c r="H108" s="334">
        <v>-1.857E-2</v>
      </c>
      <c r="I108" s="334">
        <v>8.7251999999999996E-2</v>
      </c>
      <c r="J108" s="325">
        <v>199956032.59999999</v>
      </c>
      <c r="K108" s="333">
        <f t="shared" si="43"/>
        <v>3.4297025296481934E-4</v>
      </c>
      <c r="L108" s="325">
        <v>803.9</v>
      </c>
      <c r="M108" s="325">
        <v>803.9</v>
      </c>
      <c r="N108" s="334">
        <v>3.8732999999999997E-2</v>
      </c>
      <c r="O108" s="334">
        <v>0.12936500000000001</v>
      </c>
      <c r="P108" s="329">
        <f t="shared" si="44"/>
        <v>5.5065501371011273E-2</v>
      </c>
      <c r="Q108" s="329">
        <f t="shared" si="45"/>
        <v>1.5345753078623275E-2</v>
      </c>
      <c r="R108" s="329">
        <f t="shared" si="46"/>
        <v>5.7302999999999993E-2</v>
      </c>
      <c r="S108" s="364">
        <f t="shared" si="47"/>
        <v>4.2113000000000012E-2</v>
      </c>
      <c r="U108" s="184"/>
      <c r="V108" s="184"/>
      <c r="W108" s="184"/>
      <c r="X108" s="186"/>
    </row>
    <row r="109" spans="1:43" s="112" customFormat="1" ht="12.75" customHeight="1">
      <c r="A109" s="400">
        <v>92</v>
      </c>
      <c r="B109" s="393" t="s">
        <v>93</v>
      </c>
      <c r="C109" s="394" t="s">
        <v>5</v>
      </c>
      <c r="D109" s="326">
        <v>336866413574.47998</v>
      </c>
      <c r="E109" s="333">
        <f t="shared" si="48"/>
        <v>0.59984051224981694</v>
      </c>
      <c r="F109" s="325">
        <v>1098.69</v>
      </c>
      <c r="G109" s="325">
        <v>1098.69</v>
      </c>
      <c r="H109" s="334">
        <v>1.2999999999999999E-3</v>
      </c>
      <c r="I109" s="334">
        <v>3.6200000000000003E-2</v>
      </c>
      <c r="J109" s="326">
        <v>351547105020.04999</v>
      </c>
      <c r="K109" s="333">
        <f t="shared" si="43"/>
        <v>0.60298355578483531</v>
      </c>
      <c r="L109" s="325">
        <v>1612.0921909189999</v>
      </c>
      <c r="M109" s="325">
        <v>1612.0921909189999</v>
      </c>
      <c r="N109" s="334">
        <v>1.2999999999999999E-3</v>
      </c>
      <c r="O109" s="334">
        <v>2.7000000000000001E-3</v>
      </c>
      <c r="P109" s="329">
        <f t="shared" si="44"/>
        <v>4.3580157753910831E-2</v>
      </c>
      <c r="Q109" s="329">
        <f t="shared" si="45"/>
        <v>0.46728575933065725</v>
      </c>
      <c r="R109" s="329">
        <f t="shared" si="46"/>
        <v>0</v>
      </c>
      <c r="S109" s="364">
        <f t="shared" si="47"/>
        <v>-3.3500000000000002E-2</v>
      </c>
      <c r="T109"/>
      <c r="U109" s="292"/>
      <c r="V109" s="292"/>
      <c r="W109" s="292"/>
      <c r="X109" s="293"/>
    </row>
    <row r="110" spans="1:43" s="330" customFormat="1" ht="12.75" customHeight="1">
      <c r="A110" s="401">
        <v>93</v>
      </c>
      <c r="B110" s="393" t="s">
        <v>253</v>
      </c>
      <c r="C110" s="394" t="s">
        <v>41</v>
      </c>
      <c r="D110" s="326">
        <v>9765157925.6499996</v>
      </c>
      <c r="E110" s="333">
        <f t="shared" si="48"/>
        <v>1.7388309122800615E-2</v>
      </c>
      <c r="F110" s="326">
        <v>810.46</v>
      </c>
      <c r="G110" s="326">
        <v>810.46</v>
      </c>
      <c r="H110" s="334">
        <v>8.3299999999999999E-2</v>
      </c>
      <c r="I110" s="334">
        <v>8.7499999999999994E-2</v>
      </c>
      <c r="J110" s="326">
        <v>10161543062.59</v>
      </c>
      <c r="K110" s="333">
        <f t="shared" si="43"/>
        <v>1.7429366593110715E-2</v>
      </c>
      <c r="L110" s="326">
        <v>840.08</v>
      </c>
      <c r="M110" s="326">
        <v>840.08</v>
      </c>
      <c r="N110" s="334">
        <v>9.4100000000000003E-2</v>
      </c>
      <c r="O110" s="334">
        <v>8.7800000000000003E-2</v>
      </c>
      <c r="P110" s="329">
        <f t="shared" si="44"/>
        <v>4.0591779463066482E-2</v>
      </c>
      <c r="Q110" s="329">
        <f t="shared" si="45"/>
        <v>3.6547146065197544E-2</v>
      </c>
      <c r="R110" s="329">
        <f t="shared" si="46"/>
        <v>1.0800000000000004E-2</v>
      </c>
      <c r="S110" s="364">
        <f t="shared" si="47"/>
        <v>3.0000000000000859E-4</v>
      </c>
      <c r="T110" s="356"/>
      <c r="U110" s="355"/>
      <c r="V110" s="355"/>
      <c r="W110" s="355"/>
      <c r="X110" s="354"/>
    </row>
    <row r="111" spans="1:43" s="112" customFormat="1" ht="12.95" customHeight="1">
      <c r="A111" s="401">
        <v>94</v>
      </c>
      <c r="B111" s="393" t="s">
        <v>275</v>
      </c>
      <c r="C111" s="394" t="s">
        <v>243</v>
      </c>
      <c r="D111" s="325">
        <v>11778854174.030001</v>
      </c>
      <c r="E111" s="333">
        <f t="shared" si="48"/>
        <v>2.0973993359845317E-2</v>
      </c>
      <c r="F111" s="325">
        <v>776.9</v>
      </c>
      <c r="G111" s="325">
        <v>776.9</v>
      </c>
      <c r="H111" s="334">
        <v>1.1000000000000001E-3</v>
      </c>
      <c r="I111" s="334">
        <v>3.95E-2</v>
      </c>
      <c r="J111" s="325">
        <v>12096003216.049999</v>
      </c>
      <c r="K111" s="333">
        <f t="shared" si="43"/>
        <v>2.0747407462173944E-2</v>
      </c>
      <c r="L111" s="325">
        <v>776.9</v>
      </c>
      <c r="M111" s="325">
        <v>776.9</v>
      </c>
      <c r="N111" s="334">
        <v>1.1999999999999999E-3</v>
      </c>
      <c r="O111" s="334">
        <v>4.1799999999999997E-2</v>
      </c>
      <c r="P111" s="329">
        <f t="shared" si="44"/>
        <v>2.6925288091200608E-2</v>
      </c>
      <c r="Q111" s="329">
        <f t="shared" si="45"/>
        <v>0</v>
      </c>
      <c r="R111" s="329">
        <f t="shared" si="46"/>
        <v>9.9999999999999829E-5</v>
      </c>
      <c r="S111" s="364">
        <f t="shared" si="47"/>
        <v>2.2999999999999965E-3</v>
      </c>
      <c r="U111" s="184"/>
      <c r="V111" s="184"/>
      <c r="W111" s="184"/>
      <c r="X111" s="186"/>
    </row>
    <row r="112" spans="1:43" s="112" customFormat="1" ht="13.5" customHeight="1">
      <c r="A112" s="214"/>
      <c r="C112" s="286" t="s">
        <v>42</v>
      </c>
      <c r="D112" s="76">
        <f>SUM(D91:D111)</f>
        <v>561593301377.72437</v>
      </c>
      <c r="E112" s="262">
        <f>(D112/$D$168)</f>
        <v>0.29528784495040727</v>
      </c>
      <c r="F112" s="264"/>
      <c r="G112" s="73"/>
      <c r="H112" s="276"/>
      <c r="I112" s="276"/>
      <c r="J112" s="76">
        <f>SUM(J91:J111)</f>
        <v>583012756562.62463</v>
      </c>
      <c r="K112" s="262">
        <f>(J112/$J$168)</f>
        <v>0.30326583386358158</v>
      </c>
      <c r="L112" s="264"/>
      <c r="M112" s="73"/>
      <c r="N112" s="278"/>
      <c r="O112" s="278"/>
      <c r="P112" s="266">
        <f t="shared" ref="P112" si="49">((J112-D112)/D112)</f>
        <v>3.8140510458997925E-2</v>
      </c>
      <c r="Q112" s="266"/>
      <c r="R112" s="266">
        <f t="shared" ref="R112:S112" si="50">N112-H112</f>
        <v>0</v>
      </c>
      <c r="S112" s="364">
        <f t="shared" si="50"/>
        <v>0</v>
      </c>
      <c r="U112" s="184"/>
      <c r="V112" s="184"/>
      <c r="W112" s="184"/>
      <c r="X112" s="184"/>
    </row>
    <row r="113" spans="1:23" s="112" customFormat="1" ht="4.5" customHeight="1">
      <c r="A113" s="409"/>
      <c r="B113" s="410"/>
      <c r="C113" s="411"/>
      <c r="D113" s="411"/>
      <c r="E113" s="411"/>
      <c r="F113" s="411"/>
      <c r="G113" s="411"/>
      <c r="H113" s="411"/>
      <c r="I113" s="411"/>
      <c r="J113" s="411"/>
      <c r="K113" s="411"/>
      <c r="L113" s="411"/>
      <c r="M113" s="411"/>
      <c r="N113" s="411"/>
      <c r="O113" s="411"/>
      <c r="P113" s="411"/>
      <c r="Q113" s="411"/>
      <c r="R113" s="411"/>
      <c r="S113" s="424"/>
      <c r="T113" s="118"/>
      <c r="U113" s="133"/>
    </row>
    <row r="114" spans="1:23" s="112" customFormat="1" ht="12.95" customHeight="1">
      <c r="A114" s="412" t="s">
        <v>211</v>
      </c>
      <c r="B114" s="413"/>
      <c r="C114" s="414"/>
      <c r="D114" s="414"/>
      <c r="E114" s="414"/>
      <c r="F114" s="414"/>
      <c r="G114" s="414"/>
      <c r="H114" s="414"/>
      <c r="I114" s="414"/>
      <c r="J114" s="414"/>
      <c r="K114" s="414"/>
      <c r="L114" s="414"/>
      <c r="M114" s="414"/>
      <c r="N114" s="414"/>
      <c r="O114" s="414"/>
      <c r="P114" s="414"/>
      <c r="Q114" s="414"/>
      <c r="R114" s="414"/>
      <c r="S114" s="415"/>
    </row>
    <row r="115" spans="1:23" s="112" customFormat="1" ht="12.95" customHeight="1">
      <c r="A115" s="402">
        <v>95</v>
      </c>
      <c r="B115" s="393" t="s">
        <v>224</v>
      </c>
      <c r="C115" s="394" t="s">
        <v>9</v>
      </c>
      <c r="D115" s="326">
        <v>54330953714</v>
      </c>
      <c r="E115" s="333">
        <f>(D115/$D$119)</f>
        <v>0.58088119434071916</v>
      </c>
      <c r="F115" s="327">
        <v>101.72</v>
      </c>
      <c r="G115" s="327">
        <v>101.72</v>
      </c>
      <c r="H115" s="334">
        <v>0</v>
      </c>
      <c r="I115" s="334">
        <v>7.6999999999999999E-2</v>
      </c>
      <c r="J115" s="326">
        <v>54330953714</v>
      </c>
      <c r="K115" s="333">
        <f>(J115/$J$119)</f>
        <v>0.58063007941228328</v>
      </c>
      <c r="L115" s="327">
        <v>101.72</v>
      </c>
      <c r="M115" s="327">
        <v>101.72</v>
      </c>
      <c r="N115" s="334">
        <v>0</v>
      </c>
      <c r="O115" s="334">
        <v>7.6999999999999999E-2</v>
      </c>
      <c r="P115" s="329">
        <f>((J115-D115)/D115)</f>
        <v>0</v>
      </c>
      <c r="Q115" s="329">
        <f>((M115-G115)/G115)</f>
        <v>0</v>
      </c>
      <c r="R115" s="329">
        <f t="shared" ref="R115:S118" si="51">N115-H115</f>
        <v>0</v>
      </c>
      <c r="S115" s="364">
        <f t="shared" si="51"/>
        <v>0</v>
      </c>
    </row>
    <row r="116" spans="1:23" s="112" customFormat="1" ht="12.95" customHeight="1">
      <c r="A116" s="401">
        <v>96</v>
      </c>
      <c r="B116" s="393" t="s">
        <v>140</v>
      </c>
      <c r="C116" s="394" t="s">
        <v>20</v>
      </c>
      <c r="D116" s="326">
        <v>2404526331.1199999</v>
      </c>
      <c r="E116" s="333">
        <f>(D116/$D$119)</f>
        <v>2.5708073051638334E-2</v>
      </c>
      <c r="F116" s="327">
        <v>77</v>
      </c>
      <c r="G116" s="327">
        <v>77</v>
      </c>
      <c r="H116" s="334">
        <v>6.9500000000000006E-2</v>
      </c>
      <c r="I116" s="334">
        <v>0.14249999999999999</v>
      </c>
      <c r="J116" s="326">
        <v>2408317241.54</v>
      </c>
      <c r="K116" s="333">
        <f>(J116/$J$119)</f>
        <v>2.573747257532526E-2</v>
      </c>
      <c r="L116" s="327">
        <v>77</v>
      </c>
      <c r="M116" s="327">
        <v>77</v>
      </c>
      <c r="N116" s="334">
        <v>8.2400000000000001E-2</v>
      </c>
      <c r="O116" s="334">
        <v>0.1414</v>
      </c>
      <c r="P116" s="329">
        <f>((J116-D116)/D116)</f>
        <v>1.5765726375865118E-3</v>
      </c>
      <c r="Q116" s="329">
        <f>((M116-G116)/G116)</f>
        <v>0</v>
      </c>
      <c r="R116" s="329">
        <f t="shared" si="51"/>
        <v>1.2899999999999995E-2</v>
      </c>
      <c r="S116" s="364">
        <f t="shared" si="51"/>
        <v>-1.0999999999999899E-3</v>
      </c>
      <c r="T116" s="134"/>
      <c r="U116" s="165"/>
    </row>
    <row r="117" spans="1:23" s="112" customFormat="1" ht="12.95" customHeight="1">
      <c r="A117" s="399">
        <v>97</v>
      </c>
      <c r="B117" s="393" t="s">
        <v>21</v>
      </c>
      <c r="C117" s="394" t="s">
        <v>20</v>
      </c>
      <c r="D117" s="326">
        <v>9896905856.8899994</v>
      </c>
      <c r="E117" s="333">
        <f>(D117/$D$119)</f>
        <v>0.10581309734944958</v>
      </c>
      <c r="F117" s="327">
        <v>36.6</v>
      </c>
      <c r="G117" s="327">
        <v>36.6</v>
      </c>
      <c r="H117" s="334">
        <v>0.11459999999999999</v>
      </c>
      <c r="I117" s="334">
        <v>0.1691</v>
      </c>
      <c r="J117" s="326">
        <v>9901646027.9500008</v>
      </c>
      <c r="K117" s="333">
        <f>(J117/$J$119)</f>
        <v>0.10581801213696486</v>
      </c>
      <c r="L117" s="327">
        <v>36.6</v>
      </c>
      <c r="M117" s="327">
        <v>36.6</v>
      </c>
      <c r="N117" s="334">
        <v>4.7699999999999999E-2</v>
      </c>
      <c r="O117" s="334">
        <v>0.16489999999999999</v>
      </c>
      <c r="P117" s="329">
        <f>((J117-D117)/D117)</f>
        <v>4.789548499848945E-4</v>
      </c>
      <c r="Q117" s="329">
        <f>((M117-G117)/G117)</f>
        <v>0</v>
      </c>
      <c r="R117" s="329">
        <f t="shared" si="51"/>
        <v>-6.6899999999999987E-2</v>
      </c>
      <c r="S117" s="364">
        <f t="shared" si="51"/>
        <v>-4.2000000000000093E-3</v>
      </c>
      <c r="T117" s="135"/>
      <c r="U117" s="113"/>
    </row>
    <row r="118" spans="1:23" s="136" customFormat="1" ht="12.95" customHeight="1">
      <c r="A118" s="400">
        <v>98</v>
      </c>
      <c r="B118" s="393" t="s">
        <v>182</v>
      </c>
      <c r="C118" s="394" t="s">
        <v>5</v>
      </c>
      <c r="D118" s="326">
        <v>26899569071.439999</v>
      </c>
      <c r="E118" s="333">
        <f>(D118/$D$119)</f>
        <v>0.28759763525819293</v>
      </c>
      <c r="F118" s="327">
        <v>3.7</v>
      </c>
      <c r="G118" s="327">
        <v>3.7</v>
      </c>
      <c r="H118" s="334">
        <v>-1.3299999999999999E-2</v>
      </c>
      <c r="I118" s="334">
        <v>0.23330000000000001</v>
      </c>
      <c r="J118" s="326">
        <v>26931489339.299999</v>
      </c>
      <c r="K118" s="333">
        <f>(J118/$J$119)</f>
        <v>0.28781443587542649</v>
      </c>
      <c r="L118" s="327">
        <v>3.7</v>
      </c>
      <c r="M118" s="327">
        <v>3.7</v>
      </c>
      <c r="N118" s="334">
        <v>-0.1081</v>
      </c>
      <c r="O118" s="334">
        <v>0.1</v>
      </c>
      <c r="P118" s="329">
        <f>((J118-D118)/D118)</f>
        <v>1.1866460676461625E-3</v>
      </c>
      <c r="Q118" s="329">
        <f>((M118-G118)/G118)</f>
        <v>0</v>
      </c>
      <c r="R118" s="329">
        <f t="shared" si="51"/>
        <v>-9.4799999999999995E-2</v>
      </c>
      <c r="S118" s="364">
        <f t="shared" si="51"/>
        <v>-0.1333</v>
      </c>
      <c r="T118" s="135"/>
      <c r="U118" s="160"/>
    </row>
    <row r="119" spans="1:23" s="112" customFormat="1" ht="12.75" customHeight="1">
      <c r="A119" s="214"/>
      <c r="C119" s="244" t="s">
        <v>42</v>
      </c>
      <c r="D119" s="70">
        <f>SUM(D115:D118)</f>
        <v>93531954973.449997</v>
      </c>
      <c r="E119" s="262">
        <f>(D119/$D$168)</f>
        <v>4.9179449523975544E-2</v>
      </c>
      <c r="F119" s="72"/>
      <c r="G119" s="72"/>
      <c r="H119" s="245"/>
      <c r="I119" s="245"/>
      <c r="J119" s="70">
        <f>SUM(J115:J118)</f>
        <v>93572406322.790009</v>
      </c>
      <c r="K119" s="262">
        <f>(J119/$J$168)</f>
        <v>4.8673572766078269E-2</v>
      </c>
      <c r="L119" s="264"/>
      <c r="M119" s="72"/>
      <c r="N119" s="265"/>
      <c r="O119" s="265"/>
      <c r="P119" s="266">
        <f>((J119-D119)/D119)</f>
        <v>4.3248694364930279E-4</v>
      </c>
      <c r="Q119" s="266"/>
      <c r="R119" s="266">
        <f>N119-H119</f>
        <v>0</v>
      </c>
      <c r="S119" s="364">
        <f t="shared" ref="S119" si="52">O119-I119</f>
        <v>0</v>
      </c>
      <c r="T119" s="160"/>
      <c r="U119" s="160"/>
      <c r="V119" s="180"/>
      <c r="W119" s="405"/>
    </row>
    <row r="120" spans="1:23" s="112" customFormat="1" ht="5.25" customHeight="1">
      <c r="A120" s="409"/>
      <c r="B120" s="410"/>
      <c r="C120" s="411"/>
      <c r="D120" s="411"/>
      <c r="E120" s="411"/>
      <c r="F120" s="411"/>
      <c r="G120" s="411"/>
      <c r="H120" s="411"/>
      <c r="I120" s="411"/>
      <c r="J120" s="411"/>
      <c r="K120" s="411"/>
      <c r="L120" s="411"/>
      <c r="M120" s="411"/>
      <c r="N120" s="411"/>
      <c r="O120" s="411"/>
      <c r="P120" s="411"/>
      <c r="Q120" s="411"/>
      <c r="R120" s="411"/>
      <c r="S120" s="424"/>
      <c r="T120" s="160"/>
      <c r="U120" s="160"/>
      <c r="V120" s="180"/>
      <c r="W120" s="405"/>
    </row>
    <row r="121" spans="1:23" s="112" customFormat="1" ht="12" customHeight="1">
      <c r="A121" s="416" t="s">
        <v>221</v>
      </c>
      <c r="B121" s="417"/>
      <c r="C121" s="418"/>
      <c r="D121" s="418"/>
      <c r="E121" s="418"/>
      <c r="F121" s="418"/>
      <c r="G121" s="418"/>
      <c r="H121" s="418"/>
      <c r="I121" s="418"/>
      <c r="J121" s="418"/>
      <c r="K121" s="418"/>
      <c r="L121" s="418"/>
      <c r="M121" s="418"/>
      <c r="N121" s="418"/>
      <c r="O121" s="418"/>
      <c r="P121" s="418"/>
      <c r="Q121" s="418"/>
      <c r="R121" s="418"/>
      <c r="S121" s="419"/>
      <c r="T121" s="184"/>
      <c r="U121" s="186"/>
      <c r="V121" s="180"/>
      <c r="W121" s="405"/>
    </row>
    <row r="122" spans="1:23" s="112" customFormat="1" ht="12" customHeight="1">
      <c r="A122" s="402">
        <v>99</v>
      </c>
      <c r="B122" s="393" t="s">
        <v>116</v>
      </c>
      <c r="C122" s="394" t="s">
        <v>36</v>
      </c>
      <c r="D122" s="325">
        <v>194310726.47999999</v>
      </c>
      <c r="E122" s="333">
        <f t="shared" ref="E122:E145" si="53">(D122/$D$146)</f>
        <v>5.0617565775661561E-3</v>
      </c>
      <c r="F122" s="325">
        <v>4.3499999999999996</v>
      </c>
      <c r="G122" s="325">
        <v>4.42</v>
      </c>
      <c r="H122" s="315">
        <v>1.7728000000000001E-2</v>
      </c>
      <c r="I122" s="315">
        <v>0.15787799999999999</v>
      </c>
      <c r="J122" s="325">
        <v>191624538.55000001</v>
      </c>
      <c r="K122" s="314">
        <f t="shared" ref="K122:K135" si="54">(J122/$J$146)</f>
        <v>5.0876217087877729E-3</v>
      </c>
      <c r="L122" s="325">
        <v>4.29</v>
      </c>
      <c r="M122" s="325">
        <v>4.3600000000000003</v>
      </c>
      <c r="N122" s="315">
        <v>-1.5812E-2</v>
      </c>
      <c r="O122" s="315">
        <v>0.142066</v>
      </c>
      <c r="P122" s="329">
        <f t="shared" ref="P122:P145" si="55">((J122-D122)/D122)</f>
        <v>-1.3824187571428082E-2</v>
      </c>
      <c r="Q122" s="329">
        <f t="shared" ref="Q122:Q145" si="56">((M122-G122)/G122)</f>
        <v>-1.3574660633484075E-2</v>
      </c>
      <c r="R122" s="329">
        <f t="shared" ref="R122:R145" si="57">N122-H122</f>
        <v>-3.354E-2</v>
      </c>
      <c r="S122" s="364">
        <f t="shared" ref="S122:S145" si="58">O122-I122</f>
        <v>-1.5811999999999993E-2</v>
      </c>
      <c r="T122" s="407"/>
      <c r="U122" s="166"/>
      <c r="V122" s="184"/>
    </row>
    <row r="123" spans="1:23" s="112" customFormat="1" ht="12" customHeight="1">
      <c r="A123" s="400">
        <v>100</v>
      </c>
      <c r="B123" s="393" t="s">
        <v>155</v>
      </c>
      <c r="C123" s="394" t="s">
        <v>6</v>
      </c>
      <c r="D123" s="325">
        <v>5792189942.3299999</v>
      </c>
      <c r="E123" s="333">
        <f t="shared" si="53"/>
        <v>0.15088541981298764</v>
      </c>
      <c r="F123" s="325">
        <v>617.67729999999995</v>
      </c>
      <c r="G123" s="325">
        <v>636.30070000000001</v>
      </c>
      <c r="H123" s="315">
        <v>1.5148999999999999</v>
      </c>
      <c r="I123" s="315">
        <v>0.33650000000000002</v>
      </c>
      <c r="J123" s="325">
        <v>5709659958.8299999</v>
      </c>
      <c r="K123" s="314">
        <f t="shared" si="54"/>
        <v>0.15159118021181953</v>
      </c>
      <c r="L123" s="325">
        <v>608.54409999999996</v>
      </c>
      <c r="M123" s="325">
        <v>626.8922</v>
      </c>
      <c r="N123" s="315">
        <v>-0.77100000000000002</v>
      </c>
      <c r="O123" s="315">
        <v>0.29189999999999999</v>
      </c>
      <c r="P123" s="329">
        <f t="shared" si="55"/>
        <v>-1.4248493975803737E-2</v>
      </c>
      <c r="Q123" s="329">
        <f t="shared" si="56"/>
        <v>-1.478624807422026E-2</v>
      </c>
      <c r="R123" s="329">
        <f t="shared" si="57"/>
        <v>-2.2858999999999998</v>
      </c>
      <c r="S123" s="364">
        <f t="shared" si="58"/>
        <v>-4.4600000000000029E-2</v>
      </c>
      <c r="T123" s="407"/>
      <c r="W123" s="187"/>
    </row>
    <row r="124" spans="1:23" s="112" customFormat="1" ht="12" customHeight="1">
      <c r="A124" s="399">
        <v>101</v>
      </c>
      <c r="B124" s="393" t="s">
        <v>241</v>
      </c>
      <c r="C124" s="394" t="s">
        <v>12</v>
      </c>
      <c r="D124" s="325">
        <v>3056206260.1500001</v>
      </c>
      <c r="E124" s="333">
        <f t="shared" si="53"/>
        <v>7.96135777985751E-2</v>
      </c>
      <c r="F124" s="325">
        <v>16.2422</v>
      </c>
      <c r="G124" s="325">
        <v>16.414899999999999</v>
      </c>
      <c r="H124" s="334">
        <v>9.7000000000000003E-3</v>
      </c>
      <c r="I124" s="334">
        <v>0.17180000000000001</v>
      </c>
      <c r="J124" s="325">
        <v>3043063454.27</v>
      </c>
      <c r="K124" s="314">
        <f t="shared" si="54"/>
        <v>8.0793179246837959E-2</v>
      </c>
      <c r="L124" s="325">
        <v>16.529399999999999</v>
      </c>
      <c r="M124" s="325">
        <v>16.714200000000002</v>
      </c>
      <c r="N124" s="334">
        <v>8.5000000000000006E-3</v>
      </c>
      <c r="O124" s="334">
        <v>0.19289999999999999</v>
      </c>
      <c r="P124" s="329">
        <f t="shared" si="55"/>
        <v>-4.3003661275646558E-3</v>
      </c>
      <c r="Q124" s="329">
        <f t="shared" si="56"/>
        <v>1.8233434257899979E-2</v>
      </c>
      <c r="R124" s="329">
        <f t="shared" si="57"/>
        <v>-1.1999999999999997E-3</v>
      </c>
      <c r="S124" s="364">
        <f t="shared" si="58"/>
        <v>2.109999999999998E-2</v>
      </c>
      <c r="T124" s="186"/>
      <c r="U124" s="113"/>
      <c r="W124" s="187"/>
    </row>
    <row r="125" spans="1:23" s="112" customFormat="1" ht="12" customHeight="1">
      <c r="A125" s="402">
        <v>102</v>
      </c>
      <c r="B125" s="393" t="s">
        <v>143</v>
      </c>
      <c r="C125" s="394" t="s">
        <v>102</v>
      </c>
      <c r="D125" s="326">
        <v>1203861925.8699999</v>
      </c>
      <c r="E125" s="333">
        <f t="shared" si="53"/>
        <v>3.1360368684438734E-2</v>
      </c>
      <c r="F125" s="325">
        <v>2.8075999999999999</v>
      </c>
      <c r="G125" s="325">
        <v>2.8744999999999998</v>
      </c>
      <c r="H125" s="334">
        <v>1.4188480114404403</v>
      </c>
      <c r="I125" s="334">
        <v>0.47062909630283106</v>
      </c>
      <c r="J125" s="326">
        <v>1161707215.78</v>
      </c>
      <c r="K125" s="314">
        <f t="shared" si="54"/>
        <v>3.0843267229658931E-2</v>
      </c>
      <c r="L125" s="325">
        <v>2.7103000000000002</v>
      </c>
      <c r="M125" s="325">
        <v>2.7728999999999999</v>
      </c>
      <c r="N125" s="334">
        <v>-1.8432364791550724</v>
      </c>
      <c r="O125" s="334">
        <v>0.37293333634999898</v>
      </c>
      <c r="P125" s="329">
        <f t="shared" si="55"/>
        <v>-3.5016233327203029E-2</v>
      </c>
      <c r="Q125" s="329">
        <f t="shared" si="56"/>
        <v>-3.5345277439554679E-2</v>
      </c>
      <c r="R125" s="329">
        <f t="shared" si="57"/>
        <v>-3.2620844905955124</v>
      </c>
      <c r="S125" s="364">
        <f t="shared" si="58"/>
        <v>-9.7695759952832084E-2</v>
      </c>
      <c r="T125" s="186"/>
      <c r="U125" s="113"/>
      <c r="W125" s="187"/>
    </row>
    <row r="126" spans="1:23" s="112" customFormat="1" ht="12" customHeight="1">
      <c r="A126" s="402">
        <v>103</v>
      </c>
      <c r="B126" s="393" t="s">
        <v>266</v>
      </c>
      <c r="C126" s="394" t="s">
        <v>7</v>
      </c>
      <c r="D126" s="326">
        <v>2764360428.6714602</v>
      </c>
      <c r="E126" s="333">
        <f t="shared" si="53"/>
        <v>7.2011050733380808E-2</v>
      </c>
      <c r="F126" s="325">
        <v>5133.5097809775498</v>
      </c>
      <c r="G126" s="325">
        <v>5169.3236497398502</v>
      </c>
      <c r="H126" s="334">
        <v>1.3148765904690243</v>
      </c>
      <c r="I126" s="334">
        <v>0.4270472556786456</v>
      </c>
      <c r="J126" s="326">
        <v>2715821490.1807799</v>
      </c>
      <c r="K126" s="314">
        <f t="shared" si="54"/>
        <v>7.2104921818407136E-2</v>
      </c>
      <c r="L126" s="325">
        <v>5046.5328599555296</v>
      </c>
      <c r="M126" s="325">
        <v>5080.8382942378103</v>
      </c>
      <c r="N126" s="334">
        <v>-0.88345505532730195</v>
      </c>
      <c r="O126" s="334">
        <v>0.37302786668684629</v>
      </c>
      <c r="P126" s="329">
        <f t="shared" si="55"/>
        <v>-1.7558831325771736E-2</v>
      </c>
      <c r="Q126" s="329">
        <f t="shared" si="56"/>
        <v>-1.7117395136691249E-2</v>
      </c>
      <c r="R126" s="329">
        <f t="shared" si="57"/>
        <v>-2.1983316457963262</v>
      </c>
      <c r="S126" s="364">
        <f t="shared" si="58"/>
        <v>-5.4019388991799311E-2</v>
      </c>
      <c r="T126" s="186"/>
      <c r="U126" s="113"/>
      <c r="W126" s="187"/>
    </row>
    <row r="127" spans="1:23" s="112" customFormat="1" ht="12" customHeight="1">
      <c r="A127" s="401">
        <v>104</v>
      </c>
      <c r="B127" s="393" t="s">
        <v>156</v>
      </c>
      <c r="C127" s="394" t="s">
        <v>88</v>
      </c>
      <c r="D127" s="325">
        <v>428243627.06</v>
      </c>
      <c r="E127" s="333">
        <f t="shared" si="53"/>
        <v>1.1155663072953702E-2</v>
      </c>
      <c r="F127" s="325">
        <v>155.25</v>
      </c>
      <c r="G127" s="325">
        <v>156.41999999999999</v>
      </c>
      <c r="H127" s="334">
        <v>2.2100000000000002E-2</v>
      </c>
      <c r="I127" s="334">
        <v>0.21240000000000001</v>
      </c>
      <c r="J127" s="325">
        <v>427510269.10000002</v>
      </c>
      <c r="K127" s="314">
        <f t="shared" si="54"/>
        <v>1.13503758039597E-2</v>
      </c>
      <c r="L127" s="325">
        <v>152.34</v>
      </c>
      <c r="M127" s="325">
        <v>153.44999999999999</v>
      </c>
      <c r="N127" s="334">
        <v>-1.89E-2</v>
      </c>
      <c r="O127" s="334">
        <v>0.19109999999999999</v>
      </c>
      <c r="P127" s="329">
        <f t="shared" si="55"/>
        <v>-1.712478397015888E-3</v>
      </c>
      <c r="Q127" s="329">
        <f t="shared" si="56"/>
        <v>-1.8987341772151892E-2</v>
      </c>
      <c r="R127" s="329">
        <f t="shared" si="57"/>
        <v>-4.1000000000000002E-2</v>
      </c>
      <c r="S127" s="364">
        <f t="shared" si="58"/>
        <v>-2.1300000000000013E-2</v>
      </c>
      <c r="U127" s="113"/>
      <c r="W127" s="187"/>
    </row>
    <row r="128" spans="1:23" s="112" customFormat="1" ht="12" customHeight="1">
      <c r="A128" s="402">
        <v>105</v>
      </c>
      <c r="B128" s="393" t="s">
        <v>180</v>
      </c>
      <c r="C128" s="394" t="s">
        <v>178</v>
      </c>
      <c r="D128" s="325">
        <v>3734808.11</v>
      </c>
      <c r="E128" s="333">
        <f t="shared" si="53"/>
        <v>9.7291023811213757E-5</v>
      </c>
      <c r="F128" s="325">
        <v>102.747</v>
      </c>
      <c r="G128" s="325">
        <v>102.99</v>
      </c>
      <c r="H128" s="334">
        <v>0</v>
      </c>
      <c r="I128" s="334">
        <v>0</v>
      </c>
      <c r="J128" s="325">
        <v>3734808.11</v>
      </c>
      <c r="K128" s="314">
        <f t="shared" si="54"/>
        <v>9.9158964516617401E-5</v>
      </c>
      <c r="L128" s="325">
        <v>102.747</v>
      </c>
      <c r="M128" s="325">
        <v>102.99</v>
      </c>
      <c r="N128" s="334">
        <v>0</v>
      </c>
      <c r="O128" s="334">
        <v>0</v>
      </c>
      <c r="P128" s="329">
        <f t="shared" si="55"/>
        <v>0</v>
      </c>
      <c r="Q128" s="329">
        <f t="shared" si="56"/>
        <v>0</v>
      </c>
      <c r="R128" s="329">
        <f t="shared" si="57"/>
        <v>0</v>
      </c>
      <c r="S128" s="364">
        <f t="shared" si="58"/>
        <v>0</v>
      </c>
      <c r="U128" s="113"/>
    </row>
    <row r="129" spans="1:22" s="112" customFormat="1" ht="12" customHeight="1">
      <c r="A129" s="402">
        <v>106</v>
      </c>
      <c r="B129" s="393" t="s">
        <v>109</v>
      </c>
      <c r="C129" s="394" t="s">
        <v>107</v>
      </c>
      <c r="D129" s="325">
        <v>159468620.40000001</v>
      </c>
      <c r="E129" s="333">
        <f t="shared" si="53"/>
        <v>4.1541265006190126E-3</v>
      </c>
      <c r="F129" s="325">
        <v>1.4172</v>
      </c>
      <c r="G129" s="325">
        <v>1.4308000000000001</v>
      </c>
      <c r="H129" s="334">
        <v>2.07E-2</v>
      </c>
      <c r="I129" s="334">
        <v>0.17979999999999999</v>
      </c>
      <c r="J129" s="325">
        <v>155920388.96000001</v>
      </c>
      <c r="K129" s="314">
        <f t="shared" si="54"/>
        <v>4.1396783612269233E-3</v>
      </c>
      <c r="L129" s="325">
        <v>1.3857999999999999</v>
      </c>
      <c r="M129" s="325">
        <v>1.3987000000000001</v>
      </c>
      <c r="N129" s="334">
        <v>-2.1999999999999999E-2</v>
      </c>
      <c r="O129" s="334">
        <v>0.1537</v>
      </c>
      <c r="P129" s="329">
        <f t="shared" si="55"/>
        <v>-2.2250342613486341E-2</v>
      </c>
      <c r="Q129" s="329">
        <f t="shared" si="56"/>
        <v>-2.2435001397819412E-2</v>
      </c>
      <c r="R129" s="329">
        <f t="shared" si="57"/>
        <v>-4.2700000000000002E-2</v>
      </c>
      <c r="S129" s="364">
        <f t="shared" si="58"/>
        <v>-2.6099999999999984E-2</v>
      </c>
      <c r="U129" s="111"/>
    </row>
    <row r="130" spans="1:22" s="112" customFormat="1" ht="11.25" customHeight="1">
      <c r="A130" s="391">
        <v>107</v>
      </c>
      <c r="B130" s="393" t="s">
        <v>234</v>
      </c>
      <c r="C130" s="394" t="s">
        <v>98</v>
      </c>
      <c r="D130" s="321">
        <v>176140774.58000001</v>
      </c>
      <c r="E130" s="333">
        <f t="shared" si="53"/>
        <v>4.5884328696577711E-3</v>
      </c>
      <c r="F130" s="325">
        <v>110.17</v>
      </c>
      <c r="G130" s="325">
        <v>111.67</v>
      </c>
      <c r="H130" s="334">
        <v>7.9000000000000008E-3</v>
      </c>
      <c r="I130" s="334">
        <v>7.46E-2</v>
      </c>
      <c r="J130" s="321">
        <v>175803269.84999999</v>
      </c>
      <c r="K130" s="314">
        <f t="shared" si="54"/>
        <v>4.6675678330797728E-3</v>
      </c>
      <c r="L130" s="325">
        <v>110.74</v>
      </c>
      <c r="M130" s="325">
        <v>112.38</v>
      </c>
      <c r="N130" s="334">
        <v>-1.6999999999999999E-3</v>
      </c>
      <c r="O130" s="334">
        <v>7.2900000000000006E-2</v>
      </c>
      <c r="P130" s="329">
        <f t="shared" si="55"/>
        <v>-1.9161079017892613E-3</v>
      </c>
      <c r="Q130" s="329">
        <f t="shared" si="56"/>
        <v>6.3580191636070007E-3</v>
      </c>
      <c r="R130" s="329">
        <f t="shared" si="57"/>
        <v>-9.6000000000000009E-3</v>
      </c>
      <c r="S130" s="364">
        <f t="shared" si="58"/>
        <v>-1.6999999999999932E-3</v>
      </c>
    </row>
    <row r="131" spans="1:22" s="112" customFormat="1" ht="12" customHeight="1">
      <c r="A131" s="391">
        <v>108</v>
      </c>
      <c r="B131" s="393" t="s">
        <v>264</v>
      </c>
      <c r="C131" s="394" t="s">
        <v>168</v>
      </c>
      <c r="D131" s="326">
        <v>385946263.39999998</v>
      </c>
      <c r="E131" s="333">
        <f t="shared" si="53"/>
        <v>1.0053824988159399E-2</v>
      </c>
      <c r="F131" s="325">
        <v>1.2461</v>
      </c>
      <c r="G131" s="325">
        <v>1.2461</v>
      </c>
      <c r="H131" s="334">
        <v>1.0213868241970709</v>
      </c>
      <c r="I131" s="334">
        <v>0.43080118600576423</v>
      </c>
      <c r="J131" s="326">
        <v>386228069.60000002</v>
      </c>
      <c r="K131" s="314">
        <f t="shared" si="54"/>
        <v>1.0254335516259773E-2</v>
      </c>
      <c r="L131" s="325">
        <v>1.2254</v>
      </c>
      <c r="M131" s="325">
        <v>1.2254</v>
      </c>
      <c r="N131" s="334">
        <v>0.80249999999999999</v>
      </c>
      <c r="O131" s="334">
        <v>0.37940000000000002</v>
      </c>
      <c r="P131" s="329">
        <f t="shared" si="55"/>
        <v>7.3016952546054294E-4</v>
      </c>
      <c r="Q131" s="329">
        <f t="shared" si="56"/>
        <v>-1.6611828906187256E-2</v>
      </c>
      <c r="R131" s="329">
        <f t="shared" si="57"/>
        <v>-0.21888682419707095</v>
      </c>
      <c r="S131" s="364">
        <f t="shared" si="58"/>
        <v>-5.140118600576421E-2</v>
      </c>
    </row>
    <row r="132" spans="1:22" s="112" customFormat="1" ht="12" customHeight="1">
      <c r="A132" s="401">
        <v>109</v>
      </c>
      <c r="B132" s="393" t="s">
        <v>191</v>
      </c>
      <c r="C132" s="394" t="s">
        <v>185</v>
      </c>
      <c r="D132" s="325">
        <v>6082610356.5200005</v>
      </c>
      <c r="E132" s="333">
        <f t="shared" si="53"/>
        <v>0.1584508150354538</v>
      </c>
      <c r="F132" s="325">
        <v>249.58</v>
      </c>
      <c r="G132" s="325">
        <v>251.81</v>
      </c>
      <c r="H132" s="334">
        <v>3.9399999999999998E-2</v>
      </c>
      <c r="I132" s="334">
        <v>0.24979999999999999</v>
      </c>
      <c r="J132" s="325">
        <v>5930545895.3599997</v>
      </c>
      <c r="K132" s="314">
        <f t="shared" si="54"/>
        <v>0.15745569054206995</v>
      </c>
      <c r="L132" s="325">
        <v>243.23</v>
      </c>
      <c r="M132" s="325">
        <v>245.37</v>
      </c>
      <c r="N132" s="334">
        <v>-2.5499999999999998E-2</v>
      </c>
      <c r="O132" s="334">
        <v>0.218</v>
      </c>
      <c r="P132" s="329">
        <f t="shared" si="55"/>
        <v>-2.4999868846933726E-2</v>
      </c>
      <c r="Q132" s="329">
        <f t="shared" si="56"/>
        <v>-2.5574838171637335E-2</v>
      </c>
      <c r="R132" s="329">
        <f t="shared" si="57"/>
        <v>-6.4899999999999999E-2</v>
      </c>
      <c r="S132" s="364">
        <f t="shared" si="58"/>
        <v>-3.1799999999999995E-2</v>
      </c>
    </row>
    <row r="133" spans="1:22" s="112" customFormat="1" ht="12" customHeight="1">
      <c r="A133" s="399">
        <v>110</v>
      </c>
      <c r="B133" s="393" t="s">
        <v>181</v>
      </c>
      <c r="C133" s="394" t="s">
        <v>175</v>
      </c>
      <c r="D133" s="325">
        <v>2318917518.6300001</v>
      </c>
      <c r="E133" s="333">
        <f t="shared" si="53"/>
        <v>6.0407349688782828E-2</v>
      </c>
      <c r="F133" s="325">
        <v>1.5981000000000001</v>
      </c>
      <c r="G133" s="325">
        <v>1.6293</v>
      </c>
      <c r="H133" s="334">
        <v>1.8800000000000001E-2</v>
      </c>
      <c r="I133" s="334">
        <v>0.24349999999999999</v>
      </c>
      <c r="J133" s="325">
        <v>2229780457.5700002</v>
      </c>
      <c r="K133" s="314">
        <f t="shared" si="54"/>
        <v>5.9200557233455978E-2</v>
      </c>
      <c r="L133" s="325">
        <v>1.5401</v>
      </c>
      <c r="M133" s="325">
        <v>1.5694999999999999</v>
      </c>
      <c r="N133" s="334">
        <v>-3.6499999999999998E-2</v>
      </c>
      <c r="O133" s="334">
        <v>0.19800000000000001</v>
      </c>
      <c r="P133" s="329">
        <f t="shared" si="55"/>
        <v>-3.8439082176869095E-2</v>
      </c>
      <c r="Q133" s="329">
        <f t="shared" si="56"/>
        <v>-3.6702878536794992E-2</v>
      </c>
      <c r="R133" s="329">
        <f t="shared" si="57"/>
        <v>-5.5300000000000002E-2</v>
      </c>
      <c r="S133" s="364">
        <f t="shared" si="58"/>
        <v>-4.5499999999999985E-2</v>
      </c>
    </row>
    <row r="134" spans="1:22" s="112" customFormat="1" ht="12" customHeight="1">
      <c r="A134" s="402">
        <v>111</v>
      </c>
      <c r="B134" s="393" t="s">
        <v>256</v>
      </c>
      <c r="C134" s="394" t="s">
        <v>87</v>
      </c>
      <c r="D134" s="325">
        <v>195345782.74260604</v>
      </c>
      <c r="E134" s="333">
        <f t="shared" si="53"/>
        <v>5.0887195916020098E-3</v>
      </c>
      <c r="F134" s="325">
        <v>127.65</v>
      </c>
      <c r="G134" s="325">
        <v>132.24</v>
      </c>
      <c r="H134" s="334">
        <v>0.05</v>
      </c>
      <c r="I134" s="334">
        <v>0.06</v>
      </c>
      <c r="J134" s="325">
        <v>148091442.25760648</v>
      </c>
      <c r="K134" s="314">
        <f t="shared" si="54"/>
        <v>3.9318202262436167E-3</v>
      </c>
      <c r="L134" s="325">
        <v>96.74</v>
      </c>
      <c r="M134" s="325">
        <v>101.35</v>
      </c>
      <c r="N134" s="334">
        <v>3.3599999999999998E-2</v>
      </c>
      <c r="O134" s="334">
        <v>4.2999999999999997E-2</v>
      </c>
      <c r="P134" s="329">
        <f t="shared" si="55"/>
        <v>-0.24190100150389948</v>
      </c>
      <c r="Q134" s="329">
        <f t="shared" si="56"/>
        <v>-0.23359044162129472</v>
      </c>
      <c r="R134" s="329">
        <f t="shared" si="57"/>
        <v>-1.6400000000000005E-2</v>
      </c>
      <c r="S134" s="364">
        <f t="shared" si="58"/>
        <v>-1.7000000000000001E-2</v>
      </c>
    </row>
    <row r="135" spans="1:22" s="330" customFormat="1" ht="12" customHeight="1">
      <c r="A135" s="401">
        <v>112</v>
      </c>
      <c r="B135" s="393" t="s">
        <v>276</v>
      </c>
      <c r="C135" s="394" t="s">
        <v>243</v>
      </c>
      <c r="D135" s="326">
        <v>2589758591.8699999</v>
      </c>
      <c r="E135" s="333">
        <f t="shared" si="53"/>
        <v>6.7462706893104504E-2</v>
      </c>
      <c r="F135" s="325">
        <v>3.65</v>
      </c>
      <c r="G135" s="325">
        <v>3.73</v>
      </c>
      <c r="H135" s="334">
        <v>2.8799999999999999E-2</v>
      </c>
      <c r="I135" s="334">
        <v>0.15110000000000001</v>
      </c>
      <c r="J135" s="326">
        <v>2573525991.5100002</v>
      </c>
      <c r="K135" s="314">
        <f t="shared" si="54"/>
        <v>6.8326983598290605E-2</v>
      </c>
      <c r="L135" s="325">
        <v>3.63</v>
      </c>
      <c r="M135" s="325">
        <v>3.7</v>
      </c>
      <c r="N135" s="334">
        <v>-6.1999999999999998E-3</v>
      </c>
      <c r="O135" s="334">
        <v>0.1769</v>
      </c>
      <c r="P135" s="329">
        <f t="shared" ref="P135" si="59">((J135-D135)/D135)</f>
        <v>-6.2679974924915692E-3</v>
      </c>
      <c r="Q135" s="329">
        <f t="shared" ref="Q135" si="60">((M135-G135)/G135)</f>
        <v>-8.0428954423591974E-3</v>
      </c>
      <c r="R135" s="329">
        <f t="shared" ref="R135" si="61">N135-H135</f>
        <v>-3.4999999999999996E-2</v>
      </c>
      <c r="S135" s="364">
        <f t="shared" ref="S135" si="62">O135-I135</f>
        <v>2.579999999999999E-2</v>
      </c>
    </row>
    <row r="136" spans="1:22" s="112" customFormat="1" ht="12" customHeight="1">
      <c r="A136" s="399">
        <v>113</v>
      </c>
      <c r="B136" s="393" t="s">
        <v>129</v>
      </c>
      <c r="C136" s="394" t="s">
        <v>103</v>
      </c>
      <c r="D136" s="326">
        <v>175904632.83000001</v>
      </c>
      <c r="E136" s="333">
        <f t="shared" si="53"/>
        <v>4.5822814230652258E-3</v>
      </c>
      <c r="F136" s="325">
        <v>157.71996200000001</v>
      </c>
      <c r="G136" s="325">
        <v>161.906632</v>
      </c>
      <c r="H136" s="334">
        <v>7.7000000000000002E-3</v>
      </c>
      <c r="I136" s="334">
        <v>8.3500000000000005E-2</v>
      </c>
      <c r="J136" s="326">
        <v>175830110.49000001</v>
      </c>
      <c r="K136" s="314">
        <v>1.4052378000000001</v>
      </c>
      <c r="L136" s="325">
        <v>158.84189900000001</v>
      </c>
      <c r="M136" s="325">
        <v>163.17549700000001</v>
      </c>
      <c r="N136" s="334">
        <v>-1.09E-2</v>
      </c>
      <c r="O136" s="334">
        <v>8.3599999999999994E-2</v>
      </c>
      <c r="P136" s="329">
        <f t="shared" si="55"/>
        <v>-4.2365194594973742E-4</v>
      </c>
      <c r="Q136" s="329">
        <f t="shared" si="56"/>
        <v>7.8370168307868027E-3</v>
      </c>
      <c r="R136" s="329">
        <f t="shared" si="57"/>
        <v>-1.8599999999999998E-2</v>
      </c>
      <c r="S136" s="364">
        <f t="shared" si="58"/>
        <v>9.9999999999988987E-5</v>
      </c>
    </row>
    <row r="137" spans="1:22" s="112" customFormat="1" ht="12" customHeight="1">
      <c r="A137" s="402">
        <v>114</v>
      </c>
      <c r="B137" s="393" t="s">
        <v>27</v>
      </c>
      <c r="C137" s="394" t="s">
        <v>56</v>
      </c>
      <c r="D137" s="326">
        <v>1485644348</v>
      </c>
      <c r="E137" s="333">
        <f t="shared" si="53"/>
        <v>3.870074589622307E-2</v>
      </c>
      <c r="F137" s="325">
        <v>552.20000000000005</v>
      </c>
      <c r="G137" s="325">
        <v>552.20000000000005</v>
      </c>
      <c r="H137" s="334">
        <v>3.5400000000000001E-2</v>
      </c>
      <c r="I137" s="334">
        <v>0.29082999999999998</v>
      </c>
      <c r="J137" s="326">
        <v>1471050259</v>
      </c>
      <c r="K137" s="314">
        <f t="shared" ref="K137:K145" si="63">(J137/$J$146)</f>
        <v>3.9056309223432055E-2</v>
      </c>
      <c r="L137" s="325">
        <v>552.20000000000005</v>
      </c>
      <c r="M137" s="325">
        <v>552.20000000000005</v>
      </c>
      <c r="N137" s="334">
        <v>-9.7999999999999997E-3</v>
      </c>
      <c r="O137" s="334">
        <v>0.27815000000000001</v>
      </c>
      <c r="P137" s="329">
        <f t="shared" si="55"/>
        <v>-9.8234069409995836E-3</v>
      </c>
      <c r="Q137" s="329">
        <f t="shared" si="56"/>
        <v>0</v>
      </c>
      <c r="R137" s="329">
        <f t="shared" si="57"/>
        <v>-4.5200000000000004E-2</v>
      </c>
      <c r="S137" s="364">
        <f t="shared" si="58"/>
        <v>-1.2679999999999969E-2</v>
      </c>
      <c r="T137" s="224"/>
      <c r="U137" s="224"/>
      <c r="V137" s="111"/>
    </row>
    <row r="138" spans="1:22" s="112" customFormat="1" ht="12" customHeight="1">
      <c r="A138" s="402">
        <v>115</v>
      </c>
      <c r="B138" s="393" t="s">
        <v>187</v>
      </c>
      <c r="C138" s="394" t="s">
        <v>160</v>
      </c>
      <c r="D138" s="326">
        <v>23676755.789999999</v>
      </c>
      <c r="E138" s="333">
        <f t="shared" si="53"/>
        <v>6.1677487664478254E-4</v>
      </c>
      <c r="F138" s="325">
        <v>1.47</v>
      </c>
      <c r="G138" s="325">
        <v>1.47</v>
      </c>
      <c r="H138" s="334">
        <v>2.3369999999999998E-2</v>
      </c>
      <c r="I138" s="334">
        <v>0.213028</v>
      </c>
      <c r="J138" s="326">
        <v>22095331.98</v>
      </c>
      <c r="K138" s="314">
        <f t="shared" si="63"/>
        <v>5.8662993526264508E-4</v>
      </c>
      <c r="L138" s="325">
        <v>1.37</v>
      </c>
      <c r="M138" s="325">
        <v>1.47</v>
      </c>
      <c r="N138" s="334">
        <v>-6.6792000000000004E-2</v>
      </c>
      <c r="O138" s="334">
        <v>0.13200700000000001</v>
      </c>
      <c r="P138" s="329">
        <f t="shared" si="55"/>
        <v>-6.6792250763844985E-2</v>
      </c>
      <c r="Q138" s="329">
        <f t="shared" si="56"/>
        <v>0</v>
      </c>
      <c r="R138" s="329">
        <f t="shared" si="57"/>
        <v>-9.0162000000000006E-2</v>
      </c>
      <c r="S138" s="364">
        <f t="shared" si="58"/>
        <v>-8.1020999999999982E-2</v>
      </c>
      <c r="U138" s="219"/>
      <c r="V138" s="111"/>
    </row>
    <row r="139" spans="1:22" s="112" customFormat="1" ht="12" customHeight="1">
      <c r="A139" s="398">
        <v>116</v>
      </c>
      <c r="B139" s="393" t="s">
        <v>48</v>
      </c>
      <c r="C139" s="394" t="s">
        <v>90</v>
      </c>
      <c r="D139" s="325">
        <v>196352170.12</v>
      </c>
      <c r="E139" s="333">
        <f t="shared" si="53"/>
        <v>5.1149357867621252E-3</v>
      </c>
      <c r="F139" s="325">
        <v>1.99</v>
      </c>
      <c r="G139" s="325">
        <v>2.04</v>
      </c>
      <c r="H139" s="334">
        <v>0.01</v>
      </c>
      <c r="I139" s="334">
        <v>0.26860000000000001</v>
      </c>
      <c r="J139" s="325">
        <v>189969925.71000001</v>
      </c>
      <c r="K139" s="314">
        <f t="shared" si="63"/>
        <v>5.0436918224166368E-3</v>
      </c>
      <c r="L139" s="325">
        <v>1.99</v>
      </c>
      <c r="M139" s="325">
        <v>2.04</v>
      </c>
      <c r="N139" s="334">
        <v>0.01</v>
      </c>
      <c r="O139" s="334">
        <v>0.26860000000000001</v>
      </c>
      <c r="P139" s="329">
        <f t="shared" si="55"/>
        <v>-3.2504068613550374E-2</v>
      </c>
      <c r="Q139" s="329">
        <f t="shared" si="56"/>
        <v>0</v>
      </c>
      <c r="R139" s="329">
        <f t="shared" si="57"/>
        <v>0</v>
      </c>
      <c r="S139" s="364">
        <f t="shared" si="58"/>
        <v>0</v>
      </c>
    </row>
    <row r="140" spans="1:22" s="112" customFormat="1" ht="12" customHeight="1">
      <c r="A140" s="400">
        <v>117</v>
      </c>
      <c r="B140" s="393" t="s">
        <v>22</v>
      </c>
      <c r="C140" s="394" t="s">
        <v>5</v>
      </c>
      <c r="D140" s="326">
        <v>2012077007.03</v>
      </c>
      <c r="E140" s="333">
        <f t="shared" si="53"/>
        <v>5.2414214127041579E-2</v>
      </c>
      <c r="F140" s="325">
        <v>4458.17</v>
      </c>
      <c r="G140" s="325">
        <v>4494.57</v>
      </c>
      <c r="H140" s="334">
        <v>1.95E-2</v>
      </c>
      <c r="I140" s="334">
        <v>0.2223</v>
      </c>
      <c r="J140" s="326">
        <v>2006417954.49</v>
      </c>
      <c r="K140" s="333">
        <f t="shared" si="63"/>
        <v>5.3270294187825883E-2</v>
      </c>
      <c r="L140" s="325">
        <v>4435.03</v>
      </c>
      <c r="M140" s="325">
        <v>4468.29</v>
      </c>
      <c r="N140" s="334">
        <v>-5.7999999999999996E-3</v>
      </c>
      <c r="O140" s="334">
        <v>0.2152</v>
      </c>
      <c r="P140" s="329">
        <f t="shared" si="55"/>
        <v>-2.8125427208937764E-3</v>
      </c>
      <c r="Q140" s="329">
        <f t="shared" si="56"/>
        <v>-5.8470554469058772E-3</v>
      </c>
      <c r="R140" s="329">
        <f t="shared" si="57"/>
        <v>-2.53E-2</v>
      </c>
      <c r="S140" s="364">
        <f t="shared" si="58"/>
        <v>-7.0999999999999952E-3</v>
      </c>
      <c r="T140" s="111"/>
      <c r="V140" s="139"/>
    </row>
    <row r="141" spans="1:22" s="112" customFormat="1" ht="12" customHeight="1">
      <c r="A141" s="396">
        <v>118</v>
      </c>
      <c r="B141" s="393" t="s">
        <v>248</v>
      </c>
      <c r="C141" s="394" t="s">
        <v>246</v>
      </c>
      <c r="D141" s="321">
        <v>83674162.739999995</v>
      </c>
      <c r="E141" s="333">
        <f t="shared" si="53"/>
        <v>2.1796956415843049E-3</v>
      </c>
      <c r="F141" s="325">
        <v>121.2775</v>
      </c>
      <c r="G141" s="325">
        <v>121.6142</v>
      </c>
      <c r="H141" s="334">
        <v>0.1285</v>
      </c>
      <c r="I141" s="334">
        <v>0.17080000000000001</v>
      </c>
      <c r="J141" s="321">
        <v>82131148.260000005</v>
      </c>
      <c r="K141" s="314">
        <f t="shared" si="63"/>
        <v>2.1805777903867686E-3</v>
      </c>
      <c r="L141" s="325">
        <v>119.0467</v>
      </c>
      <c r="M141" s="325">
        <v>119.3642</v>
      </c>
      <c r="N141" s="334">
        <v>0.110278</v>
      </c>
      <c r="O141" s="334">
        <v>0.14929999999999999</v>
      </c>
      <c r="P141" s="329">
        <f t="shared" si="55"/>
        <v>-1.8440751953438542E-2</v>
      </c>
      <c r="Q141" s="329">
        <f t="shared" si="56"/>
        <v>-1.8501128980003979E-2</v>
      </c>
      <c r="R141" s="329">
        <f t="shared" si="57"/>
        <v>-1.8222000000000002E-2</v>
      </c>
      <c r="S141" s="364">
        <f t="shared" si="58"/>
        <v>-2.1500000000000019E-2</v>
      </c>
      <c r="T141" s="118"/>
      <c r="V141" s="139"/>
    </row>
    <row r="142" spans="1:22" s="112" customFormat="1" ht="12" customHeight="1">
      <c r="A142" s="401">
        <v>119</v>
      </c>
      <c r="B142" s="393" t="s">
        <v>74</v>
      </c>
      <c r="C142" s="394" t="s">
        <v>41</v>
      </c>
      <c r="D142" s="325">
        <v>1468915817.79</v>
      </c>
      <c r="E142" s="333">
        <f t="shared" si="53"/>
        <v>3.8264970942583562E-2</v>
      </c>
      <c r="F142" s="325">
        <v>1.6788000000000001</v>
      </c>
      <c r="G142" s="325">
        <v>1.6918</v>
      </c>
      <c r="H142" s="334">
        <v>3.3700000000000001E-2</v>
      </c>
      <c r="I142" s="334">
        <v>0.29749999999999999</v>
      </c>
      <c r="J142" s="325">
        <v>1456131764.45</v>
      </c>
      <c r="K142" s="314">
        <f t="shared" si="63"/>
        <v>3.8660223955285629E-2</v>
      </c>
      <c r="L142" s="325">
        <v>1.6637</v>
      </c>
      <c r="M142" s="325">
        <v>1.6752</v>
      </c>
      <c r="N142" s="334">
        <v>-8.9999999999999993E-3</v>
      </c>
      <c r="O142" s="334">
        <v>0.28649999999999998</v>
      </c>
      <c r="P142" s="329">
        <f t="shared" si="55"/>
        <v>-8.7030537660311019E-3</v>
      </c>
      <c r="Q142" s="329">
        <f t="shared" si="56"/>
        <v>-9.8120345194467121E-3</v>
      </c>
      <c r="R142" s="329">
        <f t="shared" si="57"/>
        <v>-4.2700000000000002E-2</v>
      </c>
      <c r="S142" s="364">
        <f t="shared" si="58"/>
        <v>-1.100000000000001E-2</v>
      </c>
      <c r="T142" s="111"/>
      <c r="V142" s="139"/>
    </row>
    <row r="143" spans="1:22" s="112" customFormat="1" ht="12" customHeight="1">
      <c r="A143" s="401">
        <v>120</v>
      </c>
      <c r="B143" s="393" t="s">
        <v>240</v>
      </c>
      <c r="C143" s="394" t="s">
        <v>41</v>
      </c>
      <c r="D143" s="325">
        <v>790796341.29999995</v>
      </c>
      <c r="E143" s="333">
        <f t="shared" si="53"/>
        <v>2.0600090662017713E-2</v>
      </c>
      <c r="F143" s="325">
        <v>1.3089999999999999</v>
      </c>
      <c r="G143" s="325">
        <v>1.3205</v>
      </c>
      <c r="H143" s="334">
        <v>4.2599999999999999E-2</v>
      </c>
      <c r="I143" s="334">
        <v>0.22120000000000001</v>
      </c>
      <c r="J143" s="325">
        <v>780261919.25999999</v>
      </c>
      <c r="K143" s="314">
        <f t="shared" si="63"/>
        <v>2.071591409433084E-2</v>
      </c>
      <c r="L143" s="325">
        <v>1.2919</v>
      </c>
      <c r="M143" s="325">
        <v>1.3035000000000001</v>
      </c>
      <c r="N143" s="334">
        <v>-1.3100000000000001E-2</v>
      </c>
      <c r="O143" s="334">
        <v>0.2064</v>
      </c>
      <c r="P143" s="329">
        <f t="shared" si="55"/>
        <v>-1.3321283230372936E-2</v>
      </c>
      <c r="Q143" s="329">
        <f t="shared" si="56"/>
        <v>-1.2873911397197959E-2</v>
      </c>
      <c r="R143" s="329">
        <f t="shared" si="57"/>
        <v>-5.57E-2</v>
      </c>
      <c r="S143" s="364">
        <f t="shared" si="58"/>
        <v>-1.4800000000000008E-2</v>
      </c>
      <c r="T143" s="111"/>
      <c r="U143" s="140"/>
      <c r="V143" s="139"/>
    </row>
    <row r="144" spans="1:22" s="312" customFormat="1" ht="12" customHeight="1">
      <c r="A144" s="396">
        <v>121</v>
      </c>
      <c r="B144" s="393" t="s">
        <v>158</v>
      </c>
      <c r="C144" s="394" t="s">
        <v>106</v>
      </c>
      <c r="D144" s="325">
        <v>6558331118.0200005</v>
      </c>
      <c r="E144" s="333">
        <f t="shared" si="53"/>
        <v>0.17084324821312119</v>
      </c>
      <c r="F144" s="325">
        <v>289.02</v>
      </c>
      <c r="G144" s="325">
        <v>295.64999999999998</v>
      </c>
      <c r="H144" s="334">
        <v>5.8599999999999999E-2</v>
      </c>
      <c r="I144" s="334">
        <v>0.54369999999999996</v>
      </c>
      <c r="J144" s="325">
        <v>6375096584.0699997</v>
      </c>
      <c r="K144" s="314">
        <f t="shared" si="63"/>
        <v>0.16925848861611417</v>
      </c>
      <c r="L144" s="325">
        <v>281.08</v>
      </c>
      <c r="M144" s="325">
        <v>287.31</v>
      </c>
      <c r="N144" s="334">
        <v>-2.7900000000000001E-2</v>
      </c>
      <c r="O144" s="334">
        <v>0.50239999999999996</v>
      </c>
      <c r="P144" s="329">
        <f t="shared" si="55"/>
        <v>-2.7939201399352395E-2</v>
      </c>
      <c r="Q144" s="329">
        <f t="shared" si="56"/>
        <v>-2.8209030948756892E-2</v>
      </c>
      <c r="R144" s="329">
        <f t="shared" si="57"/>
        <v>-8.6499999999999994E-2</v>
      </c>
      <c r="S144" s="364">
        <f t="shared" si="58"/>
        <v>-4.1300000000000003E-2</v>
      </c>
      <c r="T144" s="111"/>
      <c r="U144" s="313"/>
      <c r="V144" s="139"/>
    </row>
    <row r="145" spans="1:25" s="112" customFormat="1" ht="12" customHeight="1">
      <c r="A145" s="402">
        <v>122</v>
      </c>
      <c r="B145" s="393" t="s">
        <v>233</v>
      </c>
      <c r="C145" s="394" t="s">
        <v>9</v>
      </c>
      <c r="D145" s="326">
        <v>241534979.09</v>
      </c>
      <c r="E145" s="333">
        <f t="shared" si="53"/>
        <v>6.2919391598638807E-3</v>
      </c>
      <c r="F145" s="325">
        <v>184</v>
      </c>
      <c r="G145" s="325">
        <v>185.65</v>
      </c>
      <c r="H145" s="334">
        <v>3.1199999999999999E-2</v>
      </c>
      <c r="I145" s="334">
        <v>0.2661</v>
      </c>
      <c r="J145" s="326">
        <v>252853655.27000001</v>
      </c>
      <c r="K145" s="314">
        <f t="shared" si="63"/>
        <v>6.713251629630562E-3</v>
      </c>
      <c r="L145" s="325">
        <v>193.3</v>
      </c>
      <c r="M145" s="325">
        <v>196.73</v>
      </c>
      <c r="N145" s="334">
        <v>3.1199999999999999E-2</v>
      </c>
      <c r="O145" s="334">
        <v>0.2661</v>
      </c>
      <c r="P145" s="329">
        <f t="shared" si="55"/>
        <v>4.686143689267664E-2</v>
      </c>
      <c r="Q145" s="329">
        <f t="shared" si="56"/>
        <v>5.968219768381354E-2</v>
      </c>
      <c r="R145" s="329">
        <f t="shared" si="57"/>
        <v>0</v>
      </c>
      <c r="S145" s="364">
        <f t="shared" si="58"/>
        <v>0</v>
      </c>
      <c r="T145" s="111"/>
      <c r="U145" s="140"/>
      <c r="V145" s="139"/>
    </row>
    <row r="146" spans="1:25" s="112" customFormat="1" ht="12" customHeight="1">
      <c r="A146" s="290"/>
      <c r="C146" s="244" t="s">
        <v>42</v>
      </c>
      <c r="D146" s="216">
        <f>SUM(D122:D145)</f>
        <v>38388002959.524063</v>
      </c>
      <c r="E146" s="262">
        <f>(D146/$D$168)</f>
        <v>2.0184554619969586E-2</v>
      </c>
      <c r="F146" s="264"/>
      <c r="G146" s="183"/>
      <c r="H146" s="277"/>
      <c r="I146" s="277"/>
      <c r="J146" s="216">
        <f>SUM(J122:J145)</f>
        <v>37664855902.908386</v>
      </c>
      <c r="K146" s="262">
        <f>(J146/$J$168)</f>
        <v>1.9592133798396923E-2</v>
      </c>
      <c r="L146" s="264"/>
      <c r="M146" s="183"/>
      <c r="N146" s="277"/>
      <c r="O146" s="277"/>
      <c r="P146" s="266">
        <f t="shared" ref="P146" si="64">((J146-D146)/D146)</f>
        <v>-1.8837839972507976E-2</v>
      </c>
      <c r="Q146" s="266"/>
      <c r="R146" s="266">
        <f t="shared" ref="R146:S146" si="65">N146-H146</f>
        <v>0</v>
      </c>
      <c r="S146" s="364">
        <f t="shared" si="65"/>
        <v>0</v>
      </c>
      <c r="T146" s="111"/>
      <c r="U146" s="140"/>
      <c r="V146" s="139"/>
    </row>
    <row r="147" spans="1:25" s="112" customFormat="1" ht="5.25" customHeight="1">
      <c r="A147" s="409"/>
      <c r="B147" s="410"/>
      <c r="C147" s="411"/>
      <c r="D147" s="411"/>
      <c r="E147" s="411"/>
      <c r="F147" s="411"/>
      <c r="G147" s="411"/>
      <c r="H147" s="411"/>
      <c r="I147" s="411"/>
      <c r="J147" s="411"/>
      <c r="K147" s="411"/>
      <c r="L147" s="411"/>
      <c r="M147" s="411"/>
      <c r="N147" s="411"/>
      <c r="O147" s="411"/>
      <c r="P147" s="411"/>
      <c r="Q147" s="411"/>
      <c r="R147" s="411"/>
      <c r="S147" s="424"/>
      <c r="T147" s="111"/>
      <c r="U147" s="140"/>
      <c r="V147" s="139"/>
    </row>
    <row r="148" spans="1:25" s="112" customFormat="1" ht="12" customHeight="1">
      <c r="A148" s="416" t="s">
        <v>66</v>
      </c>
      <c r="B148" s="417"/>
      <c r="C148" s="418"/>
      <c r="D148" s="418"/>
      <c r="E148" s="418"/>
      <c r="F148" s="418"/>
      <c r="G148" s="418"/>
      <c r="H148" s="418"/>
      <c r="I148" s="418"/>
      <c r="J148" s="418"/>
      <c r="K148" s="418"/>
      <c r="L148" s="418"/>
      <c r="M148" s="418"/>
      <c r="N148" s="418"/>
      <c r="O148" s="418"/>
      <c r="P148" s="418"/>
      <c r="Q148" s="418"/>
      <c r="R148" s="418"/>
      <c r="S148" s="419"/>
      <c r="U148" s="141"/>
      <c r="V148" s="139"/>
    </row>
    <row r="149" spans="1:25" s="112" customFormat="1" ht="12" customHeight="1">
      <c r="A149" s="400">
        <v>123</v>
      </c>
      <c r="B149" s="393" t="s">
        <v>26</v>
      </c>
      <c r="C149" s="394" t="s">
        <v>6</v>
      </c>
      <c r="D149" s="322">
        <v>633499516.47000003</v>
      </c>
      <c r="E149" s="333">
        <f>(D149/$D$152)</f>
        <v>0.17193793345299008</v>
      </c>
      <c r="F149" s="322">
        <v>48.5017</v>
      </c>
      <c r="G149" s="322">
        <v>49.963999999999999</v>
      </c>
      <c r="H149" s="315">
        <v>0.44600000000000001</v>
      </c>
      <c r="I149" s="315">
        <v>0.12509999999999999</v>
      </c>
      <c r="J149" s="322">
        <v>672688341.98000002</v>
      </c>
      <c r="K149" s="314">
        <f>(J149/$J$152)</f>
        <v>0.18182957727136775</v>
      </c>
      <c r="L149" s="322">
        <v>48.329000000000001</v>
      </c>
      <c r="M149" s="322">
        <v>49.786200000000001</v>
      </c>
      <c r="N149" s="315">
        <v>-0.18559999999999999</v>
      </c>
      <c r="O149" s="315">
        <v>0.1135</v>
      </c>
      <c r="P149" s="329">
        <f>((J149-D149)/D149)</f>
        <v>6.186086096540188E-2</v>
      </c>
      <c r="Q149" s="329">
        <f>((M149-G149)/G149)</f>
        <v>-3.5585621647585808E-3</v>
      </c>
      <c r="R149" s="329">
        <f t="shared" ref="R149:S151" si="66">N149-H149</f>
        <v>-0.63159999999999994</v>
      </c>
      <c r="S149" s="364">
        <f t="shared" si="66"/>
        <v>-1.1599999999999985E-2</v>
      </c>
      <c r="U149" s="113"/>
      <c r="V149" s="139"/>
    </row>
    <row r="150" spans="1:25" s="112" customFormat="1" ht="11.25" customHeight="1">
      <c r="A150" s="399">
        <v>124</v>
      </c>
      <c r="B150" s="393" t="s">
        <v>242</v>
      </c>
      <c r="C150" s="394" t="s">
        <v>190</v>
      </c>
      <c r="D150" s="321">
        <v>734771784.5</v>
      </c>
      <c r="E150" s="333">
        <f>(D150/$D$152)</f>
        <v>0.1994242124926365</v>
      </c>
      <c r="F150" s="322">
        <v>18.441700000000001</v>
      </c>
      <c r="G150" s="322">
        <v>18.632400000000001</v>
      </c>
      <c r="H150" s="334">
        <v>-3.0000000000000001E-3</v>
      </c>
      <c r="I150" s="334">
        <v>0.16689999999999999</v>
      </c>
      <c r="J150" s="321">
        <v>733076612.84000003</v>
      </c>
      <c r="K150" s="314">
        <f t="shared" ref="K150:K151" si="67">(J150/$J$152)</f>
        <v>0.19815269910562294</v>
      </c>
      <c r="L150" s="322">
        <v>19.2774</v>
      </c>
      <c r="M150" s="322">
        <v>20.182600000000001</v>
      </c>
      <c r="N150" s="334">
        <v>2.52E-2</v>
      </c>
      <c r="O150" s="334">
        <v>0.24199999999999999</v>
      </c>
      <c r="P150" s="329">
        <f>((J150-D150)/D150)</f>
        <v>-2.3070723396836786E-3</v>
      </c>
      <c r="Q150" s="109">
        <f>((M150-G150)/G150)</f>
        <v>8.3199158455164138E-2</v>
      </c>
      <c r="R150" s="329">
        <f t="shared" si="66"/>
        <v>2.8199999999999999E-2</v>
      </c>
      <c r="S150" s="364">
        <f t="shared" si="66"/>
        <v>7.51E-2</v>
      </c>
    </row>
    <row r="151" spans="1:25" s="112" customFormat="1" ht="12" customHeight="1">
      <c r="A151" s="400">
        <v>125</v>
      </c>
      <c r="B151" s="393" t="s">
        <v>25</v>
      </c>
      <c r="C151" s="394" t="s">
        <v>5</v>
      </c>
      <c r="D151" s="321">
        <v>2316194969.7800002</v>
      </c>
      <c r="E151" s="333">
        <f>(D151/$D$152)</f>
        <v>0.62863785405437345</v>
      </c>
      <c r="F151" s="322">
        <v>1.87</v>
      </c>
      <c r="G151" s="322">
        <v>1.89</v>
      </c>
      <c r="H151" s="334">
        <v>3.4099999999999998E-2</v>
      </c>
      <c r="I151" s="334">
        <v>0.26390000000000002</v>
      </c>
      <c r="J151" s="321">
        <v>2293789056.5500002</v>
      </c>
      <c r="K151" s="314">
        <f t="shared" si="67"/>
        <v>0.62001772362300922</v>
      </c>
      <c r="L151" s="322">
        <v>1.84</v>
      </c>
      <c r="M151" s="322">
        <v>1.84</v>
      </c>
      <c r="N151" s="334">
        <v>-1.5900000000000001E-2</v>
      </c>
      <c r="O151" s="334">
        <v>0.29170000000000001</v>
      </c>
      <c r="P151" s="329">
        <f>((J151-D151)/D151)</f>
        <v>-9.6735868622183415E-3</v>
      </c>
      <c r="Q151" s="329">
        <f>((M151-G151)/G151)</f>
        <v>-2.6455026455026363E-2</v>
      </c>
      <c r="R151" s="329">
        <f t="shared" si="66"/>
        <v>-0.05</v>
      </c>
      <c r="S151" s="364">
        <f t="shared" si="66"/>
        <v>2.7799999999999991E-2</v>
      </c>
      <c r="W151" s="181"/>
      <c r="X151" s="182"/>
      <c r="Y151" s="110"/>
    </row>
    <row r="152" spans="1:25" s="112" customFormat="1" ht="12.75" customHeight="1">
      <c r="A152" s="214"/>
      <c r="C152" s="286" t="s">
        <v>42</v>
      </c>
      <c r="D152" s="216">
        <f>SUM(D149:D151)</f>
        <v>3684466270.75</v>
      </c>
      <c r="E152" s="262">
        <f>(D152/$D$168)</f>
        <v>1.9373060579838783E-3</v>
      </c>
      <c r="F152" s="11"/>
      <c r="G152" s="11"/>
      <c r="H152" s="276"/>
      <c r="I152" s="276"/>
      <c r="J152" s="216">
        <f>SUM(J149:J151)</f>
        <v>3699554011.3700004</v>
      </c>
      <c r="K152" s="262">
        <f>(J152/$J$168)</f>
        <v>1.9243975702973606E-3</v>
      </c>
      <c r="L152" s="264"/>
      <c r="M152" s="183"/>
      <c r="N152" s="277"/>
      <c r="O152" s="277"/>
      <c r="P152" s="266">
        <f>((J152-D152)/D152)</f>
        <v>4.0949596254355571E-3</v>
      </c>
      <c r="Q152" s="266"/>
      <c r="R152" s="266">
        <f>N152-H152</f>
        <v>0</v>
      </c>
      <c r="S152" s="364">
        <f t="shared" ref="S152" si="68">O152-I152</f>
        <v>0</v>
      </c>
      <c r="V152" s="111"/>
    </row>
    <row r="153" spans="1:25" s="112" customFormat="1" ht="4.5" customHeight="1">
      <c r="A153" s="409"/>
      <c r="B153" s="410"/>
      <c r="C153" s="411"/>
      <c r="D153" s="411"/>
      <c r="E153" s="411"/>
      <c r="F153" s="411"/>
      <c r="G153" s="411"/>
      <c r="H153" s="411"/>
      <c r="I153" s="411"/>
      <c r="J153" s="411"/>
      <c r="K153" s="411"/>
      <c r="L153" s="411"/>
      <c r="M153" s="411"/>
      <c r="N153" s="411"/>
      <c r="O153" s="411"/>
      <c r="P153" s="411"/>
      <c r="Q153" s="411"/>
      <c r="R153" s="411"/>
      <c r="S153" s="424"/>
      <c r="V153" s="111"/>
    </row>
    <row r="154" spans="1:25" s="112" customFormat="1" ht="12.75" customHeight="1">
      <c r="A154" s="416" t="s">
        <v>198</v>
      </c>
      <c r="B154" s="417"/>
      <c r="C154" s="418"/>
      <c r="D154" s="418"/>
      <c r="E154" s="418"/>
      <c r="F154" s="418"/>
      <c r="G154" s="418"/>
      <c r="H154" s="418"/>
      <c r="I154" s="418"/>
      <c r="J154" s="418"/>
      <c r="K154" s="418"/>
      <c r="L154" s="418"/>
      <c r="M154" s="418"/>
      <c r="N154" s="418"/>
      <c r="O154" s="418"/>
      <c r="P154" s="418"/>
      <c r="Q154" s="418"/>
      <c r="R154" s="418"/>
      <c r="S154" s="419"/>
      <c r="V154" s="111"/>
    </row>
    <row r="155" spans="1:25" s="112" customFormat="1" ht="12.75" customHeight="1">
      <c r="A155" s="420" t="s">
        <v>199</v>
      </c>
      <c r="B155" s="421"/>
      <c r="C155" s="422"/>
      <c r="D155" s="422"/>
      <c r="E155" s="422"/>
      <c r="F155" s="422"/>
      <c r="G155" s="422"/>
      <c r="H155" s="422"/>
      <c r="I155" s="422"/>
      <c r="J155" s="422"/>
      <c r="K155" s="422"/>
      <c r="L155" s="422"/>
      <c r="M155" s="422"/>
      <c r="N155" s="422"/>
      <c r="O155" s="422"/>
      <c r="P155" s="422"/>
      <c r="Q155" s="422"/>
      <c r="R155" s="422"/>
      <c r="S155" s="423"/>
      <c r="V155" s="111"/>
    </row>
    <row r="156" spans="1:25" s="112" customFormat="1" ht="12" customHeight="1">
      <c r="A156" s="401">
        <v>126</v>
      </c>
      <c r="B156" s="393" t="s">
        <v>128</v>
      </c>
      <c r="C156" s="394" t="s">
        <v>23</v>
      </c>
      <c r="D156" s="316">
        <v>3571567897.8600001</v>
      </c>
      <c r="E156" s="333">
        <f>(D156/$D$167)</f>
        <v>0.13561769843611865</v>
      </c>
      <c r="F156" s="317">
        <v>1.75</v>
      </c>
      <c r="G156" s="317">
        <v>1.78</v>
      </c>
      <c r="H156" s="320">
        <v>-5.4999999999999997E-3</v>
      </c>
      <c r="I156" s="320">
        <v>9.74E-2</v>
      </c>
      <c r="J156" s="316">
        <v>3597174843.0900002</v>
      </c>
      <c r="K156" s="333">
        <f>(J156/$J$167)</f>
        <v>0.13239746130227745</v>
      </c>
      <c r="L156" s="317">
        <v>1.76</v>
      </c>
      <c r="M156" s="317">
        <v>1.8</v>
      </c>
      <c r="N156" s="320">
        <v>7.4000000000000003E-3</v>
      </c>
      <c r="O156" s="320">
        <v>0.10539999999999999</v>
      </c>
      <c r="P156" s="109">
        <f>((J156-D156)/D156)</f>
        <v>7.1696649657264251E-3</v>
      </c>
      <c r="Q156" s="109">
        <f>((M156-G156)/G156)</f>
        <v>1.1235955056179785E-2</v>
      </c>
      <c r="R156" s="329">
        <f>N156-H156</f>
        <v>1.29E-2</v>
      </c>
      <c r="S156" s="364">
        <f t="shared" ref="S156:S157" si="69">O156-I156</f>
        <v>7.9999999999999932E-3</v>
      </c>
      <c r="V156" s="111"/>
    </row>
    <row r="157" spans="1:25" s="112" customFormat="1" ht="12.75" customHeight="1">
      <c r="A157" s="400">
        <v>127</v>
      </c>
      <c r="B157" s="393" t="s">
        <v>65</v>
      </c>
      <c r="C157" s="394" t="s">
        <v>5</v>
      </c>
      <c r="D157" s="316">
        <v>404814304.69999999</v>
      </c>
      <c r="E157" s="333">
        <f>(D157/$D$167)</f>
        <v>1.5371395943592849E-2</v>
      </c>
      <c r="F157" s="317">
        <v>327.08999999999997</v>
      </c>
      <c r="G157" s="317">
        <v>331.03</v>
      </c>
      <c r="H157" s="320">
        <v>2.92E-2</v>
      </c>
      <c r="I157" s="320">
        <v>0.24690000000000001</v>
      </c>
      <c r="J157" s="316">
        <v>418305013.39999998</v>
      </c>
      <c r="K157" s="333">
        <f>(J157/$J$167)</f>
        <v>1.5396116185612247E-2</v>
      </c>
      <c r="L157" s="317">
        <v>327.08999999999997</v>
      </c>
      <c r="M157" s="317">
        <v>335.29</v>
      </c>
      <c r="N157" s="320">
        <v>1.29E-2</v>
      </c>
      <c r="O157" s="320">
        <v>0.26290000000000002</v>
      </c>
      <c r="P157" s="329">
        <f>((J157-D157)/D157)</f>
        <v>3.3325671902818974E-2</v>
      </c>
      <c r="Q157" s="329">
        <f>((M157-G157)/G157)</f>
        <v>1.2868924266682923E-2</v>
      </c>
      <c r="R157" s="329">
        <f>N157-H157</f>
        <v>-1.6300000000000002E-2</v>
      </c>
      <c r="S157" s="364">
        <f t="shared" si="69"/>
        <v>1.6000000000000014E-2</v>
      </c>
      <c r="T157" s="188"/>
    </row>
    <row r="158" spans="1:25" s="112" customFormat="1" ht="6" customHeight="1">
      <c r="A158" s="409"/>
      <c r="B158" s="410"/>
      <c r="C158" s="411"/>
      <c r="D158" s="411"/>
      <c r="E158" s="411"/>
      <c r="F158" s="411"/>
      <c r="G158" s="411"/>
      <c r="H158" s="411"/>
      <c r="I158" s="411"/>
      <c r="J158" s="411"/>
      <c r="K158" s="411"/>
      <c r="L158" s="411"/>
      <c r="M158" s="411"/>
      <c r="N158" s="411"/>
      <c r="O158" s="411"/>
      <c r="P158" s="411"/>
      <c r="Q158" s="411"/>
      <c r="R158" s="411"/>
      <c r="S158" s="424"/>
      <c r="T158" s="188"/>
    </row>
    <row r="159" spans="1:25" s="112" customFormat="1" ht="12" customHeight="1">
      <c r="A159" s="420" t="s">
        <v>200</v>
      </c>
      <c r="B159" s="421"/>
      <c r="C159" s="422"/>
      <c r="D159" s="422"/>
      <c r="E159" s="422"/>
      <c r="F159" s="422"/>
      <c r="G159" s="422"/>
      <c r="H159" s="422"/>
      <c r="I159" s="422"/>
      <c r="J159" s="422"/>
      <c r="K159" s="422"/>
      <c r="L159" s="422"/>
      <c r="M159" s="422"/>
      <c r="N159" s="422"/>
      <c r="O159" s="422"/>
      <c r="P159" s="422"/>
      <c r="Q159" s="422"/>
      <c r="R159" s="422"/>
      <c r="S159" s="423"/>
      <c r="T159" s="188"/>
    </row>
    <row r="160" spans="1:25" s="112" customFormat="1" ht="12" customHeight="1">
      <c r="A160" s="402">
        <v>128</v>
      </c>
      <c r="B160" s="393" t="s">
        <v>228</v>
      </c>
      <c r="C160" s="394" t="s">
        <v>229</v>
      </c>
      <c r="D160" s="326">
        <v>472322105.30000001</v>
      </c>
      <c r="E160" s="333">
        <f t="shared" ref="E160:E166" si="70">(D160/$D$167)</f>
        <v>1.7934766655190421E-2</v>
      </c>
      <c r="F160" s="326">
        <v>1035.0899999999999</v>
      </c>
      <c r="G160" s="326">
        <v>1035.0899999999999</v>
      </c>
      <c r="H160" s="334">
        <v>3.5099999999999999E-2</v>
      </c>
      <c r="I160" s="334">
        <v>-1.1299999999999999E-2</v>
      </c>
      <c r="J160" s="326">
        <v>473314335.79000002</v>
      </c>
      <c r="K160" s="333">
        <f t="shared" ref="K160:K166" si="71">(J160/$J$167)</f>
        <v>1.7420786920309787E-2</v>
      </c>
      <c r="L160" s="326">
        <v>1040.9100000000001</v>
      </c>
      <c r="M160" s="326">
        <v>1040.9100000000001</v>
      </c>
      <c r="N160" s="334">
        <v>4.0899999999999999E-2</v>
      </c>
      <c r="O160" s="334">
        <v>5.7999999999999996E-3</v>
      </c>
      <c r="P160" s="329">
        <f t="shared" ref="P160:P166" si="72">((J160-D160)/D160)</f>
        <v>2.1007496343407104E-3</v>
      </c>
      <c r="Q160" s="329">
        <f t="shared" ref="Q160:Q166" si="73">((M160-G160)/G160)</f>
        <v>5.6226994754080941E-3</v>
      </c>
      <c r="R160" s="329">
        <f t="shared" ref="R160:S166" si="74">N160-H160</f>
        <v>5.7999999999999996E-3</v>
      </c>
      <c r="S160" s="364">
        <f t="shared" si="74"/>
        <v>1.7099999999999997E-2</v>
      </c>
      <c r="T160" s="188"/>
    </row>
    <row r="161" spans="1:20" s="112" customFormat="1" ht="12" customHeight="1">
      <c r="A161" s="401">
        <v>129</v>
      </c>
      <c r="B161" s="393" t="s">
        <v>231</v>
      </c>
      <c r="C161" s="394" t="s">
        <v>88</v>
      </c>
      <c r="D161" s="326">
        <v>62216341.759999998</v>
      </c>
      <c r="E161" s="333">
        <f t="shared" si="70"/>
        <v>2.3624462185534286E-3</v>
      </c>
      <c r="F161" s="326">
        <v>103.99</v>
      </c>
      <c r="G161" s="326">
        <v>103.99</v>
      </c>
      <c r="H161" s="334">
        <v>1E-3</v>
      </c>
      <c r="I161" s="334">
        <v>5.7599999999999998E-2</v>
      </c>
      <c r="J161" s="326">
        <v>55587448.630000003</v>
      </c>
      <c r="K161" s="333">
        <f t="shared" si="71"/>
        <v>2.0459492240195859E-3</v>
      </c>
      <c r="L161" s="326">
        <v>104.09</v>
      </c>
      <c r="M161" s="326">
        <v>104.09</v>
      </c>
      <c r="N161" s="334">
        <v>1E-3</v>
      </c>
      <c r="O161" s="334">
        <v>5.74E-2</v>
      </c>
      <c r="P161" s="329">
        <f t="shared" si="72"/>
        <v>-0.10654585182090905</v>
      </c>
      <c r="Q161" s="329">
        <f t="shared" si="73"/>
        <v>9.6163092605066388E-4</v>
      </c>
      <c r="R161" s="329">
        <f t="shared" si="74"/>
        <v>0</v>
      </c>
      <c r="S161" s="364">
        <f t="shared" si="74"/>
        <v>-1.9999999999999879E-4</v>
      </c>
      <c r="T161" s="188"/>
    </row>
    <row r="162" spans="1:20" s="112" customFormat="1" ht="12" customHeight="1">
      <c r="A162" s="391">
        <v>130</v>
      </c>
      <c r="B162" s="395" t="s">
        <v>235</v>
      </c>
      <c r="C162" s="394" t="s">
        <v>98</v>
      </c>
      <c r="D162" s="321">
        <v>52643503.560000002</v>
      </c>
      <c r="E162" s="333">
        <f t="shared" si="70"/>
        <v>1.9989514394220462E-3</v>
      </c>
      <c r="F162" s="322">
        <v>101.06</v>
      </c>
      <c r="G162" s="322">
        <v>105.8</v>
      </c>
      <c r="H162" s="334">
        <v>2E-3</v>
      </c>
      <c r="I162" s="334">
        <v>4.53E-2</v>
      </c>
      <c r="J162" s="321">
        <v>52753022.439999998</v>
      </c>
      <c r="K162" s="333">
        <f t="shared" si="71"/>
        <v>1.9416254565703709E-3</v>
      </c>
      <c r="L162" s="322">
        <v>101.33</v>
      </c>
      <c r="M162" s="322">
        <v>106.3</v>
      </c>
      <c r="N162" s="334">
        <v>2E-3</v>
      </c>
      <c r="O162" s="334">
        <v>4.7300000000000002E-2</v>
      </c>
      <c r="P162" s="329">
        <f t="shared" si="72"/>
        <v>2.0803873715428529E-3</v>
      </c>
      <c r="Q162" s="329">
        <f t="shared" si="73"/>
        <v>4.725897920604915E-3</v>
      </c>
      <c r="R162" s="329">
        <f t="shared" si="74"/>
        <v>0</v>
      </c>
      <c r="S162" s="364">
        <f t="shared" si="74"/>
        <v>2.0000000000000018E-3</v>
      </c>
      <c r="T162" s="188"/>
    </row>
    <row r="163" spans="1:20" s="112" customFormat="1" ht="12" customHeight="1">
      <c r="A163" s="401">
        <v>131</v>
      </c>
      <c r="B163" s="393" t="s">
        <v>186</v>
      </c>
      <c r="C163" s="394" t="s">
        <v>185</v>
      </c>
      <c r="D163" s="326">
        <v>9267051719.9599991</v>
      </c>
      <c r="E163" s="333">
        <f t="shared" si="70"/>
        <v>0.35188361568107962</v>
      </c>
      <c r="F163" s="322">
        <v>130.59</v>
      </c>
      <c r="G163" s="322">
        <v>130.59</v>
      </c>
      <c r="H163" s="334">
        <v>2.3E-3</v>
      </c>
      <c r="I163" s="334">
        <v>0.12759999999999999</v>
      </c>
      <c r="J163" s="326">
        <v>9886200568.7700005</v>
      </c>
      <c r="K163" s="333">
        <f t="shared" si="71"/>
        <v>0.36387106947126258</v>
      </c>
      <c r="L163" s="322">
        <v>130.9</v>
      </c>
      <c r="M163" s="322">
        <v>130.9</v>
      </c>
      <c r="N163" s="334">
        <v>2.3999999999999998E-3</v>
      </c>
      <c r="O163" s="334">
        <v>0.13009999999999999</v>
      </c>
      <c r="P163" s="329">
        <f t="shared" si="72"/>
        <v>6.6811847772084515E-2</v>
      </c>
      <c r="Q163" s="329">
        <f t="shared" si="73"/>
        <v>2.3738417949307165E-3</v>
      </c>
      <c r="R163" s="329">
        <f t="shared" si="74"/>
        <v>9.9999999999999829E-5</v>
      </c>
      <c r="S163" s="364">
        <f t="shared" si="74"/>
        <v>2.5000000000000022E-3</v>
      </c>
      <c r="T163" s="188"/>
    </row>
    <row r="164" spans="1:20" s="112" customFormat="1" ht="12" customHeight="1">
      <c r="A164" s="392">
        <v>132</v>
      </c>
      <c r="B164" s="393" t="s">
        <v>173</v>
      </c>
      <c r="C164" s="394" t="s">
        <v>172</v>
      </c>
      <c r="D164" s="326">
        <v>526813156.19999999</v>
      </c>
      <c r="E164" s="333">
        <f t="shared" si="70"/>
        <v>2.0003872190843621E-2</v>
      </c>
      <c r="F164" s="327">
        <v>101.73</v>
      </c>
      <c r="G164" s="327">
        <v>101.73</v>
      </c>
      <c r="H164" s="334">
        <v>1.8700000000000001E-2</v>
      </c>
      <c r="I164" s="334">
        <v>5.1499999999999997E-2</v>
      </c>
      <c r="J164" s="326">
        <v>570372899.35000002</v>
      </c>
      <c r="K164" s="333">
        <f t="shared" si="71"/>
        <v>2.099312020226703E-2</v>
      </c>
      <c r="L164" s="327">
        <v>101.92</v>
      </c>
      <c r="M164" s="327">
        <v>101.92</v>
      </c>
      <c r="N164" s="334">
        <v>1.9E-3</v>
      </c>
      <c r="O164" s="334">
        <v>5.3400000000000003E-2</v>
      </c>
      <c r="P164" s="329">
        <f t="shared" si="72"/>
        <v>8.2685374572276177E-2</v>
      </c>
      <c r="Q164" s="329">
        <f t="shared" si="73"/>
        <v>1.8676889806349918E-3</v>
      </c>
      <c r="R164" s="329">
        <f t="shared" si="74"/>
        <v>-1.6800000000000002E-2</v>
      </c>
      <c r="S164" s="364">
        <f t="shared" si="74"/>
        <v>1.9000000000000059E-3</v>
      </c>
      <c r="T164" s="188"/>
    </row>
    <row r="165" spans="1:20" s="318" customFormat="1" ht="12" customHeight="1">
      <c r="A165" s="400">
        <v>133</v>
      </c>
      <c r="B165" s="393" t="s">
        <v>130</v>
      </c>
      <c r="C165" s="394" t="s">
        <v>5</v>
      </c>
      <c r="D165" s="326">
        <v>8371419868.3999996</v>
      </c>
      <c r="E165" s="333">
        <f t="shared" si="70"/>
        <v>0.31787515389951176</v>
      </c>
      <c r="F165" s="327">
        <v>124.68</v>
      </c>
      <c r="G165" s="327">
        <v>124.68</v>
      </c>
      <c r="H165" s="334">
        <v>8.0000000000000004E-4</v>
      </c>
      <c r="I165" s="334">
        <v>3.0200000000000001E-2</v>
      </c>
      <c r="J165" s="326">
        <v>8371419868.3999996</v>
      </c>
      <c r="K165" s="333">
        <f t="shared" si="71"/>
        <v>0.30811811669391098</v>
      </c>
      <c r="L165" s="327">
        <v>124.68</v>
      </c>
      <c r="M165" s="327">
        <v>124.68</v>
      </c>
      <c r="N165" s="334">
        <v>8.0000000000000004E-4</v>
      </c>
      <c r="O165" s="334">
        <v>3.1099999999999999E-2</v>
      </c>
      <c r="P165" s="329">
        <f t="shared" si="72"/>
        <v>0</v>
      </c>
      <c r="Q165" s="329">
        <f t="shared" si="73"/>
        <v>0</v>
      </c>
      <c r="R165" s="329">
        <f t="shared" si="74"/>
        <v>0</v>
      </c>
      <c r="S165" s="364">
        <f t="shared" si="74"/>
        <v>8.9999999999999802E-4</v>
      </c>
      <c r="T165" s="319"/>
    </row>
    <row r="166" spans="1:20" s="112" customFormat="1" ht="12" customHeight="1">
      <c r="A166" s="401">
        <v>134</v>
      </c>
      <c r="B166" s="393" t="s">
        <v>164</v>
      </c>
      <c r="C166" s="394" t="s">
        <v>41</v>
      </c>
      <c r="D166" s="326">
        <v>3606710096.7399998</v>
      </c>
      <c r="E166" s="333">
        <f t="shared" si="70"/>
        <v>0.13695209953568771</v>
      </c>
      <c r="F166" s="327">
        <v>1.1251</v>
      </c>
      <c r="G166" s="327">
        <v>1.1251</v>
      </c>
      <c r="H166" s="334">
        <v>9.2100000000000001E-2</v>
      </c>
      <c r="I166" s="334">
        <v>0.128</v>
      </c>
      <c r="J166" s="326">
        <v>3744387243.9099998</v>
      </c>
      <c r="K166" s="333">
        <f t="shared" si="71"/>
        <v>0.1378157545437699</v>
      </c>
      <c r="L166" s="327">
        <v>1.1268</v>
      </c>
      <c r="M166" s="327">
        <v>1.1268</v>
      </c>
      <c r="N166" s="334">
        <v>8.1900000000000001E-2</v>
      </c>
      <c r="O166" s="334">
        <v>0.12620000000000001</v>
      </c>
      <c r="P166" s="329">
        <f t="shared" si="72"/>
        <v>3.8172501664173797E-2</v>
      </c>
      <c r="Q166" s="329">
        <f t="shared" si="73"/>
        <v>1.5109768020620698E-3</v>
      </c>
      <c r="R166" s="329">
        <f t="shared" si="74"/>
        <v>-1.0200000000000001E-2</v>
      </c>
      <c r="S166" s="364">
        <f t="shared" si="74"/>
        <v>-1.799999999999996E-3</v>
      </c>
      <c r="T166" s="188"/>
    </row>
    <row r="167" spans="1:20" s="112" customFormat="1" ht="12" customHeight="1">
      <c r="A167" s="261"/>
      <c r="C167" s="286" t="s">
        <v>42</v>
      </c>
      <c r="D167" s="76">
        <f>SUM(D156:D166)</f>
        <v>26335558994.479996</v>
      </c>
      <c r="E167" s="262">
        <f>(D167/$D$168)</f>
        <v>1.3847334791861838E-2</v>
      </c>
      <c r="F167" s="263"/>
      <c r="G167" s="72"/>
      <c r="H167" s="245"/>
      <c r="I167" s="245"/>
      <c r="J167" s="76">
        <f>SUM(J156:J166)</f>
        <v>27169515243.780003</v>
      </c>
      <c r="K167" s="262">
        <f>(J167/$J$168)</f>
        <v>1.4132770858486653E-2</v>
      </c>
      <c r="L167" s="264"/>
      <c r="M167" s="72"/>
      <c r="N167" s="265"/>
      <c r="O167" s="265"/>
      <c r="P167" s="266">
        <f t="shared" ref="P167:P168" si="75">((J167-D167)/D167)</f>
        <v>3.1666548239010474E-2</v>
      </c>
      <c r="Q167" s="266"/>
      <c r="R167" s="266">
        <f t="shared" ref="R167:S167" si="76">N167-H167</f>
        <v>0</v>
      </c>
      <c r="S167" s="364">
        <f t="shared" si="76"/>
        <v>0</v>
      </c>
      <c r="T167" s="137" t="s">
        <v>261</v>
      </c>
    </row>
    <row r="168" spans="1:20" s="112" customFormat="1" ht="12" customHeight="1">
      <c r="A168" s="267"/>
      <c r="B168" s="268"/>
      <c r="C168" s="268" t="s">
        <v>28</v>
      </c>
      <c r="D168" s="269">
        <f>SUM(D22,D54,D87,D112,D119,D146,D152,D167)</f>
        <v>1901850384231.1636</v>
      </c>
      <c r="E168" s="270"/>
      <c r="F168" s="270"/>
      <c r="G168" s="271"/>
      <c r="H168" s="272"/>
      <c r="I168" s="272"/>
      <c r="J168" s="269">
        <f>SUM(J22,J54,J87,J112,J119,J146,J152,J167)</f>
        <v>1922447870685.2349</v>
      </c>
      <c r="K168" s="270"/>
      <c r="L168" s="270"/>
      <c r="M168" s="271"/>
      <c r="N168" s="273"/>
      <c r="O168" s="273"/>
      <c r="P168" s="274">
        <f t="shared" si="75"/>
        <v>1.0830234925339813E-2</v>
      </c>
      <c r="Q168" s="274"/>
      <c r="R168" s="274"/>
      <c r="S168" s="275"/>
      <c r="T168" s="138">
        <f>((J168-D168)/D168)</f>
        <v>1.0830234925339813E-2</v>
      </c>
    </row>
    <row r="169" spans="1:20" s="112" customFormat="1" ht="6.75" customHeight="1">
      <c r="A169" s="409"/>
      <c r="B169" s="410"/>
      <c r="C169" s="411"/>
      <c r="D169" s="411"/>
      <c r="E169" s="411"/>
      <c r="F169" s="411"/>
      <c r="G169" s="411"/>
      <c r="H169" s="411"/>
      <c r="I169" s="411"/>
      <c r="J169" s="411"/>
      <c r="K169" s="411"/>
      <c r="L169" s="411"/>
      <c r="M169" s="411"/>
      <c r="N169" s="411"/>
      <c r="O169" s="411"/>
      <c r="P169" s="411"/>
      <c r="Q169" s="411"/>
      <c r="R169" s="411"/>
      <c r="S169" s="365"/>
      <c r="T169" s="188"/>
    </row>
    <row r="170" spans="1:20" s="112" customFormat="1" ht="12" customHeight="1">
      <c r="A170" s="447" t="s">
        <v>201</v>
      </c>
      <c r="B170" s="448"/>
      <c r="C170" s="449"/>
      <c r="D170" s="449"/>
      <c r="E170" s="449"/>
      <c r="F170" s="449"/>
      <c r="G170" s="449"/>
      <c r="H170" s="449"/>
      <c r="I170" s="449"/>
      <c r="J170" s="449"/>
      <c r="K170" s="449"/>
      <c r="L170" s="449"/>
      <c r="M170" s="449"/>
      <c r="N170" s="449"/>
      <c r="O170" s="449"/>
      <c r="P170" s="449"/>
      <c r="Q170" s="449"/>
      <c r="R170" s="449"/>
      <c r="S170" s="450"/>
      <c r="T170" s="188"/>
    </row>
    <row r="171" spans="1:20" s="112" customFormat="1" ht="25.5" customHeight="1">
      <c r="A171" s="242"/>
      <c r="B171" s="243"/>
      <c r="C171" s="243"/>
      <c r="D171" s="257" t="s">
        <v>205</v>
      </c>
      <c r="E171" s="258"/>
      <c r="F171" s="258"/>
      <c r="G171" s="362" t="s">
        <v>206</v>
      </c>
      <c r="H171" s="259"/>
      <c r="I171" s="259"/>
      <c r="J171" s="260" t="s">
        <v>205</v>
      </c>
      <c r="K171" s="258"/>
      <c r="L171" s="256" t="s">
        <v>213</v>
      </c>
      <c r="M171" s="256" t="s">
        <v>214</v>
      </c>
      <c r="N171" s="362"/>
      <c r="O171" s="362"/>
      <c r="P171" s="408" t="s">
        <v>62</v>
      </c>
      <c r="Q171" s="408"/>
      <c r="R171" s="408"/>
      <c r="S171" s="363"/>
      <c r="T171" s="188"/>
    </row>
    <row r="172" spans="1:20" s="112" customFormat="1" ht="12" customHeight="1">
      <c r="A172" s="282" t="s">
        <v>1</v>
      </c>
      <c r="B172" s="284" t="s">
        <v>2</v>
      </c>
      <c r="C172" s="283" t="s">
        <v>194</v>
      </c>
      <c r="D172" s="198"/>
      <c r="E172" s="198"/>
      <c r="F172" s="198"/>
      <c r="G172" s="198"/>
      <c r="H172" s="198"/>
      <c r="I172" s="198"/>
      <c r="J172" s="225"/>
      <c r="K172" s="226"/>
      <c r="L172" s="226"/>
      <c r="M172" s="227"/>
      <c r="N172" s="227"/>
      <c r="O172" s="227"/>
      <c r="P172" s="299" t="s">
        <v>204</v>
      </c>
      <c r="Q172" s="297" t="s">
        <v>207</v>
      </c>
      <c r="R172" s="297" t="s">
        <v>215</v>
      </c>
      <c r="S172" s="366"/>
      <c r="T172" s="188"/>
    </row>
    <row r="173" spans="1:20" s="112" customFormat="1" ht="12" customHeight="1">
      <c r="A173" s="402">
        <v>1</v>
      </c>
      <c r="B173" s="393" t="s">
        <v>219</v>
      </c>
      <c r="C173" s="394" t="s">
        <v>117</v>
      </c>
      <c r="D173" s="326">
        <v>91842597312</v>
      </c>
      <c r="E173" s="333">
        <f>(D173/$D$175)</f>
        <v>0.97570886930897816</v>
      </c>
      <c r="F173" s="327">
        <v>107.58</v>
      </c>
      <c r="G173" s="327">
        <v>107.58</v>
      </c>
      <c r="H173" s="323">
        <v>0</v>
      </c>
      <c r="I173" s="323">
        <v>0.13800000000000001</v>
      </c>
      <c r="J173" s="326">
        <v>91842597312</v>
      </c>
      <c r="K173" s="333">
        <f>(J173/$J$175)</f>
        <v>0.975647168869749</v>
      </c>
      <c r="L173" s="327">
        <v>107.58</v>
      </c>
      <c r="M173" s="327">
        <v>107.58</v>
      </c>
      <c r="N173" s="323">
        <v>0</v>
      </c>
      <c r="O173" s="323">
        <v>0.13800000000000001</v>
      </c>
      <c r="P173" s="329">
        <f>((J173-D173)/D173)</f>
        <v>0</v>
      </c>
      <c r="Q173" s="329">
        <f>((M173-G173)/G173)</f>
        <v>0</v>
      </c>
      <c r="R173" s="329">
        <f>N173-H173</f>
        <v>0</v>
      </c>
      <c r="S173" s="364">
        <f t="shared" ref="S173:S175" si="77">O173-I173</f>
        <v>0</v>
      </c>
      <c r="T173" s="188"/>
    </row>
    <row r="174" spans="1:20" s="112" customFormat="1" ht="12" customHeight="1">
      <c r="A174" s="401">
        <v>2</v>
      </c>
      <c r="B174" s="393" t="s">
        <v>244</v>
      </c>
      <c r="C174" s="394" t="s">
        <v>41</v>
      </c>
      <c r="D174" s="326">
        <v>2286502259.52</v>
      </c>
      <c r="E174" s="333">
        <f>(D174/$D$175)</f>
        <v>2.4291130691021838E-2</v>
      </c>
      <c r="F174" s="328">
        <v>1000000</v>
      </c>
      <c r="G174" s="328">
        <v>1000000</v>
      </c>
      <c r="H174" s="323">
        <v>2.5999999999999999E-3</v>
      </c>
      <c r="I174" s="323">
        <v>0.15770000000000001</v>
      </c>
      <c r="J174" s="326">
        <v>2292455033.1999998</v>
      </c>
      <c r="K174" s="333">
        <f>(J174/$J$175)</f>
        <v>2.4352831130251062E-2</v>
      </c>
      <c r="L174" s="328">
        <v>1000000</v>
      </c>
      <c r="M174" s="328">
        <v>1000000</v>
      </c>
      <c r="N174" s="323">
        <v>2.5999999999999999E-3</v>
      </c>
      <c r="O174" s="323">
        <v>0.15740000000000001</v>
      </c>
      <c r="P174" s="329">
        <f>((J174-D174)/D174)</f>
        <v>2.6034409785580005E-3</v>
      </c>
      <c r="Q174" s="329">
        <f>((M174-G174)/G174)</f>
        <v>0</v>
      </c>
      <c r="R174" s="329">
        <f>N174-H174</f>
        <v>0</v>
      </c>
      <c r="S174" s="364">
        <f t="shared" si="77"/>
        <v>-2.9999999999999472E-4</v>
      </c>
      <c r="T174" s="137" t="s">
        <v>209</v>
      </c>
    </row>
    <row r="175" spans="1:20" s="112" customFormat="1" ht="12" customHeight="1">
      <c r="A175" s="268"/>
      <c r="B175" s="268"/>
      <c r="C175" s="268" t="s">
        <v>202</v>
      </c>
      <c r="D175" s="369">
        <f>SUM(D173:D174)</f>
        <v>94129099571.520004</v>
      </c>
      <c r="E175" s="369"/>
      <c r="F175" s="370"/>
      <c r="G175" s="370"/>
      <c r="H175" s="371"/>
      <c r="I175" s="371"/>
      <c r="J175" s="369">
        <f>SUM(J173:J174)</f>
        <v>94135052345.199997</v>
      </c>
      <c r="K175" s="372"/>
      <c r="L175" s="370"/>
      <c r="M175" s="370"/>
      <c r="N175" s="371"/>
      <c r="O175" s="371"/>
      <c r="P175" s="373">
        <f>((J175-D175)/D175)</f>
        <v>6.3240525056438185E-5</v>
      </c>
      <c r="Q175" s="374"/>
      <c r="R175" s="373">
        <f>N175-H175</f>
        <v>0</v>
      </c>
      <c r="S175" s="375">
        <f t="shared" si="77"/>
        <v>0</v>
      </c>
      <c r="T175" s="138">
        <f>((J175-D175)/D175)</f>
        <v>6.3240525056438185E-5</v>
      </c>
    </row>
    <row r="176" spans="1:20" s="112" customFormat="1" ht="7.5" customHeight="1">
      <c r="A176" s="451"/>
      <c r="B176" s="452"/>
      <c r="C176" s="453"/>
      <c r="D176" s="453"/>
      <c r="E176" s="453"/>
      <c r="F176" s="453"/>
      <c r="G176" s="453"/>
      <c r="H176" s="453"/>
      <c r="I176" s="453"/>
      <c r="J176" s="453"/>
      <c r="K176" s="453"/>
      <c r="L176" s="453"/>
      <c r="M176" s="453"/>
      <c r="N176" s="453"/>
      <c r="O176" s="453"/>
      <c r="P176" s="453"/>
      <c r="Q176" s="453"/>
      <c r="R176" s="453"/>
      <c r="S176" s="454"/>
      <c r="T176" s="188"/>
    </row>
    <row r="177" spans="1:20" s="112" customFormat="1" ht="12" customHeight="1">
      <c r="A177" s="447" t="s">
        <v>46</v>
      </c>
      <c r="B177" s="448"/>
      <c r="C177" s="449"/>
      <c r="D177" s="449"/>
      <c r="E177" s="449"/>
      <c r="F177" s="449"/>
      <c r="G177" s="449"/>
      <c r="H177" s="449"/>
      <c r="I177" s="449"/>
      <c r="J177" s="449"/>
      <c r="K177" s="449"/>
      <c r="L177" s="449"/>
      <c r="M177" s="449"/>
      <c r="N177" s="449"/>
      <c r="O177" s="449"/>
      <c r="P177" s="449"/>
      <c r="Q177" s="449"/>
      <c r="R177" s="449"/>
      <c r="S177" s="450"/>
      <c r="T177" s="188"/>
    </row>
    <row r="178" spans="1:20" s="112" customFormat="1" ht="25.5" customHeight="1">
      <c r="A178" s="251"/>
      <c r="B178" s="253" t="s">
        <v>46</v>
      </c>
      <c r="C178" s="252" t="s">
        <v>194</v>
      </c>
      <c r="D178" s="253" t="s">
        <v>72</v>
      </c>
      <c r="E178" s="254" t="s">
        <v>61</v>
      </c>
      <c r="F178" s="254"/>
      <c r="G178" s="254" t="s">
        <v>73</v>
      </c>
      <c r="H178" s="255"/>
      <c r="I178" s="255"/>
      <c r="J178" s="256" t="s">
        <v>72</v>
      </c>
      <c r="K178" s="254" t="s">
        <v>61</v>
      </c>
      <c r="L178" s="256" t="s">
        <v>213</v>
      </c>
      <c r="M178" s="256" t="s">
        <v>214</v>
      </c>
      <c r="N178" s="254"/>
      <c r="O178" s="254"/>
      <c r="P178" s="408" t="s">
        <v>62</v>
      </c>
      <c r="Q178" s="408"/>
      <c r="R178" s="408"/>
      <c r="S178" s="367"/>
      <c r="T178" s="188"/>
    </row>
    <row r="179" spans="1:20" s="112" customFormat="1" ht="12" customHeight="1">
      <c r="A179" s="189"/>
      <c r="B179" s="68"/>
      <c r="C179" s="68"/>
      <c r="D179" s="198"/>
      <c r="E179" s="198"/>
      <c r="F179" s="198"/>
      <c r="G179" s="198"/>
      <c r="H179" s="221"/>
      <c r="I179" s="221"/>
      <c r="J179" s="217"/>
      <c r="K179" s="198"/>
      <c r="L179" s="198"/>
      <c r="M179" s="198"/>
      <c r="N179" s="220"/>
      <c r="O179" s="220"/>
      <c r="P179" s="297" t="s">
        <v>204</v>
      </c>
      <c r="Q179" s="300" t="s">
        <v>119</v>
      </c>
      <c r="R179" s="297" t="s">
        <v>215</v>
      </c>
      <c r="S179" s="364">
        <f t="shared" ref="S179:S192" si="78">O179-I179</f>
        <v>0</v>
      </c>
      <c r="T179" s="188"/>
    </row>
    <row r="180" spans="1:20" s="112" customFormat="1" ht="12" customHeight="1">
      <c r="A180" s="402">
        <v>1</v>
      </c>
      <c r="B180" s="393" t="s">
        <v>223</v>
      </c>
      <c r="C180" s="394" t="s">
        <v>87</v>
      </c>
      <c r="D180" s="324">
        <v>649885509.48000002</v>
      </c>
      <c r="E180" s="193">
        <f t="shared" ref="E180:E191" si="79">(D180/$D$192)</f>
        <v>7.1462831090694123E-2</v>
      </c>
      <c r="F180" s="328">
        <v>146.64924161489438</v>
      </c>
      <c r="G180" s="328">
        <v>149.62254160930124</v>
      </c>
      <c r="H180" s="335">
        <v>6.2300000000000001E-2</v>
      </c>
      <c r="I180" s="335">
        <v>6.7299999999999999E-2</v>
      </c>
      <c r="J180" s="324">
        <v>645539221.20000291</v>
      </c>
      <c r="K180" s="193">
        <f t="shared" ref="K180:K190" si="80">(J180/$J$192)</f>
        <v>7.3355388291850829E-2</v>
      </c>
      <c r="L180" s="328">
        <v>148.62</v>
      </c>
      <c r="M180" s="328">
        <v>151.6</v>
      </c>
      <c r="N180" s="335">
        <v>1.32E-2</v>
      </c>
      <c r="O180" s="335">
        <v>4.7300000000000002E-2</v>
      </c>
      <c r="P180" s="329">
        <f t="shared" ref="P180:P191" si="81">((J180-D180)/D180)</f>
        <v>-6.6877753336503122E-3</v>
      </c>
      <c r="Q180" s="329">
        <f t="shared" ref="Q180:Q191" si="82">((M180-G180)/G180)</f>
        <v>1.3216313327054386E-2</v>
      </c>
      <c r="R180" s="329">
        <f t="shared" ref="R180:R191" si="83">N180-H180</f>
        <v>-4.9100000000000005E-2</v>
      </c>
      <c r="S180" s="364">
        <f t="shared" si="78"/>
        <v>-1.9999999999999997E-2</v>
      </c>
      <c r="T180" s="188"/>
    </row>
    <row r="181" spans="1:20" s="112" customFormat="1" ht="12" customHeight="1">
      <c r="A181" s="401">
        <v>2</v>
      </c>
      <c r="B181" s="393" t="s">
        <v>96</v>
      </c>
      <c r="C181" s="394" t="s">
        <v>23</v>
      </c>
      <c r="D181" s="324">
        <v>681334958.57000005</v>
      </c>
      <c r="E181" s="193">
        <f t="shared" si="79"/>
        <v>7.4921081252345437E-2</v>
      </c>
      <c r="F181" s="328">
        <v>20.260000000000002</v>
      </c>
      <c r="G181" s="328">
        <v>20.260000000000002</v>
      </c>
      <c r="H181" s="335">
        <v>6.7000000000000002E-3</v>
      </c>
      <c r="I181" s="335">
        <v>0.31409999999999999</v>
      </c>
      <c r="J181" s="324">
        <v>684264794.10000002</v>
      </c>
      <c r="K181" s="193">
        <f t="shared" si="80"/>
        <v>7.7755941106632545E-2</v>
      </c>
      <c r="L181" s="328">
        <v>20.399999999999999</v>
      </c>
      <c r="M181" s="328">
        <v>20.399999999999999</v>
      </c>
      <c r="N181" s="335">
        <v>4.3E-3</v>
      </c>
      <c r="O181" s="335">
        <v>0.31969999999999998</v>
      </c>
      <c r="P181" s="329">
        <f t="shared" si="81"/>
        <v>4.3001397376543999E-3</v>
      </c>
      <c r="Q181" s="329">
        <f t="shared" si="82"/>
        <v>6.9101678183611549E-3</v>
      </c>
      <c r="R181" s="329">
        <f t="shared" si="83"/>
        <v>-2.4000000000000002E-3</v>
      </c>
      <c r="S181" s="364">
        <f t="shared" si="78"/>
        <v>5.5999999999999939E-3</v>
      </c>
      <c r="T181" s="188"/>
    </row>
    <row r="182" spans="1:20" s="112" customFormat="1" ht="12" customHeight="1">
      <c r="A182" s="392">
        <v>3</v>
      </c>
      <c r="B182" s="393" t="s">
        <v>184</v>
      </c>
      <c r="C182" s="394" t="s">
        <v>54</v>
      </c>
      <c r="D182" s="324">
        <v>269798324.99000001</v>
      </c>
      <c r="E182" s="193">
        <f t="shared" si="79"/>
        <v>2.9667613519710156E-2</v>
      </c>
      <c r="F182" s="328">
        <v>19.149999999999999</v>
      </c>
      <c r="G182" s="328">
        <v>19.25</v>
      </c>
      <c r="H182" s="335">
        <v>9.499839661611853E-2</v>
      </c>
      <c r="I182" s="335">
        <v>0.42182212609701764</v>
      </c>
      <c r="J182" s="324">
        <v>254765088.81</v>
      </c>
      <c r="K182" s="193">
        <f t="shared" si="80"/>
        <v>2.8950048888006015E-2</v>
      </c>
      <c r="L182" s="328">
        <v>19.149999999999999</v>
      </c>
      <c r="M182" s="328">
        <v>19.25</v>
      </c>
      <c r="N182" s="335">
        <v>-5.57E-2</v>
      </c>
      <c r="O182" s="335">
        <v>0.34260000000000002</v>
      </c>
      <c r="P182" s="329">
        <f t="shared" si="81"/>
        <v>-5.5720272468545565E-2</v>
      </c>
      <c r="Q182" s="329">
        <f t="shared" si="82"/>
        <v>0</v>
      </c>
      <c r="R182" s="329">
        <f t="shared" si="83"/>
        <v>-0.15069839661611853</v>
      </c>
      <c r="S182" s="364">
        <f t="shared" si="78"/>
        <v>-7.922212609701762E-2</v>
      </c>
      <c r="T182" s="188"/>
    </row>
    <row r="183" spans="1:20" s="112" customFormat="1" ht="12" customHeight="1">
      <c r="A183" s="392">
        <v>4</v>
      </c>
      <c r="B183" s="393" t="s">
        <v>183</v>
      </c>
      <c r="C183" s="394" t="s">
        <v>54</v>
      </c>
      <c r="D183" s="324">
        <v>378558374.58999997</v>
      </c>
      <c r="E183" s="193">
        <f t="shared" si="79"/>
        <v>4.1627106292828377E-2</v>
      </c>
      <c r="F183" s="328">
        <v>26.45</v>
      </c>
      <c r="G183" s="328">
        <v>26.55</v>
      </c>
      <c r="H183" s="335">
        <v>8.9898789603478413E-2</v>
      </c>
      <c r="I183" s="335">
        <v>0.62900092300541299</v>
      </c>
      <c r="J183" s="324">
        <v>333878788.29000002</v>
      </c>
      <c r="K183" s="193">
        <f t="shared" si="80"/>
        <v>3.7940077617433392E-2</v>
      </c>
      <c r="L183" s="328">
        <v>27.67</v>
      </c>
      <c r="M183" s="328">
        <v>27.77</v>
      </c>
      <c r="N183" s="335">
        <v>-0.11799999999999999</v>
      </c>
      <c r="O183" s="335">
        <v>0.43669999999999998</v>
      </c>
      <c r="P183" s="329">
        <f t="shared" si="81"/>
        <v>-0.11802561850174484</v>
      </c>
      <c r="Q183" s="329">
        <f t="shared" si="82"/>
        <v>4.5951035781544212E-2</v>
      </c>
      <c r="R183" s="329">
        <f t="shared" si="83"/>
        <v>-0.20789878960347841</v>
      </c>
      <c r="S183" s="364">
        <f t="shared" si="78"/>
        <v>-0.19230092300541302</v>
      </c>
      <c r="T183" s="188"/>
    </row>
    <row r="184" spans="1:20" s="112" customFormat="1" ht="12" customHeight="1">
      <c r="A184" s="401">
        <v>5</v>
      </c>
      <c r="B184" s="393" t="s">
        <v>32</v>
      </c>
      <c r="C184" s="394" t="s">
        <v>31</v>
      </c>
      <c r="D184" s="324">
        <v>750326200</v>
      </c>
      <c r="E184" s="193">
        <f t="shared" si="79"/>
        <v>8.2507508955579387E-2</v>
      </c>
      <c r="F184" s="328">
        <v>16900</v>
      </c>
      <c r="G184" s="328">
        <v>16900</v>
      </c>
      <c r="H184" s="335">
        <v>0</v>
      </c>
      <c r="I184" s="335">
        <v>0</v>
      </c>
      <c r="J184" s="324">
        <v>621572000</v>
      </c>
      <c r="K184" s="193">
        <f t="shared" si="80"/>
        <v>7.0631890230594865E-2</v>
      </c>
      <c r="L184" s="328">
        <v>14000</v>
      </c>
      <c r="M184" s="328">
        <v>14000</v>
      </c>
      <c r="N184" s="335">
        <v>0</v>
      </c>
      <c r="O184" s="335">
        <v>0</v>
      </c>
      <c r="P184" s="329">
        <f t="shared" si="81"/>
        <v>-0.17159763313609466</v>
      </c>
      <c r="Q184" s="329">
        <f t="shared" si="82"/>
        <v>-0.17159763313609466</v>
      </c>
      <c r="R184" s="329">
        <f t="shared" si="83"/>
        <v>0</v>
      </c>
      <c r="S184" s="364">
        <f t="shared" si="78"/>
        <v>0</v>
      </c>
      <c r="T184" s="188"/>
    </row>
    <row r="185" spans="1:20" s="112" customFormat="1" ht="12" customHeight="1">
      <c r="A185" s="400">
        <v>6</v>
      </c>
      <c r="B185" s="393" t="s">
        <v>94</v>
      </c>
      <c r="C185" s="394" t="s">
        <v>39</v>
      </c>
      <c r="D185" s="324">
        <v>891484499.08000004</v>
      </c>
      <c r="E185" s="193">
        <f t="shared" si="79"/>
        <v>9.8029584055046082E-2</v>
      </c>
      <c r="F185" s="328">
        <v>80</v>
      </c>
      <c r="G185" s="328">
        <v>80</v>
      </c>
      <c r="H185" s="335">
        <v>5.0299999999999997E-2</v>
      </c>
      <c r="I185" s="335">
        <v>0.46629999999999999</v>
      </c>
      <c r="J185" s="324">
        <v>864910028.80999994</v>
      </c>
      <c r="K185" s="193">
        <f t="shared" si="80"/>
        <v>9.8283433317859492E-2</v>
      </c>
      <c r="L185" s="328">
        <v>88</v>
      </c>
      <c r="M185" s="328">
        <v>88</v>
      </c>
      <c r="N185" s="335">
        <v>-2.93E-2</v>
      </c>
      <c r="O185" s="335">
        <v>0.4234</v>
      </c>
      <c r="P185" s="329">
        <f t="shared" si="81"/>
        <v>-2.9809234257493645E-2</v>
      </c>
      <c r="Q185" s="329">
        <f t="shared" si="82"/>
        <v>0.1</v>
      </c>
      <c r="R185" s="329">
        <f t="shared" si="83"/>
        <v>-7.9600000000000004E-2</v>
      </c>
      <c r="S185" s="364">
        <f t="shared" si="78"/>
        <v>-4.2899999999999994E-2</v>
      </c>
      <c r="T185" s="188"/>
    </row>
    <row r="186" spans="1:20" s="112" customFormat="1" ht="12" customHeight="1">
      <c r="A186" s="400">
        <v>7</v>
      </c>
      <c r="B186" s="393" t="s">
        <v>40</v>
      </c>
      <c r="C186" s="394" t="s">
        <v>39</v>
      </c>
      <c r="D186" s="324">
        <v>569847707.58000004</v>
      </c>
      <c r="E186" s="193">
        <f t="shared" si="79"/>
        <v>6.2661699453482017E-2</v>
      </c>
      <c r="F186" s="328">
        <v>241</v>
      </c>
      <c r="G186" s="328">
        <v>241</v>
      </c>
      <c r="H186" s="335">
        <v>3.6700000000000003E-2</v>
      </c>
      <c r="I186" s="335">
        <v>0.2878</v>
      </c>
      <c r="J186" s="324">
        <v>565315933.38</v>
      </c>
      <c r="K186" s="193">
        <f t="shared" si="80"/>
        <v>6.4239272283987126E-2</v>
      </c>
      <c r="L186" s="328">
        <v>260.98</v>
      </c>
      <c r="M186" s="328">
        <v>260.98</v>
      </c>
      <c r="N186" s="335">
        <v>-8.3999999999999995E-3</v>
      </c>
      <c r="O186" s="335">
        <v>0.27700000000000002</v>
      </c>
      <c r="P186" s="329">
        <f t="shared" si="81"/>
        <v>-7.9526058273452632E-3</v>
      </c>
      <c r="Q186" s="329">
        <f t="shared" si="82"/>
        <v>8.2904564315352772E-2</v>
      </c>
      <c r="R186" s="329">
        <f t="shared" si="83"/>
        <v>-4.5100000000000001E-2</v>
      </c>
      <c r="S186" s="364">
        <f t="shared" si="78"/>
        <v>-1.0799999999999976E-2</v>
      </c>
      <c r="T186" s="188"/>
    </row>
    <row r="187" spans="1:20" s="112" customFormat="1" ht="12" customHeight="1">
      <c r="A187" s="401">
        <v>8</v>
      </c>
      <c r="B187" s="393" t="s">
        <v>50</v>
      </c>
      <c r="C187" s="394" t="s">
        <v>29</v>
      </c>
      <c r="D187" s="324">
        <v>199295437.72999999</v>
      </c>
      <c r="E187" s="193">
        <f t="shared" si="79"/>
        <v>2.1914961936973665E-2</v>
      </c>
      <c r="F187" s="328">
        <v>8.8800000000000008</v>
      </c>
      <c r="G187" s="328" t="s">
        <v>281</v>
      </c>
      <c r="H187" s="335">
        <v>0</v>
      </c>
      <c r="I187" s="335">
        <v>8.9800000000000005E-2</v>
      </c>
      <c r="J187" s="324">
        <v>194388024.37</v>
      </c>
      <c r="K187" s="193">
        <f t="shared" si="80"/>
        <v>2.2089144297754791E-2</v>
      </c>
      <c r="L187" s="328">
        <v>8.67</v>
      </c>
      <c r="M187" s="328">
        <v>8.77</v>
      </c>
      <c r="N187" s="335">
        <v>-2.35E-2</v>
      </c>
      <c r="O187" s="335">
        <v>0.48470000000000002</v>
      </c>
      <c r="P187" s="329">
        <f t="shared" si="81"/>
        <v>-2.4623811843843681E-2</v>
      </c>
      <c r="Q187" s="329" t="e">
        <f t="shared" si="82"/>
        <v>#VALUE!</v>
      </c>
      <c r="R187" s="329">
        <f t="shared" si="83"/>
        <v>-2.35E-2</v>
      </c>
      <c r="S187" s="364">
        <f t="shared" si="78"/>
        <v>0.39490000000000003</v>
      </c>
      <c r="T187" s="188"/>
    </row>
    <row r="188" spans="1:20" s="112" customFormat="1" ht="12" customHeight="1">
      <c r="A188" s="401">
        <v>9</v>
      </c>
      <c r="B188" s="393" t="s">
        <v>59</v>
      </c>
      <c r="C188" s="394" t="s">
        <v>29</v>
      </c>
      <c r="D188" s="75">
        <v>591889585.74000001</v>
      </c>
      <c r="E188" s="193">
        <f t="shared" si="79"/>
        <v>6.5085472553347096E-2</v>
      </c>
      <c r="F188" s="328">
        <v>7.04</v>
      </c>
      <c r="G188" s="328">
        <v>7.14</v>
      </c>
      <c r="H188" s="335">
        <v>9.1899999999999996E-2</v>
      </c>
      <c r="I188" s="335">
        <v>0.65720000000000001</v>
      </c>
      <c r="J188" s="75">
        <v>513071241.13999999</v>
      </c>
      <c r="K188" s="193">
        <f t="shared" si="80"/>
        <v>5.8302483999722557E-2</v>
      </c>
      <c r="L188" s="328">
        <v>6.02</v>
      </c>
      <c r="M188" s="328">
        <v>6.12</v>
      </c>
      <c r="N188" s="335">
        <v>-0.11840000000000001</v>
      </c>
      <c r="O188" s="335">
        <v>0.46100000000000002</v>
      </c>
      <c r="P188" s="329">
        <f t="shared" si="81"/>
        <v>-0.13316393208956145</v>
      </c>
      <c r="Q188" s="329">
        <f t="shared" si="82"/>
        <v>-0.14285714285714279</v>
      </c>
      <c r="R188" s="329">
        <f t="shared" si="83"/>
        <v>-0.21029999999999999</v>
      </c>
      <c r="S188" s="364">
        <f t="shared" si="78"/>
        <v>-0.19619999999999999</v>
      </c>
      <c r="T188" s="188"/>
    </row>
    <row r="189" spans="1:20" s="112" customFormat="1" ht="12" customHeight="1">
      <c r="A189" s="401">
        <v>10</v>
      </c>
      <c r="B189" s="393" t="s">
        <v>92</v>
      </c>
      <c r="C189" s="394" t="s">
        <v>29</v>
      </c>
      <c r="D189" s="324">
        <v>506953261.63999999</v>
      </c>
      <c r="E189" s="193">
        <f t="shared" si="79"/>
        <v>5.574568870822115E-2</v>
      </c>
      <c r="F189" s="328">
        <v>143.01</v>
      </c>
      <c r="G189" s="328">
        <v>145.01</v>
      </c>
      <c r="H189" s="335">
        <v>3.7900000000000003E-2</v>
      </c>
      <c r="I189" s="335">
        <v>-0.1031</v>
      </c>
      <c r="J189" s="324">
        <v>512094657.22000003</v>
      </c>
      <c r="K189" s="193">
        <f t="shared" si="80"/>
        <v>5.8191510583548087E-2</v>
      </c>
      <c r="L189" s="328">
        <v>144.47</v>
      </c>
      <c r="M189" s="328">
        <v>146.47</v>
      </c>
      <c r="N189" s="335">
        <v>0</v>
      </c>
      <c r="O189" s="335">
        <v>-0.1031</v>
      </c>
      <c r="P189" s="329">
        <f t="shared" si="81"/>
        <v>1.0141754613369219E-2</v>
      </c>
      <c r="Q189" s="329">
        <f t="shared" si="82"/>
        <v>1.0068271153713592E-2</v>
      </c>
      <c r="R189" s="329">
        <f t="shared" si="83"/>
        <v>-3.7900000000000003E-2</v>
      </c>
      <c r="S189" s="364">
        <f t="shared" si="78"/>
        <v>0</v>
      </c>
      <c r="T189" s="188"/>
    </row>
    <row r="190" spans="1:20" s="112" customFormat="1" ht="12" customHeight="1">
      <c r="A190" s="401">
        <v>11</v>
      </c>
      <c r="B190" s="393" t="s">
        <v>30</v>
      </c>
      <c r="C190" s="394" t="s">
        <v>29</v>
      </c>
      <c r="D190" s="324">
        <v>3337665609.6100001</v>
      </c>
      <c r="E190" s="193">
        <f t="shared" si="79"/>
        <v>0.36701700563784984</v>
      </c>
      <c r="F190" s="328">
        <v>23.12</v>
      </c>
      <c r="G190" s="328">
        <v>23.32</v>
      </c>
      <c r="H190" s="335">
        <v>4.0500000000000001E-2</v>
      </c>
      <c r="I190" s="335">
        <v>0.2152</v>
      </c>
      <c r="J190" s="324">
        <v>3320048323.1700001</v>
      </c>
      <c r="K190" s="193">
        <f t="shared" si="80"/>
        <v>0.37727131969009869</v>
      </c>
      <c r="L190" s="328">
        <v>23.02</v>
      </c>
      <c r="M190" s="328">
        <v>23.22</v>
      </c>
      <c r="N190" s="335">
        <v>-4.0000000000000002E-4</v>
      </c>
      <c r="O190" s="335">
        <v>0.2147</v>
      </c>
      <c r="P190" s="329">
        <f t="shared" si="81"/>
        <v>-5.2783257823298254E-3</v>
      </c>
      <c r="Q190" s="329">
        <f t="shared" si="82"/>
        <v>-4.288164665523217E-3</v>
      </c>
      <c r="R190" s="329">
        <f t="shared" si="83"/>
        <v>-4.0899999999999999E-2</v>
      </c>
      <c r="S190" s="364">
        <f t="shared" si="78"/>
        <v>-5.0000000000000044E-4</v>
      </c>
      <c r="T190" s="188"/>
    </row>
    <row r="191" spans="1:20" s="112" customFormat="1" ht="12" customHeight="1">
      <c r="A191" s="401">
        <v>12</v>
      </c>
      <c r="B191" s="393" t="s">
        <v>51</v>
      </c>
      <c r="C191" s="394" t="s">
        <v>29</v>
      </c>
      <c r="D191" s="75">
        <v>266995843.63</v>
      </c>
      <c r="E191" s="193">
        <f t="shared" si="79"/>
        <v>2.9359446543922762E-2</v>
      </c>
      <c r="F191" s="328">
        <v>25.37</v>
      </c>
      <c r="G191" s="328">
        <v>25.57</v>
      </c>
      <c r="H191" s="335">
        <v>2.1299999999999999E-2</v>
      </c>
      <c r="I191" s="335">
        <v>6.1699999999999998E-2</v>
      </c>
      <c r="J191" s="75">
        <v>290312817.91000003</v>
      </c>
      <c r="K191" s="193">
        <v>0.24610000000000001</v>
      </c>
      <c r="L191" s="328">
        <v>27.66</v>
      </c>
      <c r="M191" s="328">
        <v>27.86</v>
      </c>
      <c r="N191" s="335">
        <v>9.0300000000000005E-2</v>
      </c>
      <c r="O191" s="335">
        <v>0.15759999999999999</v>
      </c>
      <c r="P191" s="329">
        <f t="shared" si="81"/>
        <v>8.7330851158538808E-2</v>
      </c>
      <c r="Q191" s="329">
        <f t="shared" si="82"/>
        <v>8.9558075870160306E-2</v>
      </c>
      <c r="R191" s="329">
        <f t="shared" si="83"/>
        <v>6.9000000000000006E-2</v>
      </c>
      <c r="S191" s="364">
        <f t="shared" si="78"/>
        <v>9.5899999999999985E-2</v>
      </c>
      <c r="T191" s="190"/>
    </row>
    <row r="192" spans="1:20" s="112" customFormat="1" ht="12" customHeight="1">
      <c r="A192" s="376"/>
      <c r="B192" s="377"/>
      <c r="C192" s="377" t="s">
        <v>33</v>
      </c>
      <c r="D192" s="369">
        <f>SUM(D180:D191)</f>
        <v>9094035312.6399994</v>
      </c>
      <c r="E192" s="369"/>
      <c r="F192" s="372"/>
      <c r="G192" s="370"/>
      <c r="H192" s="371"/>
      <c r="I192" s="371"/>
      <c r="J192" s="369">
        <f>SUM(J180:J191)</f>
        <v>8800160918.4000034</v>
      </c>
      <c r="K192" s="372"/>
      <c r="L192" s="372"/>
      <c r="M192" s="370"/>
      <c r="N192" s="371"/>
      <c r="O192" s="371"/>
      <c r="P192" s="373">
        <f t="shared" ref="P192" si="84">((J192-D192)/D192)</f>
        <v>-3.2315070718004962E-2</v>
      </c>
      <c r="Q192" s="374"/>
      <c r="R192" s="373">
        <f t="shared" ref="R192" si="85">N192-H192</f>
        <v>0</v>
      </c>
      <c r="S192" s="375">
        <f t="shared" si="78"/>
        <v>0</v>
      </c>
      <c r="T192" s="137" t="s">
        <v>260</v>
      </c>
    </row>
    <row r="193" spans="1:20" s="112" customFormat="1" ht="12" customHeight="1" thickBot="1">
      <c r="A193" s="246"/>
      <c r="B193" s="247"/>
      <c r="C193" s="247" t="s">
        <v>43</v>
      </c>
      <c r="D193" s="248">
        <f>SUM(D168,D175,D192)</f>
        <v>2005073519115.3235</v>
      </c>
      <c r="E193" s="248"/>
      <c r="F193" s="248"/>
      <c r="G193" s="249"/>
      <c r="H193" s="250"/>
      <c r="I193" s="250"/>
      <c r="J193" s="248">
        <f>SUM(J168,J175,J192)</f>
        <v>2025383083948.8347</v>
      </c>
      <c r="K193" s="228"/>
      <c r="L193" s="228"/>
      <c r="M193" s="229"/>
      <c r="N193" s="230"/>
      <c r="O193" s="230"/>
      <c r="P193" s="211"/>
      <c r="Q193" s="215"/>
      <c r="R193" s="215"/>
      <c r="S193" s="212"/>
      <c r="T193" s="138">
        <f>((J192-D192)/D192)</f>
        <v>-3.2315070718004962E-2</v>
      </c>
    </row>
    <row r="194" spans="1:20" ht="12" customHeight="1">
      <c r="A194" s="231"/>
      <c r="B194" s="92"/>
      <c r="C194" s="232"/>
      <c r="D194" s="66"/>
      <c r="E194" s="66"/>
      <c r="F194" s="66"/>
      <c r="G194" s="233"/>
      <c r="H194" s="234"/>
      <c r="I194" s="234"/>
      <c r="J194" s="7"/>
      <c r="K194" s="66"/>
      <c r="L194" s="66"/>
      <c r="M194" s="235"/>
      <c r="N194" s="236"/>
      <c r="O194" s="236"/>
    </row>
    <row r="195" spans="1:20" ht="12" customHeight="1">
      <c r="A195" s="236"/>
      <c r="B195" s="235"/>
      <c r="C195" s="238"/>
      <c r="D195" s="235"/>
      <c r="E195" s="235"/>
      <c r="F195" s="235"/>
      <c r="G195" s="235"/>
      <c r="H195" s="237"/>
      <c r="I195" s="237"/>
      <c r="J195" s="239"/>
      <c r="K195" s="235"/>
      <c r="L195" s="235"/>
      <c r="M195" s="235"/>
      <c r="N195" s="236"/>
      <c r="O195" s="236"/>
    </row>
    <row r="196" spans="1:20" ht="12" customHeight="1">
      <c r="A196" s="236"/>
      <c r="B196" s="238"/>
      <c r="C196" s="235"/>
      <c r="D196" s="235"/>
      <c r="E196" s="235"/>
      <c r="F196" s="235"/>
      <c r="G196" s="235"/>
      <c r="H196" s="237"/>
      <c r="I196" s="237"/>
      <c r="J196" s="239"/>
      <c r="K196" s="235"/>
      <c r="L196" s="235"/>
      <c r="M196" s="235"/>
      <c r="N196" s="236"/>
      <c r="O196" s="236"/>
    </row>
    <row r="197" spans="1:20" ht="12" customHeight="1">
      <c r="A197" s="236"/>
      <c r="B197" s="241"/>
      <c r="C197" s="240"/>
      <c r="D197" s="235"/>
      <c r="E197" s="235"/>
      <c r="F197" s="235"/>
      <c r="G197" s="235"/>
      <c r="H197" s="237"/>
      <c r="I197" s="237"/>
      <c r="J197" s="239"/>
      <c r="K197" s="235"/>
      <c r="L197" s="235"/>
      <c r="M197" s="235"/>
      <c r="N197" s="236"/>
      <c r="O197" s="236"/>
    </row>
    <row r="198" spans="1:20" ht="12" customHeight="1">
      <c r="A198" s="236"/>
      <c r="B198" s="240"/>
      <c r="C198" s="240"/>
      <c r="D198" s="235"/>
      <c r="E198" s="235"/>
      <c r="F198" s="235"/>
      <c r="G198" s="235"/>
      <c r="H198" s="237"/>
      <c r="I198" s="237"/>
      <c r="J198" s="239"/>
      <c r="K198" s="235"/>
      <c r="L198" s="235"/>
      <c r="M198" s="235"/>
      <c r="N198" s="236"/>
      <c r="O198" s="236"/>
    </row>
    <row r="199" spans="1:20" ht="12" customHeight="1">
      <c r="A199" s="236"/>
      <c r="B199" s="240"/>
      <c r="C199" s="240"/>
      <c r="D199" s="235"/>
      <c r="E199" s="235"/>
      <c r="F199" s="235"/>
      <c r="G199" s="235"/>
      <c r="H199" s="237"/>
      <c r="I199" s="237"/>
      <c r="J199" s="239"/>
      <c r="K199" s="235"/>
      <c r="L199" s="235"/>
      <c r="M199" s="235"/>
      <c r="N199" s="236"/>
      <c r="O199" s="236"/>
    </row>
    <row r="200" spans="1:20" ht="12" customHeight="1">
      <c r="A200" s="236"/>
      <c r="B200" s="240"/>
      <c r="C200" s="240"/>
      <c r="D200" s="235"/>
      <c r="E200" s="235"/>
      <c r="F200" s="235"/>
      <c r="G200" s="235"/>
      <c r="H200" s="237"/>
      <c r="I200" s="237"/>
      <c r="J200" s="239"/>
      <c r="K200" s="235"/>
      <c r="L200" s="235"/>
      <c r="M200" s="235"/>
      <c r="N200" s="236"/>
      <c r="O200" s="236"/>
    </row>
    <row r="201" spans="1:20" ht="12" customHeight="1">
      <c r="A201" s="236"/>
      <c r="B201" s="241"/>
      <c r="C201" s="240"/>
      <c r="D201" s="235"/>
      <c r="E201" s="235"/>
      <c r="F201" s="235"/>
      <c r="G201" s="235"/>
      <c r="H201" s="237"/>
      <c r="I201" s="237"/>
      <c r="J201" s="239"/>
      <c r="K201" s="235"/>
      <c r="L201" s="235"/>
      <c r="M201" s="235"/>
      <c r="N201" s="236"/>
      <c r="O201" s="236"/>
    </row>
    <row r="202" spans="1:20" ht="12" customHeight="1">
      <c r="B202" s="240"/>
      <c r="C202" s="240"/>
      <c r="D202" s="235"/>
      <c r="E202" s="235"/>
      <c r="F202" s="235"/>
      <c r="G202" s="235"/>
      <c r="H202" s="237"/>
      <c r="I202" s="237"/>
      <c r="J202" s="239"/>
      <c r="K202" s="235"/>
      <c r="L202" s="235"/>
      <c r="M202" s="235"/>
      <c r="N202" s="236"/>
      <c r="O202" s="236"/>
    </row>
    <row r="203" spans="1:20" ht="12" customHeight="1">
      <c r="B203" s="4"/>
      <c r="C203" s="4"/>
    </row>
    <row r="204" spans="1:20" ht="12" customHeight="1">
      <c r="B204" s="4"/>
      <c r="C204" s="4"/>
    </row>
    <row r="205" spans="1:20" ht="12" customHeight="1">
      <c r="B205" s="6"/>
      <c r="C205" s="4"/>
    </row>
    <row r="206" spans="1:20" ht="12" customHeight="1">
      <c r="B206" s="4"/>
      <c r="C206" s="4"/>
    </row>
    <row r="207" spans="1:20" ht="12" customHeight="1">
      <c r="B207" s="4"/>
      <c r="C207" s="4"/>
    </row>
    <row r="208" spans="1:20" ht="12" customHeight="1">
      <c r="B208" s="4"/>
      <c r="C208" s="4"/>
    </row>
    <row r="209" spans="2:3" ht="12" customHeight="1">
      <c r="B209" s="4"/>
      <c r="C209" s="4"/>
    </row>
    <row r="210" spans="2:3" ht="12" customHeight="1">
      <c r="B210" s="4"/>
      <c r="C210" s="4"/>
    </row>
    <row r="211" spans="2:3" ht="12" customHeight="1">
      <c r="B211" s="4"/>
      <c r="C211" s="4"/>
    </row>
    <row r="212" spans="2:3" ht="12" customHeight="1">
      <c r="B212" s="4"/>
      <c r="C212" s="4"/>
    </row>
    <row r="213" spans="2:3" ht="12" customHeight="1">
      <c r="B213" s="4"/>
      <c r="C213" s="4"/>
    </row>
    <row r="214" spans="2:3" ht="12" customHeight="1">
      <c r="B214" s="4"/>
      <c r="C214" s="4"/>
    </row>
    <row r="215" spans="2:3" ht="12" customHeight="1">
      <c r="B215" s="4"/>
      <c r="C215" s="4"/>
    </row>
    <row r="216" spans="2:3" ht="12" customHeight="1">
      <c r="B216" s="4"/>
      <c r="C216" s="4"/>
    </row>
    <row r="217" spans="2:3" ht="12" customHeight="1">
      <c r="B217" s="4"/>
      <c r="C217" s="4"/>
    </row>
    <row r="218" spans="2:3" ht="12" customHeight="1">
      <c r="B218" s="4"/>
      <c r="C218" s="4"/>
    </row>
    <row r="219" spans="2:3" ht="12" customHeight="1">
      <c r="B219" s="4"/>
      <c r="C219" s="4"/>
    </row>
    <row r="220" spans="2:3" ht="12" customHeight="1">
      <c r="B220" s="4"/>
      <c r="C220" s="4"/>
    </row>
    <row r="221" spans="2:3" ht="12" customHeight="1">
      <c r="B221" s="4"/>
      <c r="C221" s="4"/>
    </row>
    <row r="222" spans="2:3" ht="12" customHeight="1">
      <c r="B222" s="4"/>
      <c r="C222" s="4"/>
    </row>
    <row r="223" spans="2:3" ht="12" customHeight="1">
      <c r="B223" s="4"/>
      <c r="C223" s="4"/>
    </row>
    <row r="224" spans="2:3" ht="12" customHeight="1">
      <c r="B224" s="4"/>
      <c r="C224" s="4"/>
    </row>
    <row r="225" spans="2:3" ht="12" customHeight="1">
      <c r="B225" s="4"/>
      <c r="C225" s="4"/>
    </row>
    <row r="226" spans="2:3" ht="12" customHeight="1">
      <c r="B226" s="4"/>
      <c r="C226" s="4"/>
    </row>
    <row r="227" spans="2:3" ht="12" customHeight="1">
      <c r="B227" s="4"/>
      <c r="C227" s="4"/>
    </row>
    <row r="228" spans="2:3" ht="12" customHeight="1">
      <c r="B228" s="4"/>
      <c r="C228" s="4"/>
    </row>
    <row r="229" spans="2:3" ht="12" customHeight="1">
      <c r="B229" s="4"/>
      <c r="C229" s="4"/>
    </row>
    <row r="230" spans="2:3" ht="12" customHeight="1">
      <c r="B230" s="4"/>
      <c r="C230" s="4"/>
    </row>
    <row r="231" spans="2:3" ht="12" customHeight="1">
      <c r="B231" s="4"/>
      <c r="C231" s="4"/>
    </row>
    <row r="232" spans="2:3" ht="12" customHeight="1">
      <c r="B232" s="4"/>
      <c r="C232" s="4"/>
    </row>
    <row r="233" spans="2:3" ht="12" customHeight="1">
      <c r="B233" s="4"/>
      <c r="C233" s="4"/>
    </row>
    <row r="234" spans="2:3" ht="12" customHeight="1">
      <c r="B234" s="4"/>
      <c r="C234" s="4"/>
    </row>
    <row r="235" spans="2:3" ht="12" customHeight="1">
      <c r="B235" s="4"/>
      <c r="C235" s="4"/>
    </row>
    <row r="236" spans="2:3" ht="12" customHeight="1">
      <c r="B236" s="4"/>
      <c r="C236" s="4"/>
    </row>
    <row r="237" spans="2:3" ht="12" customHeight="1">
      <c r="B237" s="4"/>
      <c r="C237" s="4"/>
    </row>
    <row r="238" spans="2:3" ht="12" customHeight="1">
      <c r="B238" s="5"/>
      <c r="C238" s="5"/>
    </row>
    <row r="239" spans="2:3" ht="12" customHeight="1">
      <c r="B239" s="5"/>
      <c r="C239" s="5"/>
    </row>
    <row r="240" spans="2:3" ht="12" customHeight="1">
      <c r="B240" s="5"/>
      <c r="C240" s="5"/>
    </row>
  </sheetData>
  <protectedRanges>
    <protectedRange password="CADF" sqref="E47" name="Yield_1_1_2_1_1_1"/>
    <protectedRange password="CADF" sqref="E52" name="Yield_1_1_1_1"/>
    <protectedRange password="CADF" sqref="J20 D20" name="Fund Name_1_1_1_3_1_1"/>
    <protectedRange password="CADF" sqref="N20:O20 H20:I20" name="Yield_1_1_2_1_3"/>
    <protectedRange password="CADF" sqref="L20:M20 F20:G20" name="Fund Name_1_1_1_1_1_1"/>
    <protectedRange password="CADF" sqref="J47 D47" name="Yield_2_1_2_3_1"/>
    <protectedRange password="CADF" sqref="J52 D52" name="Yield_2_1_2_4_1"/>
    <protectedRange password="CADF" sqref="N52:O52 H52:I52" name="Yield_1_1_1_1_1"/>
    <protectedRange password="CADF" sqref="J77 D77" name="Yield_2_1_2_1_1"/>
    <protectedRange password="CADF" sqref="N77:O77 H77:I77" name="Yield_1_1_2_1_2_1"/>
    <protectedRange password="CADF" sqref="L77:M77 F77:G77" name="Fund Name_2_2_1_1"/>
    <protectedRange password="CADF" sqref="M76 G76" name="BidOffer Prices_2_1_1_1_1_1_1_1_1_1"/>
    <protectedRange password="CADF" sqref="J135 J144:J145 D135 D144:D145" name="Fund Name_1_1_1_2"/>
    <protectedRange password="CADF" sqref="N135:O135 N144:O145 H135:I135 H144:I145" name="Yield_1_1_2_2"/>
    <protectedRange password="CADF" sqref="L135:M135 L144:M145 F135:G135 F144:G145" name="Fund Name_1_1_1_1_2"/>
    <protectedRange password="CADF" sqref="N47:O47 H47:I47" name="Yield_1_1_2_1_1_1_1_1"/>
    <protectedRange password="CADF" sqref="J94:J95 D94:D95" name="Yield_2_1_2_6_3"/>
    <protectedRange password="CADF" sqref="J16 D16" name="Yield_2_1_2_5"/>
  </protectedRanges>
  <mergeCells count="43">
    <mergeCell ref="A148:S148"/>
    <mergeCell ref="A147:S147"/>
    <mergeCell ref="A177:S177"/>
    <mergeCell ref="A159:S159"/>
    <mergeCell ref="A158:S158"/>
    <mergeCell ref="A170:S170"/>
    <mergeCell ref="A176:S176"/>
    <mergeCell ref="A1:S1"/>
    <mergeCell ref="A56:S56"/>
    <mergeCell ref="A55:S55"/>
    <mergeCell ref="A89:S89"/>
    <mergeCell ref="A90:S90"/>
    <mergeCell ref="A88:S88"/>
    <mergeCell ref="D2:I2"/>
    <mergeCell ref="J2:O2"/>
    <mergeCell ref="U70:V70"/>
    <mergeCell ref="V29:W29"/>
    <mergeCell ref="P2:Q2"/>
    <mergeCell ref="R2:S2"/>
    <mergeCell ref="V30:W30"/>
    <mergeCell ref="V31:W31"/>
    <mergeCell ref="V34:W34"/>
    <mergeCell ref="U39:U40"/>
    <mergeCell ref="A4:S4"/>
    <mergeCell ref="A5:S5"/>
    <mergeCell ref="A24:S24"/>
    <mergeCell ref="A23:S23"/>
    <mergeCell ref="W119:W121"/>
    <mergeCell ref="V71:V83"/>
    <mergeCell ref="T122:T123"/>
    <mergeCell ref="P178:R178"/>
    <mergeCell ref="P171:R171"/>
    <mergeCell ref="A169:R169"/>
    <mergeCell ref="A114:S114"/>
    <mergeCell ref="A154:S154"/>
    <mergeCell ref="A155:S155"/>
    <mergeCell ref="A153:S153"/>
    <mergeCell ref="U103:U104"/>
    <mergeCell ref="A102:S102"/>
    <mergeCell ref="A101:S101"/>
    <mergeCell ref="A113:S113"/>
    <mergeCell ref="A121:S121"/>
    <mergeCell ref="A120:S120"/>
  </mergeCells>
  <pageMargins left="0.44" right="0.49" top="0.17" bottom="0.69" header="0.33" footer="0.55000000000000004"/>
  <pageSetup paperSize="9" scale="95" orientation="landscape" r:id="rId1"/>
  <rowBreaks count="4" manualBreakCount="4">
    <brk id="45" max="16383" man="1"/>
    <brk id="89" max="16383" man="1"/>
    <brk id="100" max="16383" man="1"/>
    <brk id="140" max="16383" man="1"/>
  </rowBreaks>
  <colBreaks count="1" manualBreakCount="1">
    <brk id="10" max="191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showGridLines="0" zoomScaleNormal="100" workbookViewId="0">
      <selection activeCell="M1" sqref="M1"/>
    </sheetView>
  </sheetViews>
  <sheetFormatPr defaultColWidth="8.85546875" defaultRowHeight="15"/>
  <cols>
    <col min="1" max="1" width="11.42578125" customWidth="1"/>
    <col min="2" max="2" width="17.28515625" customWidth="1"/>
    <col min="4" max="4" width="4.28515625" customWidth="1"/>
    <col min="5" max="5" width="30.7109375" customWidth="1"/>
    <col min="6" max="6" width="22.7109375" customWidth="1"/>
    <col min="12" max="12" width="3.28515625" customWidth="1"/>
  </cols>
  <sheetData>
    <row r="3" spans="1:7">
      <c r="E3" s="102"/>
      <c r="F3" s="102"/>
      <c r="G3" s="102"/>
    </row>
    <row r="4" spans="1:7">
      <c r="E4" s="102"/>
      <c r="F4" s="102"/>
      <c r="G4" s="102"/>
    </row>
    <row r="5" spans="1:7">
      <c r="E5" s="102"/>
      <c r="F5" s="102"/>
      <c r="G5" s="102"/>
    </row>
    <row r="6" spans="1:7">
      <c r="E6" s="99" t="s">
        <v>64</v>
      </c>
      <c r="F6" s="100" t="s">
        <v>152</v>
      </c>
      <c r="G6" s="102"/>
    </row>
    <row r="7" spans="1:7">
      <c r="E7" s="194" t="s">
        <v>0</v>
      </c>
      <c r="F7" s="101">
        <f>'NAV Trend'!J2</f>
        <v>21710685651.219997</v>
      </c>
      <c r="G7" s="102"/>
    </row>
    <row r="8" spans="1:7">
      <c r="E8" s="194" t="s">
        <v>44</v>
      </c>
      <c r="F8" s="101">
        <f>'NAV Trend'!J3</f>
        <v>835884528785.64209</v>
      </c>
      <c r="G8" s="102"/>
    </row>
    <row r="9" spans="1:7">
      <c r="A9" s="102"/>
      <c r="B9" s="102"/>
      <c r="E9" s="194" t="s">
        <v>193</v>
      </c>
      <c r="F9" s="101">
        <f>'NAV Trend'!J4</f>
        <v>320721885218.37311</v>
      </c>
      <c r="G9" s="102"/>
    </row>
    <row r="10" spans="1:7">
      <c r="A10" s="455"/>
      <c r="B10" s="455"/>
      <c r="E10" s="194" t="s">
        <v>195</v>
      </c>
      <c r="F10" s="101">
        <f>'NAV Trend'!J5</f>
        <v>561593301377.72437</v>
      </c>
      <c r="G10" s="102"/>
    </row>
    <row r="11" spans="1:7">
      <c r="A11" s="95"/>
      <c r="B11" s="95"/>
      <c r="E11" s="194" t="s">
        <v>211</v>
      </c>
      <c r="F11" s="101">
        <f>'NAV Trend'!J6</f>
        <v>93531954973.449997</v>
      </c>
      <c r="G11" s="102"/>
    </row>
    <row r="12" spans="1:7">
      <c r="A12" s="96"/>
      <c r="B12" s="97"/>
      <c r="E12" s="194" t="s">
        <v>60</v>
      </c>
      <c r="F12" s="101">
        <f>'NAV Trend'!J7</f>
        <v>38388002959.524063</v>
      </c>
      <c r="G12" s="102"/>
    </row>
    <row r="13" spans="1:7">
      <c r="A13" s="96"/>
      <c r="B13" s="97"/>
      <c r="E13" s="194" t="s">
        <v>66</v>
      </c>
      <c r="F13" s="101">
        <f>'NAV Trend'!J8</f>
        <v>3684466270.75</v>
      </c>
      <c r="G13" s="102"/>
    </row>
    <row r="14" spans="1:7">
      <c r="A14" s="96"/>
      <c r="B14" s="97"/>
      <c r="E14" s="194" t="s">
        <v>208</v>
      </c>
      <c r="F14" s="195">
        <f>'NAV Trend'!J9</f>
        <v>26335558994.479996</v>
      </c>
      <c r="G14" s="102"/>
    </row>
    <row r="15" spans="1:7">
      <c r="A15" s="96"/>
      <c r="B15" s="97"/>
      <c r="E15" s="102"/>
      <c r="F15" s="102"/>
      <c r="G15" s="102"/>
    </row>
    <row r="16" spans="1:7">
      <c r="A16" s="96"/>
      <c r="B16" s="97"/>
      <c r="E16" s="102"/>
      <c r="F16" s="102"/>
      <c r="G16" s="102"/>
    </row>
    <row r="17" spans="1:13">
      <c r="A17" s="96"/>
      <c r="B17" s="97"/>
      <c r="E17" s="102"/>
      <c r="F17" s="102"/>
      <c r="G17" s="102"/>
    </row>
    <row r="18" spans="1:13">
      <c r="A18" s="96"/>
      <c r="B18" s="97"/>
      <c r="E18" s="102"/>
      <c r="F18" s="102"/>
      <c r="G18" s="102"/>
    </row>
    <row r="19" spans="1:13">
      <c r="A19" s="96"/>
      <c r="B19" s="97"/>
      <c r="E19" s="102"/>
      <c r="F19" s="102"/>
      <c r="G19" s="102"/>
    </row>
    <row r="24" spans="1:13" s="93" customFormat="1" ht="21.75" customHeight="1"/>
    <row r="25" spans="1:13" ht="30.75" customHeight="1">
      <c r="B25" s="378" t="s">
        <v>154</v>
      </c>
      <c r="M25" s="94"/>
    </row>
    <row r="26" spans="1:13" ht="43.5" customHeight="1">
      <c r="B26" s="456" t="s">
        <v>287</v>
      </c>
      <c r="C26" s="456"/>
      <c r="D26" s="456"/>
      <c r="E26" s="456"/>
      <c r="F26" s="456"/>
      <c r="G26" s="456"/>
      <c r="H26" s="456"/>
      <c r="I26" s="456"/>
      <c r="J26" s="456"/>
      <c r="K26" s="456"/>
      <c r="L26" s="456"/>
      <c r="M26" s="98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6"/>
  <sheetViews>
    <sheetView topLeftCell="B1" zoomScale="120" zoomScaleNormal="120" workbookViewId="0">
      <pane xSplit="1" topLeftCell="H1" activePane="topRight" state="frozen"/>
      <selection activeCell="B1" sqref="B1"/>
      <selection pane="topRight" activeCell="L1" sqref="L1"/>
    </sheetView>
  </sheetViews>
  <sheetFormatPr defaultColWidth="8.85546875" defaultRowHeight="15"/>
  <cols>
    <col min="1" max="1" width="0.28515625" hidden="1" customWidth="1"/>
    <col min="2" max="2" width="32" customWidth="1"/>
    <col min="3" max="3" width="21.7109375" customWidth="1"/>
    <col min="4" max="4" width="22.28515625" customWidth="1"/>
    <col min="5" max="5" width="22.140625" customWidth="1"/>
    <col min="6" max="6" width="23.140625" customWidth="1"/>
    <col min="7" max="7" width="22.140625" customWidth="1"/>
    <col min="8" max="8" width="23.28515625" customWidth="1"/>
    <col min="9" max="9" width="23.85546875" customWidth="1"/>
    <col min="10" max="10" width="22.7109375" customWidth="1"/>
    <col min="11" max="11" width="23" customWidth="1"/>
  </cols>
  <sheetData>
    <row r="1" spans="2:24" ht="16.5">
      <c r="B1" s="346" t="s">
        <v>64</v>
      </c>
      <c r="C1" s="340">
        <v>45065</v>
      </c>
      <c r="D1" s="340">
        <v>45072</v>
      </c>
      <c r="E1" s="340">
        <v>45079</v>
      </c>
      <c r="F1" s="340">
        <v>45086</v>
      </c>
      <c r="G1" s="340">
        <v>45093</v>
      </c>
      <c r="H1" s="340">
        <v>45100</v>
      </c>
      <c r="I1" s="340">
        <v>45107</v>
      </c>
      <c r="J1" s="340">
        <v>45114</v>
      </c>
      <c r="K1" s="340">
        <v>45121</v>
      </c>
      <c r="L1" s="304"/>
    </row>
    <row r="2" spans="2:24" s="108" customFormat="1" ht="16.5">
      <c r="B2" s="347" t="s">
        <v>0</v>
      </c>
      <c r="C2" s="341">
        <v>17079628906.379999</v>
      </c>
      <c r="D2" s="341">
        <v>17454929325.299999</v>
      </c>
      <c r="E2" s="341">
        <v>18617819180.259998</v>
      </c>
      <c r="F2" s="341">
        <v>18707350348.629997</v>
      </c>
      <c r="G2" s="341">
        <v>20030863173.209999</v>
      </c>
      <c r="H2" s="341">
        <v>20288689104.509998</v>
      </c>
      <c r="I2" s="341">
        <v>20576058059.739998</v>
      </c>
      <c r="J2" s="341">
        <v>21710685651.219997</v>
      </c>
      <c r="K2" s="341">
        <v>20938164830.360001</v>
      </c>
    </row>
    <row r="3" spans="2:24" s="108" customFormat="1" ht="16.5">
      <c r="B3" s="347" t="s">
        <v>44</v>
      </c>
      <c r="C3" s="342">
        <v>806087341383.99084</v>
      </c>
      <c r="D3" s="342">
        <v>798748175531.57666</v>
      </c>
      <c r="E3" s="342">
        <v>807261945859.45349</v>
      </c>
      <c r="F3" s="342">
        <v>810860786783.24963</v>
      </c>
      <c r="G3" s="342">
        <v>816758455712.61926</v>
      </c>
      <c r="H3" s="342">
        <v>817523630430.57593</v>
      </c>
      <c r="I3" s="342">
        <v>822530716125.65808</v>
      </c>
      <c r="J3" s="342">
        <v>835884528785.64209</v>
      </c>
      <c r="K3" s="342">
        <v>846543599278.24768</v>
      </c>
    </row>
    <row r="4" spans="2:24" s="108" customFormat="1" ht="16.5">
      <c r="B4" s="347" t="s">
        <v>193</v>
      </c>
      <c r="C4" s="341">
        <v>326437563760.66541</v>
      </c>
      <c r="D4" s="341">
        <v>323714339049.49524</v>
      </c>
      <c r="E4" s="341">
        <v>323395950269.5387</v>
      </c>
      <c r="F4" s="341">
        <v>319908980259.00153</v>
      </c>
      <c r="G4" s="341">
        <v>317665884188.13855</v>
      </c>
      <c r="H4" s="341">
        <v>327549421729.35663</v>
      </c>
      <c r="I4" s="341">
        <v>321409973646.99713</v>
      </c>
      <c r="J4" s="341">
        <v>320721885218.37311</v>
      </c>
      <c r="K4" s="341">
        <v>309847018533.15375</v>
      </c>
    </row>
    <row r="5" spans="2:24" s="108" customFormat="1" ht="16.5">
      <c r="B5" s="347" t="s">
        <v>195</v>
      </c>
      <c r="C5" s="342">
        <v>329647629846.67249</v>
      </c>
      <c r="D5" s="342">
        <v>331908642809.0658</v>
      </c>
      <c r="E5" s="342">
        <v>331906740337.94391</v>
      </c>
      <c r="F5" s="342">
        <v>338597314330.35101</v>
      </c>
      <c r="G5" s="342">
        <v>470498434802.98218</v>
      </c>
      <c r="H5" s="342">
        <v>550519578291.03943</v>
      </c>
      <c r="I5" s="342">
        <v>553623134341.57056</v>
      </c>
      <c r="J5" s="342">
        <v>561593301377.72437</v>
      </c>
      <c r="K5" s="342">
        <v>583012756562.62463</v>
      </c>
    </row>
    <row r="6" spans="2:24" s="108" customFormat="1" ht="16.5">
      <c r="B6" s="347" t="s">
        <v>212</v>
      </c>
      <c r="C6" s="341">
        <v>94202498345.429993</v>
      </c>
      <c r="D6" s="341">
        <v>94230214273.230011</v>
      </c>
      <c r="E6" s="341">
        <v>93351135037.830002</v>
      </c>
      <c r="F6" s="341">
        <v>93428704507.080002</v>
      </c>
      <c r="G6" s="341">
        <v>93449896565.160004</v>
      </c>
      <c r="H6" s="341">
        <v>93463222418.470001</v>
      </c>
      <c r="I6" s="341">
        <v>93491559414.529999</v>
      </c>
      <c r="J6" s="341">
        <v>93531954973.449997</v>
      </c>
      <c r="K6" s="341">
        <v>93572406322.790009</v>
      </c>
    </row>
    <row r="7" spans="2:24" s="108" customFormat="1" ht="16.5">
      <c r="B7" s="347" t="s">
        <v>221</v>
      </c>
      <c r="C7" s="343">
        <v>32017254793.66489</v>
      </c>
      <c r="D7" s="343">
        <v>32587344550.170525</v>
      </c>
      <c r="E7" s="343">
        <v>33634490477.322308</v>
      </c>
      <c r="F7" s="343">
        <v>33719080186.031113</v>
      </c>
      <c r="G7" s="343">
        <v>35744115521.98378</v>
      </c>
      <c r="H7" s="343">
        <v>36228102075.464104</v>
      </c>
      <c r="I7" s="343">
        <v>36851874319.96862</v>
      </c>
      <c r="J7" s="343">
        <v>38388002959.524063</v>
      </c>
      <c r="K7" s="343">
        <v>37664855902.908386</v>
      </c>
    </row>
    <row r="8" spans="2:24" s="285" customFormat="1" ht="16.5">
      <c r="B8" s="347" t="s">
        <v>66</v>
      </c>
      <c r="C8" s="341">
        <v>3085351470.0200005</v>
      </c>
      <c r="D8" s="341">
        <v>3105704717.4300003</v>
      </c>
      <c r="E8" s="341">
        <v>3224901792.5799999</v>
      </c>
      <c r="F8" s="341">
        <v>3226244064.04</v>
      </c>
      <c r="G8" s="341">
        <v>3394394975.1899996</v>
      </c>
      <c r="H8" s="341">
        <v>3378418489.8299999</v>
      </c>
      <c r="I8" s="341">
        <v>3481681169.4399996</v>
      </c>
      <c r="J8" s="341">
        <v>3684466270.75</v>
      </c>
      <c r="K8" s="341">
        <v>3699554011.3700004</v>
      </c>
    </row>
    <row r="9" spans="2:24" ht="16.5">
      <c r="B9" s="347" t="s">
        <v>208</v>
      </c>
      <c r="C9" s="341">
        <v>25509760696.910004</v>
      </c>
      <c r="D9" s="341">
        <v>25740009095.389999</v>
      </c>
      <c r="E9" s="341">
        <v>25701609592.029999</v>
      </c>
      <c r="F9" s="341">
        <v>25776389309.68</v>
      </c>
      <c r="G9" s="341">
        <v>25810810447.57</v>
      </c>
      <c r="H9" s="341">
        <v>26082310834.120003</v>
      </c>
      <c r="I9" s="341">
        <v>26010301617.079998</v>
      </c>
      <c r="J9" s="341">
        <v>26335558994.479996</v>
      </c>
      <c r="K9" s="341">
        <v>27169515243.780003</v>
      </c>
    </row>
    <row r="10" spans="2:24" s="1" customFormat="1" ht="15.75">
      <c r="B10" s="348" t="s">
        <v>249</v>
      </c>
      <c r="C10" s="349">
        <f t="shared" ref="C10:J10" si="0">SUM(C2:C9)</f>
        <v>1634067029203.7332</v>
      </c>
      <c r="D10" s="349">
        <f t="shared" si="0"/>
        <v>1627489359351.6582</v>
      </c>
      <c r="E10" s="349">
        <f t="shared" si="0"/>
        <v>1637094592546.9585</v>
      </c>
      <c r="F10" s="349">
        <f t="shared" si="0"/>
        <v>1644224849788.0632</v>
      </c>
      <c r="G10" s="349">
        <f t="shared" si="0"/>
        <v>1783352855386.8538</v>
      </c>
      <c r="H10" s="349">
        <f t="shared" si="0"/>
        <v>1875033373373.3662</v>
      </c>
      <c r="I10" s="349">
        <f t="shared" si="0"/>
        <v>1877975298694.9844</v>
      </c>
      <c r="J10" s="349">
        <f t="shared" si="0"/>
        <v>1901850384231.1636</v>
      </c>
      <c r="K10" s="349">
        <f t="shared" ref="K10" si="1">SUM(K2:K9)</f>
        <v>1922447870685.2349</v>
      </c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</row>
    <row r="11" spans="2:24" ht="6.75" customHeight="1">
      <c r="B11" s="344"/>
      <c r="C11" s="345"/>
      <c r="D11" s="345"/>
      <c r="E11" s="345"/>
      <c r="F11" s="345"/>
      <c r="G11" s="345"/>
      <c r="H11" s="345"/>
      <c r="I11" s="345"/>
      <c r="J11" s="344"/>
      <c r="K11" s="344"/>
    </row>
    <row r="12" spans="2:24" ht="15.75">
      <c r="B12" s="350" t="s">
        <v>114</v>
      </c>
      <c r="C12" s="351" t="s">
        <v>113</v>
      </c>
      <c r="D12" s="352">
        <f>(C10+D10)/2</f>
        <v>1630778194277.6958</v>
      </c>
      <c r="E12" s="353">
        <f t="shared" ref="E12:K12" si="2">(D10+E10)/2</f>
        <v>1632291975949.3083</v>
      </c>
      <c r="F12" s="353">
        <f t="shared" si="2"/>
        <v>1640659721167.5107</v>
      </c>
      <c r="G12" s="353">
        <f t="shared" si="2"/>
        <v>1713788852587.4585</v>
      </c>
      <c r="H12" s="353">
        <f>(G10+H10)/2</f>
        <v>1829193114380.1099</v>
      </c>
      <c r="I12" s="353">
        <f t="shared" si="2"/>
        <v>1876504336034.1753</v>
      </c>
      <c r="J12" s="353">
        <f t="shared" si="2"/>
        <v>1889912841463.074</v>
      </c>
      <c r="K12" s="353">
        <f t="shared" si="2"/>
        <v>1912149127458.1992</v>
      </c>
    </row>
    <row r="13" spans="2:24">
      <c r="B13" s="8"/>
      <c r="C13" s="10"/>
      <c r="D13" s="10"/>
      <c r="E13" s="10"/>
      <c r="F13" s="10"/>
      <c r="G13" s="10"/>
      <c r="H13" s="10"/>
      <c r="I13" s="10"/>
    </row>
    <row r="14" spans="2:24">
      <c r="B14" s="8"/>
      <c r="C14" s="10"/>
      <c r="D14" s="10"/>
      <c r="E14" s="10"/>
      <c r="F14" s="10"/>
      <c r="G14" s="10"/>
      <c r="H14" s="287"/>
      <c r="I14" s="90"/>
      <c r="J14" s="89"/>
      <c r="L14" s="384"/>
    </row>
    <row r="15" spans="2:24" ht="16.5">
      <c r="B15" s="346" t="s">
        <v>64</v>
      </c>
      <c r="C15" s="340">
        <v>45114</v>
      </c>
      <c r="D15" s="340">
        <v>45121</v>
      </c>
      <c r="E15" s="10"/>
      <c r="F15" s="10"/>
      <c r="G15" s="10"/>
      <c r="H15" s="357"/>
      <c r="I15" s="357"/>
    </row>
    <row r="16" spans="2:24" ht="16.5">
      <c r="B16" s="347" t="s">
        <v>0</v>
      </c>
      <c r="C16" s="341">
        <v>21710685651.219997</v>
      </c>
      <c r="D16" s="341">
        <v>20938164830.360001</v>
      </c>
      <c r="E16" s="10"/>
      <c r="F16" s="10"/>
      <c r="G16" s="10"/>
      <c r="H16" s="359"/>
      <c r="I16" s="359"/>
      <c r="J16" s="90"/>
    </row>
    <row r="17" spans="2:10" ht="16.5">
      <c r="B17" s="347" t="s">
        <v>44</v>
      </c>
      <c r="C17" s="342">
        <v>835884528785.64209</v>
      </c>
      <c r="D17" s="342">
        <v>846543599278.24768</v>
      </c>
      <c r="E17" s="10"/>
      <c r="F17" s="10"/>
      <c r="G17" s="10"/>
      <c r="H17" s="360"/>
      <c r="I17" s="360"/>
    </row>
    <row r="18" spans="2:10" ht="16.5">
      <c r="B18" s="347" t="s">
        <v>193</v>
      </c>
      <c r="C18" s="341">
        <v>320721885218.37311</v>
      </c>
      <c r="D18" s="341">
        <v>309847018533.15375</v>
      </c>
      <c r="E18" s="9"/>
      <c r="F18" s="9"/>
      <c r="G18" s="9"/>
      <c r="H18" s="359"/>
      <c r="I18" s="359"/>
    </row>
    <row r="19" spans="2:10" ht="16.5">
      <c r="B19" s="347" t="s">
        <v>195</v>
      </c>
      <c r="C19" s="342">
        <v>561593301377.72437</v>
      </c>
      <c r="D19" s="342">
        <v>583012756562.62463</v>
      </c>
      <c r="E19" s="8"/>
      <c r="F19" s="8"/>
      <c r="G19" s="8"/>
      <c r="H19" s="360"/>
      <c r="I19" s="360"/>
    </row>
    <row r="20" spans="2:10" ht="16.5">
      <c r="B20" s="347" t="s">
        <v>212</v>
      </c>
      <c r="C20" s="341">
        <v>93531954973.449997</v>
      </c>
      <c r="D20" s="341">
        <v>93572406322.790009</v>
      </c>
      <c r="E20" s="8"/>
      <c r="F20" s="8"/>
      <c r="G20" s="8"/>
      <c r="H20" s="359"/>
      <c r="I20" s="359"/>
      <c r="J20" s="91"/>
    </row>
    <row r="21" spans="2:10" ht="16.5">
      <c r="B21" s="347" t="s">
        <v>221</v>
      </c>
      <c r="C21" s="343">
        <v>38388002959.524063</v>
      </c>
      <c r="D21" s="343">
        <v>37664855902.908386</v>
      </c>
      <c r="E21" s="8"/>
      <c r="F21" s="8"/>
      <c r="G21" s="8"/>
      <c r="H21" s="361"/>
      <c r="I21" s="361"/>
    </row>
    <row r="22" spans="2:10" ht="16.5">
      <c r="B22" s="347" t="s">
        <v>66</v>
      </c>
      <c r="C22" s="341">
        <v>3684466270.75</v>
      </c>
      <c r="D22" s="341">
        <v>3699554011.3700004</v>
      </c>
      <c r="E22" s="8"/>
      <c r="F22" s="8"/>
      <c r="G22" s="8"/>
      <c r="H22" s="359"/>
      <c r="I22" s="359"/>
    </row>
    <row r="23" spans="2:10" ht="16.5">
      <c r="B23" s="347" t="s">
        <v>208</v>
      </c>
      <c r="C23" s="341">
        <v>26335558994.479996</v>
      </c>
      <c r="D23" s="341">
        <v>27169515243.780003</v>
      </c>
      <c r="E23" s="8"/>
      <c r="F23" s="8"/>
      <c r="G23" s="8"/>
      <c r="H23" s="359"/>
      <c r="I23" s="359"/>
    </row>
    <row r="24" spans="2:10" ht="16.5">
      <c r="B24" s="358"/>
      <c r="C24" s="359"/>
      <c r="D24" s="8"/>
      <c r="E24" s="8"/>
      <c r="F24" s="8"/>
      <c r="G24" s="8"/>
      <c r="H24" s="359"/>
    </row>
    <row r="25" spans="2:10" ht="16.5">
      <c r="B25" s="358"/>
      <c r="C25" s="359"/>
      <c r="D25" s="8"/>
      <c r="E25" s="8"/>
      <c r="F25" s="8"/>
      <c r="G25" s="8"/>
      <c r="H25" s="359"/>
    </row>
    <row r="26" spans="2:10">
      <c r="B26" s="8"/>
      <c r="C26" s="8"/>
      <c r="D26" s="8"/>
      <c r="E26" s="8"/>
      <c r="F26" s="8"/>
      <c r="G26" s="8"/>
      <c r="H26" s="8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88"/>
  <sheetViews>
    <sheetView zoomScale="120" zoomScaleNormal="120" workbookViewId="0">
      <pane xSplit="1" ySplit="8" topLeftCell="AF9" activePane="bottomRight" state="frozen"/>
      <selection pane="topRight" activeCell="E1" sqref="E1"/>
      <selection pane="bottomLeft" activeCell="A8" sqref="A8"/>
      <selection pane="bottomRight" activeCell="AP1" sqref="AP1"/>
    </sheetView>
  </sheetViews>
  <sheetFormatPr defaultColWidth="8.85546875" defaultRowHeight="15"/>
  <cols>
    <col min="1" max="1" width="44" customWidth="1"/>
    <col min="2" max="2" width="21.7109375" style="368" customWidth="1"/>
    <col min="3" max="3" width="9.28515625" style="368" customWidth="1"/>
    <col min="4" max="4" width="21" style="368" customWidth="1"/>
    <col min="5" max="7" width="9.28515625" style="368" customWidth="1"/>
    <col min="8" max="8" width="20.7109375" style="368" customWidth="1"/>
    <col min="9" max="9" width="10" style="368" customWidth="1"/>
    <col min="10" max="11" width="9.28515625" style="368" customWidth="1"/>
    <col min="12" max="12" width="20.7109375" style="368" customWidth="1"/>
    <col min="13" max="15" width="9.28515625" style="368" customWidth="1"/>
    <col min="16" max="16" width="21.28515625" style="368" customWidth="1"/>
    <col min="17" max="19" width="9.28515625" style="368" customWidth="1"/>
    <col min="20" max="20" width="19.28515625" style="368" customWidth="1"/>
    <col min="21" max="23" width="9.28515625" style="368" customWidth="1"/>
    <col min="24" max="24" width="17.85546875" style="368" customWidth="1"/>
    <col min="25" max="27" width="9.28515625" style="368" customWidth="1"/>
    <col min="28" max="28" width="20.5703125" style="368" customWidth="1"/>
    <col min="29" max="31" width="9.28515625" style="368" customWidth="1"/>
    <col min="32" max="32" width="19.7109375" style="368" customWidth="1"/>
    <col min="33" max="35" width="9.28515625" style="368" customWidth="1"/>
    <col min="36" max="36" width="8.28515625" customWidth="1"/>
    <col min="37" max="37" width="9" customWidth="1"/>
    <col min="38" max="38" width="7.28515625" customWidth="1"/>
    <col min="39" max="39" width="7.140625" customWidth="1"/>
    <col min="40" max="40" width="8.7109375" customWidth="1"/>
    <col min="41" max="41" width="8.140625" customWidth="1"/>
    <col min="43" max="43" width="13.42578125" hidden="1" customWidth="1"/>
    <col min="44" max="44" width="9.7109375" hidden="1" customWidth="1"/>
    <col min="45" max="46" width="6.42578125" hidden="1" customWidth="1"/>
    <col min="47" max="47" width="10.7109375" customWidth="1"/>
    <col min="48" max="48" width="15.7109375" bestFit="1" customWidth="1"/>
  </cols>
  <sheetData>
    <row r="1" spans="1:49" s="108" customFormat="1" ht="37.5" customHeight="1" thickBot="1">
      <c r="A1" s="461" t="s">
        <v>71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462"/>
      <c r="Q1" s="462"/>
      <c r="R1" s="462"/>
      <c r="S1" s="462"/>
      <c r="T1" s="462"/>
      <c r="U1" s="462"/>
      <c r="V1" s="462"/>
      <c r="W1" s="462"/>
      <c r="X1" s="462"/>
      <c r="Y1" s="462"/>
      <c r="Z1" s="462"/>
      <c r="AA1" s="462"/>
      <c r="AB1" s="462"/>
      <c r="AC1" s="462"/>
      <c r="AD1" s="462"/>
      <c r="AE1" s="462"/>
      <c r="AF1" s="462"/>
      <c r="AG1" s="462"/>
      <c r="AH1" s="462"/>
      <c r="AI1" s="462"/>
      <c r="AJ1" s="462"/>
      <c r="AK1" s="462"/>
      <c r="AL1" s="462"/>
      <c r="AM1" s="462"/>
      <c r="AN1" s="462"/>
      <c r="AO1" s="463"/>
    </row>
    <row r="2" spans="1:49" ht="30.75" customHeight="1">
      <c r="A2" s="199"/>
      <c r="B2" s="457" t="s">
        <v>268</v>
      </c>
      <c r="C2" s="457"/>
      <c r="D2" s="457" t="s">
        <v>269</v>
      </c>
      <c r="E2" s="457"/>
      <c r="F2" s="457" t="s">
        <v>62</v>
      </c>
      <c r="G2" s="457"/>
      <c r="H2" s="457" t="s">
        <v>270</v>
      </c>
      <c r="I2" s="457"/>
      <c r="J2" s="457" t="s">
        <v>62</v>
      </c>
      <c r="K2" s="457"/>
      <c r="L2" s="457" t="s">
        <v>271</v>
      </c>
      <c r="M2" s="457"/>
      <c r="N2" s="457" t="s">
        <v>62</v>
      </c>
      <c r="O2" s="457"/>
      <c r="P2" s="457" t="s">
        <v>277</v>
      </c>
      <c r="Q2" s="457"/>
      <c r="R2" s="457" t="s">
        <v>62</v>
      </c>
      <c r="S2" s="457"/>
      <c r="T2" s="457" t="s">
        <v>278</v>
      </c>
      <c r="U2" s="457"/>
      <c r="V2" s="457" t="s">
        <v>62</v>
      </c>
      <c r="W2" s="457"/>
      <c r="X2" s="457" t="s">
        <v>279</v>
      </c>
      <c r="Y2" s="457"/>
      <c r="Z2" s="457" t="s">
        <v>62</v>
      </c>
      <c r="AA2" s="457"/>
      <c r="AB2" s="457" t="s">
        <v>282</v>
      </c>
      <c r="AC2" s="457"/>
      <c r="AD2" s="457" t="s">
        <v>62</v>
      </c>
      <c r="AE2" s="457"/>
      <c r="AF2" s="457" t="s">
        <v>286</v>
      </c>
      <c r="AG2" s="457"/>
      <c r="AH2" s="457" t="s">
        <v>62</v>
      </c>
      <c r="AI2" s="457"/>
      <c r="AJ2" s="457" t="s">
        <v>78</v>
      </c>
      <c r="AK2" s="457"/>
      <c r="AL2" s="457" t="s">
        <v>79</v>
      </c>
      <c r="AM2" s="457"/>
      <c r="AN2" s="457" t="s">
        <v>70</v>
      </c>
      <c r="AO2" s="464"/>
      <c r="AP2" s="14"/>
      <c r="AQ2" s="458" t="s">
        <v>83</v>
      </c>
      <c r="AR2" s="459"/>
      <c r="AS2" s="14"/>
      <c r="AT2" s="14"/>
    </row>
    <row r="3" spans="1:49" ht="27.75" customHeight="1">
      <c r="A3" s="200" t="s">
        <v>2</v>
      </c>
      <c r="B3" s="191" t="s">
        <v>58</v>
      </c>
      <c r="C3" s="192" t="s">
        <v>3</v>
      </c>
      <c r="D3" s="191" t="s">
        <v>58</v>
      </c>
      <c r="E3" s="192" t="s">
        <v>3</v>
      </c>
      <c r="F3" s="196" t="s">
        <v>58</v>
      </c>
      <c r="G3" s="197" t="s">
        <v>3</v>
      </c>
      <c r="H3" s="191" t="s">
        <v>58</v>
      </c>
      <c r="I3" s="192" t="s">
        <v>3</v>
      </c>
      <c r="J3" s="196" t="s">
        <v>58</v>
      </c>
      <c r="K3" s="197" t="s">
        <v>3</v>
      </c>
      <c r="L3" s="191" t="s">
        <v>58</v>
      </c>
      <c r="M3" s="192" t="s">
        <v>3</v>
      </c>
      <c r="N3" s="196" t="s">
        <v>58</v>
      </c>
      <c r="O3" s="197" t="s">
        <v>3</v>
      </c>
      <c r="P3" s="191" t="s">
        <v>58</v>
      </c>
      <c r="Q3" s="192" t="s">
        <v>3</v>
      </c>
      <c r="R3" s="196" t="s">
        <v>58</v>
      </c>
      <c r="S3" s="197" t="s">
        <v>3</v>
      </c>
      <c r="T3" s="191" t="s">
        <v>58</v>
      </c>
      <c r="U3" s="192" t="s">
        <v>3</v>
      </c>
      <c r="V3" s="196" t="s">
        <v>58</v>
      </c>
      <c r="W3" s="197" t="s">
        <v>3</v>
      </c>
      <c r="X3" s="191" t="s">
        <v>58</v>
      </c>
      <c r="Y3" s="192" t="s">
        <v>3</v>
      </c>
      <c r="Z3" s="196" t="s">
        <v>58</v>
      </c>
      <c r="AA3" s="197" t="s">
        <v>3</v>
      </c>
      <c r="AB3" s="191" t="s">
        <v>58</v>
      </c>
      <c r="AC3" s="192" t="s">
        <v>3</v>
      </c>
      <c r="AD3" s="196" t="s">
        <v>58</v>
      </c>
      <c r="AE3" s="197" t="s">
        <v>3</v>
      </c>
      <c r="AF3" s="191" t="s">
        <v>58</v>
      </c>
      <c r="AG3" s="192" t="s">
        <v>3</v>
      </c>
      <c r="AH3" s="196" t="s">
        <v>58</v>
      </c>
      <c r="AI3" s="197" t="s">
        <v>3</v>
      </c>
      <c r="AJ3" s="196" t="s">
        <v>58</v>
      </c>
      <c r="AK3" s="197" t="s">
        <v>3</v>
      </c>
      <c r="AL3" s="196" t="s">
        <v>58</v>
      </c>
      <c r="AM3" s="197" t="s">
        <v>3</v>
      </c>
      <c r="AN3" s="196" t="s">
        <v>58</v>
      </c>
      <c r="AO3" s="385" t="s">
        <v>3</v>
      </c>
      <c r="AP3" s="14"/>
      <c r="AQ3" s="17" t="s">
        <v>58</v>
      </c>
      <c r="AR3" s="18" t="s">
        <v>3</v>
      </c>
      <c r="AS3" s="14"/>
      <c r="AT3" s="14"/>
    </row>
    <row r="4" spans="1:49">
      <c r="A4" s="201" t="s">
        <v>0</v>
      </c>
      <c r="B4" s="67" t="s">
        <v>4</v>
      </c>
      <c r="C4" s="67" t="s">
        <v>4</v>
      </c>
      <c r="D4" s="67" t="s">
        <v>4</v>
      </c>
      <c r="E4" s="67" t="s">
        <v>4</v>
      </c>
      <c r="F4" s="19" t="s">
        <v>77</v>
      </c>
      <c r="G4" s="19" t="s">
        <v>77</v>
      </c>
      <c r="H4" s="67" t="s">
        <v>4</v>
      </c>
      <c r="I4" s="67" t="s">
        <v>4</v>
      </c>
      <c r="J4" s="19" t="s">
        <v>77</v>
      </c>
      <c r="K4" s="19" t="s">
        <v>77</v>
      </c>
      <c r="L4" s="67" t="s">
        <v>4</v>
      </c>
      <c r="M4" s="67" t="s">
        <v>4</v>
      </c>
      <c r="N4" s="19" t="s">
        <v>77</v>
      </c>
      <c r="O4" s="19" t="s">
        <v>77</v>
      </c>
      <c r="P4" s="67" t="s">
        <v>4</v>
      </c>
      <c r="Q4" s="67" t="s">
        <v>4</v>
      </c>
      <c r="R4" s="19" t="s">
        <v>77</v>
      </c>
      <c r="S4" s="19" t="s">
        <v>77</v>
      </c>
      <c r="T4" s="67" t="s">
        <v>4</v>
      </c>
      <c r="U4" s="67" t="s">
        <v>4</v>
      </c>
      <c r="V4" s="19" t="s">
        <v>77</v>
      </c>
      <c r="W4" s="19" t="s">
        <v>77</v>
      </c>
      <c r="X4" s="67" t="s">
        <v>4</v>
      </c>
      <c r="Y4" s="67" t="s">
        <v>4</v>
      </c>
      <c r="Z4" s="19" t="s">
        <v>77</v>
      </c>
      <c r="AA4" s="19" t="s">
        <v>77</v>
      </c>
      <c r="AB4" s="67" t="s">
        <v>4</v>
      </c>
      <c r="AC4" s="67" t="s">
        <v>4</v>
      </c>
      <c r="AD4" s="19" t="s">
        <v>77</v>
      </c>
      <c r="AE4" s="19" t="s">
        <v>77</v>
      </c>
      <c r="AF4" s="67" t="s">
        <v>4</v>
      </c>
      <c r="AG4" s="67" t="s">
        <v>4</v>
      </c>
      <c r="AH4" s="19" t="s">
        <v>77</v>
      </c>
      <c r="AI4" s="19" t="s">
        <v>77</v>
      </c>
      <c r="AJ4" s="20" t="s">
        <v>77</v>
      </c>
      <c r="AK4" s="20" t="s">
        <v>77</v>
      </c>
      <c r="AL4" s="21" t="s">
        <v>77</v>
      </c>
      <c r="AM4" s="21" t="s">
        <v>77</v>
      </c>
      <c r="AN4" s="15" t="s">
        <v>77</v>
      </c>
      <c r="AO4" s="16" t="s">
        <v>77</v>
      </c>
      <c r="AP4" s="14"/>
      <c r="AQ4" s="22" t="s">
        <v>4</v>
      </c>
      <c r="AR4" s="22" t="s">
        <v>4</v>
      </c>
      <c r="AS4" s="14"/>
      <c r="AT4" s="14"/>
    </row>
    <row r="5" spans="1:49">
      <c r="A5" s="202" t="s">
        <v>13</v>
      </c>
      <c r="B5" s="326">
        <v>436714292.20999998</v>
      </c>
      <c r="C5" s="325">
        <v>207.58750000000001</v>
      </c>
      <c r="D5" s="326">
        <v>452265506.13999999</v>
      </c>
      <c r="E5" s="325">
        <v>214.8929</v>
      </c>
      <c r="F5" s="23">
        <f>((D5-B5)/B5)</f>
        <v>3.5609583215843087E-2</v>
      </c>
      <c r="G5" s="23">
        <f>((E5-C5)/C5)</f>
        <v>3.5191907027157181E-2</v>
      </c>
      <c r="H5" s="326">
        <v>471138975.60000002</v>
      </c>
      <c r="I5" s="325">
        <v>223.21119999999999</v>
      </c>
      <c r="J5" s="23">
        <f t="shared" ref="J5:J20" si="0">((H5-D5)/D5)</f>
        <v>4.1730950523026854E-2</v>
      </c>
      <c r="K5" s="23">
        <f t="shared" ref="K5:K20" si="1">((I5-E5)/E5)</f>
        <v>3.8709049949998318E-2</v>
      </c>
      <c r="L5" s="326">
        <v>473833554.04000002</v>
      </c>
      <c r="M5" s="325">
        <v>224.7843</v>
      </c>
      <c r="N5" s="23">
        <f t="shared" ref="N5:N20" si="2">((L5-H5)/H5)</f>
        <v>5.7192857724590205E-3</v>
      </c>
      <c r="O5" s="23">
        <f t="shared" ref="O5:O20" si="3">((M5-I5)/I5)</f>
        <v>7.0475854258209751E-3</v>
      </c>
      <c r="P5" s="326">
        <v>515658316.36000001</v>
      </c>
      <c r="Q5" s="325">
        <v>240.32689999999999</v>
      </c>
      <c r="R5" s="23">
        <f t="shared" ref="R5:R20" si="4">((P5-L5)/L5)</f>
        <v>8.8268890971088199E-2</v>
      </c>
      <c r="S5" s="23">
        <f t="shared" ref="S5:S20" si="5">((Q5-M5)/M5)</f>
        <v>6.9144508757951487E-2</v>
      </c>
      <c r="T5" s="326">
        <v>525729217.97000003</v>
      </c>
      <c r="U5" s="325">
        <v>244.16630000000001</v>
      </c>
      <c r="V5" s="23">
        <f t="shared" ref="V5:V20" si="6">((T5-P5)/P5)</f>
        <v>1.9530183632235163E-2</v>
      </c>
      <c r="W5" s="23">
        <f t="shared" ref="W5:W20" si="7">((U5-Q5)/Q5)</f>
        <v>1.5975739711201749E-2</v>
      </c>
      <c r="X5" s="326">
        <v>548213517.25</v>
      </c>
      <c r="Y5" s="325">
        <v>250.09899999999999</v>
      </c>
      <c r="Z5" s="23">
        <f t="shared" ref="Z5:Z20" si="8">((X5-T5)/T5)</f>
        <v>4.2767832776764186E-2</v>
      </c>
      <c r="AA5" s="23">
        <f t="shared" ref="AA5:AA20" si="9">((Y5-U5)/U5)</f>
        <v>2.4297783928412656E-2</v>
      </c>
      <c r="AB5" s="326">
        <v>584695405.27999997</v>
      </c>
      <c r="AC5" s="325">
        <v>262.25749999999999</v>
      </c>
      <c r="AD5" s="23">
        <f t="shared" ref="AD5:AD20" si="10">((AB5-X5)/X5)</f>
        <v>6.6546859721744608E-2</v>
      </c>
      <c r="AE5" s="23">
        <f t="shared" ref="AE5:AE20" si="11">((AC5-Y5)/Y5)</f>
        <v>4.8614748559570424E-2</v>
      </c>
      <c r="AF5" s="326">
        <v>584335122.71000004</v>
      </c>
      <c r="AG5" s="325">
        <v>250.36150000000001</v>
      </c>
      <c r="AH5" s="23">
        <f t="shared" ref="AH5:AH20" si="12">((AF5-AB5)/AB5)</f>
        <v>-6.1618847479637793E-4</v>
      </c>
      <c r="AI5" s="23">
        <f t="shared" ref="AI5:AI20" si="13">((AG5-AC5)/AC5)</f>
        <v>-4.5359999237390682E-2</v>
      </c>
      <c r="AJ5" s="24">
        <f>AVERAGE(F5,J5,N5,R5,V5,Z5,AD5,AH5)</f>
        <v>3.7444674767295592E-2</v>
      </c>
      <c r="AK5" s="24">
        <f>AVERAGE(G5,K5,O5,S5,W5,AA5,AE5,AI5)</f>
        <v>2.4202665515340265E-2</v>
      </c>
      <c r="AL5" s="25">
        <f>((AF5-D5)/D5)</f>
        <v>0.29201788501888876</v>
      </c>
      <c r="AM5" s="25">
        <f>((AG5-E5)/E5)</f>
        <v>0.16505245170966565</v>
      </c>
      <c r="AN5" s="387">
        <f>STDEV(F5,J5,N5,R5,V5,Z5,AD5,AH5)</f>
        <v>2.9895466603622241E-2</v>
      </c>
      <c r="AO5" s="388">
        <f>STDEV(G5,K5,O5,S5,W5,AA5,AE5,AI5)</f>
        <v>3.4117172356142048E-2</v>
      </c>
      <c r="AP5" s="27"/>
      <c r="AQ5" s="28">
        <v>7877662528.1199999</v>
      </c>
      <c r="AR5" s="28">
        <v>7704.04</v>
      </c>
      <c r="AS5" s="29" t="e">
        <f>(#REF!/AQ5)-1</f>
        <v>#REF!</v>
      </c>
      <c r="AT5" s="29" t="e">
        <f>(#REF!/AR5)-1</f>
        <v>#REF!</v>
      </c>
    </row>
    <row r="6" spans="1:49">
      <c r="A6" s="202" t="s">
        <v>136</v>
      </c>
      <c r="B6" s="325">
        <v>483720953.86000001</v>
      </c>
      <c r="C6" s="325">
        <v>163.3826</v>
      </c>
      <c r="D6" s="325">
        <v>493782590.50999999</v>
      </c>
      <c r="E6" s="325">
        <v>166.67320000000001</v>
      </c>
      <c r="F6" s="23">
        <f>((D6-B6)/B6)</f>
        <v>2.0800497827745634E-2</v>
      </c>
      <c r="G6" s="23">
        <f>((E6-C6)/C6)</f>
        <v>2.0140455593190536E-2</v>
      </c>
      <c r="H6" s="325">
        <v>510795023.56999999</v>
      </c>
      <c r="I6" s="325">
        <v>170.9237</v>
      </c>
      <c r="J6" s="23">
        <f t="shared" si="0"/>
        <v>3.4453286500904838E-2</v>
      </c>
      <c r="K6" s="23">
        <f t="shared" si="1"/>
        <v>2.5502000321587323E-2</v>
      </c>
      <c r="L6" s="325">
        <v>509891503.94</v>
      </c>
      <c r="M6" s="325">
        <v>172.1558</v>
      </c>
      <c r="N6" s="23">
        <f t="shared" si="2"/>
        <v>-1.768849711348403E-3</v>
      </c>
      <c r="O6" s="23">
        <f t="shared" si="3"/>
        <v>7.2084795730492767E-3</v>
      </c>
      <c r="P6" s="325">
        <v>536194121.19</v>
      </c>
      <c r="Q6" s="325">
        <v>181.00040000000001</v>
      </c>
      <c r="R6" s="23">
        <f t="shared" si="4"/>
        <v>5.1584733314354425E-2</v>
      </c>
      <c r="S6" s="23">
        <f t="shared" si="5"/>
        <v>5.1375556327466251E-2</v>
      </c>
      <c r="T6" s="325">
        <v>540228725.09000003</v>
      </c>
      <c r="U6" s="325">
        <v>181.00040000000001</v>
      </c>
      <c r="V6" s="23">
        <f t="shared" si="6"/>
        <v>7.5245209534298063E-3</v>
      </c>
      <c r="W6" s="23">
        <f t="shared" si="7"/>
        <v>0</v>
      </c>
      <c r="X6" s="325">
        <v>551040186.23000002</v>
      </c>
      <c r="Y6" s="325">
        <v>185.6294</v>
      </c>
      <c r="Z6" s="23">
        <f t="shared" si="8"/>
        <v>2.0012747634252211E-2</v>
      </c>
      <c r="AA6" s="23">
        <f t="shared" si="9"/>
        <v>2.5574529117062671E-2</v>
      </c>
      <c r="AB6" s="325">
        <v>572405410.49000001</v>
      </c>
      <c r="AC6" s="325">
        <v>190.9725</v>
      </c>
      <c r="AD6" s="23">
        <f t="shared" si="10"/>
        <v>3.8772533825840255E-2</v>
      </c>
      <c r="AE6" s="23">
        <f t="shared" si="11"/>
        <v>2.8783694824203454E-2</v>
      </c>
      <c r="AF6" s="325">
        <v>552624626.29999995</v>
      </c>
      <c r="AG6" s="325">
        <v>182.36279999999999</v>
      </c>
      <c r="AH6" s="23">
        <f t="shared" si="12"/>
        <v>-3.4557297725517619E-2</v>
      </c>
      <c r="AI6" s="23">
        <f t="shared" si="13"/>
        <v>-4.5083454424066312E-2</v>
      </c>
      <c r="AJ6" s="24">
        <f t="shared" ref="AJ6:AJ69" si="14">AVERAGE(F6,J6,N6,R6,V6,Z6,AD6,AH6)</f>
        <v>1.710277157745764E-2</v>
      </c>
      <c r="AK6" s="24">
        <f t="shared" ref="AK6:AK69" si="15">AVERAGE(G6,K6,O6,S6,W6,AA6,AE6,AI6)</f>
        <v>1.4187657666561652E-2</v>
      </c>
      <c r="AL6" s="25">
        <f t="shared" ref="AL6:AL69" si="16">((AF6-D6)/D6)</f>
        <v>0.11916587769776445</v>
      </c>
      <c r="AM6" s="25">
        <f t="shared" ref="AM6:AM69" si="17">((AG6-E6)/E6)</f>
        <v>9.413390995072983E-2</v>
      </c>
      <c r="AN6" s="387">
        <f t="shared" ref="AN6:AN69" si="18">STDEV(F6,J6,N6,R6,V6,Z6,AD6,AH6)</f>
        <v>2.6987853153333383E-2</v>
      </c>
      <c r="AO6" s="388">
        <f t="shared" ref="AO6:AO69" si="19">STDEV(G6,K6,O6,S6,W6,AA6,AE6,AI6)</f>
        <v>2.84156857769138E-2</v>
      </c>
      <c r="AP6" s="30"/>
      <c r="AQ6" s="31">
        <v>486981928.81999999</v>
      </c>
      <c r="AR6" s="32">
        <v>0.95</v>
      </c>
      <c r="AS6" s="29" t="e">
        <f>(#REF!/AQ6)-1</f>
        <v>#REF!</v>
      </c>
      <c r="AT6" s="29" t="e">
        <f>(#REF!/AR6)-1</f>
        <v>#REF!</v>
      </c>
    </row>
    <row r="7" spans="1:49">
      <c r="A7" s="202" t="s">
        <v>11</v>
      </c>
      <c r="B7" s="325">
        <v>2402855602.7199998</v>
      </c>
      <c r="C7" s="325">
        <v>23.7805</v>
      </c>
      <c r="D7" s="325">
        <v>2456274425.3800001</v>
      </c>
      <c r="E7" s="325">
        <v>24.317499999999999</v>
      </c>
      <c r="F7" s="23">
        <f>((D7-B7)/B7)</f>
        <v>2.2231391099627854E-2</v>
      </c>
      <c r="G7" s="23">
        <f>((E7-C7)/C7)</f>
        <v>2.2581526881268226E-2</v>
      </c>
      <c r="H7" s="325">
        <v>2579025602.8000002</v>
      </c>
      <c r="I7" s="325">
        <v>25.376300000000001</v>
      </c>
      <c r="J7" s="23">
        <f t="shared" si="0"/>
        <v>4.9974537108576432E-2</v>
      </c>
      <c r="K7" s="23">
        <f t="shared" si="1"/>
        <v>4.3540660018505255E-2</v>
      </c>
      <c r="L7" s="325">
        <v>2583689981.1999998</v>
      </c>
      <c r="M7" s="325">
        <v>25.4315</v>
      </c>
      <c r="N7" s="23">
        <f t="shared" si="2"/>
        <v>1.8085816577142894E-3</v>
      </c>
      <c r="O7" s="23">
        <f t="shared" si="3"/>
        <v>2.1752580163380496E-3</v>
      </c>
      <c r="P7" s="325">
        <v>2813464823.6100001</v>
      </c>
      <c r="Q7" s="325">
        <v>26.514299999999999</v>
      </c>
      <c r="R7" s="23">
        <f t="shared" si="4"/>
        <v>8.8932822467841496E-2</v>
      </c>
      <c r="S7" s="23">
        <f t="shared" si="5"/>
        <v>4.2577118927314507E-2</v>
      </c>
      <c r="T7" s="325">
        <v>2863971512.0100002</v>
      </c>
      <c r="U7" s="325">
        <v>26.982399999999998</v>
      </c>
      <c r="V7" s="23">
        <f t="shared" si="6"/>
        <v>1.7951775325626494E-2</v>
      </c>
      <c r="W7" s="23">
        <f t="shared" si="7"/>
        <v>1.7654624108499932E-2</v>
      </c>
      <c r="X7" s="325">
        <v>2941170298.29</v>
      </c>
      <c r="Y7" s="325">
        <v>27.72</v>
      </c>
      <c r="Z7" s="23">
        <f t="shared" si="8"/>
        <v>2.6955151598494733E-2</v>
      </c>
      <c r="AA7" s="23">
        <f t="shared" si="9"/>
        <v>2.7336337760910837E-2</v>
      </c>
      <c r="AB7" s="325">
        <v>3126219815.3699999</v>
      </c>
      <c r="AC7" s="325">
        <v>28.969200000000001</v>
      </c>
      <c r="AD7" s="23">
        <f t="shared" si="10"/>
        <v>6.2916967843578434E-2</v>
      </c>
      <c r="AE7" s="23">
        <f t="shared" si="11"/>
        <v>4.5064935064935134E-2</v>
      </c>
      <c r="AF7" s="325">
        <v>3038532776.5599999</v>
      </c>
      <c r="AG7" s="325">
        <v>28.136900000000001</v>
      </c>
      <c r="AH7" s="23">
        <f t="shared" si="12"/>
        <v>-2.8048903784336693E-2</v>
      </c>
      <c r="AI7" s="23">
        <f t="shared" si="13"/>
        <v>-2.87305137870566E-2</v>
      </c>
      <c r="AJ7" s="24">
        <f t="shared" si="14"/>
        <v>3.034029041464038E-2</v>
      </c>
      <c r="AK7" s="24">
        <f t="shared" si="15"/>
        <v>2.1524993373839417E-2</v>
      </c>
      <c r="AL7" s="25">
        <f t="shared" si="16"/>
        <v>0.23704938876686021</v>
      </c>
      <c r="AM7" s="25">
        <f t="shared" si="17"/>
        <v>0.15706384291148356</v>
      </c>
      <c r="AN7" s="387">
        <f t="shared" si="18"/>
        <v>3.65158937817592E-2</v>
      </c>
      <c r="AO7" s="388">
        <f t="shared" si="19"/>
        <v>2.5162064491271313E-2</v>
      </c>
      <c r="AP7" s="30"/>
      <c r="AQ7" s="28">
        <v>204065067.03999999</v>
      </c>
      <c r="AR7" s="32">
        <v>105.02</v>
      </c>
      <c r="AS7" s="29" t="e">
        <f>(#REF!/AQ7)-1</f>
        <v>#REF!</v>
      </c>
      <c r="AT7" s="29" t="e">
        <f>(#REF!/AR7)-1</f>
        <v>#REF!</v>
      </c>
    </row>
    <row r="8" spans="1:49">
      <c r="A8" s="202" t="s">
        <v>81</v>
      </c>
      <c r="B8" s="325">
        <v>254064284.93000001</v>
      </c>
      <c r="C8" s="325">
        <v>136.21</v>
      </c>
      <c r="D8" s="325">
        <v>265936057.41999999</v>
      </c>
      <c r="E8" s="325">
        <v>142.16999999999999</v>
      </c>
      <c r="F8" s="23">
        <f>((D8-B8)/B8)</f>
        <v>4.6727435512122058E-2</v>
      </c>
      <c r="G8" s="23">
        <f>((E8-C8)/C8)</f>
        <v>4.3755965053960642E-2</v>
      </c>
      <c r="H8" s="325">
        <v>287532611.79000002</v>
      </c>
      <c r="I8" s="325">
        <v>149.41999999999999</v>
      </c>
      <c r="J8" s="23">
        <f t="shared" si="0"/>
        <v>8.1209575638297199E-2</v>
      </c>
      <c r="K8" s="23">
        <f t="shared" si="1"/>
        <v>5.0995287332067249E-2</v>
      </c>
      <c r="L8" s="325">
        <v>287896938.24000001</v>
      </c>
      <c r="M8" s="325">
        <v>149.41999999999999</v>
      </c>
      <c r="N8" s="23">
        <f t="shared" si="2"/>
        <v>1.267078707114011E-3</v>
      </c>
      <c r="O8" s="23">
        <f t="shared" si="3"/>
        <v>0</v>
      </c>
      <c r="P8" s="325">
        <v>301856283.92000002</v>
      </c>
      <c r="Q8" s="325">
        <v>156.96</v>
      </c>
      <c r="R8" s="23">
        <f t="shared" si="4"/>
        <v>4.8487301620286957E-2</v>
      </c>
      <c r="S8" s="23">
        <f t="shared" si="5"/>
        <v>5.046178557087419E-2</v>
      </c>
      <c r="T8" s="325">
        <v>309472758.36000001</v>
      </c>
      <c r="U8" s="325">
        <v>157.72999999999999</v>
      </c>
      <c r="V8" s="23">
        <f t="shared" si="6"/>
        <v>2.5232121528464078E-2</v>
      </c>
      <c r="W8" s="23">
        <f t="shared" si="7"/>
        <v>4.905708460754216E-3</v>
      </c>
      <c r="X8" s="325">
        <v>325028342.43000001</v>
      </c>
      <c r="Y8" s="325">
        <v>161.84</v>
      </c>
      <c r="Z8" s="23">
        <f t="shared" si="8"/>
        <v>5.0264792779934016E-2</v>
      </c>
      <c r="AA8" s="23">
        <f t="shared" si="9"/>
        <v>2.6057186331072173E-2</v>
      </c>
      <c r="AB8" s="325">
        <v>344255155.56</v>
      </c>
      <c r="AC8" s="325">
        <v>168.35</v>
      </c>
      <c r="AD8" s="23">
        <f t="shared" si="10"/>
        <v>5.9154266321069501E-2</v>
      </c>
      <c r="AE8" s="23">
        <f t="shared" si="11"/>
        <v>4.0224913494809632E-2</v>
      </c>
      <c r="AF8" s="325">
        <v>346331395.12</v>
      </c>
      <c r="AG8" s="325">
        <v>164.13</v>
      </c>
      <c r="AH8" s="23">
        <f t="shared" si="12"/>
        <v>6.0311066558250449E-3</v>
      </c>
      <c r="AI8" s="23">
        <f t="shared" si="13"/>
        <v>-2.506682506682506E-2</v>
      </c>
      <c r="AJ8" s="24">
        <f t="shared" si="14"/>
        <v>3.9796709845389112E-2</v>
      </c>
      <c r="AK8" s="24">
        <f t="shared" si="15"/>
        <v>2.3916752647089132E-2</v>
      </c>
      <c r="AL8" s="25">
        <f t="shared" si="16"/>
        <v>0.30231078282487089</v>
      </c>
      <c r="AM8" s="25">
        <f t="shared" si="17"/>
        <v>0.15446296687064789</v>
      </c>
      <c r="AN8" s="387">
        <f t="shared" si="18"/>
        <v>2.7149475704300079E-2</v>
      </c>
      <c r="AO8" s="388">
        <f t="shared" si="19"/>
        <v>2.7864056398926525E-2</v>
      </c>
      <c r="AP8" s="30"/>
      <c r="AQ8" s="33">
        <v>166618649</v>
      </c>
      <c r="AR8" s="34">
        <v>9.4</v>
      </c>
      <c r="AS8" s="29" t="e">
        <f>(#REF!/AQ8)-1</f>
        <v>#REF!</v>
      </c>
      <c r="AT8" s="29" t="e">
        <f>(#REF!/AR8)-1</f>
        <v>#REF!</v>
      </c>
      <c r="AU8" s="91"/>
    </row>
    <row r="9" spans="1:49" s="86" customFormat="1">
      <c r="A9" s="202" t="s">
        <v>52</v>
      </c>
      <c r="B9" s="325">
        <v>415271697.45999998</v>
      </c>
      <c r="C9" s="325">
        <v>191.46</v>
      </c>
      <c r="D9" s="325">
        <v>429384434.37</v>
      </c>
      <c r="E9" s="325">
        <v>197.91</v>
      </c>
      <c r="F9" s="23">
        <f>((D9-B9)/B9)</f>
        <v>3.3984345661696343E-2</v>
      </c>
      <c r="G9" s="23">
        <f>((E9-C9)/C9)</f>
        <v>3.3688498903165089E-2</v>
      </c>
      <c r="H9" s="325">
        <v>450185756.94</v>
      </c>
      <c r="I9" s="325">
        <v>206.68</v>
      </c>
      <c r="J9" s="23">
        <f t="shared" si="0"/>
        <v>4.8444519421203612E-2</v>
      </c>
      <c r="K9" s="23">
        <f t="shared" si="1"/>
        <v>4.4313071598201255E-2</v>
      </c>
      <c r="L9" s="325">
        <v>457605222.00999999</v>
      </c>
      <c r="M9" s="325">
        <v>207.36</v>
      </c>
      <c r="N9" s="23">
        <f t="shared" si="2"/>
        <v>1.6480896953363289E-2</v>
      </c>
      <c r="O9" s="23">
        <f t="shared" si="3"/>
        <v>3.2901103154635513E-3</v>
      </c>
      <c r="P9" s="325">
        <v>492758236.86000001</v>
      </c>
      <c r="Q9" s="325">
        <v>220.97</v>
      </c>
      <c r="R9" s="23">
        <f t="shared" si="4"/>
        <v>7.6819522940740889E-2</v>
      </c>
      <c r="S9" s="23">
        <f t="shared" si="5"/>
        <v>6.5634645061728322E-2</v>
      </c>
      <c r="T9" s="325">
        <v>507848497.44</v>
      </c>
      <c r="U9" s="325">
        <v>223.62</v>
      </c>
      <c r="V9" s="23">
        <f t="shared" si="6"/>
        <v>3.0624065619196037E-2</v>
      </c>
      <c r="W9" s="23">
        <f t="shared" si="7"/>
        <v>1.1992578178033243E-2</v>
      </c>
      <c r="X9" s="325">
        <v>527436775.54000002</v>
      </c>
      <c r="Y9" s="325">
        <v>232.29</v>
      </c>
      <c r="Z9" s="23">
        <f t="shared" si="8"/>
        <v>3.8571105750518225E-2</v>
      </c>
      <c r="AA9" s="23">
        <f t="shared" si="9"/>
        <v>3.8771129594848346E-2</v>
      </c>
      <c r="AB9" s="325">
        <v>573935538.22000003</v>
      </c>
      <c r="AC9" s="325">
        <v>244.42</v>
      </c>
      <c r="AD9" s="23">
        <f t="shared" si="10"/>
        <v>8.8159879698175528E-2</v>
      </c>
      <c r="AE9" s="23">
        <f t="shared" si="11"/>
        <v>5.2219208747686062E-2</v>
      </c>
      <c r="AF9" s="325">
        <v>530909123.12</v>
      </c>
      <c r="AG9" s="325">
        <v>230.66</v>
      </c>
      <c r="AH9" s="23">
        <f t="shared" si="12"/>
        <v>-7.4967330361597528E-2</v>
      </c>
      <c r="AI9" s="23">
        <f t="shared" si="13"/>
        <v>-5.6296538744783534E-2</v>
      </c>
      <c r="AJ9" s="24">
        <f t="shared" si="14"/>
        <v>3.2264625710412047E-2</v>
      </c>
      <c r="AK9" s="24">
        <f t="shared" si="15"/>
        <v>2.4201587956792794E-2</v>
      </c>
      <c r="AL9" s="25">
        <f t="shared" si="16"/>
        <v>0.23644240597346924</v>
      </c>
      <c r="AM9" s="25">
        <f t="shared" si="17"/>
        <v>0.16547925824869891</v>
      </c>
      <c r="AN9" s="387">
        <f t="shared" si="18"/>
        <v>4.9518317400417941E-2</v>
      </c>
      <c r="AO9" s="388">
        <f t="shared" si="19"/>
        <v>3.8312117278132982E-2</v>
      </c>
      <c r="AP9" s="30"/>
      <c r="AQ9" s="33"/>
      <c r="AR9" s="34"/>
      <c r="AS9" s="29"/>
      <c r="AT9" s="29"/>
    </row>
    <row r="10" spans="1:49">
      <c r="A10" s="202" t="s">
        <v>8</v>
      </c>
      <c r="B10" s="326">
        <v>274084077.38999999</v>
      </c>
      <c r="C10" s="325">
        <v>140.93</v>
      </c>
      <c r="D10" s="326">
        <v>281264175.48000002</v>
      </c>
      <c r="E10" s="325">
        <v>143.69999999999999</v>
      </c>
      <c r="F10" s="23">
        <f>((D10-B10)/B10)</f>
        <v>2.6196699050792801E-2</v>
      </c>
      <c r="G10" s="23">
        <f>((E10-C10)/C10)</f>
        <v>1.965514794578856E-2</v>
      </c>
      <c r="H10" s="326">
        <v>285800738.51999998</v>
      </c>
      <c r="I10" s="325">
        <v>146.21</v>
      </c>
      <c r="J10" s="23">
        <f t="shared" si="0"/>
        <v>1.6129188981348054E-2</v>
      </c>
      <c r="K10" s="23">
        <f t="shared" si="1"/>
        <v>1.7466945024356435E-2</v>
      </c>
      <c r="L10" s="326">
        <v>289501955.77999997</v>
      </c>
      <c r="M10" s="325">
        <v>148.08000000000001</v>
      </c>
      <c r="N10" s="23">
        <f t="shared" si="2"/>
        <v>1.2950341833147446E-2</v>
      </c>
      <c r="O10" s="23">
        <f t="shared" si="3"/>
        <v>1.2789822857533715E-2</v>
      </c>
      <c r="P10" s="326">
        <v>304110707.12</v>
      </c>
      <c r="Q10" s="325">
        <v>155.47</v>
      </c>
      <c r="R10" s="23">
        <f t="shared" si="4"/>
        <v>5.0461667178171334E-2</v>
      </c>
      <c r="S10" s="23">
        <f t="shared" si="5"/>
        <v>4.9905456509994499E-2</v>
      </c>
      <c r="T10" s="326">
        <v>304110707.12</v>
      </c>
      <c r="U10" s="325">
        <v>155.47</v>
      </c>
      <c r="V10" s="23">
        <f t="shared" si="6"/>
        <v>0</v>
      </c>
      <c r="W10" s="23">
        <f t="shared" si="7"/>
        <v>0</v>
      </c>
      <c r="X10" s="326">
        <v>313648029.38</v>
      </c>
      <c r="Y10" s="325">
        <v>160.72999999999999</v>
      </c>
      <c r="Z10" s="23">
        <f t="shared" si="8"/>
        <v>3.1361349787124161E-2</v>
      </c>
      <c r="AA10" s="23">
        <f t="shared" si="9"/>
        <v>3.3832893805878887E-2</v>
      </c>
      <c r="AB10" s="326">
        <v>325483870.17000002</v>
      </c>
      <c r="AC10" s="325">
        <v>168.23</v>
      </c>
      <c r="AD10" s="23">
        <f t="shared" si="10"/>
        <v>3.7736059790958607E-2</v>
      </c>
      <c r="AE10" s="23">
        <f t="shared" si="11"/>
        <v>4.6662104149816468E-2</v>
      </c>
      <c r="AF10" s="326">
        <v>297737609.66000003</v>
      </c>
      <c r="AG10" s="325">
        <v>153.83000000000001</v>
      </c>
      <c r="AH10" s="23">
        <f t="shared" si="12"/>
        <v>-8.5246192063244602E-2</v>
      </c>
      <c r="AI10" s="23">
        <f t="shared" si="13"/>
        <v>-8.559709920941555E-2</v>
      </c>
      <c r="AJ10" s="24">
        <f t="shared" si="14"/>
        <v>1.1198639319787224E-2</v>
      </c>
      <c r="AK10" s="24">
        <f t="shared" si="15"/>
        <v>1.1839408885494129E-2</v>
      </c>
      <c r="AL10" s="25">
        <f t="shared" si="16"/>
        <v>5.8569258427194869E-2</v>
      </c>
      <c r="AM10" s="25">
        <f t="shared" si="17"/>
        <v>7.0494084899095505E-2</v>
      </c>
      <c r="AN10" s="387">
        <f t="shared" si="18"/>
        <v>4.1972253650873786E-2</v>
      </c>
      <c r="AO10" s="388">
        <f t="shared" si="19"/>
        <v>4.2883663898346053E-2</v>
      </c>
      <c r="AP10" s="30"/>
      <c r="AQ10" s="28">
        <v>1147996444.8800001</v>
      </c>
      <c r="AR10" s="32">
        <v>0.69840000000000002</v>
      </c>
      <c r="AS10" s="29" t="e">
        <f>(#REF!/AQ10)-1</f>
        <v>#REF!</v>
      </c>
      <c r="AT10" s="29" t="e">
        <f>(#REF!/AR10)-1</f>
        <v>#REF!</v>
      </c>
    </row>
    <row r="11" spans="1:49">
      <c r="A11" s="202" t="s">
        <v>217</v>
      </c>
      <c r="B11" s="74">
        <v>28355131.620000001</v>
      </c>
      <c r="C11" s="325">
        <v>114.04</v>
      </c>
      <c r="D11" s="74">
        <v>30537454.09</v>
      </c>
      <c r="E11" s="325">
        <v>122.81</v>
      </c>
      <c r="F11" s="23">
        <f>((D11-B11)/B11)</f>
        <v>7.696393369800901E-2</v>
      </c>
      <c r="G11" s="23">
        <f>((E11-C11)/C11)</f>
        <v>7.6902841108382983E-2</v>
      </c>
      <c r="H11" s="74">
        <v>31765543.109999999</v>
      </c>
      <c r="I11" s="325">
        <v>127.78</v>
      </c>
      <c r="J11" s="23">
        <f t="shared" si="0"/>
        <v>4.0215828614283793E-2</v>
      </c>
      <c r="K11" s="23">
        <f t="shared" si="1"/>
        <v>4.0469017181011306E-2</v>
      </c>
      <c r="L11" s="74">
        <v>32179037.640000001</v>
      </c>
      <c r="M11" s="325">
        <v>129.44999999999999</v>
      </c>
      <c r="N11" s="23">
        <f t="shared" si="2"/>
        <v>1.3017077295613133E-2</v>
      </c>
      <c r="O11" s="23">
        <f t="shared" si="3"/>
        <v>1.3069337924557736E-2</v>
      </c>
      <c r="P11" s="74">
        <v>35556033.340000004</v>
      </c>
      <c r="Q11" s="325">
        <v>139.05000000000001</v>
      </c>
      <c r="R11" s="23">
        <f t="shared" si="4"/>
        <v>0.1049439618977991</v>
      </c>
      <c r="S11" s="23">
        <f t="shared" si="5"/>
        <v>7.4159907300116054E-2</v>
      </c>
      <c r="T11" s="74">
        <v>26309579.190000001</v>
      </c>
      <c r="U11" s="325">
        <v>105.43</v>
      </c>
      <c r="V11" s="23">
        <f t="shared" si="6"/>
        <v>-0.26005302845742018</v>
      </c>
      <c r="W11" s="23">
        <f t="shared" si="7"/>
        <v>-0.24178353110391948</v>
      </c>
      <c r="X11" s="74">
        <v>26318802.829999998</v>
      </c>
      <c r="Y11" s="325">
        <v>105.46</v>
      </c>
      <c r="Z11" s="23">
        <f t="shared" si="8"/>
        <v>3.5058105389624325E-4</v>
      </c>
      <c r="AA11" s="23">
        <f t="shared" si="9"/>
        <v>2.8454898985096202E-4</v>
      </c>
      <c r="AB11" s="74">
        <v>26231006.219999999</v>
      </c>
      <c r="AC11" s="325">
        <v>105.11</v>
      </c>
      <c r="AD11" s="23">
        <f t="shared" si="10"/>
        <v>-3.3358891955344843E-3</v>
      </c>
      <c r="AE11" s="23">
        <f t="shared" si="11"/>
        <v>-3.3187938554901796E-3</v>
      </c>
      <c r="AF11" s="74">
        <v>26231006.219999999</v>
      </c>
      <c r="AG11" s="325">
        <v>105.11</v>
      </c>
      <c r="AH11" s="23">
        <f t="shared" si="12"/>
        <v>0</v>
      </c>
      <c r="AI11" s="23">
        <f t="shared" si="13"/>
        <v>0</v>
      </c>
      <c r="AJ11" s="24">
        <f t="shared" si="14"/>
        <v>-3.4871918866691718E-3</v>
      </c>
      <c r="AK11" s="24">
        <f t="shared" si="15"/>
        <v>-5.0270840569363283E-3</v>
      </c>
      <c r="AL11" s="25">
        <f t="shared" si="16"/>
        <v>-0.14102183689930523</v>
      </c>
      <c r="AM11" s="25">
        <f t="shared" si="17"/>
        <v>-0.1441250712482697</v>
      </c>
      <c r="AN11" s="387">
        <f t="shared" si="18"/>
        <v>0.11101157212340655</v>
      </c>
      <c r="AO11" s="388">
        <f t="shared" si="19"/>
        <v>0.10105902550180768</v>
      </c>
      <c r="AP11" s="30"/>
      <c r="AQ11" s="28">
        <v>2845469436.1399999</v>
      </c>
      <c r="AR11" s="32">
        <v>13.0688</v>
      </c>
      <c r="AS11" s="29" t="e">
        <f>(#REF!/AQ11)-1</f>
        <v>#REF!</v>
      </c>
      <c r="AT11" s="29" t="e">
        <f>(#REF!/AR11)-1</f>
        <v>#REF!</v>
      </c>
    </row>
    <row r="12" spans="1:49" s="368" customFormat="1">
      <c r="A12" s="202" t="s">
        <v>272</v>
      </c>
      <c r="B12" s="326">
        <v>356346205.95999998</v>
      </c>
      <c r="C12" s="325">
        <v>1.34</v>
      </c>
      <c r="D12" s="326">
        <v>371448608.08999997</v>
      </c>
      <c r="E12" s="325">
        <v>1.41</v>
      </c>
      <c r="F12" s="23">
        <f>((D12-B12)/B12)</f>
        <v>4.2381262596339377E-2</v>
      </c>
      <c r="G12" s="23">
        <f>((E12-C12)/C12)</f>
        <v>5.2238805970149134E-2</v>
      </c>
      <c r="H12" s="326">
        <v>395989381.80000001</v>
      </c>
      <c r="I12" s="325">
        <v>1.5</v>
      </c>
      <c r="J12" s="23">
        <f t="shared" ref="J12" si="20">((H12-D12)/D12)</f>
        <v>6.6067749819253438E-2</v>
      </c>
      <c r="K12" s="23">
        <f t="shared" ref="K12" si="21">((I12-E12)/E12)</f>
        <v>6.3829787234042618E-2</v>
      </c>
      <c r="L12" s="326">
        <v>401755619.42000002</v>
      </c>
      <c r="M12" s="325">
        <v>1.51</v>
      </c>
      <c r="N12" s="23">
        <f t="shared" ref="N12" si="22">((L12-H12)/H12)</f>
        <v>1.456159656046617E-2</v>
      </c>
      <c r="O12" s="23">
        <f t="shared" ref="O12" si="23">((M12-I12)/I12)</f>
        <v>6.6666666666666723E-3</v>
      </c>
      <c r="P12" s="326">
        <v>431856945.29000002</v>
      </c>
      <c r="Q12" s="325">
        <v>1.62</v>
      </c>
      <c r="R12" s="23">
        <f t="shared" ref="R12" si="24">((P12-L12)/L12)</f>
        <v>7.4924467549343038E-2</v>
      </c>
      <c r="S12" s="23">
        <f t="shared" ref="S12" si="25">((Q12-M12)/M12)</f>
        <v>7.2847682119205365E-2</v>
      </c>
      <c r="T12" s="326">
        <v>431814652.81999999</v>
      </c>
      <c r="U12" s="325">
        <v>1.62</v>
      </c>
      <c r="V12" s="23">
        <f t="shared" si="6"/>
        <v>-9.7931665708486933E-5</v>
      </c>
      <c r="W12" s="23">
        <f t="shared" si="7"/>
        <v>0</v>
      </c>
      <c r="X12" s="326">
        <v>440087889.58999997</v>
      </c>
      <c r="Y12" s="325">
        <v>1.64</v>
      </c>
      <c r="Z12" s="23">
        <f t="shared" si="8"/>
        <v>1.9159231202486877E-2</v>
      </c>
      <c r="AA12" s="23">
        <f t="shared" si="9"/>
        <v>1.2345679012345552E-2</v>
      </c>
      <c r="AB12" s="326">
        <v>449725218.62</v>
      </c>
      <c r="AC12" s="325">
        <v>1.67</v>
      </c>
      <c r="AD12" s="23">
        <f t="shared" si="10"/>
        <v>2.1898646288536765E-2</v>
      </c>
      <c r="AE12" s="23">
        <f t="shared" si="11"/>
        <v>1.8292682926829285E-2</v>
      </c>
      <c r="AF12" s="326">
        <v>449725218.62</v>
      </c>
      <c r="AG12" s="325">
        <v>1.67</v>
      </c>
      <c r="AH12" s="23">
        <f t="shared" si="12"/>
        <v>0</v>
      </c>
      <c r="AI12" s="23">
        <f t="shared" si="13"/>
        <v>0</v>
      </c>
      <c r="AJ12" s="24">
        <f t="shared" si="14"/>
        <v>2.9861877793839652E-2</v>
      </c>
      <c r="AK12" s="24">
        <f t="shared" si="15"/>
        <v>2.8277662991154823E-2</v>
      </c>
      <c r="AL12" s="25">
        <f t="shared" si="16"/>
        <v>0.21073335267697121</v>
      </c>
      <c r="AM12" s="25">
        <f t="shared" si="17"/>
        <v>0.18439716312056739</v>
      </c>
      <c r="AN12" s="387">
        <f t="shared" si="18"/>
        <v>2.8534734208729609E-2</v>
      </c>
      <c r="AO12" s="388">
        <f t="shared" si="19"/>
        <v>2.9867306701289002E-2</v>
      </c>
      <c r="AP12" s="30"/>
      <c r="AQ12" s="28"/>
      <c r="AR12" s="32"/>
      <c r="AS12" s="29"/>
      <c r="AT12" s="29"/>
    </row>
    <row r="13" spans="1:49" ht="12.75" customHeight="1">
      <c r="A13" s="202" t="s">
        <v>45</v>
      </c>
      <c r="B13" s="326">
        <v>1041705147.45</v>
      </c>
      <c r="C13" s="325">
        <v>2.12</v>
      </c>
      <c r="D13" s="326">
        <v>1066539663.6799999</v>
      </c>
      <c r="E13" s="325">
        <v>2.17</v>
      </c>
      <c r="F13" s="23">
        <f>((D13-B13)/B13)</f>
        <v>2.3840254884784383E-2</v>
      </c>
      <c r="G13" s="23">
        <f>((E13-C13)/C13)</f>
        <v>2.3584905660377273E-2</v>
      </c>
      <c r="H13" s="326">
        <v>1145105965.0799999</v>
      </c>
      <c r="I13" s="325">
        <v>2.34</v>
      </c>
      <c r="J13" s="23">
        <f t="shared" si="0"/>
        <v>7.3664678469541361E-2</v>
      </c>
      <c r="K13" s="23">
        <f t="shared" si="1"/>
        <v>7.8341013824884759E-2</v>
      </c>
      <c r="L13" s="326">
        <v>1144652863.8199999</v>
      </c>
      <c r="M13" s="325">
        <v>2.33</v>
      </c>
      <c r="N13" s="23">
        <f t="shared" si="2"/>
        <v>-3.9568500542073038E-4</v>
      </c>
      <c r="O13" s="23">
        <f t="shared" si="3"/>
        <v>-4.2735042735041829E-3</v>
      </c>
      <c r="P13" s="326">
        <v>1192552480.03</v>
      </c>
      <c r="Q13" s="325">
        <v>2.4300000000000002</v>
      </c>
      <c r="R13" s="23">
        <f t="shared" si="4"/>
        <v>4.1846412763208177E-2</v>
      </c>
      <c r="S13" s="23">
        <f t="shared" si="5"/>
        <v>4.2918454935622352E-2</v>
      </c>
      <c r="T13" s="326">
        <v>1203292684.5</v>
      </c>
      <c r="U13" s="325">
        <v>2.4500000000000002</v>
      </c>
      <c r="V13" s="23">
        <f t="shared" si="6"/>
        <v>9.0060644289045016E-3</v>
      </c>
      <c r="W13" s="23">
        <f t="shared" si="7"/>
        <v>8.2304526748971252E-3</v>
      </c>
      <c r="X13" s="326">
        <v>1241961282.48</v>
      </c>
      <c r="Y13" s="325">
        <v>2.5299999999999998</v>
      </c>
      <c r="Z13" s="23">
        <f t="shared" si="8"/>
        <v>3.2135654507089308E-2</v>
      </c>
      <c r="AA13" s="23">
        <f t="shared" si="9"/>
        <v>3.2653061224489639E-2</v>
      </c>
      <c r="AB13" s="326">
        <v>1281210573.99</v>
      </c>
      <c r="AC13" s="325">
        <v>2.61</v>
      </c>
      <c r="AD13" s="23">
        <f t="shared" si="10"/>
        <v>3.1602669152153734E-2</v>
      </c>
      <c r="AE13" s="23">
        <f t="shared" si="11"/>
        <v>3.1620553359683827E-2</v>
      </c>
      <c r="AF13" s="326">
        <v>1261550143.4100001</v>
      </c>
      <c r="AG13" s="325">
        <v>2.57</v>
      </c>
      <c r="AH13" s="23">
        <f t="shared" si="12"/>
        <v>-1.5345198501423993E-2</v>
      </c>
      <c r="AI13" s="23">
        <f t="shared" si="13"/>
        <v>-1.5325670498084306E-2</v>
      </c>
      <c r="AJ13" s="24">
        <f t="shared" si="14"/>
        <v>2.4544356337354595E-2</v>
      </c>
      <c r="AK13" s="24">
        <f t="shared" si="15"/>
        <v>2.4718658363545809E-2</v>
      </c>
      <c r="AL13" s="25">
        <f t="shared" si="16"/>
        <v>0.18284409513391547</v>
      </c>
      <c r="AM13" s="25">
        <f t="shared" si="17"/>
        <v>0.18433179723502299</v>
      </c>
      <c r="AN13" s="387">
        <f t="shared" si="18"/>
        <v>2.7450556362640648E-2</v>
      </c>
      <c r="AO13" s="388">
        <f t="shared" si="19"/>
        <v>2.9360859743541214E-2</v>
      </c>
      <c r="AP13" s="30"/>
      <c r="AQ13" s="33">
        <v>155057555.75</v>
      </c>
      <c r="AR13" s="33">
        <v>111.51</v>
      </c>
      <c r="AS13" s="29" t="e">
        <f>(#REF!/AQ13)-1</f>
        <v>#REF!</v>
      </c>
      <c r="AT13" s="29" t="e">
        <f>(#REF!/AR13)-1</f>
        <v>#REF!</v>
      </c>
      <c r="AU13" s="81"/>
      <c r="AV13" s="82"/>
      <c r="AW13" s="87"/>
    </row>
    <row r="14" spans="1:49" ht="12.75" customHeight="1">
      <c r="A14" s="202" t="s">
        <v>53</v>
      </c>
      <c r="B14" s="325">
        <v>332248869.60000002</v>
      </c>
      <c r="C14" s="325">
        <v>13.726271000000001</v>
      </c>
      <c r="D14" s="325">
        <v>308394954.04000002</v>
      </c>
      <c r="E14" s="325">
        <v>13.157444999999999</v>
      </c>
      <c r="F14" s="23">
        <f>((D14-B14)/B14)</f>
        <v>-7.1795324958420864E-2</v>
      </c>
      <c r="G14" s="23">
        <f>((E14-C14)/C14)</f>
        <v>-4.1440679700990996E-2</v>
      </c>
      <c r="H14" s="325">
        <v>330392962.49000001</v>
      </c>
      <c r="I14" s="325">
        <v>13.706492000000001</v>
      </c>
      <c r="J14" s="23">
        <f t="shared" si="0"/>
        <v>7.1330636775421299E-2</v>
      </c>
      <c r="K14" s="23">
        <f t="shared" si="1"/>
        <v>4.1728998297161923E-2</v>
      </c>
      <c r="L14" s="325">
        <v>334193909.07999998</v>
      </c>
      <c r="M14" s="325">
        <v>13.783480000000001</v>
      </c>
      <c r="N14" s="23">
        <f t="shared" si="2"/>
        <v>1.1504320677275373E-2</v>
      </c>
      <c r="O14" s="23">
        <f t="shared" si="3"/>
        <v>5.616900371006677E-3</v>
      </c>
      <c r="P14" s="325">
        <v>355880190.25999999</v>
      </c>
      <c r="Q14" s="325">
        <v>14.683999999999999</v>
      </c>
      <c r="R14" s="23">
        <f t="shared" si="4"/>
        <v>6.4891311872499455E-2</v>
      </c>
      <c r="S14" s="23">
        <f t="shared" si="5"/>
        <v>6.5333283031571016E-2</v>
      </c>
      <c r="T14" s="325">
        <v>373574712.43000001</v>
      </c>
      <c r="U14" s="325">
        <v>14.849634999999999</v>
      </c>
      <c r="V14" s="23">
        <f t="shared" si="6"/>
        <v>4.9720447089433947E-2</v>
      </c>
      <c r="W14" s="23">
        <f t="shared" si="7"/>
        <v>1.127996458730591E-2</v>
      </c>
      <c r="X14" s="325">
        <v>387991959.64999998</v>
      </c>
      <c r="Y14" s="325">
        <v>15.382543</v>
      </c>
      <c r="Z14" s="23">
        <f t="shared" si="8"/>
        <v>3.8592674344095107E-2</v>
      </c>
      <c r="AA14" s="23">
        <f t="shared" si="9"/>
        <v>3.5886942675695456E-2</v>
      </c>
      <c r="AB14" s="325">
        <v>407607051.43000001</v>
      </c>
      <c r="AC14" s="325">
        <v>16.057099999999998</v>
      </c>
      <c r="AD14" s="23">
        <f t="shared" si="10"/>
        <v>5.0555407894778089E-2</v>
      </c>
      <c r="AE14" s="23">
        <f t="shared" si="11"/>
        <v>4.3852112098760151E-2</v>
      </c>
      <c r="AF14" s="325">
        <v>390784417.70999998</v>
      </c>
      <c r="AG14" s="325">
        <v>15.404522999999999</v>
      </c>
      <c r="AH14" s="23">
        <f t="shared" si="12"/>
        <v>-4.1271694542529394E-2</v>
      </c>
      <c r="AI14" s="23">
        <f t="shared" si="13"/>
        <v>-4.0641024842592945E-2</v>
      </c>
      <c r="AJ14" s="24">
        <f t="shared" si="14"/>
        <v>2.1690972394069127E-2</v>
      </c>
      <c r="AK14" s="24">
        <f t="shared" si="15"/>
        <v>1.520206206473965E-2</v>
      </c>
      <c r="AL14" s="25">
        <f t="shared" si="16"/>
        <v>0.26715568004823359</v>
      </c>
      <c r="AM14" s="25">
        <f t="shared" si="17"/>
        <v>0.17078376538910103</v>
      </c>
      <c r="AN14" s="387">
        <f t="shared" si="18"/>
        <v>5.2157170883331869E-2</v>
      </c>
      <c r="AO14" s="388">
        <f t="shared" si="19"/>
        <v>3.945995445247949E-2</v>
      </c>
      <c r="AP14" s="30"/>
      <c r="AQ14" s="38">
        <v>212579164.06</v>
      </c>
      <c r="AR14" s="38">
        <v>9.9</v>
      </c>
      <c r="AS14" s="29" t="e">
        <f>(#REF!/AQ14)-1</f>
        <v>#REF!</v>
      </c>
      <c r="AT14" s="29" t="e">
        <f>(#REF!/AR14)-1</f>
        <v>#REF!</v>
      </c>
    </row>
    <row r="15" spans="1:49" ht="12.75" customHeight="1">
      <c r="A15" s="202" t="s">
        <v>125</v>
      </c>
      <c r="B15" s="325">
        <v>315819551.70999998</v>
      </c>
      <c r="C15" s="325">
        <v>1.634835</v>
      </c>
      <c r="D15" s="325">
        <v>322080876.56</v>
      </c>
      <c r="E15" s="325">
        <v>1.667095</v>
      </c>
      <c r="F15" s="23">
        <f>((D15-B15)/B15)</f>
        <v>1.982564035728054E-2</v>
      </c>
      <c r="G15" s="23">
        <f>((E15-C15)/C15)</f>
        <v>1.9732878241535051E-2</v>
      </c>
      <c r="H15" s="325">
        <v>336511409.14999998</v>
      </c>
      <c r="I15" s="325">
        <v>1.7410920000000001</v>
      </c>
      <c r="J15" s="23">
        <f t="shared" si="0"/>
        <v>4.480406519047625E-2</v>
      </c>
      <c r="K15" s="23">
        <f t="shared" si="1"/>
        <v>4.4386792594303316E-2</v>
      </c>
      <c r="L15" s="325">
        <v>334078728.27999997</v>
      </c>
      <c r="M15" s="325">
        <v>1.729228</v>
      </c>
      <c r="N15" s="23">
        <f t="shared" si="2"/>
        <v>-7.2291185494861993E-3</v>
      </c>
      <c r="O15" s="23">
        <f t="shared" si="3"/>
        <v>-6.8141143604129456E-3</v>
      </c>
      <c r="P15" s="325">
        <v>353832052.04000002</v>
      </c>
      <c r="Q15" s="325">
        <v>1.830408</v>
      </c>
      <c r="R15" s="23">
        <f t="shared" si="4"/>
        <v>5.9127750700260932E-2</v>
      </c>
      <c r="S15" s="23">
        <f t="shared" si="5"/>
        <v>5.8511659538244838E-2</v>
      </c>
      <c r="T15" s="325">
        <v>358347283.30000001</v>
      </c>
      <c r="U15" s="325">
        <v>1.853299</v>
      </c>
      <c r="V15" s="23">
        <f t="shared" si="6"/>
        <v>1.2760944730607821E-2</v>
      </c>
      <c r="W15" s="23">
        <f t="shared" si="7"/>
        <v>1.2505954956490572E-2</v>
      </c>
      <c r="X15" s="325">
        <v>371958076.94999999</v>
      </c>
      <c r="Y15" s="325">
        <v>1.923176</v>
      </c>
      <c r="Z15" s="23">
        <f t="shared" si="8"/>
        <v>3.7982131536365898E-2</v>
      </c>
      <c r="AA15" s="23">
        <f t="shared" si="9"/>
        <v>3.7704115741712466E-2</v>
      </c>
      <c r="AB15" s="325">
        <v>383283301.33999997</v>
      </c>
      <c r="AC15" s="325">
        <v>1.981441</v>
      </c>
      <c r="AD15" s="23">
        <f t="shared" si="10"/>
        <v>3.044758291812108E-2</v>
      </c>
      <c r="AE15" s="23">
        <f t="shared" si="11"/>
        <v>3.0296239137759629E-2</v>
      </c>
      <c r="AF15" s="325">
        <v>367084140.81</v>
      </c>
      <c r="AG15" s="325">
        <v>1.8988970000000001</v>
      </c>
      <c r="AH15" s="23">
        <f t="shared" si="12"/>
        <v>-4.2264195892088047E-2</v>
      </c>
      <c r="AI15" s="23">
        <f t="shared" si="13"/>
        <v>-4.1658570706874419E-2</v>
      </c>
      <c r="AJ15" s="24">
        <f t="shared" si="14"/>
        <v>1.9431850123942284E-2</v>
      </c>
      <c r="AK15" s="24">
        <f t="shared" si="15"/>
        <v>1.9333119392844812E-2</v>
      </c>
      <c r="AL15" s="25">
        <f t="shared" si="16"/>
        <v>0.13972659516659133</v>
      </c>
      <c r="AM15" s="25">
        <f t="shared" si="17"/>
        <v>0.13904546531541398</v>
      </c>
      <c r="AN15" s="387">
        <f t="shared" si="18"/>
        <v>3.2175497606436579E-2</v>
      </c>
      <c r="AO15" s="388">
        <f t="shared" si="19"/>
        <v>3.1782210041260209E-2</v>
      </c>
      <c r="AP15" s="30"/>
      <c r="AQ15" s="28">
        <v>305162610.31</v>
      </c>
      <c r="AR15" s="28">
        <v>1481.86</v>
      </c>
      <c r="AS15" s="29" t="e">
        <f>(#REF!/AQ15)-1</f>
        <v>#REF!</v>
      </c>
      <c r="AT15" s="29" t="e">
        <f>(#REF!/AR15)-1</f>
        <v>#REF!</v>
      </c>
    </row>
    <row r="16" spans="1:49" s="86" customFormat="1" ht="12.75" customHeight="1">
      <c r="A16" s="202" t="s">
        <v>10</v>
      </c>
      <c r="B16" s="326">
        <v>747894697.69000006</v>
      </c>
      <c r="C16" s="325">
        <v>18.79</v>
      </c>
      <c r="D16" s="326">
        <v>771566534.01999998</v>
      </c>
      <c r="E16" s="325">
        <v>19.760000000000002</v>
      </c>
      <c r="F16" s="23">
        <f>((D16-B16)/B16)</f>
        <v>3.1651295834981066E-2</v>
      </c>
      <c r="G16" s="23">
        <f>((E16-C16)/C16)</f>
        <v>5.1623203831825573E-2</v>
      </c>
      <c r="H16" s="326">
        <v>821104735.62</v>
      </c>
      <c r="I16" s="325">
        <v>19.760000000000002</v>
      </c>
      <c r="J16" s="23">
        <f t="shared" si="0"/>
        <v>6.420470486439725E-2</v>
      </c>
      <c r="K16" s="23">
        <f t="shared" si="1"/>
        <v>0</v>
      </c>
      <c r="L16" s="326">
        <v>848881786.79999995</v>
      </c>
      <c r="M16" s="325">
        <v>21.75</v>
      </c>
      <c r="N16" s="23">
        <f t="shared" si="2"/>
        <v>3.3828877090845227E-2</v>
      </c>
      <c r="O16" s="23">
        <f t="shared" si="3"/>
        <v>0.10070850202429141</v>
      </c>
      <c r="P16" s="326">
        <v>939005677.60000002</v>
      </c>
      <c r="Q16" s="325">
        <v>24.13</v>
      </c>
      <c r="R16" s="23">
        <f t="shared" si="4"/>
        <v>0.10616777530324564</v>
      </c>
      <c r="S16" s="23">
        <f t="shared" si="5"/>
        <v>0.10942528735632179</v>
      </c>
      <c r="T16" s="326">
        <v>931787865.08000004</v>
      </c>
      <c r="U16" s="325">
        <v>23.89</v>
      </c>
      <c r="V16" s="23">
        <f t="shared" si="6"/>
        <v>-7.6866548224159333E-3</v>
      </c>
      <c r="W16" s="23">
        <f t="shared" si="7"/>
        <v>-9.9461251554081413E-3</v>
      </c>
      <c r="X16" s="326">
        <v>953773940.5</v>
      </c>
      <c r="Y16" s="325">
        <v>24.46</v>
      </c>
      <c r="Z16" s="23">
        <f t="shared" si="8"/>
        <v>2.3595580328911354E-2</v>
      </c>
      <c r="AA16" s="23">
        <f t="shared" si="9"/>
        <v>2.3859355378819599E-2</v>
      </c>
      <c r="AB16" s="326">
        <v>982455759.59000003</v>
      </c>
      <c r="AC16" s="325">
        <v>24.29</v>
      </c>
      <c r="AD16" s="23">
        <f t="shared" si="10"/>
        <v>3.0071925717496614E-2</v>
      </c>
      <c r="AE16" s="23">
        <f t="shared" si="11"/>
        <v>-6.950122649223291E-3</v>
      </c>
      <c r="AF16" s="326">
        <v>1001215094.3200001</v>
      </c>
      <c r="AG16" s="325">
        <v>25.71</v>
      </c>
      <c r="AH16" s="23">
        <f t="shared" si="12"/>
        <v>1.9094330250380633E-2</v>
      </c>
      <c r="AI16" s="23">
        <f t="shared" si="13"/>
        <v>5.846027171675594E-2</v>
      </c>
      <c r="AJ16" s="24">
        <f t="shared" si="14"/>
        <v>3.7615979320980236E-2</v>
      </c>
      <c r="AK16" s="24">
        <f t="shared" si="15"/>
        <v>4.0897546562922861E-2</v>
      </c>
      <c r="AL16" s="25">
        <f t="shared" si="16"/>
        <v>0.29763934822767635</v>
      </c>
      <c r="AM16" s="25">
        <f t="shared" si="17"/>
        <v>0.30111336032388658</v>
      </c>
      <c r="AN16" s="387">
        <f t="shared" si="18"/>
        <v>3.402749545399348E-2</v>
      </c>
      <c r="AO16" s="388">
        <f t="shared" si="19"/>
        <v>4.7108201237238329E-2</v>
      </c>
      <c r="AP16" s="30"/>
      <c r="AQ16" s="28"/>
      <c r="AR16" s="28"/>
      <c r="AS16" s="29"/>
      <c r="AT16" s="29"/>
    </row>
    <row r="17" spans="1:46" s="368" customFormat="1" ht="12.75" customHeight="1">
      <c r="A17" s="203" t="s">
        <v>67</v>
      </c>
      <c r="B17" s="326">
        <v>362595207.16000003</v>
      </c>
      <c r="C17" s="325">
        <v>3618.89</v>
      </c>
      <c r="D17" s="326">
        <v>357013099.50999999</v>
      </c>
      <c r="E17" s="325">
        <v>3762.39</v>
      </c>
      <c r="F17" s="23">
        <f>((D17-B17)/B17)</f>
        <v>-1.5394874338581247E-2</v>
      </c>
      <c r="G17" s="23">
        <f>((E17-C17)/C17)</f>
        <v>3.9653042783837036E-2</v>
      </c>
      <c r="H17" s="326">
        <v>374241686.24000001</v>
      </c>
      <c r="I17" s="325">
        <v>3944.29</v>
      </c>
      <c r="J17" s="23">
        <f t="shared" si="0"/>
        <v>4.8257575852668239E-2</v>
      </c>
      <c r="K17" s="23">
        <f t="shared" si="1"/>
        <v>4.8346928415182927E-2</v>
      </c>
      <c r="L17" s="326">
        <v>377264083.42000002</v>
      </c>
      <c r="M17" s="325">
        <v>3976.39</v>
      </c>
      <c r="N17" s="23">
        <f t="shared" si="2"/>
        <v>8.0760569736791788E-3</v>
      </c>
      <c r="O17" s="23">
        <f t="shared" si="3"/>
        <v>8.1383468254108866E-3</v>
      </c>
      <c r="P17" s="326">
        <v>411312309.70999998</v>
      </c>
      <c r="Q17" s="325">
        <v>4335.5600000000004</v>
      </c>
      <c r="R17" s="23">
        <f t="shared" si="4"/>
        <v>9.0250378412234919E-2</v>
      </c>
      <c r="S17" s="23">
        <f t="shared" si="5"/>
        <v>9.0325647132197928E-2</v>
      </c>
      <c r="T17" s="326">
        <v>426515600.54000002</v>
      </c>
      <c r="U17" s="325">
        <v>4316.53</v>
      </c>
      <c r="V17" s="23">
        <f t="shared" si="6"/>
        <v>3.6962887983389751E-2</v>
      </c>
      <c r="W17" s="23">
        <f t="shared" si="7"/>
        <v>-4.3892830453276287E-3</v>
      </c>
      <c r="X17" s="326">
        <v>446232271.13</v>
      </c>
      <c r="Y17" s="325">
        <v>4520.41</v>
      </c>
      <c r="Z17" s="23">
        <f t="shared" si="8"/>
        <v>4.6227313995167406E-2</v>
      </c>
      <c r="AA17" s="23">
        <f t="shared" si="9"/>
        <v>4.7232383419088975E-2</v>
      </c>
      <c r="AB17" s="326">
        <v>482936836.13</v>
      </c>
      <c r="AC17" s="325">
        <v>4855.25</v>
      </c>
      <c r="AD17" s="23">
        <f t="shared" si="10"/>
        <v>8.2254393899061889E-2</v>
      </c>
      <c r="AE17" s="23">
        <f t="shared" si="11"/>
        <v>7.4072927013257683E-2</v>
      </c>
      <c r="AF17" s="326">
        <v>445404162.54000002</v>
      </c>
      <c r="AG17" s="325">
        <v>4855.25</v>
      </c>
      <c r="AH17" s="23">
        <f t="shared" si="12"/>
        <v>-7.7717562178041627E-2</v>
      </c>
      <c r="AI17" s="23">
        <f t="shared" si="13"/>
        <v>0</v>
      </c>
      <c r="AJ17" s="24">
        <f t="shared" si="14"/>
        <v>2.7364521324947318E-2</v>
      </c>
      <c r="AK17" s="24">
        <f t="shared" si="15"/>
        <v>3.7922499067955973E-2</v>
      </c>
      <c r="AL17" s="25">
        <f t="shared" si="16"/>
        <v>0.24758492938022905</v>
      </c>
      <c r="AM17" s="25">
        <f t="shared" si="17"/>
        <v>0.29046962170322593</v>
      </c>
      <c r="AN17" s="387">
        <f t="shared" si="18"/>
        <v>5.4895533903695774E-2</v>
      </c>
      <c r="AO17" s="388">
        <f t="shared" si="19"/>
        <v>3.4572448545541715E-2</v>
      </c>
      <c r="AP17" s="30"/>
      <c r="AQ17" s="28"/>
      <c r="AR17" s="28"/>
      <c r="AS17" s="29"/>
      <c r="AT17" s="29"/>
    </row>
    <row r="18" spans="1:46" s="86" customFormat="1" ht="12.75" customHeight="1">
      <c r="A18" s="202" t="s">
        <v>225</v>
      </c>
      <c r="B18" s="326">
        <v>7587944673.5</v>
      </c>
      <c r="C18" s="325">
        <v>13267.36</v>
      </c>
      <c r="D18" s="326">
        <v>7777595684.5600004</v>
      </c>
      <c r="E18" s="325">
        <v>13602.44</v>
      </c>
      <c r="F18" s="23">
        <f>((D18-B18)/B18)</f>
        <v>2.4993726130125085E-2</v>
      </c>
      <c r="G18" s="23">
        <f>((E18-C18)/C18)</f>
        <v>2.5255966522352593E-2</v>
      </c>
      <c r="H18" s="326">
        <v>8187560089.1400003</v>
      </c>
      <c r="I18" s="325">
        <v>14313.25</v>
      </c>
      <c r="J18" s="23">
        <f t="shared" si="0"/>
        <v>5.2710943228105427E-2</v>
      </c>
      <c r="K18" s="23">
        <f t="shared" si="1"/>
        <v>5.225606582348457E-2</v>
      </c>
      <c r="L18" s="326">
        <v>8210277172.0100002</v>
      </c>
      <c r="M18" s="325">
        <v>14347.53</v>
      </c>
      <c r="N18" s="23">
        <f t="shared" si="2"/>
        <v>2.774585178328264E-3</v>
      </c>
      <c r="O18" s="23">
        <f t="shared" si="3"/>
        <v>2.3949836689780906E-3</v>
      </c>
      <c r="P18" s="326">
        <v>8793551066.7700005</v>
      </c>
      <c r="Q18" s="325">
        <v>15348.97</v>
      </c>
      <c r="R18" s="23">
        <f t="shared" si="4"/>
        <v>7.104192496064124E-2</v>
      </c>
      <c r="S18" s="23">
        <f t="shared" si="5"/>
        <v>6.9798773726209226E-2</v>
      </c>
      <c r="T18" s="326">
        <v>8729913197.9699993</v>
      </c>
      <c r="U18" s="325">
        <v>15317</v>
      </c>
      <c r="V18" s="23">
        <f t="shared" si="6"/>
        <v>-7.2368794263881226E-3</v>
      </c>
      <c r="W18" s="23">
        <f t="shared" si="7"/>
        <v>-2.0828759193613215E-3</v>
      </c>
      <c r="X18" s="326">
        <v>8991633705.0799999</v>
      </c>
      <c r="Y18" s="325">
        <v>15774.7</v>
      </c>
      <c r="Z18" s="23">
        <f t="shared" si="8"/>
        <v>2.9979737618795511E-2</v>
      </c>
      <c r="AA18" s="23">
        <f t="shared" si="9"/>
        <v>2.9881830645687845E-2</v>
      </c>
      <c r="AB18" s="326">
        <v>9588665625.8999996</v>
      </c>
      <c r="AC18" s="325">
        <v>16686.63</v>
      </c>
      <c r="AD18" s="23">
        <f t="shared" si="10"/>
        <v>6.6398603457644714E-2</v>
      </c>
      <c r="AE18" s="23">
        <f t="shared" si="11"/>
        <v>5.7809657235953792E-2</v>
      </c>
      <c r="AF18" s="326">
        <v>9084109500.1000004</v>
      </c>
      <c r="AG18" s="325">
        <v>15912.75</v>
      </c>
      <c r="AH18" s="23">
        <f t="shared" si="12"/>
        <v>-5.2620056375429318E-2</v>
      </c>
      <c r="AI18" s="23">
        <f t="shared" si="13"/>
        <v>-4.6377249330751685E-2</v>
      </c>
      <c r="AJ18" s="24">
        <f t="shared" si="14"/>
        <v>2.3505323096477848E-2</v>
      </c>
      <c r="AK18" s="24">
        <f t="shared" si="15"/>
        <v>2.3617144046569137E-2</v>
      </c>
      <c r="AL18" s="25">
        <f t="shared" si="16"/>
        <v>0.16798428055776635</v>
      </c>
      <c r="AM18" s="25">
        <f t="shared" si="17"/>
        <v>0.16984526305574585</v>
      </c>
      <c r="AN18" s="387">
        <f t="shared" si="18"/>
        <v>4.1690327006793662E-2</v>
      </c>
      <c r="AO18" s="388">
        <f t="shared" si="19"/>
        <v>3.8124002520929373E-2</v>
      </c>
      <c r="AP18" s="30"/>
      <c r="AQ18" s="28"/>
      <c r="AR18" s="28"/>
      <c r="AS18" s="29"/>
      <c r="AT18" s="29"/>
    </row>
    <row r="19" spans="1:46" s="108" customFormat="1" ht="12.75" customHeight="1">
      <c r="A19" s="202" t="s">
        <v>245</v>
      </c>
      <c r="B19" s="74">
        <v>59586982.670000002</v>
      </c>
      <c r="C19" s="325">
        <v>113.1404</v>
      </c>
      <c r="D19" s="74">
        <v>60471101.140000001</v>
      </c>
      <c r="E19" s="325">
        <v>114.6515</v>
      </c>
      <c r="F19" s="23">
        <f>((D19-B19)/B19)</f>
        <v>1.4837443186146125E-2</v>
      </c>
      <c r="G19" s="23">
        <f>((E19-C19)/C19)</f>
        <v>1.3355971872116406E-2</v>
      </c>
      <c r="H19" s="74">
        <v>63131251.880000003</v>
      </c>
      <c r="I19" s="325">
        <v>118.4969</v>
      </c>
      <c r="J19" s="23">
        <f t="shared" si="0"/>
        <v>4.3990446508346846E-2</v>
      </c>
      <c r="K19" s="23">
        <f t="shared" si="1"/>
        <v>3.3539901353231295E-2</v>
      </c>
      <c r="L19" s="74">
        <v>63016916.469999999</v>
      </c>
      <c r="M19" s="325">
        <v>118.2435</v>
      </c>
      <c r="N19" s="23">
        <f t="shared" si="2"/>
        <v>-1.8110746515423587E-3</v>
      </c>
      <c r="O19" s="23">
        <f t="shared" si="3"/>
        <v>-2.138452567113563E-3</v>
      </c>
      <c r="P19" s="74">
        <v>66210201.329999998</v>
      </c>
      <c r="Q19" s="325">
        <v>124.14879999999999</v>
      </c>
      <c r="R19" s="23">
        <f t="shared" si="4"/>
        <v>5.0673454667052822E-2</v>
      </c>
      <c r="S19" s="23">
        <f t="shared" si="5"/>
        <v>4.9941857269109907E-2</v>
      </c>
      <c r="T19" s="74">
        <v>66054241.280000001</v>
      </c>
      <c r="U19" s="325">
        <v>123.6105</v>
      </c>
      <c r="V19" s="23">
        <f t="shared" si="6"/>
        <v>-2.3555290101395774E-3</v>
      </c>
      <c r="W19" s="23">
        <f t="shared" si="7"/>
        <v>-4.3359259211526203E-3</v>
      </c>
      <c r="X19" s="74">
        <v>67439714.620000005</v>
      </c>
      <c r="Y19" s="325">
        <v>126.20059999999999</v>
      </c>
      <c r="Z19" s="23">
        <f t="shared" si="8"/>
        <v>2.097478243867891E-2</v>
      </c>
      <c r="AA19" s="23">
        <f t="shared" si="9"/>
        <v>2.0953721568960505E-2</v>
      </c>
      <c r="AB19" s="74">
        <v>68560685.060000002</v>
      </c>
      <c r="AC19" s="325">
        <v>128.28479999999999</v>
      </c>
      <c r="AD19" s="23">
        <f t="shared" si="10"/>
        <v>1.6621814702453698E-2</v>
      </c>
      <c r="AE19" s="23">
        <f t="shared" si="11"/>
        <v>1.6514976949396402E-2</v>
      </c>
      <c r="AF19" s="74">
        <v>67241616.489999995</v>
      </c>
      <c r="AG19" s="325">
        <v>125.80929999999999</v>
      </c>
      <c r="AH19" s="23">
        <f t="shared" si="12"/>
        <v>-1.9239431006934104E-2</v>
      </c>
      <c r="AI19" s="23">
        <f t="shared" si="13"/>
        <v>-1.9296908129412035E-2</v>
      </c>
      <c r="AJ19" s="24">
        <f t="shared" si="14"/>
        <v>1.5461488354257794E-2</v>
      </c>
      <c r="AK19" s="24">
        <f t="shared" si="15"/>
        <v>1.3566892799392039E-2</v>
      </c>
      <c r="AL19" s="25">
        <f t="shared" si="16"/>
        <v>0.11196282558713787</v>
      </c>
      <c r="AM19" s="25">
        <f t="shared" si="17"/>
        <v>9.7319267519395694E-2</v>
      </c>
      <c r="AN19" s="387">
        <f t="shared" si="18"/>
        <v>2.3621592940428669E-2</v>
      </c>
      <c r="AO19" s="388">
        <f t="shared" si="19"/>
        <v>2.2144197049078548E-2</v>
      </c>
      <c r="AP19" s="30"/>
      <c r="AQ19" s="28"/>
      <c r="AR19" s="28"/>
      <c r="AS19" s="29"/>
      <c r="AT19" s="29"/>
    </row>
    <row r="20" spans="1:46" s="302" customFormat="1" ht="12.75" customHeight="1">
      <c r="A20" s="202" t="s">
        <v>75</v>
      </c>
      <c r="B20" s="325">
        <v>1980421530.45</v>
      </c>
      <c r="C20" s="310">
        <v>1.028</v>
      </c>
      <c r="D20" s="325">
        <v>2010374160.3099999</v>
      </c>
      <c r="E20" s="310">
        <v>1.0426</v>
      </c>
      <c r="F20" s="23">
        <f>((D20-B20)/B20)</f>
        <v>1.5124370948034446E-2</v>
      </c>
      <c r="G20" s="23">
        <f>((E20-C20)/C20)</f>
        <v>1.4202334630350142E-2</v>
      </c>
      <c r="H20" s="325">
        <v>2347537446.5300002</v>
      </c>
      <c r="I20" s="310">
        <v>1.1678999999999999</v>
      </c>
      <c r="J20" s="23">
        <f t="shared" si="0"/>
        <v>0.16771170903231747</v>
      </c>
      <c r="K20" s="23">
        <f t="shared" si="1"/>
        <v>0.12018031843468249</v>
      </c>
      <c r="L20" s="325">
        <v>2358631076.48</v>
      </c>
      <c r="M20" s="310">
        <v>1.1733</v>
      </c>
      <c r="N20" s="23">
        <f t="shared" si="2"/>
        <v>4.7256455765584482E-3</v>
      </c>
      <c r="O20" s="23">
        <f t="shared" si="3"/>
        <v>4.623683534549252E-3</v>
      </c>
      <c r="P20" s="325">
        <v>2487063727.7800002</v>
      </c>
      <c r="Q20" s="310">
        <v>1.2363999999999999</v>
      </c>
      <c r="R20" s="23">
        <f t="shared" si="4"/>
        <v>5.445220008364849E-2</v>
      </c>
      <c r="S20" s="23">
        <f t="shared" si="5"/>
        <v>5.3779936930026362E-2</v>
      </c>
      <c r="T20" s="325">
        <v>2689717869.4099998</v>
      </c>
      <c r="U20" s="310">
        <v>1.1746000000000001</v>
      </c>
      <c r="V20" s="23">
        <f t="shared" si="6"/>
        <v>8.1483292674165819E-2</v>
      </c>
      <c r="W20" s="23">
        <f t="shared" si="7"/>
        <v>-4.9983824005176203E-2</v>
      </c>
      <c r="X20" s="325">
        <v>2442123267.79</v>
      </c>
      <c r="Y20" s="310">
        <v>1.1916</v>
      </c>
      <c r="Z20" s="23">
        <f t="shared" si="8"/>
        <v>-9.2052257389475103E-2</v>
      </c>
      <c r="AA20" s="23">
        <f t="shared" si="9"/>
        <v>1.447301208922178E-2</v>
      </c>
      <c r="AB20" s="325">
        <v>2513014397.8499999</v>
      </c>
      <c r="AC20" s="310">
        <v>1.2171000000000001</v>
      </c>
      <c r="AD20" s="23">
        <f t="shared" si="10"/>
        <v>2.9028481483718425E-2</v>
      </c>
      <c r="AE20" s="23">
        <f t="shared" si="11"/>
        <v>2.1399798590130983E-2</v>
      </c>
      <c r="AF20" s="325">
        <v>2494348876.6700001</v>
      </c>
      <c r="AG20" s="310">
        <v>1.2063999999999999</v>
      </c>
      <c r="AH20" s="23">
        <f t="shared" si="12"/>
        <v>-7.4275424748736201E-3</v>
      </c>
      <c r="AI20" s="23">
        <f t="shared" si="13"/>
        <v>-8.7913893681703659E-3</v>
      </c>
      <c r="AJ20" s="24">
        <f t="shared" si="14"/>
        <v>3.1630737491761804E-2</v>
      </c>
      <c r="AK20" s="24">
        <f t="shared" si="15"/>
        <v>2.1235483854451807E-2</v>
      </c>
      <c r="AL20" s="25">
        <f t="shared" si="16"/>
        <v>0.24073862762211945</v>
      </c>
      <c r="AM20" s="25">
        <f t="shared" si="17"/>
        <v>0.15710723192019946</v>
      </c>
      <c r="AN20" s="387">
        <f t="shared" si="18"/>
        <v>7.4976449187143329E-2</v>
      </c>
      <c r="AO20" s="388">
        <f t="shared" si="19"/>
        <v>4.9561217218440458E-2</v>
      </c>
      <c r="AP20" s="30"/>
      <c r="AQ20" s="28"/>
      <c r="AR20" s="28"/>
      <c r="AS20" s="29"/>
      <c r="AT20" s="29"/>
    </row>
    <row r="21" spans="1:46">
      <c r="A21" s="204" t="s">
        <v>42</v>
      </c>
      <c r="B21" s="70">
        <f>SUM(B5:B20)</f>
        <v>17079628906.380001</v>
      </c>
      <c r="C21" s="85"/>
      <c r="D21" s="70">
        <f>SUM(D5:D20)</f>
        <v>17454929325.300003</v>
      </c>
      <c r="E21" s="85"/>
      <c r="F21" s="23">
        <f>((D21-B21)/B21)</f>
        <v>2.1973569857821125E-2</v>
      </c>
      <c r="G21" s="23"/>
      <c r="H21" s="70">
        <f>SUM(H5:H20)</f>
        <v>18617819180.259998</v>
      </c>
      <c r="I21" s="85"/>
      <c r="J21" s="23">
        <f>((H21-D21)/D21)</f>
        <v>6.6622432740214399E-2</v>
      </c>
      <c r="K21" s="23"/>
      <c r="L21" s="70">
        <f>SUM(L5:L20)</f>
        <v>18707350348.630001</v>
      </c>
      <c r="M21" s="85"/>
      <c r="N21" s="23">
        <f>((L21-H21)/H21)</f>
        <v>4.8088966544980937E-3</v>
      </c>
      <c r="O21" s="23"/>
      <c r="P21" s="70">
        <f>SUM(P5:P20)</f>
        <v>20030863173.209999</v>
      </c>
      <c r="Q21" s="85"/>
      <c r="R21" s="23">
        <f>((P21-L21)/L21)</f>
        <v>7.0748278078670984E-2</v>
      </c>
      <c r="S21" s="23"/>
      <c r="T21" s="70">
        <f>SUM(T5:T20)</f>
        <v>20288689104.509998</v>
      </c>
      <c r="U21" s="85"/>
      <c r="V21" s="23">
        <f>((T21-P21)/P21)</f>
        <v>1.2871433900303656E-2</v>
      </c>
      <c r="W21" s="23"/>
      <c r="X21" s="70">
        <f>SUM(X5:X20)</f>
        <v>20576058059.739998</v>
      </c>
      <c r="Y21" s="85"/>
      <c r="Z21" s="23">
        <f>((X21-T21)/T21)</f>
        <v>1.4163998164184986E-2</v>
      </c>
      <c r="AA21" s="23"/>
      <c r="AB21" s="70">
        <f>SUM(AB5:AB20)</f>
        <v>21710685651.219997</v>
      </c>
      <c r="AC21" s="85"/>
      <c r="AD21" s="23">
        <f>((AB21-X21)/X21)</f>
        <v>5.5143098264291E-2</v>
      </c>
      <c r="AE21" s="23"/>
      <c r="AF21" s="70">
        <f>SUM(AF5:AF20)</f>
        <v>20938164830.360001</v>
      </c>
      <c r="AG21" s="85"/>
      <c r="AH21" s="23">
        <f>((AF21-AB21)/AB21)</f>
        <v>-3.5582516060085195E-2</v>
      </c>
      <c r="AI21" s="23"/>
      <c r="AJ21" s="24">
        <f t="shared" si="14"/>
        <v>2.6343648949987381E-2</v>
      </c>
      <c r="AK21" s="24"/>
      <c r="AL21" s="25">
        <f t="shared" si="16"/>
        <v>0.19955597872351341</v>
      </c>
      <c r="AM21" s="25"/>
      <c r="AN21" s="387">
        <f t="shared" si="18"/>
        <v>3.5998208932918878E-2</v>
      </c>
      <c r="AO21" s="388"/>
      <c r="AP21" s="30"/>
      <c r="AQ21" s="40">
        <f>SUM(AQ5:AQ20)</f>
        <v>13401593384.119999</v>
      </c>
      <c r="AR21" s="41"/>
      <c r="AS21" s="29" t="e">
        <f>(#REF!/AQ21)-1</f>
        <v>#REF!</v>
      </c>
      <c r="AT21" s="29" t="e">
        <f>(#REF!/AR21)-1</f>
        <v>#REF!</v>
      </c>
    </row>
    <row r="22" spans="1:46" s="108" customFormat="1" ht="6" customHeight="1">
      <c r="A22" s="204"/>
      <c r="B22" s="85"/>
      <c r="C22" s="85"/>
      <c r="D22" s="85"/>
      <c r="E22" s="85"/>
      <c r="F22" s="23"/>
      <c r="G22" s="23"/>
      <c r="H22" s="85"/>
      <c r="I22" s="85"/>
      <c r="J22" s="23"/>
      <c r="K22" s="23"/>
      <c r="L22" s="85"/>
      <c r="M22" s="85"/>
      <c r="N22" s="23"/>
      <c r="O22" s="23"/>
      <c r="P22" s="85"/>
      <c r="Q22" s="85"/>
      <c r="R22" s="23"/>
      <c r="S22" s="23"/>
      <c r="T22" s="85"/>
      <c r="U22" s="85"/>
      <c r="V22" s="23"/>
      <c r="W22" s="23"/>
      <c r="X22" s="85"/>
      <c r="Y22" s="85"/>
      <c r="Z22" s="23"/>
      <c r="AA22" s="23"/>
      <c r="AB22" s="85"/>
      <c r="AC22" s="85"/>
      <c r="AD22" s="23"/>
      <c r="AE22" s="23"/>
      <c r="AF22" s="85"/>
      <c r="AG22" s="85"/>
      <c r="AH22" s="23"/>
      <c r="AI22" s="23"/>
      <c r="AJ22" s="24"/>
      <c r="AK22" s="24"/>
      <c r="AL22" s="25"/>
      <c r="AM22" s="25"/>
      <c r="AN22" s="387"/>
      <c r="AO22" s="388"/>
      <c r="AP22" s="30"/>
      <c r="AQ22" s="40"/>
      <c r="AR22" s="41"/>
      <c r="AS22" s="29"/>
      <c r="AT22" s="29"/>
    </row>
    <row r="23" spans="1:46">
      <c r="A23" s="201" t="s">
        <v>44</v>
      </c>
      <c r="B23" s="85"/>
      <c r="C23" s="85"/>
      <c r="D23" s="85"/>
      <c r="E23" s="85"/>
      <c r="F23" s="23"/>
      <c r="G23" s="23"/>
      <c r="H23" s="85"/>
      <c r="I23" s="85"/>
      <c r="J23" s="23"/>
      <c r="K23" s="23"/>
      <c r="L23" s="85"/>
      <c r="M23" s="85"/>
      <c r="N23" s="23"/>
      <c r="O23" s="23"/>
      <c r="P23" s="85"/>
      <c r="Q23" s="85"/>
      <c r="R23" s="23"/>
      <c r="S23" s="23"/>
      <c r="T23" s="85"/>
      <c r="U23" s="85"/>
      <c r="V23" s="23"/>
      <c r="W23" s="23"/>
      <c r="X23" s="85"/>
      <c r="Y23" s="85"/>
      <c r="Z23" s="23"/>
      <c r="AA23" s="23"/>
      <c r="AB23" s="85"/>
      <c r="AC23" s="85"/>
      <c r="AD23" s="23"/>
      <c r="AE23" s="23"/>
      <c r="AF23" s="85"/>
      <c r="AG23" s="85"/>
      <c r="AH23" s="23"/>
      <c r="AI23" s="23"/>
      <c r="AJ23" s="24"/>
      <c r="AK23" s="24"/>
      <c r="AL23" s="25"/>
      <c r="AM23" s="25"/>
      <c r="AN23" s="387"/>
      <c r="AO23" s="388"/>
      <c r="AP23" s="30"/>
      <c r="AQ23" s="40"/>
      <c r="AR23" s="13"/>
      <c r="AS23" s="29" t="e">
        <f>(#REF!/AQ23)-1</f>
        <v>#REF!</v>
      </c>
      <c r="AT23" s="29" t="e">
        <f>(#REF!/AR23)-1</f>
        <v>#REF!</v>
      </c>
    </row>
    <row r="24" spans="1:46">
      <c r="A24" s="202" t="s">
        <v>115</v>
      </c>
      <c r="B24" s="321">
        <v>789021220.91999996</v>
      </c>
      <c r="C24" s="310">
        <v>100</v>
      </c>
      <c r="D24" s="321">
        <v>786489186.38999999</v>
      </c>
      <c r="E24" s="310">
        <v>100</v>
      </c>
      <c r="F24" s="23">
        <f>((D24-B24)/B24)</f>
        <v>-3.2090829281468695E-3</v>
      </c>
      <c r="G24" s="23">
        <f>((E24-C24)/C24)</f>
        <v>0</v>
      </c>
      <c r="H24" s="321">
        <v>800765159.13</v>
      </c>
      <c r="I24" s="310">
        <v>100</v>
      </c>
      <c r="J24" s="23">
        <f t="shared" ref="J24:J52" si="26">((H24-D24)/D24)</f>
        <v>1.8151518148045991E-2</v>
      </c>
      <c r="K24" s="23">
        <f t="shared" ref="K24:K52" si="27">((I24-E24)/E24)</f>
        <v>0</v>
      </c>
      <c r="L24" s="321">
        <v>808965989.36000001</v>
      </c>
      <c r="M24" s="310">
        <v>100</v>
      </c>
      <c r="N24" s="23">
        <f t="shared" ref="N24:N52" si="28">((L24-H24)/H24)</f>
        <v>1.0241242562188771E-2</v>
      </c>
      <c r="O24" s="23">
        <f t="shared" ref="O24:O52" si="29">((M24-I24)/I24)</f>
        <v>0</v>
      </c>
      <c r="P24" s="321">
        <v>817828258.86000001</v>
      </c>
      <c r="Q24" s="310">
        <v>100</v>
      </c>
      <c r="R24" s="23">
        <f t="shared" ref="R24:R52" si="30">((P24-L24)/L24)</f>
        <v>1.0955058205860096E-2</v>
      </c>
      <c r="S24" s="23">
        <f t="shared" ref="S24:S52" si="31">((Q24-M24)/M24)</f>
        <v>0</v>
      </c>
      <c r="T24" s="321">
        <v>818463836.38</v>
      </c>
      <c r="U24" s="310">
        <v>100</v>
      </c>
      <c r="V24" s="23">
        <f t="shared" ref="V24:V52" si="32">((T24-P24)/P24)</f>
        <v>7.7715279841997036E-4</v>
      </c>
      <c r="W24" s="23">
        <f t="shared" ref="W24:W52" si="33">((U24-Q24)/Q24)</f>
        <v>0</v>
      </c>
      <c r="X24" s="321">
        <v>809250351.65999997</v>
      </c>
      <c r="Y24" s="310">
        <v>100</v>
      </c>
      <c r="Z24" s="23">
        <f t="shared" ref="Z24:Z52" si="34">((X24-T24)/T24)</f>
        <v>-1.1257045590127151E-2</v>
      </c>
      <c r="AA24" s="23">
        <f t="shared" ref="AA24:AA52" si="35">((Y24-U24)/U24)</f>
        <v>0</v>
      </c>
      <c r="AB24" s="321">
        <v>831888909.58000004</v>
      </c>
      <c r="AC24" s="310">
        <v>100</v>
      </c>
      <c r="AD24" s="23">
        <f t="shared" ref="AD24:AD52" si="36">((AB24-X24)/X24)</f>
        <v>2.7974727318390447E-2</v>
      </c>
      <c r="AE24" s="23">
        <f t="shared" ref="AE24:AE52" si="37">((AC24-Y24)/Y24)</f>
        <v>0</v>
      </c>
      <c r="AF24" s="321">
        <v>834224445.30999994</v>
      </c>
      <c r="AG24" s="310">
        <v>100</v>
      </c>
      <c r="AH24" s="23">
        <f t="shared" ref="AH24:AH52" si="38">((AF24-AB24)/AB24)</f>
        <v>2.8075091554941554E-3</v>
      </c>
      <c r="AI24" s="23">
        <f t="shared" ref="AI24:AI52" si="39">((AG24-AC24)/AC24)</f>
        <v>0</v>
      </c>
      <c r="AJ24" s="24">
        <f t="shared" si="14"/>
        <v>7.0551349587656773E-3</v>
      </c>
      <c r="AK24" s="24">
        <f t="shared" si="15"/>
        <v>0</v>
      </c>
      <c r="AL24" s="25">
        <f t="shared" si="16"/>
        <v>6.0694107110494021E-2</v>
      </c>
      <c r="AM24" s="25">
        <f t="shared" si="17"/>
        <v>0</v>
      </c>
      <c r="AN24" s="387">
        <f t="shared" si="18"/>
        <v>1.2445683460688188E-2</v>
      </c>
      <c r="AO24" s="388">
        <f t="shared" si="19"/>
        <v>0</v>
      </c>
      <c r="AP24" s="30"/>
      <c r="AQ24" s="28">
        <v>56630718400</v>
      </c>
      <c r="AR24" s="42">
        <v>100</v>
      </c>
      <c r="AS24" s="29" t="e">
        <f>(#REF!/AQ24)-1</f>
        <v>#REF!</v>
      </c>
      <c r="AT24" s="29" t="e">
        <f>(#REF!/AR24)-1</f>
        <v>#REF!</v>
      </c>
    </row>
    <row r="25" spans="1:46">
      <c r="A25" s="202" t="s">
        <v>37</v>
      </c>
      <c r="B25" s="321">
        <v>3181722069.02</v>
      </c>
      <c r="C25" s="310">
        <v>100</v>
      </c>
      <c r="D25" s="321">
        <v>3167908881.52</v>
      </c>
      <c r="E25" s="310">
        <v>100</v>
      </c>
      <c r="F25" s="23">
        <f>((D25-B25)/B25)</f>
        <v>-4.3414186407094288E-3</v>
      </c>
      <c r="G25" s="23">
        <f>((E25-C25)/C25)</f>
        <v>0</v>
      </c>
      <c r="H25" s="321">
        <v>3238541939.1399999</v>
      </c>
      <c r="I25" s="310">
        <v>100</v>
      </c>
      <c r="J25" s="23">
        <f t="shared" si="26"/>
        <v>2.2296429683327668E-2</v>
      </c>
      <c r="K25" s="23">
        <f t="shared" si="27"/>
        <v>0</v>
      </c>
      <c r="L25" s="321">
        <v>3313072792.2199998</v>
      </c>
      <c r="M25" s="310">
        <v>100</v>
      </c>
      <c r="N25" s="23">
        <f t="shared" si="28"/>
        <v>2.3013706316179963E-2</v>
      </c>
      <c r="O25" s="23">
        <f t="shared" si="29"/>
        <v>0</v>
      </c>
      <c r="P25" s="321">
        <v>3317545180.6999998</v>
      </c>
      <c r="Q25" s="310">
        <v>100</v>
      </c>
      <c r="R25" s="23">
        <f t="shared" si="30"/>
        <v>1.3499215865411739E-3</v>
      </c>
      <c r="S25" s="23">
        <f t="shared" si="31"/>
        <v>0</v>
      </c>
      <c r="T25" s="321">
        <v>3329801705.5900002</v>
      </c>
      <c r="U25" s="310">
        <v>100</v>
      </c>
      <c r="V25" s="23">
        <f t="shared" si="32"/>
        <v>3.694456057841607E-3</v>
      </c>
      <c r="W25" s="23">
        <f t="shared" si="33"/>
        <v>0</v>
      </c>
      <c r="X25" s="321">
        <v>3324415921.2199998</v>
      </c>
      <c r="Y25" s="310">
        <v>100</v>
      </c>
      <c r="Z25" s="23">
        <f t="shared" si="34"/>
        <v>-1.6174489793067323E-3</v>
      </c>
      <c r="AA25" s="23">
        <f t="shared" si="35"/>
        <v>0</v>
      </c>
      <c r="AB25" s="321">
        <v>3325322527.29</v>
      </c>
      <c r="AC25" s="310">
        <v>100</v>
      </c>
      <c r="AD25" s="23">
        <f t="shared" si="36"/>
        <v>2.7271138494231004E-4</v>
      </c>
      <c r="AE25" s="23">
        <f t="shared" si="37"/>
        <v>0</v>
      </c>
      <c r="AF25" s="321">
        <v>3303171312.5599999</v>
      </c>
      <c r="AG25" s="310">
        <v>100</v>
      </c>
      <c r="AH25" s="23">
        <f t="shared" si="38"/>
        <v>-6.6613733098702882E-3</v>
      </c>
      <c r="AI25" s="23">
        <f t="shared" si="39"/>
        <v>0</v>
      </c>
      <c r="AJ25" s="24">
        <f t="shared" si="14"/>
        <v>4.7508730123682836E-3</v>
      </c>
      <c r="AK25" s="24">
        <f t="shared" si="15"/>
        <v>0</v>
      </c>
      <c r="AL25" s="25">
        <f t="shared" si="16"/>
        <v>4.2697702522018072E-2</v>
      </c>
      <c r="AM25" s="25">
        <f t="shared" si="17"/>
        <v>0</v>
      </c>
      <c r="AN25" s="387">
        <f t="shared" si="18"/>
        <v>1.1511352885207242E-2</v>
      </c>
      <c r="AO25" s="388">
        <f t="shared" si="19"/>
        <v>0</v>
      </c>
      <c r="AP25" s="30"/>
      <c r="AQ25" s="28">
        <v>366113097.69999999</v>
      </c>
      <c r="AR25" s="32">
        <v>1.1357999999999999</v>
      </c>
      <c r="AS25" s="29" t="e">
        <f>(#REF!/AQ25)-1</f>
        <v>#REF!</v>
      </c>
      <c r="AT25" s="29" t="e">
        <f>(#REF!/AR25)-1</f>
        <v>#REF!</v>
      </c>
    </row>
    <row r="26" spans="1:46">
      <c r="A26" s="202" t="s">
        <v>139</v>
      </c>
      <c r="B26" s="321">
        <v>466329515.66000003</v>
      </c>
      <c r="C26" s="310">
        <v>100</v>
      </c>
      <c r="D26" s="321">
        <v>476151433.67000002</v>
      </c>
      <c r="E26" s="310">
        <v>100</v>
      </c>
      <c r="F26" s="23">
        <f>((D26-B26)/B26)</f>
        <v>2.1062183885356148E-2</v>
      </c>
      <c r="G26" s="23">
        <f>((E26-C26)/C26)</f>
        <v>0</v>
      </c>
      <c r="H26" s="321">
        <v>482370119.82999998</v>
      </c>
      <c r="I26" s="310">
        <v>100</v>
      </c>
      <c r="J26" s="23">
        <f t="shared" si="26"/>
        <v>1.3060311741725993E-2</v>
      </c>
      <c r="K26" s="23">
        <f t="shared" si="27"/>
        <v>0</v>
      </c>
      <c r="L26" s="321">
        <v>510583469.42000002</v>
      </c>
      <c r="M26" s="310">
        <v>100</v>
      </c>
      <c r="N26" s="23">
        <f t="shared" si="28"/>
        <v>5.8489007569422345E-2</v>
      </c>
      <c r="O26" s="23">
        <f t="shared" si="29"/>
        <v>0</v>
      </c>
      <c r="P26" s="321">
        <v>493551899.81</v>
      </c>
      <c r="Q26" s="310">
        <v>100</v>
      </c>
      <c r="R26" s="23">
        <f t="shared" si="30"/>
        <v>-3.3357072114667395E-2</v>
      </c>
      <c r="S26" s="23">
        <f t="shared" si="31"/>
        <v>0</v>
      </c>
      <c r="T26" s="321">
        <v>485018923.54000002</v>
      </c>
      <c r="U26" s="310">
        <v>100</v>
      </c>
      <c r="V26" s="23">
        <f t="shared" si="32"/>
        <v>-1.7288913837197009E-2</v>
      </c>
      <c r="W26" s="23">
        <f t="shared" si="33"/>
        <v>0</v>
      </c>
      <c r="X26" s="321">
        <v>552902413.13999999</v>
      </c>
      <c r="Y26" s="310">
        <v>100</v>
      </c>
      <c r="Z26" s="23">
        <f t="shared" si="34"/>
        <v>0.13996049701430163</v>
      </c>
      <c r="AA26" s="23">
        <f t="shared" si="35"/>
        <v>0</v>
      </c>
      <c r="AB26" s="321">
        <v>524340085.01999998</v>
      </c>
      <c r="AC26" s="310">
        <v>100</v>
      </c>
      <c r="AD26" s="23">
        <f t="shared" si="36"/>
        <v>-5.1658895749416379E-2</v>
      </c>
      <c r="AE26" s="23">
        <f t="shared" si="37"/>
        <v>0</v>
      </c>
      <c r="AF26" s="321">
        <v>519140753.98000002</v>
      </c>
      <c r="AG26" s="310">
        <v>100</v>
      </c>
      <c r="AH26" s="23">
        <f t="shared" si="38"/>
        <v>-9.9159518574698392E-3</v>
      </c>
      <c r="AI26" s="23">
        <f t="shared" si="39"/>
        <v>0</v>
      </c>
      <c r="AJ26" s="24">
        <f t="shared" si="14"/>
        <v>1.504389583150694E-2</v>
      </c>
      <c r="AK26" s="24">
        <f t="shared" si="15"/>
        <v>0</v>
      </c>
      <c r="AL26" s="25">
        <f t="shared" si="16"/>
        <v>9.0284975052273064E-2</v>
      </c>
      <c r="AM26" s="25">
        <f t="shared" si="17"/>
        <v>0</v>
      </c>
      <c r="AN26" s="387">
        <f t="shared" si="18"/>
        <v>6.0935692170945868E-2</v>
      </c>
      <c r="AO26" s="388">
        <f t="shared" si="19"/>
        <v>0</v>
      </c>
      <c r="AP26" s="30"/>
      <c r="AQ26" s="28">
        <v>691810420.35000002</v>
      </c>
      <c r="AR26" s="42">
        <v>100</v>
      </c>
      <c r="AS26" s="29" t="e">
        <f>(#REF!/AQ26)-1</f>
        <v>#REF!</v>
      </c>
      <c r="AT26" s="29" t="e">
        <f>(#REF!/AR26)-1</f>
        <v>#REF!</v>
      </c>
    </row>
    <row r="27" spans="1:46">
      <c r="A27" s="202" t="s">
        <v>15</v>
      </c>
      <c r="B27" s="321">
        <v>79017835302.059998</v>
      </c>
      <c r="C27" s="310">
        <v>1</v>
      </c>
      <c r="D27" s="321">
        <v>78591591828.949997</v>
      </c>
      <c r="E27" s="310">
        <v>1</v>
      </c>
      <c r="F27" s="23">
        <f>((D27-B27)/B27)</f>
        <v>-5.3942691732898991E-3</v>
      </c>
      <c r="G27" s="23">
        <f>((E27-C27)/C27)</f>
        <v>0</v>
      </c>
      <c r="H27" s="321">
        <v>79393393065.089996</v>
      </c>
      <c r="I27" s="310">
        <v>1</v>
      </c>
      <c r="J27" s="23">
        <f t="shared" si="26"/>
        <v>1.0202124902687718E-2</v>
      </c>
      <c r="K27" s="23">
        <f t="shared" si="27"/>
        <v>0</v>
      </c>
      <c r="L27" s="321">
        <v>79450988647.059998</v>
      </c>
      <c r="M27" s="310">
        <v>1</v>
      </c>
      <c r="N27" s="23">
        <f t="shared" si="28"/>
        <v>7.2544552822905524E-4</v>
      </c>
      <c r="O27" s="23">
        <f t="shared" si="29"/>
        <v>0</v>
      </c>
      <c r="P27" s="321">
        <v>78884907553.710007</v>
      </c>
      <c r="Q27" s="310">
        <v>1</v>
      </c>
      <c r="R27" s="23">
        <f t="shared" si="30"/>
        <v>-7.1249093685247442E-3</v>
      </c>
      <c r="S27" s="23">
        <f t="shared" si="31"/>
        <v>0</v>
      </c>
      <c r="T27" s="321">
        <v>79085463217.5</v>
      </c>
      <c r="U27" s="310">
        <v>1</v>
      </c>
      <c r="V27" s="23">
        <f t="shared" si="32"/>
        <v>2.5423832011648344E-3</v>
      </c>
      <c r="W27" s="23">
        <f t="shared" si="33"/>
        <v>0</v>
      </c>
      <c r="X27" s="321">
        <v>79847036683.710007</v>
      </c>
      <c r="Y27" s="310">
        <v>1</v>
      </c>
      <c r="Z27" s="23">
        <f t="shared" si="34"/>
        <v>9.629752867673487E-3</v>
      </c>
      <c r="AA27" s="23">
        <f t="shared" si="35"/>
        <v>0</v>
      </c>
      <c r="AB27" s="321">
        <v>81325758691.130005</v>
      </c>
      <c r="AC27" s="310">
        <v>1</v>
      </c>
      <c r="AD27" s="23">
        <f t="shared" si="36"/>
        <v>1.8519435020206323E-2</v>
      </c>
      <c r="AE27" s="23">
        <f t="shared" si="37"/>
        <v>0</v>
      </c>
      <c r="AF27" s="321">
        <v>80645865362.789993</v>
      </c>
      <c r="AG27" s="310">
        <v>1</v>
      </c>
      <c r="AH27" s="23">
        <f t="shared" si="38"/>
        <v>-8.360122786215899E-3</v>
      </c>
      <c r="AI27" s="23">
        <f t="shared" si="39"/>
        <v>0</v>
      </c>
      <c r="AJ27" s="24">
        <f t="shared" si="14"/>
        <v>2.5924800239913596E-3</v>
      </c>
      <c r="AK27" s="24">
        <f t="shared" si="15"/>
        <v>0</v>
      </c>
      <c r="AL27" s="25">
        <f t="shared" si="16"/>
        <v>2.6138591750514514E-2</v>
      </c>
      <c r="AM27" s="25">
        <f t="shared" si="17"/>
        <v>0</v>
      </c>
      <c r="AN27" s="387">
        <f t="shared" si="18"/>
        <v>9.582435232325515E-3</v>
      </c>
      <c r="AO27" s="388">
        <f t="shared" si="19"/>
        <v>0</v>
      </c>
      <c r="AP27" s="30"/>
      <c r="AQ27" s="28">
        <v>13880602273.7041</v>
      </c>
      <c r="AR27" s="35">
        <v>1</v>
      </c>
      <c r="AS27" s="29" t="e">
        <f>(#REF!/AQ27)-1</f>
        <v>#REF!</v>
      </c>
      <c r="AT27" s="29" t="e">
        <f>(#REF!/AR27)-1</f>
        <v>#REF!</v>
      </c>
    </row>
    <row r="28" spans="1:46">
      <c r="A28" s="202" t="s">
        <v>82</v>
      </c>
      <c r="B28" s="321">
        <v>39423811758.82</v>
      </c>
      <c r="C28" s="310">
        <v>1</v>
      </c>
      <c r="D28" s="321">
        <v>40240004312.620003</v>
      </c>
      <c r="E28" s="310">
        <v>1</v>
      </c>
      <c r="F28" s="23">
        <f>((D28-B28)/B28)</f>
        <v>2.0703034977773357E-2</v>
      </c>
      <c r="G28" s="23">
        <f>((E28-C28)/C28)</f>
        <v>0</v>
      </c>
      <c r="H28" s="321">
        <v>40173097749.93</v>
      </c>
      <c r="I28" s="310">
        <v>1</v>
      </c>
      <c r="J28" s="23">
        <f t="shared" si="26"/>
        <v>-1.6626877614180403E-3</v>
      </c>
      <c r="K28" s="23">
        <f t="shared" si="27"/>
        <v>0</v>
      </c>
      <c r="L28" s="321">
        <v>39747093653.339996</v>
      </c>
      <c r="M28" s="310">
        <v>1</v>
      </c>
      <c r="N28" s="23">
        <f t="shared" si="28"/>
        <v>-1.0604213278293837E-2</v>
      </c>
      <c r="O28" s="23">
        <f t="shared" si="29"/>
        <v>0</v>
      </c>
      <c r="P28" s="321">
        <v>39607756062</v>
      </c>
      <c r="Q28" s="310">
        <v>1</v>
      </c>
      <c r="R28" s="23">
        <f t="shared" si="30"/>
        <v>-3.5056045243269662E-3</v>
      </c>
      <c r="S28" s="23">
        <f t="shared" si="31"/>
        <v>0</v>
      </c>
      <c r="T28" s="321">
        <v>40934587170.089996</v>
      </c>
      <c r="U28" s="310">
        <v>1</v>
      </c>
      <c r="V28" s="23">
        <f t="shared" si="32"/>
        <v>3.3499274889823127E-2</v>
      </c>
      <c r="W28" s="23">
        <f t="shared" si="33"/>
        <v>0</v>
      </c>
      <c r="X28" s="321">
        <v>40777370723.519997</v>
      </c>
      <c r="Y28" s="310">
        <v>1</v>
      </c>
      <c r="Z28" s="23">
        <f t="shared" si="34"/>
        <v>-3.8406750241974908E-3</v>
      </c>
      <c r="AA28" s="23">
        <f t="shared" si="35"/>
        <v>0</v>
      </c>
      <c r="AB28" s="321">
        <v>40930190328.449997</v>
      </c>
      <c r="AC28" s="310">
        <v>1</v>
      </c>
      <c r="AD28" s="23">
        <f t="shared" si="36"/>
        <v>3.747657149504625E-3</v>
      </c>
      <c r="AE28" s="23">
        <f t="shared" si="37"/>
        <v>0</v>
      </c>
      <c r="AF28" s="321">
        <v>40539430957.650002</v>
      </c>
      <c r="AG28" s="310">
        <v>1</v>
      </c>
      <c r="AH28" s="23">
        <f t="shared" si="38"/>
        <v>-9.5469717502970931E-3</v>
      </c>
      <c r="AI28" s="23">
        <f t="shared" si="39"/>
        <v>0</v>
      </c>
      <c r="AJ28" s="24">
        <f t="shared" si="14"/>
        <v>3.5987268348209602E-3</v>
      </c>
      <c r="AK28" s="24">
        <f t="shared" si="15"/>
        <v>0</v>
      </c>
      <c r="AL28" s="25">
        <f t="shared" si="16"/>
        <v>7.4410192082433029E-3</v>
      </c>
      <c r="AM28" s="25">
        <f t="shared" si="17"/>
        <v>0</v>
      </c>
      <c r="AN28" s="387">
        <f t="shared" si="18"/>
        <v>1.5559351428177709E-2</v>
      </c>
      <c r="AO28" s="388">
        <f t="shared" si="19"/>
        <v>0</v>
      </c>
      <c r="AP28" s="30"/>
      <c r="AQ28" s="38">
        <v>246915130.99000001</v>
      </c>
      <c r="AR28" s="35">
        <v>10</v>
      </c>
      <c r="AS28" s="29" t="e">
        <f>(#REF!/AQ28)-1</f>
        <v>#REF!</v>
      </c>
      <c r="AT28" s="29" t="e">
        <f>(#REF!/AR28)-1</f>
        <v>#REF!</v>
      </c>
    </row>
    <row r="29" spans="1:46">
      <c r="A29" s="202" t="s">
        <v>97</v>
      </c>
      <c r="B29" s="321">
        <v>6111307995.9700003</v>
      </c>
      <c r="C29" s="310">
        <v>100</v>
      </c>
      <c r="D29" s="321">
        <v>6169003279.7700005</v>
      </c>
      <c r="E29" s="310">
        <v>100</v>
      </c>
      <c r="F29" s="23">
        <f>((D29-B29)/B29)</f>
        <v>9.4407422826744102E-3</v>
      </c>
      <c r="G29" s="23">
        <f>((E29-C29)/C29)</f>
        <v>0</v>
      </c>
      <c r="H29" s="321">
        <v>6198574769.1899996</v>
      </c>
      <c r="I29" s="310">
        <v>100</v>
      </c>
      <c r="J29" s="23">
        <f t="shared" si="26"/>
        <v>4.7935603336397709E-3</v>
      </c>
      <c r="K29" s="23">
        <f t="shared" si="27"/>
        <v>0</v>
      </c>
      <c r="L29" s="321">
        <v>5970449846.79</v>
      </c>
      <c r="M29" s="310">
        <v>100</v>
      </c>
      <c r="N29" s="23">
        <f t="shared" si="28"/>
        <v>-3.6802802401270367E-2</v>
      </c>
      <c r="O29" s="23">
        <f t="shared" si="29"/>
        <v>0</v>
      </c>
      <c r="P29" s="321">
        <v>6027359426.3900003</v>
      </c>
      <c r="Q29" s="310">
        <v>100</v>
      </c>
      <c r="R29" s="23">
        <f t="shared" si="30"/>
        <v>9.5318746594274962E-3</v>
      </c>
      <c r="S29" s="23">
        <f t="shared" si="31"/>
        <v>0</v>
      </c>
      <c r="T29" s="321">
        <v>4830806999.1300001</v>
      </c>
      <c r="U29" s="310">
        <v>100</v>
      </c>
      <c r="V29" s="23">
        <f t="shared" si="32"/>
        <v>-0.19852017153997037</v>
      </c>
      <c r="W29" s="23">
        <f t="shared" si="33"/>
        <v>0</v>
      </c>
      <c r="X29" s="321">
        <v>4830806999.1300001</v>
      </c>
      <c r="Y29" s="310">
        <v>100</v>
      </c>
      <c r="Z29" s="23">
        <f t="shared" si="34"/>
        <v>0</v>
      </c>
      <c r="AA29" s="23">
        <f t="shared" si="35"/>
        <v>0</v>
      </c>
      <c r="AB29" s="321">
        <v>5036249213.3599997</v>
      </c>
      <c r="AC29" s="310">
        <v>100</v>
      </c>
      <c r="AD29" s="23">
        <f t="shared" si="36"/>
        <v>4.2527514402251727E-2</v>
      </c>
      <c r="AE29" s="23">
        <f t="shared" si="37"/>
        <v>0</v>
      </c>
      <c r="AF29" s="321">
        <v>5022455086.3400002</v>
      </c>
      <c r="AG29" s="310">
        <v>100</v>
      </c>
      <c r="AH29" s="23">
        <f t="shared" si="38"/>
        <v>-2.7389683146352029E-3</v>
      </c>
      <c r="AI29" s="23">
        <f t="shared" si="39"/>
        <v>0</v>
      </c>
      <c r="AJ29" s="24">
        <f t="shared" si="14"/>
        <v>-2.147103132223532E-2</v>
      </c>
      <c r="AK29" s="24">
        <f t="shared" si="15"/>
        <v>0</v>
      </c>
      <c r="AL29" s="25">
        <f t="shared" si="16"/>
        <v>-0.18585631121154911</v>
      </c>
      <c r="AM29" s="25">
        <f t="shared" si="17"/>
        <v>0</v>
      </c>
      <c r="AN29" s="387">
        <f t="shared" si="18"/>
        <v>7.4733543036222455E-2</v>
      </c>
      <c r="AO29" s="388">
        <f t="shared" si="19"/>
        <v>0</v>
      </c>
      <c r="AP29" s="30"/>
      <c r="AQ29" s="38"/>
      <c r="AR29" s="35"/>
      <c r="AS29" s="29"/>
      <c r="AT29" s="29"/>
    </row>
    <row r="30" spans="1:46" ht="15.75" customHeight="1">
      <c r="A30" s="202" t="s">
        <v>230</v>
      </c>
      <c r="B30" s="321">
        <v>12425715288.98</v>
      </c>
      <c r="C30" s="310">
        <v>100</v>
      </c>
      <c r="D30" s="321">
        <v>12378943165.34</v>
      </c>
      <c r="E30" s="310">
        <v>100</v>
      </c>
      <c r="F30" s="23">
        <f>((D30-B30)/B30)</f>
        <v>-3.7641393313977028E-3</v>
      </c>
      <c r="G30" s="23">
        <f>((E30-C30)/C30)</f>
        <v>0</v>
      </c>
      <c r="H30" s="321">
        <v>12704071743.85</v>
      </c>
      <c r="I30" s="310">
        <v>100</v>
      </c>
      <c r="J30" s="23">
        <f t="shared" si="26"/>
        <v>2.6264647487867374E-2</v>
      </c>
      <c r="K30" s="23">
        <f t="shared" si="27"/>
        <v>0</v>
      </c>
      <c r="L30" s="321">
        <v>12833215067.25</v>
      </c>
      <c r="M30" s="310">
        <v>100</v>
      </c>
      <c r="N30" s="23">
        <f t="shared" si="28"/>
        <v>1.0165506461541945E-2</v>
      </c>
      <c r="O30" s="23">
        <f t="shared" si="29"/>
        <v>0</v>
      </c>
      <c r="P30" s="321">
        <v>12723815789.6</v>
      </c>
      <c r="Q30" s="310">
        <v>100</v>
      </c>
      <c r="R30" s="23">
        <f t="shared" si="30"/>
        <v>-8.5246975973451468E-3</v>
      </c>
      <c r="S30" s="23">
        <f t="shared" si="31"/>
        <v>0</v>
      </c>
      <c r="T30" s="321">
        <v>12501464130.220001</v>
      </c>
      <c r="U30" s="310">
        <v>100</v>
      </c>
      <c r="V30" s="23">
        <f t="shared" si="32"/>
        <v>-1.747523408518234E-2</v>
      </c>
      <c r="W30" s="23">
        <f t="shared" si="33"/>
        <v>0</v>
      </c>
      <c r="X30" s="321">
        <v>12443485136.380001</v>
      </c>
      <c r="Y30" s="310">
        <v>100</v>
      </c>
      <c r="Z30" s="23">
        <f t="shared" si="34"/>
        <v>-4.6377762825273042E-3</v>
      </c>
      <c r="AA30" s="23">
        <f t="shared" si="35"/>
        <v>0</v>
      </c>
      <c r="AB30" s="321">
        <v>12713311422.23</v>
      </c>
      <c r="AC30" s="310">
        <v>100</v>
      </c>
      <c r="AD30" s="23">
        <f t="shared" si="36"/>
        <v>2.1684140969568839E-2</v>
      </c>
      <c r="AE30" s="23">
        <f t="shared" si="37"/>
        <v>0</v>
      </c>
      <c r="AF30" s="321">
        <v>12789705036.869999</v>
      </c>
      <c r="AG30" s="310">
        <v>100</v>
      </c>
      <c r="AH30" s="23">
        <f t="shared" si="38"/>
        <v>6.0089470085992313E-3</v>
      </c>
      <c r="AI30" s="23">
        <f t="shared" si="39"/>
        <v>0</v>
      </c>
      <c r="AJ30" s="24">
        <f t="shared" si="14"/>
        <v>3.7151743288906117E-3</v>
      </c>
      <c r="AK30" s="24">
        <f t="shared" si="15"/>
        <v>0</v>
      </c>
      <c r="AL30" s="25">
        <f t="shared" si="16"/>
        <v>3.3182305310205919E-2</v>
      </c>
      <c r="AM30" s="25">
        <f t="shared" si="17"/>
        <v>0</v>
      </c>
      <c r="AN30" s="387">
        <f t="shared" si="18"/>
        <v>1.5131756908098671E-2</v>
      </c>
      <c r="AO30" s="388">
        <f t="shared" si="19"/>
        <v>0</v>
      </c>
      <c r="AP30" s="30"/>
      <c r="AQ30" s="38"/>
      <c r="AR30" s="35"/>
      <c r="AS30" s="29"/>
      <c r="AT30" s="29"/>
    </row>
    <row r="31" spans="1:46">
      <c r="A31" s="202" t="s">
        <v>89</v>
      </c>
      <c r="B31" s="321">
        <v>5417917408.1400003</v>
      </c>
      <c r="C31" s="310">
        <v>100</v>
      </c>
      <c r="D31" s="321">
        <v>5409244964.0900002</v>
      </c>
      <c r="E31" s="310">
        <v>100</v>
      </c>
      <c r="F31" s="23">
        <f>((D31-B31)/B31)</f>
        <v>-1.6006969831194762E-3</v>
      </c>
      <c r="G31" s="23">
        <f>((E31-C31)/C31)</f>
        <v>0</v>
      </c>
      <c r="H31" s="321">
        <v>5529576671.3500004</v>
      </c>
      <c r="I31" s="310">
        <v>100</v>
      </c>
      <c r="J31" s="23">
        <f t="shared" si="26"/>
        <v>2.2245564410345333E-2</v>
      </c>
      <c r="K31" s="23">
        <f t="shared" si="27"/>
        <v>0</v>
      </c>
      <c r="L31" s="321">
        <v>5495920720.9399996</v>
      </c>
      <c r="M31" s="310">
        <v>100</v>
      </c>
      <c r="N31" s="23">
        <f t="shared" si="28"/>
        <v>-6.0865329138810875E-3</v>
      </c>
      <c r="O31" s="23">
        <f t="shared" si="29"/>
        <v>0</v>
      </c>
      <c r="P31" s="321">
        <v>5200927057.8500004</v>
      </c>
      <c r="Q31" s="310">
        <v>100</v>
      </c>
      <c r="R31" s="23">
        <f t="shared" si="30"/>
        <v>-5.3675021542076519E-2</v>
      </c>
      <c r="S31" s="23">
        <f t="shared" si="31"/>
        <v>0</v>
      </c>
      <c r="T31" s="321">
        <v>5195263385.3100004</v>
      </c>
      <c r="U31" s="310">
        <v>100</v>
      </c>
      <c r="V31" s="23">
        <f t="shared" si="32"/>
        <v>-1.0889736535434618E-3</v>
      </c>
      <c r="W31" s="23">
        <f t="shared" si="33"/>
        <v>0</v>
      </c>
      <c r="X31" s="321">
        <v>5208164199.6599998</v>
      </c>
      <c r="Y31" s="310">
        <v>100</v>
      </c>
      <c r="Z31" s="23">
        <f t="shared" si="34"/>
        <v>2.4831877410638032E-3</v>
      </c>
      <c r="AA31" s="23">
        <f t="shared" si="35"/>
        <v>0</v>
      </c>
      <c r="AB31" s="321">
        <v>5311125330.2299995</v>
      </c>
      <c r="AC31" s="310">
        <v>100</v>
      </c>
      <c r="AD31" s="23">
        <f t="shared" si="36"/>
        <v>1.976917904714318E-2</v>
      </c>
      <c r="AE31" s="23">
        <f t="shared" si="37"/>
        <v>0</v>
      </c>
      <c r="AF31" s="321">
        <v>5341807931.9300003</v>
      </c>
      <c r="AG31" s="310">
        <v>100</v>
      </c>
      <c r="AH31" s="23">
        <f t="shared" si="38"/>
        <v>5.7770434309581701E-3</v>
      </c>
      <c r="AI31" s="23">
        <f t="shared" si="39"/>
        <v>0</v>
      </c>
      <c r="AJ31" s="24">
        <f t="shared" si="14"/>
        <v>-1.5220313078887571E-3</v>
      </c>
      <c r="AK31" s="24">
        <f t="shared" si="15"/>
        <v>0</v>
      </c>
      <c r="AL31" s="25">
        <f t="shared" si="16"/>
        <v>-1.2466995413905203E-2</v>
      </c>
      <c r="AM31" s="25">
        <f t="shared" si="17"/>
        <v>0</v>
      </c>
      <c r="AN31" s="387">
        <f t="shared" si="18"/>
        <v>2.3386489716378196E-2</v>
      </c>
      <c r="AO31" s="388">
        <f t="shared" si="19"/>
        <v>0</v>
      </c>
      <c r="AP31" s="30"/>
      <c r="AQ31" s="38"/>
      <c r="AR31" s="35"/>
      <c r="AS31" s="29"/>
      <c r="AT31" s="29"/>
    </row>
    <row r="32" spans="1:46">
      <c r="A32" s="202" t="s">
        <v>179</v>
      </c>
      <c r="B32" s="321">
        <v>44514190.369999997</v>
      </c>
      <c r="C32" s="310">
        <v>100</v>
      </c>
      <c r="D32" s="321">
        <v>44514190.369999997</v>
      </c>
      <c r="E32" s="310">
        <v>100</v>
      </c>
      <c r="F32" s="23">
        <f>((D32-B32)/B32)</f>
        <v>0</v>
      </c>
      <c r="G32" s="23">
        <f>((E32-C32)/C32)</f>
        <v>0</v>
      </c>
      <c r="H32" s="321">
        <v>44514190.369999997</v>
      </c>
      <c r="I32" s="310">
        <v>100</v>
      </c>
      <c r="J32" s="23">
        <f t="shared" si="26"/>
        <v>0</v>
      </c>
      <c r="K32" s="23">
        <f t="shared" si="27"/>
        <v>0</v>
      </c>
      <c r="L32" s="321">
        <v>44514190.369999997</v>
      </c>
      <c r="M32" s="310">
        <v>100</v>
      </c>
      <c r="N32" s="23">
        <f t="shared" si="28"/>
        <v>0</v>
      </c>
      <c r="O32" s="23">
        <f t="shared" si="29"/>
        <v>0</v>
      </c>
      <c r="P32" s="321">
        <v>44514190.369999997</v>
      </c>
      <c r="Q32" s="310">
        <v>100</v>
      </c>
      <c r="R32" s="23">
        <f t="shared" si="30"/>
        <v>0</v>
      </c>
      <c r="S32" s="23">
        <f t="shared" si="31"/>
        <v>0</v>
      </c>
      <c r="T32" s="321">
        <v>44514190.369999997</v>
      </c>
      <c r="U32" s="310">
        <v>100</v>
      </c>
      <c r="V32" s="23">
        <f t="shared" si="32"/>
        <v>0</v>
      </c>
      <c r="W32" s="23">
        <f t="shared" si="33"/>
        <v>0</v>
      </c>
      <c r="X32" s="321">
        <v>44514190.369999997</v>
      </c>
      <c r="Y32" s="310">
        <v>100</v>
      </c>
      <c r="Z32" s="23">
        <f t="shared" si="34"/>
        <v>0</v>
      </c>
      <c r="AA32" s="23">
        <f t="shared" si="35"/>
        <v>0</v>
      </c>
      <c r="AB32" s="321">
        <v>44514190.369999997</v>
      </c>
      <c r="AC32" s="310">
        <v>100</v>
      </c>
      <c r="AD32" s="23">
        <f t="shared" si="36"/>
        <v>0</v>
      </c>
      <c r="AE32" s="23">
        <f t="shared" si="37"/>
        <v>0</v>
      </c>
      <c r="AF32" s="321">
        <v>44514190.369999997</v>
      </c>
      <c r="AG32" s="310">
        <v>100</v>
      </c>
      <c r="AH32" s="23">
        <f t="shared" si="38"/>
        <v>0</v>
      </c>
      <c r="AI32" s="23">
        <f t="shared" si="39"/>
        <v>0</v>
      </c>
      <c r="AJ32" s="24">
        <f t="shared" si="14"/>
        <v>0</v>
      </c>
      <c r="AK32" s="24">
        <f t="shared" si="15"/>
        <v>0</v>
      </c>
      <c r="AL32" s="25">
        <f t="shared" si="16"/>
        <v>0</v>
      </c>
      <c r="AM32" s="25">
        <f t="shared" si="17"/>
        <v>0</v>
      </c>
      <c r="AN32" s="387">
        <f t="shared" si="18"/>
        <v>0</v>
      </c>
      <c r="AO32" s="388">
        <f t="shared" si="19"/>
        <v>0</v>
      </c>
      <c r="AP32" s="30"/>
      <c r="AQ32" s="38"/>
      <c r="AR32" s="35"/>
      <c r="AS32" s="29"/>
      <c r="AT32" s="29"/>
    </row>
    <row r="33" spans="1:47">
      <c r="A33" s="202" t="s">
        <v>108</v>
      </c>
      <c r="B33" s="321">
        <v>5846850849.6999998</v>
      </c>
      <c r="C33" s="310">
        <v>1</v>
      </c>
      <c r="D33" s="321">
        <v>5842896618.6499996</v>
      </c>
      <c r="E33" s="310">
        <v>1</v>
      </c>
      <c r="F33" s="23">
        <f>((D33-B33)/B33)</f>
        <v>-6.7630099546717203E-4</v>
      </c>
      <c r="G33" s="23">
        <f>((E33-C33)/C33)</f>
        <v>0</v>
      </c>
      <c r="H33" s="321">
        <v>5582464126.7799997</v>
      </c>
      <c r="I33" s="310">
        <v>1</v>
      </c>
      <c r="J33" s="23">
        <f t="shared" si="26"/>
        <v>-4.4572496976708918E-2</v>
      </c>
      <c r="K33" s="23">
        <f t="shared" si="27"/>
        <v>0</v>
      </c>
      <c r="L33" s="321">
        <v>5527273124.6300001</v>
      </c>
      <c r="M33" s="310">
        <v>1</v>
      </c>
      <c r="N33" s="23">
        <f t="shared" si="28"/>
        <v>-9.886494726448718E-3</v>
      </c>
      <c r="O33" s="23">
        <f t="shared" si="29"/>
        <v>0</v>
      </c>
      <c r="P33" s="321">
        <v>5561480520.4099998</v>
      </c>
      <c r="Q33" s="310">
        <v>1</v>
      </c>
      <c r="R33" s="23">
        <f t="shared" si="30"/>
        <v>6.188837607385215E-3</v>
      </c>
      <c r="S33" s="23">
        <f t="shared" si="31"/>
        <v>0</v>
      </c>
      <c r="T33" s="321">
        <v>5723289390.6999998</v>
      </c>
      <c r="U33" s="310">
        <v>1</v>
      </c>
      <c r="V33" s="23">
        <f t="shared" si="32"/>
        <v>2.9094567480040582E-2</v>
      </c>
      <c r="W33" s="23">
        <f t="shared" si="33"/>
        <v>0</v>
      </c>
      <c r="X33" s="321">
        <v>5723289390.6999998</v>
      </c>
      <c r="Y33" s="310">
        <v>1</v>
      </c>
      <c r="Z33" s="23">
        <f t="shared" si="34"/>
        <v>0</v>
      </c>
      <c r="AA33" s="23">
        <f t="shared" si="35"/>
        <v>0</v>
      </c>
      <c r="AB33" s="321">
        <v>5379116591</v>
      </c>
      <c r="AC33" s="310">
        <v>1</v>
      </c>
      <c r="AD33" s="23">
        <f t="shared" si="36"/>
        <v>-6.0135487864594064E-2</v>
      </c>
      <c r="AE33" s="23">
        <f t="shared" si="37"/>
        <v>0</v>
      </c>
      <c r="AF33" s="321">
        <v>5083820454.8599997</v>
      </c>
      <c r="AG33" s="310">
        <v>1</v>
      </c>
      <c r="AH33" s="23">
        <f t="shared" si="38"/>
        <v>-5.4896771829424797E-2</v>
      </c>
      <c r="AI33" s="23">
        <f t="shared" si="39"/>
        <v>0</v>
      </c>
      <c r="AJ33" s="24">
        <f t="shared" si="14"/>
        <v>-1.6860518413152233E-2</v>
      </c>
      <c r="AK33" s="24">
        <f t="shared" si="15"/>
        <v>0</v>
      </c>
      <c r="AL33" s="25">
        <f t="shared" si="16"/>
        <v>-0.12991435812283539</v>
      </c>
      <c r="AM33" s="25">
        <f t="shared" si="17"/>
        <v>0</v>
      </c>
      <c r="AN33" s="387">
        <f t="shared" si="18"/>
        <v>3.2349473442955141E-2</v>
      </c>
      <c r="AO33" s="388">
        <f t="shared" si="19"/>
        <v>0</v>
      </c>
      <c r="AP33" s="30"/>
      <c r="AQ33" s="38"/>
      <c r="AR33" s="35"/>
      <c r="AS33" s="29"/>
      <c r="AT33" s="29"/>
    </row>
    <row r="34" spans="1:47">
      <c r="A34" s="202" t="s">
        <v>100</v>
      </c>
      <c r="B34" s="321">
        <v>12859844781.469999</v>
      </c>
      <c r="C34" s="69">
        <v>100</v>
      </c>
      <c r="D34" s="321">
        <v>12770261098.719999</v>
      </c>
      <c r="E34" s="69">
        <v>100</v>
      </c>
      <c r="F34" s="23">
        <f>((D34-B34)/B34)</f>
        <v>-6.9661558340955148E-3</v>
      </c>
      <c r="G34" s="23">
        <f>((E34-C34)/C34)</f>
        <v>0</v>
      </c>
      <c r="H34" s="321">
        <v>12823340086.309999</v>
      </c>
      <c r="I34" s="69">
        <v>100</v>
      </c>
      <c r="J34" s="23">
        <f t="shared" si="26"/>
        <v>4.156452807008027E-3</v>
      </c>
      <c r="K34" s="23">
        <f t="shared" si="27"/>
        <v>0</v>
      </c>
      <c r="L34" s="321">
        <v>13189150636.700001</v>
      </c>
      <c r="M34" s="69">
        <v>100</v>
      </c>
      <c r="N34" s="23">
        <f t="shared" si="28"/>
        <v>2.852693197933158E-2</v>
      </c>
      <c r="O34" s="23">
        <f t="shared" si="29"/>
        <v>0</v>
      </c>
      <c r="P34" s="321">
        <v>13178552136.25</v>
      </c>
      <c r="Q34" s="69">
        <v>100</v>
      </c>
      <c r="R34" s="23">
        <f t="shared" si="30"/>
        <v>-8.0357717808677382E-4</v>
      </c>
      <c r="S34" s="23">
        <f t="shared" si="31"/>
        <v>0</v>
      </c>
      <c r="T34" s="321">
        <v>13169237396.639999</v>
      </c>
      <c r="U34" s="69">
        <v>100</v>
      </c>
      <c r="V34" s="23">
        <f t="shared" si="32"/>
        <v>-7.068105444132006E-4</v>
      </c>
      <c r="W34" s="23">
        <f t="shared" si="33"/>
        <v>0</v>
      </c>
      <c r="X34" s="321">
        <v>13321667928</v>
      </c>
      <c r="Y34" s="69">
        <v>100</v>
      </c>
      <c r="Z34" s="23">
        <f t="shared" si="34"/>
        <v>1.1574742467539673E-2</v>
      </c>
      <c r="AA34" s="23">
        <f t="shared" si="35"/>
        <v>0</v>
      </c>
      <c r="AB34" s="321">
        <v>13358985636.48</v>
      </c>
      <c r="AC34" s="69">
        <v>100</v>
      </c>
      <c r="AD34" s="23">
        <f t="shared" si="36"/>
        <v>2.8012789901153243E-3</v>
      </c>
      <c r="AE34" s="23">
        <f t="shared" si="37"/>
        <v>0</v>
      </c>
      <c r="AF34" s="321">
        <v>13336306643.370001</v>
      </c>
      <c r="AG34" s="69">
        <v>100</v>
      </c>
      <c r="AH34" s="23">
        <f t="shared" si="38"/>
        <v>-1.6976583198104599E-3</v>
      </c>
      <c r="AI34" s="23">
        <f t="shared" si="39"/>
        <v>0</v>
      </c>
      <c r="AJ34" s="24">
        <f t="shared" si="14"/>
        <v>4.6106505459485823E-3</v>
      </c>
      <c r="AK34" s="24">
        <f t="shared" si="15"/>
        <v>0</v>
      </c>
      <c r="AL34" s="25">
        <f t="shared" si="16"/>
        <v>4.432529141528186E-2</v>
      </c>
      <c r="AM34" s="25">
        <f t="shared" si="17"/>
        <v>0</v>
      </c>
      <c r="AN34" s="387">
        <f t="shared" si="18"/>
        <v>1.1054240788741513E-2</v>
      </c>
      <c r="AO34" s="388">
        <f t="shared" si="19"/>
        <v>0</v>
      </c>
      <c r="AP34" s="30"/>
      <c r="AQ34" s="38"/>
      <c r="AR34" s="35"/>
      <c r="AS34" s="29"/>
      <c r="AT34" s="29"/>
    </row>
    <row r="35" spans="1:47">
      <c r="A35" s="202" t="s">
        <v>99</v>
      </c>
      <c r="B35" s="321">
        <v>492195524.19999999</v>
      </c>
      <c r="C35" s="69">
        <v>1000000</v>
      </c>
      <c r="D35" s="321">
        <v>459944679.44</v>
      </c>
      <c r="E35" s="69">
        <v>1000000</v>
      </c>
      <c r="F35" s="23">
        <f>((D35-B35)/B35)</f>
        <v>-6.5524457607410297E-2</v>
      </c>
      <c r="G35" s="23">
        <f>((E35-C35)/C35)</f>
        <v>0</v>
      </c>
      <c r="H35" s="321">
        <v>460240597.98000002</v>
      </c>
      <c r="I35" s="69">
        <v>1000000</v>
      </c>
      <c r="J35" s="23">
        <f t="shared" si="26"/>
        <v>6.4337854795997081E-4</v>
      </c>
      <c r="K35" s="23">
        <f t="shared" si="27"/>
        <v>0</v>
      </c>
      <c r="L35" s="321">
        <v>413141799.31</v>
      </c>
      <c r="M35" s="69">
        <v>1000000</v>
      </c>
      <c r="N35" s="23">
        <f t="shared" si="28"/>
        <v>-0.10233516746831343</v>
      </c>
      <c r="O35" s="23">
        <f t="shared" si="29"/>
        <v>0</v>
      </c>
      <c r="P35" s="321">
        <v>571960540.88</v>
      </c>
      <c r="Q35" s="69">
        <v>1000000</v>
      </c>
      <c r="R35" s="23">
        <f t="shared" si="30"/>
        <v>0.38441702542625256</v>
      </c>
      <c r="S35" s="23">
        <f t="shared" si="31"/>
        <v>0</v>
      </c>
      <c r="T35" s="321">
        <v>572794721.44000006</v>
      </c>
      <c r="U35" s="69">
        <v>1000000</v>
      </c>
      <c r="V35" s="23">
        <f t="shared" si="32"/>
        <v>1.4584582333540331E-3</v>
      </c>
      <c r="W35" s="23">
        <f t="shared" si="33"/>
        <v>0</v>
      </c>
      <c r="X35" s="321">
        <v>573670747.15999997</v>
      </c>
      <c r="Y35" s="69">
        <v>1000000</v>
      </c>
      <c r="Z35" s="23">
        <f t="shared" si="34"/>
        <v>1.5293886050443861E-3</v>
      </c>
      <c r="AA35" s="23">
        <f t="shared" si="35"/>
        <v>0</v>
      </c>
      <c r="AB35" s="321">
        <v>597605629.16999996</v>
      </c>
      <c r="AC35" s="69">
        <v>1000000</v>
      </c>
      <c r="AD35" s="23">
        <f t="shared" si="36"/>
        <v>4.1722333112663351E-2</v>
      </c>
      <c r="AE35" s="23">
        <f t="shared" si="37"/>
        <v>0</v>
      </c>
      <c r="AF35" s="321">
        <v>1164580342.51</v>
      </c>
      <c r="AG35" s="69">
        <v>1000000</v>
      </c>
      <c r="AH35" s="23">
        <f t="shared" si="38"/>
        <v>0.94874393021942838</v>
      </c>
      <c r="AI35" s="23">
        <f t="shared" si="39"/>
        <v>0</v>
      </c>
      <c r="AJ35" s="24">
        <f t="shared" si="14"/>
        <v>0.15133186113362238</v>
      </c>
      <c r="AK35" s="24">
        <f t="shared" si="15"/>
        <v>0</v>
      </c>
      <c r="AL35" s="25">
        <f t="shared" si="16"/>
        <v>1.5320009004733361</v>
      </c>
      <c r="AM35" s="25">
        <f t="shared" si="17"/>
        <v>0</v>
      </c>
      <c r="AN35" s="387">
        <f t="shared" si="18"/>
        <v>0.35480224093433971</v>
      </c>
      <c r="AO35" s="388">
        <f t="shared" si="19"/>
        <v>0</v>
      </c>
      <c r="AP35" s="30"/>
      <c r="AQ35" s="38"/>
      <c r="AR35" s="35"/>
      <c r="AS35" s="29"/>
      <c r="AT35" s="29"/>
    </row>
    <row r="36" spans="1:47">
      <c r="A36" s="202" t="s">
        <v>169</v>
      </c>
      <c r="B36" s="321">
        <v>2000763576.29</v>
      </c>
      <c r="C36" s="310">
        <v>1</v>
      </c>
      <c r="D36" s="321">
        <v>2000367073.6600001</v>
      </c>
      <c r="E36" s="310">
        <v>1</v>
      </c>
      <c r="F36" s="23">
        <f>((D36-B36)/B36)</f>
        <v>-1.9817565388465723E-4</v>
      </c>
      <c r="G36" s="23">
        <f>((E36-C36)/C36)</f>
        <v>0</v>
      </c>
      <c r="H36" s="321">
        <v>2144985529.4100001</v>
      </c>
      <c r="I36" s="310">
        <v>1</v>
      </c>
      <c r="J36" s="23">
        <f t="shared" si="26"/>
        <v>7.2295958903880964E-2</v>
      </c>
      <c r="K36" s="23">
        <f t="shared" si="27"/>
        <v>0</v>
      </c>
      <c r="L36" s="321">
        <v>2201400009.9899998</v>
      </c>
      <c r="M36" s="310">
        <v>1</v>
      </c>
      <c r="N36" s="23">
        <f t="shared" si="28"/>
        <v>2.6300634576083625E-2</v>
      </c>
      <c r="O36" s="23">
        <f t="shared" si="29"/>
        <v>0</v>
      </c>
      <c r="P36" s="321">
        <v>2203096766.54</v>
      </c>
      <c r="Q36" s="310">
        <v>1</v>
      </c>
      <c r="R36" s="23">
        <f t="shared" si="30"/>
        <v>7.7076248855286345E-4</v>
      </c>
      <c r="S36" s="23">
        <f t="shared" si="31"/>
        <v>0</v>
      </c>
      <c r="T36" s="321">
        <v>2247105838.5500002</v>
      </c>
      <c r="U36" s="310">
        <v>1</v>
      </c>
      <c r="V36" s="23">
        <f t="shared" si="32"/>
        <v>1.9976004993696762E-2</v>
      </c>
      <c r="W36" s="23">
        <f t="shared" si="33"/>
        <v>0</v>
      </c>
      <c r="X36" s="321">
        <v>2183777007.1700001</v>
      </c>
      <c r="Y36" s="310">
        <v>1</v>
      </c>
      <c r="Z36" s="23">
        <f t="shared" si="34"/>
        <v>-2.8182398128992706E-2</v>
      </c>
      <c r="AA36" s="23">
        <f t="shared" si="35"/>
        <v>0</v>
      </c>
      <c r="AB36" s="321">
        <v>2233493440.9299998</v>
      </c>
      <c r="AC36" s="310">
        <v>1</v>
      </c>
      <c r="AD36" s="23">
        <f t="shared" si="36"/>
        <v>2.276625937390387E-2</v>
      </c>
      <c r="AE36" s="23">
        <f t="shared" si="37"/>
        <v>0</v>
      </c>
      <c r="AF36" s="321">
        <v>2301638322.0799999</v>
      </c>
      <c r="AG36" s="310">
        <v>1</v>
      </c>
      <c r="AH36" s="23">
        <f t="shared" si="38"/>
        <v>3.0510446057824724E-2</v>
      </c>
      <c r="AI36" s="23">
        <f t="shared" si="39"/>
        <v>0</v>
      </c>
      <c r="AJ36" s="24">
        <f t="shared" si="14"/>
        <v>1.8029936576383177E-2</v>
      </c>
      <c r="AK36" s="24">
        <f t="shared" si="15"/>
        <v>0</v>
      </c>
      <c r="AL36" s="25">
        <f t="shared" si="16"/>
        <v>0.15060798209839288</v>
      </c>
      <c r="AM36" s="25">
        <f t="shared" si="17"/>
        <v>0</v>
      </c>
      <c r="AN36" s="387">
        <f t="shared" si="18"/>
        <v>2.9181480727360612E-2</v>
      </c>
      <c r="AO36" s="388">
        <f t="shared" si="19"/>
        <v>0</v>
      </c>
      <c r="AP36" s="30"/>
      <c r="AQ36" s="38"/>
      <c r="AR36" s="35"/>
      <c r="AS36" s="29"/>
      <c r="AT36" s="29"/>
      <c r="AU36" s="88"/>
    </row>
    <row r="37" spans="1:47">
      <c r="A37" s="202" t="s">
        <v>134</v>
      </c>
      <c r="B37" s="321">
        <v>268120563.02000001</v>
      </c>
      <c r="C37" s="310">
        <v>1</v>
      </c>
      <c r="D37" s="321">
        <v>240353383.80000001</v>
      </c>
      <c r="E37" s="310">
        <v>1</v>
      </c>
      <c r="F37" s="23">
        <f>((D37-B37)/B37)</f>
        <v>-0.10356228894659136</v>
      </c>
      <c r="G37" s="23">
        <f>((E37-C37)/C37)</f>
        <v>0</v>
      </c>
      <c r="H37" s="321">
        <v>266007303.19999999</v>
      </c>
      <c r="I37" s="310">
        <v>1</v>
      </c>
      <c r="J37" s="23">
        <f t="shared" si="26"/>
        <v>0.1067341719696645</v>
      </c>
      <c r="K37" s="23">
        <f t="shared" si="27"/>
        <v>0</v>
      </c>
      <c r="L37" s="382">
        <v>266218657.97</v>
      </c>
      <c r="M37" s="310">
        <v>1</v>
      </c>
      <c r="N37" s="23">
        <f t="shared" si="28"/>
        <v>7.9454498977083246E-4</v>
      </c>
      <c r="O37" s="23">
        <f t="shared" si="29"/>
        <v>0</v>
      </c>
      <c r="P37" s="382">
        <v>266633878.59</v>
      </c>
      <c r="Q37" s="310">
        <v>1</v>
      </c>
      <c r="R37" s="23">
        <f t="shared" si="30"/>
        <v>1.5596976679478104E-3</v>
      </c>
      <c r="S37" s="23">
        <f t="shared" si="31"/>
        <v>0</v>
      </c>
      <c r="T37" s="382">
        <v>286270616.13999999</v>
      </c>
      <c r="U37" s="310">
        <v>1</v>
      </c>
      <c r="V37" s="23">
        <f t="shared" si="32"/>
        <v>7.3646821078559105E-2</v>
      </c>
      <c r="W37" s="23">
        <f t="shared" si="33"/>
        <v>0</v>
      </c>
      <c r="X37" s="321">
        <v>267330946.31</v>
      </c>
      <c r="Y37" s="310">
        <v>1</v>
      </c>
      <c r="Z37" s="23">
        <f t="shared" si="34"/>
        <v>-6.6160020491720956E-2</v>
      </c>
      <c r="AA37" s="23">
        <f t="shared" si="35"/>
        <v>0</v>
      </c>
      <c r="AB37" s="321">
        <v>267941343.74000001</v>
      </c>
      <c r="AC37" s="310">
        <v>1</v>
      </c>
      <c r="AD37" s="23">
        <f t="shared" si="36"/>
        <v>2.2833025447498447E-3</v>
      </c>
      <c r="AE37" s="23">
        <f t="shared" si="37"/>
        <v>0</v>
      </c>
      <c r="AF37" s="321">
        <v>267804689.91999999</v>
      </c>
      <c r="AG37" s="310">
        <v>1</v>
      </c>
      <c r="AH37" s="23">
        <f t="shared" si="38"/>
        <v>-5.1001393847090008E-4</v>
      </c>
      <c r="AI37" s="23">
        <f t="shared" si="39"/>
        <v>0</v>
      </c>
      <c r="AJ37" s="24">
        <f t="shared" si="14"/>
        <v>1.8482768592386089E-3</v>
      </c>
      <c r="AK37" s="24">
        <f t="shared" si="15"/>
        <v>0</v>
      </c>
      <c r="AL37" s="25">
        <f t="shared" si="16"/>
        <v>0.11421227230502579</v>
      </c>
      <c r="AM37" s="25">
        <f t="shared" si="17"/>
        <v>0</v>
      </c>
      <c r="AN37" s="387">
        <f t="shared" si="18"/>
        <v>6.7506129085594599E-2</v>
      </c>
      <c r="AO37" s="388">
        <f t="shared" si="19"/>
        <v>0</v>
      </c>
      <c r="AP37" s="30"/>
      <c r="AQ37" s="38"/>
      <c r="AR37" s="35"/>
      <c r="AS37" s="29"/>
      <c r="AT37" s="29"/>
    </row>
    <row r="38" spans="1:47" s="84" customFormat="1">
      <c r="A38" s="202" t="s">
        <v>14</v>
      </c>
      <c r="B38" s="321">
        <v>191554928691.54001</v>
      </c>
      <c r="C38" s="310">
        <v>100</v>
      </c>
      <c r="D38" s="321">
        <v>187619140419.04999</v>
      </c>
      <c r="E38" s="310">
        <v>100</v>
      </c>
      <c r="F38" s="23">
        <f>((D38-B38)/B38)</f>
        <v>-2.0546525737418126E-2</v>
      </c>
      <c r="G38" s="23">
        <f>((E38-C38)/C38)</f>
        <v>0</v>
      </c>
      <c r="H38" s="321">
        <v>189048435155.34</v>
      </c>
      <c r="I38" s="310">
        <v>100</v>
      </c>
      <c r="J38" s="23">
        <f t="shared" si="26"/>
        <v>7.6180646233516402E-3</v>
      </c>
      <c r="K38" s="23">
        <f t="shared" si="27"/>
        <v>0</v>
      </c>
      <c r="L38" s="321">
        <v>190240664187.16</v>
      </c>
      <c r="M38" s="310">
        <v>100</v>
      </c>
      <c r="N38" s="23">
        <f t="shared" si="28"/>
        <v>6.3064739511880102E-3</v>
      </c>
      <c r="O38" s="23">
        <f t="shared" si="29"/>
        <v>0</v>
      </c>
      <c r="P38" s="321">
        <v>191887392821.85001</v>
      </c>
      <c r="Q38" s="310">
        <v>100</v>
      </c>
      <c r="R38" s="23">
        <f t="shared" si="30"/>
        <v>8.6560286241954033E-3</v>
      </c>
      <c r="S38" s="23">
        <f t="shared" si="31"/>
        <v>0</v>
      </c>
      <c r="T38" s="321">
        <v>191069692937.47</v>
      </c>
      <c r="U38" s="310">
        <v>100</v>
      </c>
      <c r="V38" s="23">
        <f t="shared" si="32"/>
        <v>-4.2613528296732081E-3</v>
      </c>
      <c r="W38" s="23">
        <f t="shared" si="33"/>
        <v>0</v>
      </c>
      <c r="X38" s="321">
        <v>194918601087.01999</v>
      </c>
      <c r="Y38" s="310">
        <v>100</v>
      </c>
      <c r="Z38" s="23">
        <f t="shared" si="34"/>
        <v>2.0144001334683633E-2</v>
      </c>
      <c r="AA38" s="23">
        <f t="shared" si="35"/>
        <v>0</v>
      </c>
      <c r="AB38" s="321">
        <v>198768512276.39999</v>
      </c>
      <c r="AC38" s="310">
        <v>100</v>
      </c>
      <c r="AD38" s="23">
        <f t="shared" si="36"/>
        <v>1.9751379129081887E-2</v>
      </c>
      <c r="AE38" s="23">
        <f t="shared" si="37"/>
        <v>0</v>
      </c>
      <c r="AF38" s="321">
        <v>201580231819.81</v>
      </c>
      <c r="AG38" s="310">
        <v>100</v>
      </c>
      <c r="AH38" s="23">
        <f t="shared" si="38"/>
        <v>1.4145698990291443E-2</v>
      </c>
      <c r="AI38" s="23">
        <f t="shared" si="39"/>
        <v>0</v>
      </c>
      <c r="AJ38" s="24">
        <f t="shared" si="14"/>
        <v>6.4767210107125849E-3</v>
      </c>
      <c r="AK38" s="24">
        <f t="shared" si="15"/>
        <v>0</v>
      </c>
      <c r="AL38" s="25">
        <f t="shared" si="16"/>
        <v>7.4411871675660143E-2</v>
      </c>
      <c r="AM38" s="25">
        <f t="shared" si="17"/>
        <v>0</v>
      </c>
      <c r="AN38" s="387">
        <f t="shared" si="18"/>
        <v>1.3487917600866591E-2</v>
      </c>
      <c r="AO38" s="388">
        <f t="shared" si="19"/>
        <v>0</v>
      </c>
      <c r="AP38" s="30"/>
      <c r="AQ38" s="38"/>
      <c r="AR38" s="35"/>
      <c r="AS38" s="29"/>
      <c r="AT38" s="29"/>
    </row>
    <row r="39" spans="1:47" s="86" customFormat="1">
      <c r="A39" s="202" t="s">
        <v>122</v>
      </c>
      <c r="B39" s="321">
        <v>593810224.89999998</v>
      </c>
      <c r="C39" s="310">
        <v>10</v>
      </c>
      <c r="D39" s="321">
        <v>560400456.76999998</v>
      </c>
      <c r="E39" s="310">
        <v>10</v>
      </c>
      <c r="F39" s="23">
        <f>((D39-B39)/B39)</f>
        <v>-5.626337629269744E-2</v>
      </c>
      <c r="G39" s="23">
        <f>((E39-C39)/C39)</f>
        <v>0</v>
      </c>
      <c r="H39" s="321">
        <v>564427991.13999999</v>
      </c>
      <c r="I39" s="310">
        <v>10</v>
      </c>
      <c r="J39" s="23">
        <f t="shared" si="26"/>
        <v>7.1868863084331653E-3</v>
      </c>
      <c r="K39" s="23">
        <f t="shared" si="27"/>
        <v>0</v>
      </c>
      <c r="L39" s="321">
        <v>565444933.24000001</v>
      </c>
      <c r="M39" s="310">
        <v>10</v>
      </c>
      <c r="N39" s="23">
        <f t="shared" si="28"/>
        <v>1.801721594186109E-3</v>
      </c>
      <c r="O39" s="23">
        <f t="shared" si="29"/>
        <v>0</v>
      </c>
      <c r="P39" s="321">
        <v>572662387.32000005</v>
      </c>
      <c r="Q39" s="310">
        <v>10</v>
      </c>
      <c r="R39" s="23">
        <f t="shared" si="30"/>
        <v>1.2764203294994659E-2</v>
      </c>
      <c r="S39" s="23">
        <f t="shared" si="31"/>
        <v>0</v>
      </c>
      <c r="T39" s="321">
        <v>587883712.46000004</v>
      </c>
      <c r="U39" s="310">
        <v>10</v>
      </c>
      <c r="V39" s="23">
        <f t="shared" si="32"/>
        <v>2.6579928203830868E-2</v>
      </c>
      <c r="W39" s="23">
        <f t="shared" si="33"/>
        <v>0</v>
      </c>
      <c r="X39" s="321">
        <v>588099068.22000003</v>
      </c>
      <c r="Y39" s="310">
        <v>10</v>
      </c>
      <c r="Z39" s="23">
        <f t="shared" si="34"/>
        <v>3.6632373960291238E-4</v>
      </c>
      <c r="AA39" s="23">
        <f t="shared" si="35"/>
        <v>0</v>
      </c>
      <c r="AB39" s="321">
        <v>600565117.19000006</v>
      </c>
      <c r="AC39" s="310">
        <v>10</v>
      </c>
      <c r="AD39" s="23">
        <f t="shared" si="36"/>
        <v>2.1197192180105011E-2</v>
      </c>
      <c r="AE39" s="23">
        <f t="shared" si="37"/>
        <v>0</v>
      </c>
      <c r="AF39" s="321">
        <v>631223080.52999997</v>
      </c>
      <c r="AG39" s="310">
        <v>10</v>
      </c>
      <c r="AH39" s="23">
        <f t="shared" si="38"/>
        <v>5.1048524901756306E-2</v>
      </c>
      <c r="AI39" s="23">
        <f t="shared" si="39"/>
        <v>0</v>
      </c>
      <c r="AJ39" s="24">
        <f t="shared" si="14"/>
        <v>8.0851754912764501E-3</v>
      </c>
      <c r="AK39" s="24">
        <f t="shared" si="15"/>
        <v>0</v>
      </c>
      <c r="AL39" s="25">
        <f t="shared" si="16"/>
        <v>0.12637859749116348</v>
      </c>
      <c r="AM39" s="25">
        <f t="shared" si="17"/>
        <v>0</v>
      </c>
      <c r="AN39" s="387">
        <f t="shared" si="18"/>
        <v>3.0757877176177069E-2</v>
      </c>
      <c r="AO39" s="388">
        <f t="shared" si="19"/>
        <v>0</v>
      </c>
      <c r="AP39" s="30"/>
      <c r="AQ39" s="38"/>
      <c r="AR39" s="35"/>
      <c r="AS39" s="29"/>
      <c r="AT39" s="29"/>
    </row>
    <row r="40" spans="1:47" s="86" customFormat="1">
      <c r="A40" s="202" t="s">
        <v>86</v>
      </c>
      <c r="B40" s="321">
        <v>2280515769.5008807</v>
      </c>
      <c r="C40" s="310">
        <v>100</v>
      </c>
      <c r="D40" s="321">
        <v>2285569159.5667915</v>
      </c>
      <c r="E40" s="310">
        <v>100</v>
      </c>
      <c r="F40" s="23">
        <f>((D40-B40)/B40)</f>
        <v>2.2158978830551187E-3</v>
      </c>
      <c r="G40" s="23">
        <f>((E40-C40)/C40)</f>
        <v>0</v>
      </c>
      <c r="H40" s="321">
        <v>2273990063.543663</v>
      </c>
      <c r="I40" s="310">
        <v>100</v>
      </c>
      <c r="J40" s="23">
        <f t="shared" si="26"/>
        <v>-5.0661761752697166E-3</v>
      </c>
      <c r="K40" s="23">
        <f t="shared" si="27"/>
        <v>0</v>
      </c>
      <c r="L40" s="321">
        <v>2291317082.7194843</v>
      </c>
      <c r="M40" s="310">
        <v>100</v>
      </c>
      <c r="N40" s="23">
        <f t="shared" si="28"/>
        <v>7.6196547441459862E-3</v>
      </c>
      <c r="O40" s="23">
        <f t="shared" si="29"/>
        <v>0</v>
      </c>
      <c r="P40" s="321">
        <v>2297935491.6891432</v>
      </c>
      <c r="Q40" s="310">
        <v>100</v>
      </c>
      <c r="R40" s="23">
        <f t="shared" si="30"/>
        <v>2.8884736292384698E-3</v>
      </c>
      <c r="S40" s="23">
        <f t="shared" si="31"/>
        <v>0</v>
      </c>
      <c r="T40" s="321">
        <v>2297191442.3656645</v>
      </c>
      <c r="U40" s="310">
        <v>100</v>
      </c>
      <c r="V40" s="23">
        <f t="shared" si="32"/>
        <v>-3.2379034405868829E-4</v>
      </c>
      <c r="W40" s="23">
        <f t="shared" si="33"/>
        <v>0</v>
      </c>
      <c r="X40" s="321">
        <v>2341905565.5004201</v>
      </c>
      <c r="Y40" s="310">
        <v>100</v>
      </c>
      <c r="Z40" s="23">
        <f t="shared" si="34"/>
        <v>1.9464691670933912E-2</v>
      </c>
      <c r="AA40" s="23">
        <f t="shared" si="35"/>
        <v>0</v>
      </c>
      <c r="AB40" s="321">
        <v>2367062198.1420093</v>
      </c>
      <c r="AC40" s="310">
        <v>100</v>
      </c>
      <c r="AD40" s="23">
        <f t="shared" si="36"/>
        <v>1.0741950065016255E-2</v>
      </c>
      <c r="AE40" s="23">
        <f t="shared" si="37"/>
        <v>0</v>
      </c>
      <c r="AF40" s="321">
        <v>2360216427.2076592</v>
      </c>
      <c r="AG40" s="310">
        <v>100</v>
      </c>
      <c r="AH40" s="23">
        <f t="shared" si="38"/>
        <v>-2.8920959236827409E-3</v>
      </c>
      <c r="AI40" s="23">
        <f t="shared" si="39"/>
        <v>0</v>
      </c>
      <c r="AJ40" s="24">
        <f t="shared" si="14"/>
        <v>4.3310756936723246E-3</v>
      </c>
      <c r="AK40" s="24">
        <f t="shared" si="15"/>
        <v>0</v>
      </c>
      <c r="AL40" s="25">
        <f t="shared" si="16"/>
        <v>3.2660253280201071E-2</v>
      </c>
      <c r="AM40" s="25">
        <f t="shared" si="17"/>
        <v>0</v>
      </c>
      <c r="AN40" s="387">
        <f t="shared" si="18"/>
        <v>8.0146811855472191E-3</v>
      </c>
      <c r="AO40" s="388">
        <f t="shared" si="19"/>
        <v>0</v>
      </c>
      <c r="AP40" s="30"/>
      <c r="AQ40" s="38"/>
      <c r="AR40" s="35"/>
      <c r="AS40" s="29"/>
      <c r="AT40" s="29"/>
    </row>
    <row r="41" spans="1:47" s="368" customFormat="1">
      <c r="A41" s="202" t="s">
        <v>273</v>
      </c>
      <c r="B41" s="321">
        <v>17590388292.700001</v>
      </c>
      <c r="C41" s="310">
        <v>100</v>
      </c>
      <c r="D41" s="321">
        <v>17805178071.02</v>
      </c>
      <c r="E41" s="310">
        <v>100</v>
      </c>
      <c r="F41" s="23">
        <f>((D41-B41)/B41)</f>
        <v>1.2210633144985054E-2</v>
      </c>
      <c r="G41" s="23">
        <f>((E41-C41)/C41)</f>
        <v>0</v>
      </c>
      <c r="H41" s="321">
        <v>18003048287.23</v>
      </c>
      <c r="I41" s="310">
        <v>100</v>
      </c>
      <c r="J41" s="23">
        <f t="shared" ref="J41" si="40">((H41-D41)/D41)</f>
        <v>1.1113071457120437E-2</v>
      </c>
      <c r="K41" s="23">
        <f t="shared" ref="K41" si="41">((I41-E41)/E41)</f>
        <v>0</v>
      </c>
      <c r="L41" s="321">
        <v>18399704831.07</v>
      </c>
      <c r="M41" s="310">
        <v>100</v>
      </c>
      <c r="N41" s="23">
        <f t="shared" ref="N41" si="42">((L41-H41)/H41)</f>
        <v>2.2032743428309211E-2</v>
      </c>
      <c r="O41" s="23">
        <f t="shared" ref="O41" si="43">((M41-I41)/I41)</f>
        <v>0</v>
      </c>
      <c r="P41" s="321">
        <v>18624859998.630001</v>
      </c>
      <c r="Q41" s="310">
        <v>100</v>
      </c>
      <c r="R41" s="23">
        <f t="shared" ref="R41" si="44">((P41-L41)/L41)</f>
        <v>1.2236890190749212E-2</v>
      </c>
      <c r="S41" s="23">
        <f t="shared" ref="S41" si="45">((Q41-M41)/M41)</f>
        <v>0</v>
      </c>
      <c r="T41" s="321">
        <v>19027610965</v>
      </c>
      <c r="U41" s="310">
        <v>100</v>
      </c>
      <c r="V41" s="23">
        <f t="shared" si="32"/>
        <v>2.1624375506695045E-2</v>
      </c>
      <c r="W41" s="23">
        <f t="shared" si="33"/>
        <v>0</v>
      </c>
      <c r="X41" s="321">
        <v>19621654972.389999</v>
      </c>
      <c r="Y41" s="310">
        <v>100</v>
      </c>
      <c r="Z41" s="23">
        <f t="shared" si="34"/>
        <v>3.1220104745819276E-2</v>
      </c>
      <c r="AA41" s="23">
        <f t="shared" si="35"/>
        <v>0</v>
      </c>
      <c r="AB41" s="321">
        <v>20560355838.720001</v>
      </c>
      <c r="AC41" s="310">
        <v>100</v>
      </c>
      <c r="AD41" s="23">
        <f t="shared" si="36"/>
        <v>4.7840045482955722E-2</v>
      </c>
      <c r="AE41" s="23">
        <f t="shared" si="37"/>
        <v>0</v>
      </c>
      <c r="AF41" s="321">
        <v>20706609914.98</v>
      </c>
      <c r="AG41" s="310">
        <v>100</v>
      </c>
      <c r="AH41" s="23">
        <f t="shared" si="38"/>
        <v>7.1134019959210723E-3</v>
      </c>
      <c r="AI41" s="23">
        <f t="shared" si="39"/>
        <v>0</v>
      </c>
      <c r="AJ41" s="24">
        <f t="shared" si="14"/>
        <v>2.0673908244069377E-2</v>
      </c>
      <c r="AK41" s="24">
        <f t="shared" si="15"/>
        <v>0</v>
      </c>
      <c r="AL41" s="25">
        <f t="shared" si="16"/>
        <v>0.1629543850888196</v>
      </c>
      <c r="AM41" s="25">
        <f t="shared" si="17"/>
        <v>0</v>
      </c>
      <c r="AN41" s="387">
        <f t="shared" si="18"/>
        <v>1.3469957699680945E-2</v>
      </c>
      <c r="AO41" s="388">
        <f t="shared" si="19"/>
        <v>0</v>
      </c>
      <c r="AP41" s="30"/>
      <c r="AQ41" s="38"/>
      <c r="AR41" s="35"/>
      <c r="AS41" s="29"/>
      <c r="AT41" s="29"/>
    </row>
    <row r="42" spans="1:47" s="86" customFormat="1">
      <c r="A42" s="202" t="s">
        <v>121</v>
      </c>
      <c r="B42" s="321">
        <v>3376669786.8499999</v>
      </c>
      <c r="C42" s="310">
        <v>1</v>
      </c>
      <c r="D42" s="321">
        <v>3399838189.9699998</v>
      </c>
      <c r="E42" s="310">
        <v>1</v>
      </c>
      <c r="F42" s="23">
        <f>((D42-B42)/B42)</f>
        <v>6.8613173873934043E-3</v>
      </c>
      <c r="G42" s="23">
        <f>((E42-C42)/C42)</f>
        <v>0</v>
      </c>
      <c r="H42" s="321">
        <v>3390476819.2399998</v>
      </c>
      <c r="I42" s="310">
        <v>1</v>
      </c>
      <c r="J42" s="23">
        <f t="shared" si="26"/>
        <v>-2.7534753735096503E-3</v>
      </c>
      <c r="K42" s="23">
        <f t="shared" si="27"/>
        <v>0</v>
      </c>
      <c r="L42" s="321">
        <v>3309853518.3899999</v>
      </c>
      <c r="M42" s="310">
        <v>1</v>
      </c>
      <c r="N42" s="23">
        <f t="shared" si="28"/>
        <v>-2.3779339941947225E-2</v>
      </c>
      <c r="O42" s="23">
        <f t="shared" si="29"/>
        <v>0</v>
      </c>
      <c r="P42" s="321">
        <v>3303707470.5599999</v>
      </c>
      <c r="Q42" s="310">
        <v>1</v>
      </c>
      <c r="R42" s="23">
        <f t="shared" si="30"/>
        <v>-1.8568942087169838E-3</v>
      </c>
      <c r="S42" s="23">
        <f t="shared" si="31"/>
        <v>0</v>
      </c>
      <c r="T42" s="321">
        <v>3223499113.8299999</v>
      </c>
      <c r="U42" s="310">
        <v>1</v>
      </c>
      <c r="V42" s="23">
        <f t="shared" si="32"/>
        <v>-2.4278286574932188E-2</v>
      </c>
      <c r="W42" s="23">
        <f t="shared" si="33"/>
        <v>0</v>
      </c>
      <c r="X42" s="321">
        <v>3211962804.1100001</v>
      </c>
      <c r="Y42" s="310">
        <v>1</v>
      </c>
      <c r="Z42" s="23">
        <f t="shared" si="34"/>
        <v>-3.5788158496786199E-3</v>
      </c>
      <c r="AA42" s="23">
        <f t="shared" si="35"/>
        <v>0</v>
      </c>
      <c r="AB42" s="321">
        <v>3238806802.1300001</v>
      </c>
      <c r="AC42" s="310">
        <v>1</v>
      </c>
      <c r="AD42" s="23">
        <f t="shared" si="36"/>
        <v>8.3575058794736444E-3</v>
      </c>
      <c r="AE42" s="23">
        <f t="shared" si="37"/>
        <v>0</v>
      </c>
      <c r="AF42" s="321">
        <v>3250069370.8099999</v>
      </c>
      <c r="AG42" s="310">
        <v>1</v>
      </c>
      <c r="AH42" s="23">
        <f t="shared" si="38"/>
        <v>3.4773820632317447E-3</v>
      </c>
      <c r="AI42" s="23">
        <f t="shared" si="39"/>
        <v>0</v>
      </c>
      <c r="AJ42" s="24">
        <f t="shared" si="14"/>
        <v>-4.6938258273357325E-3</v>
      </c>
      <c r="AK42" s="24">
        <f t="shared" si="15"/>
        <v>0</v>
      </c>
      <c r="AL42" s="25">
        <f t="shared" si="16"/>
        <v>-4.4051749169074839E-2</v>
      </c>
      <c r="AM42" s="25">
        <f t="shared" si="17"/>
        <v>0</v>
      </c>
      <c r="AN42" s="387">
        <f t="shared" si="18"/>
        <v>1.2713837075973441E-2</v>
      </c>
      <c r="AO42" s="388">
        <f t="shared" si="19"/>
        <v>0</v>
      </c>
      <c r="AP42" s="30"/>
      <c r="AQ42" s="38"/>
      <c r="AR42" s="35"/>
      <c r="AS42" s="29"/>
      <c r="AT42" s="29"/>
    </row>
    <row r="43" spans="1:47" s="86" customFormat="1">
      <c r="A43" s="202" t="s">
        <v>55</v>
      </c>
      <c r="B43" s="316">
        <v>2690676689.1799998</v>
      </c>
      <c r="C43" s="310">
        <v>10</v>
      </c>
      <c r="D43" s="316">
        <v>2676146225.9000001</v>
      </c>
      <c r="E43" s="310">
        <v>10</v>
      </c>
      <c r="F43" s="23">
        <f>((D43-B43)/B43)</f>
        <v>-5.4003007267394805E-3</v>
      </c>
      <c r="G43" s="23">
        <f>((E43-C43)/C43)</f>
        <v>0</v>
      </c>
      <c r="H43" s="316">
        <v>2768537546.7199998</v>
      </c>
      <c r="I43" s="310">
        <v>10</v>
      </c>
      <c r="J43" s="23">
        <f t="shared" si="26"/>
        <v>3.452401812943838E-2</v>
      </c>
      <c r="K43" s="23">
        <f t="shared" si="27"/>
        <v>0</v>
      </c>
      <c r="L43" s="316">
        <v>2969180321.9699998</v>
      </c>
      <c r="M43" s="310">
        <v>10</v>
      </c>
      <c r="N43" s="23">
        <f t="shared" si="28"/>
        <v>7.2472477567699867E-2</v>
      </c>
      <c r="O43" s="23">
        <f t="shared" si="29"/>
        <v>0</v>
      </c>
      <c r="P43" s="316">
        <v>3002907899.8200002</v>
      </c>
      <c r="Q43" s="310">
        <v>10</v>
      </c>
      <c r="R43" s="23">
        <f t="shared" si="30"/>
        <v>1.1359221802878822E-2</v>
      </c>
      <c r="S43" s="23">
        <f t="shared" si="31"/>
        <v>0</v>
      </c>
      <c r="T43" s="316">
        <v>3071845396.8600001</v>
      </c>
      <c r="U43" s="310">
        <v>10</v>
      </c>
      <c r="V43" s="23">
        <f t="shared" si="32"/>
        <v>2.2956913545078155E-2</v>
      </c>
      <c r="W43" s="23">
        <f t="shared" si="33"/>
        <v>0</v>
      </c>
      <c r="X43" s="316">
        <v>3120273348.9200001</v>
      </c>
      <c r="Y43" s="310">
        <v>10</v>
      </c>
      <c r="Z43" s="23">
        <f t="shared" si="34"/>
        <v>1.5765100714216398E-2</v>
      </c>
      <c r="AA43" s="23">
        <f t="shared" si="35"/>
        <v>0</v>
      </c>
      <c r="AB43" s="316">
        <v>3209541710.29</v>
      </c>
      <c r="AC43" s="310">
        <v>10</v>
      </c>
      <c r="AD43" s="23">
        <f t="shared" si="36"/>
        <v>2.8609147785368792E-2</v>
      </c>
      <c r="AE43" s="23">
        <f t="shared" si="37"/>
        <v>0</v>
      </c>
      <c r="AF43" s="316">
        <v>3069097115.7800002</v>
      </c>
      <c r="AG43" s="310">
        <v>10</v>
      </c>
      <c r="AH43" s="23">
        <f t="shared" si="38"/>
        <v>-4.3758457495574908E-2</v>
      </c>
      <c r="AI43" s="23">
        <f t="shared" si="39"/>
        <v>0</v>
      </c>
      <c r="AJ43" s="24">
        <f t="shared" si="14"/>
        <v>1.7066015165295753E-2</v>
      </c>
      <c r="AK43" s="24">
        <f t="shared" si="15"/>
        <v>0</v>
      </c>
      <c r="AL43" s="25">
        <f t="shared" si="16"/>
        <v>0.14683461093305877</v>
      </c>
      <c r="AM43" s="25">
        <f t="shared" si="17"/>
        <v>0</v>
      </c>
      <c r="AN43" s="387">
        <f t="shared" si="18"/>
        <v>3.3340700633169962E-2</v>
      </c>
      <c r="AO43" s="388">
        <f t="shared" si="19"/>
        <v>0</v>
      </c>
      <c r="AP43" s="30"/>
      <c r="AQ43" s="38"/>
      <c r="AR43" s="35"/>
      <c r="AS43" s="29"/>
      <c r="AT43" s="29"/>
    </row>
    <row r="44" spans="1:47" s="86" customFormat="1">
      <c r="A44" s="202" t="s">
        <v>188</v>
      </c>
      <c r="B44" s="321">
        <v>3621727581.6700001</v>
      </c>
      <c r="C44" s="310">
        <v>100</v>
      </c>
      <c r="D44" s="321">
        <v>3644873317.54</v>
      </c>
      <c r="E44" s="310">
        <v>100</v>
      </c>
      <c r="F44" s="23">
        <f>((D44-B44)/B44)</f>
        <v>6.3907997904489684E-3</v>
      </c>
      <c r="G44" s="23">
        <f>((E44-C44)/C44)</f>
        <v>0</v>
      </c>
      <c r="H44" s="321">
        <v>3657500971.8700004</v>
      </c>
      <c r="I44" s="310">
        <v>100</v>
      </c>
      <c r="J44" s="23">
        <f t="shared" si="26"/>
        <v>3.4644974543376074E-3</v>
      </c>
      <c r="K44" s="23">
        <f t="shared" si="27"/>
        <v>0</v>
      </c>
      <c r="L44" s="321">
        <v>3614399783.6399999</v>
      </c>
      <c r="M44" s="310">
        <v>100</v>
      </c>
      <c r="N44" s="23">
        <f t="shared" si="28"/>
        <v>-1.1784327211802162E-2</v>
      </c>
      <c r="O44" s="23">
        <f t="shared" si="29"/>
        <v>0</v>
      </c>
      <c r="P44" s="321">
        <v>3610394554.9899998</v>
      </c>
      <c r="Q44" s="310">
        <v>100</v>
      </c>
      <c r="R44" s="23">
        <f t="shared" si="30"/>
        <v>-1.1081310562625418E-3</v>
      </c>
      <c r="S44" s="23">
        <f t="shared" si="31"/>
        <v>0</v>
      </c>
      <c r="T44" s="321">
        <v>3715299710.0300002</v>
      </c>
      <c r="U44" s="310">
        <v>100</v>
      </c>
      <c r="V44" s="23">
        <f t="shared" si="32"/>
        <v>2.9056424011887811E-2</v>
      </c>
      <c r="W44" s="23">
        <f t="shared" si="33"/>
        <v>0</v>
      </c>
      <c r="X44" s="321">
        <v>3865582815.6900001</v>
      </c>
      <c r="Y44" s="310">
        <v>100</v>
      </c>
      <c r="Z44" s="23">
        <f t="shared" si="34"/>
        <v>4.0449793391980841E-2</v>
      </c>
      <c r="AA44" s="23">
        <f t="shared" si="35"/>
        <v>0</v>
      </c>
      <c r="AB44" s="321">
        <v>4004013863.0700002</v>
      </c>
      <c r="AC44" s="310">
        <v>100</v>
      </c>
      <c r="AD44" s="23">
        <f t="shared" si="36"/>
        <v>3.5811171039493148E-2</v>
      </c>
      <c r="AE44" s="23">
        <f t="shared" si="37"/>
        <v>0</v>
      </c>
      <c r="AF44" s="321">
        <v>4376513911.0299997</v>
      </c>
      <c r="AG44" s="310">
        <v>100</v>
      </c>
      <c r="AH44" s="23">
        <f t="shared" si="38"/>
        <v>9.3031657905997447E-2</v>
      </c>
      <c r="AI44" s="23">
        <f t="shared" si="39"/>
        <v>0</v>
      </c>
      <c r="AJ44" s="24">
        <f t="shared" si="14"/>
        <v>2.4413985665760141E-2</v>
      </c>
      <c r="AK44" s="24">
        <f t="shared" si="15"/>
        <v>0</v>
      </c>
      <c r="AL44" s="25">
        <f t="shared" si="16"/>
        <v>0.20073141910561629</v>
      </c>
      <c r="AM44" s="25">
        <f t="shared" si="17"/>
        <v>0</v>
      </c>
      <c r="AN44" s="387">
        <f t="shared" si="18"/>
        <v>3.3471507550479777E-2</v>
      </c>
      <c r="AO44" s="388">
        <f t="shared" si="19"/>
        <v>0</v>
      </c>
      <c r="AP44" s="30"/>
      <c r="AQ44" s="38"/>
      <c r="AR44" s="35"/>
      <c r="AS44" s="29"/>
      <c r="AT44" s="29"/>
    </row>
    <row r="45" spans="1:47" s="86" customFormat="1">
      <c r="A45" s="202" t="s">
        <v>162</v>
      </c>
      <c r="B45" s="321">
        <v>140315263.97</v>
      </c>
      <c r="C45" s="310">
        <v>1</v>
      </c>
      <c r="D45" s="321">
        <v>141105257.72</v>
      </c>
      <c r="E45" s="310">
        <v>1</v>
      </c>
      <c r="F45" s="23">
        <f>((D45-B45)/B45)</f>
        <v>5.630134082696121E-3</v>
      </c>
      <c r="G45" s="23">
        <f>((E45-C45)/C45)</f>
        <v>0</v>
      </c>
      <c r="H45" s="321">
        <v>140805259.80000001</v>
      </c>
      <c r="I45" s="310">
        <v>1</v>
      </c>
      <c r="J45" s="23">
        <f t="shared" si="26"/>
        <v>-2.1260577022245552E-3</v>
      </c>
      <c r="K45" s="23">
        <f t="shared" si="27"/>
        <v>0</v>
      </c>
      <c r="L45" s="321">
        <v>140805259.68000001</v>
      </c>
      <c r="M45" s="310">
        <v>1</v>
      </c>
      <c r="N45" s="23">
        <f t="shared" si="28"/>
        <v>-8.5224092437185769E-10</v>
      </c>
      <c r="O45" s="23">
        <f t="shared" si="29"/>
        <v>0</v>
      </c>
      <c r="P45" s="321">
        <v>140805259.56</v>
      </c>
      <c r="Q45" s="310">
        <v>1</v>
      </c>
      <c r="R45" s="23">
        <f t="shared" si="30"/>
        <v>-8.5224092509817231E-10</v>
      </c>
      <c r="S45" s="23">
        <f t="shared" si="31"/>
        <v>0</v>
      </c>
      <c r="T45" s="321">
        <v>140745259.96000001</v>
      </c>
      <c r="U45" s="310">
        <v>1</v>
      </c>
      <c r="V45" s="23">
        <f t="shared" si="32"/>
        <v>-4.261176051767227E-4</v>
      </c>
      <c r="W45" s="23">
        <f t="shared" si="33"/>
        <v>0</v>
      </c>
      <c r="X45" s="321">
        <v>142280248.12</v>
      </c>
      <c r="Y45" s="310">
        <v>1</v>
      </c>
      <c r="Z45" s="23">
        <f t="shared" si="34"/>
        <v>1.0906144622108354E-2</v>
      </c>
      <c r="AA45" s="23">
        <f t="shared" si="35"/>
        <v>0</v>
      </c>
      <c r="AB45" s="321">
        <v>142166213</v>
      </c>
      <c r="AC45" s="310">
        <v>1</v>
      </c>
      <c r="AD45" s="23">
        <f t="shared" si="36"/>
        <v>-8.0148243699875246E-4</v>
      </c>
      <c r="AE45" s="23">
        <f t="shared" si="37"/>
        <v>0</v>
      </c>
      <c r="AF45" s="321">
        <v>142612914.30000001</v>
      </c>
      <c r="AG45" s="310">
        <v>1</v>
      </c>
      <c r="AH45" s="23">
        <f t="shared" si="38"/>
        <v>3.1421059235784239E-3</v>
      </c>
      <c r="AI45" s="23">
        <f t="shared" si="39"/>
        <v>0</v>
      </c>
      <c r="AJ45" s="24">
        <f t="shared" si="14"/>
        <v>2.0405906474376275E-3</v>
      </c>
      <c r="AK45" s="24">
        <f t="shared" si="15"/>
        <v>0</v>
      </c>
      <c r="AL45" s="25">
        <f t="shared" si="16"/>
        <v>1.0684623694119945E-2</v>
      </c>
      <c r="AM45" s="25">
        <f t="shared" si="17"/>
        <v>0</v>
      </c>
      <c r="AN45" s="387">
        <f t="shared" si="18"/>
        <v>4.3514729867784102E-3</v>
      </c>
      <c r="AO45" s="388">
        <f t="shared" si="19"/>
        <v>0</v>
      </c>
      <c r="AP45" s="30"/>
      <c r="AQ45" s="38"/>
      <c r="AR45" s="35"/>
      <c r="AS45" s="29"/>
      <c r="AT45" s="29"/>
    </row>
    <row r="46" spans="1:47" s="86" customFormat="1">
      <c r="A46" s="202" t="s">
        <v>95</v>
      </c>
      <c r="B46" s="316">
        <v>650289130.97000003</v>
      </c>
      <c r="C46" s="310">
        <v>10</v>
      </c>
      <c r="D46" s="316">
        <v>649377694.04999995</v>
      </c>
      <c r="E46" s="310">
        <v>10</v>
      </c>
      <c r="F46" s="23">
        <f>((D46-B46)/B46)</f>
        <v>-1.4015871965144745E-3</v>
      </c>
      <c r="G46" s="23">
        <f>((E46-C46)/C46)</f>
        <v>0</v>
      </c>
      <c r="H46" s="316">
        <v>630430013.75</v>
      </c>
      <c r="I46" s="310">
        <v>10</v>
      </c>
      <c r="J46" s="23">
        <f t="shared" si="26"/>
        <v>-2.9178212423386755E-2</v>
      </c>
      <c r="K46" s="23">
        <f t="shared" si="27"/>
        <v>0</v>
      </c>
      <c r="L46" s="316">
        <v>637722694.30999994</v>
      </c>
      <c r="M46" s="310">
        <v>10</v>
      </c>
      <c r="N46" s="23">
        <f t="shared" si="28"/>
        <v>1.1567787701954003E-2</v>
      </c>
      <c r="O46" s="23">
        <f t="shared" si="29"/>
        <v>0</v>
      </c>
      <c r="P46" s="316">
        <v>659737414.15999997</v>
      </c>
      <c r="Q46" s="310">
        <v>10</v>
      </c>
      <c r="R46" s="23">
        <f t="shared" si="30"/>
        <v>3.4520834912139045E-2</v>
      </c>
      <c r="S46" s="23">
        <f t="shared" si="31"/>
        <v>0</v>
      </c>
      <c r="T46" s="316">
        <v>669207531.46000004</v>
      </c>
      <c r="U46" s="310">
        <v>10</v>
      </c>
      <c r="V46" s="23">
        <f t="shared" si="32"/>
        <v>1.4354373568547338E-2</v>
      </c>
      <c r="W46" s="23">
        <f t="shared" si="33"/>
        <v>0</v>
      </c>
      <c r="X46" s="316">
        <v>684712547.72000003</v>
      </c>
      <c r="Y46" s="310">
        <v>10</v>
      </c>
      <c r="Z46" s="23">
        <f t="shared" si="34"/>
        <v>2.3169219608411951E-2</v>
      </c>
      <c r="AA46" s="23">
        <f t="shared" si="35"/>
        <v>0</v>
      </c>
      <c r="AB46" s="316">
        <v>717496204.33000004</v>
      </c>
      <c r="AC46" s="310">
        <v>10</v>
      </c>
      <c r="AD46" s="23">
        <f t="shared" si="36"/>
        <v>4.7879444767245975E-2</v>
      </c>
      <c r="AE46" s="23">
        <f t="shared" si="37"/>
        <v>0</v>
      </c>
      <c r="AF46" s="316">
        <v>746863329.35000002</v>
      </c>
      <c r="AG46" s="310">
        <v>10</v>
      </c>
      <c r="AH46" s="23">
        <f t="shared" si="38"/>
        <v>4.0930007493800033E-2</v>
      </c>
      <c r="AI46" s="23">
        <f t="shared" si="39"/>
        <v>0</v>
      </c>
      <c r="AJ46" s="24">
        <f t="shared" si="14"/>
        <v>1.7730233554024637E-2</v>
      </c>
      <c r="AK46" s="24">
        <f t="shared" si="15"/>
        <v>0</v>
      </c>
      <c r="AL46" s="25">
        <f t="shared" si="16"/>
        <v>0.15012162597086989</v>
      </c>
      <c r="AM46" s="25">
        <f t="shared" si="17"/>
        <v>0</v>
      </c>
      <c r="AN46" s="387">
        <f t="shared" si="18"/>
        <v>2.4998606674517958E-2</v>
      </c>
      <c r="AO46" s="388">
        <f t="shared" si="19"/>
        <v>0</v>
      </c>
      <c r="AP46" s="30"/>
      <c r="AQ46" s="38"/>
      <c r="AR46" s="35"/>
      <c r="AS46" s="29"/>
      <c r="AT46" s="29"/>
    </row>
    <row r="47" spans="1:47" s="93" customFormat="1">
      <c r="A47" s="202" t="s">
        <v>34</v>
      </c>
      <c r="B47" s="321">
        <v>340341399775.10999</v>
      </c>
      <c r="C47" s="310">
        <v>100</v>
      </c>
      <c r="D47" s="321">
        <v>337020215840.06</v>
      </c>
      <c r="E47" s="310">
        <v>100</v>
      </c>
      <c r="F47" s="23">
        <f>((D47-B47)/B47)</f>
        <v>-9.7583894796358962E-3</v>
      </c>
      <c r="G47" s="23">
        <f>((E47-C47)/C47)</f>
        <v>0</v>
      </c>
      <c r="H47" s="321">
        <v>341685230744.69</v>
      </c>
      <c r="I47" s="310">
        <v>100</v>
      </c>
      <c r="J47" s="23">
        <f t="shared" si="26"/>
        <v>1.3841943851949479E-2</v>
      </c>
      <c r="K47" s="23">
        <f t="shared" si="27"/>
        <v>0</v>
      </c>
      <c r="L47" s="321">
        <v>343799646939.75</v>
      </c>
      <c r="M47" s="310">
        <v>100</v>
      </c>
      <c r="N47" s="23">
        <f t="shared" si="28"/>
        <v>6.1881989761503817E-3</v>
      </c>
      <c r="O47" s="23">
        <f t="shared" si="29"/>
        <v>0</v>
      </c>
      <c r="P47" s="321">
        <v>347912159703.41998</v>
      </c>
      <c r="Q47" s="310">
        <v>100</v>
      </c>
      <c r="R47" s="23">
        <f t="shared" si="30"/>
        <v>1.196194586084229E-2</v>
      </c>
      <c r="S47" s="23">
        <f t="shared" si="31"/>
        <v>0</v>
      </c>
      <c r="T47" s="321">
        <v>347302845839.95001</v>
      </c>
      <c r="U47" s="310">
        <v>100</v>
      </c>
      <c r="V47" s="23">
        <f t="shared" si="32"/>
        <v>-1.7513439713903198E-3</v>
      </c>
      <c r="W47" s="23">
        <f t="shared" si="33"/>
        <v>0</v>
      </c>
      <c r="X47" s="321">
        <v>348549575831.40002</v>
      </c>
      <c r="Y47" s="310">
        <v>100</v>
      </c>
      <c r="Z47" s="23">
        <f t="shared" si="34"/>
        <v>3.5897488499836579E-3</v>
      </c>
      <c r="AA47" s="23">
        <f t="shared" si="35"/>
        <v>0</v>
      </c>
      <c r="AB47" s="321">
        <v>351806490156.37</v>
      </c>
      <c r="AC47" s="310">
        <v>100</v>
      </c>
      <c r="AD47" s="23">
        <f t="shared" si="36"/>
        <v>9.3441924787921737E-3</v>
      </c>
      <c r="AE47" s="23">
        <f t="shared" si="37"/>
        <v>0</v>
      </c>
      <c r="AF47" s="321">
        <v>359958395664.09998</v>
      </c>
      <c r="AG47" s="310">
        <v>100</v>
      </c>
      <c r="AH47" s="23">
        <f t="shared" si="38"/>
        <v>2.3171560888790434E-2</v>
      </c>
      <c r="AI47" s="23">
        <f t="shared" si="39"/>
        <v>0</v>
      </c>
      <c r="AJ47" s="24">
        <f t="shared" si="14"/>
        <v>7.0734821819352749E-3</v>
      </c>
      <c r="AK47" s="24">
        <f t="shared" si="15"/>
        <v>0</v>
      </c>
      <c r="AL47" s="25">
        <f t="shared" si="16"/>
        <v>6.8061732637800493E-2</v>
      </c>
      <c r="AM47" s="25">
        <f t="shared" si="17"/>
        <v>0</v>
      </c>
      <c r="AN47" s="387">
        <f t="shared" si="18"/>
        <v>1.0057854062326598E-2</v>
      </c>
      <c r="AO47" s="388">
        <f t="shared" si="19"/>
        <v>0</v>
      </c>
      <c r="AP47" s="30"/>
      <c r="AQ47" s="38"/>
      <c r="AR47" s="35"/>
      <c r="AS47" s="29"/>
      <c r="AT47" s="29"/>
    </row>
    <row r="48" spans="1:47" s="93" customFormat="1">
      <c r="A48" s="202" t="s">
        <v>151</v>
      </c>
      <c r="B48" s="321">
        <v>1492772659.6099999</v>
      </c>
      <c r="C48" s="310">
        <v>1</v>
      </c>
      <c r="D48" s="321">
        <v>1544544174.45</v>
      </c>
      <c r="E48" s="310">
        <v>1</v>
      </c>
      <c r="F48" s="23">
        <f>((D48-B48)/B48)</f>
        <v>3.4681446305109796E-2</v>
      </c>
      <c r="G48" s="23">
        <f>((E48-C48)/C48)</f>
        <v>0</v>
      </c>
      <c r="H48" s="321">
        <v>1614754146.3699999</v>
      </c>
      <c r="I48" s="310">
        <v>1</v>
      </c>
      <c r="J48" s="23">
        <f t="shared" si="26"/>
        <v>4.5456758752141911E-2</v>
      </c>
      <c r="K48" s="23">
        <f t="shared" si="27"/>
        <v>0</v>
      </c>
      <c r="L48" s="321">
        <v>1858104842.04</v>
      </c>
      <c r="M48" s="310">
        <v>1</v>
      </c>
      <c r="N48" s="23">
        <f t="shared" si="28"/>
        <v>0.15070448725402402</v>
      </c>
      <c r="O48" s="23">
        <f t="shared" si="29"/>
        <v>0</v>
      </c>
      <c r="P48" s="321">
        <v>1955331148.1600001</v>
      </c>
      <c r="Q48" s="310">
        <v>1</v>
      </c>
      <c r="R48" s="23">
        <f t="shared" si="30"/>
        <v>5.2325522177347143E-2</v>
      </c>
      <c r="S48" s="23">
        <f t="shared" si="31"/>
        <v>0</v>
      </c>
      <c r="T48" s="321">
        <v>1871697039.27</v>
      </c>
      <c r="U48" s="310">
        <v>1</v>
      </c>
      <c r="V48" s="23">
        <f t="shared" si="32"/>
        <v>-4.2772350334980967E-2</v>
      </c>
      <c r="W48" s="23">
        <f t="shared" si="33"/>
        <v>0</v>
      </c>
      <c r="X48" s="321">
        <v>1893901801.0899999</v>
      </c>
      <c r="Y48" s="310">
        <v>1</v>
      </c>
      <c r="Z48" s="23">
        <f t="shared" si="34"/>
        <v>1.1863438021283746E-2</v>
      </c>
      <c r="AA48" s="23">
        <f t="shared" si="35"/>
        <v>0</v>
      </c>
      <c r="AB48" s="321">
        <v>1983737881.28</v>
      </c>
      <c r="AC48" s="310">
        <v>1</v>
      </c>
      <c r="AD48" s="23">
        <f t="shared" si="36"/>
        <v>4.7434391866725392E-2</v>
      </c>
      <c r="AE48" s="23">
        <f t="shared" si="37"/>
        <v>0</v>
      </c>
      <c r="AF48" s="321">
        <v>1981069177.02</v>
      </c>
      <c r="AG48" s="310">
        <v>1</v>
      </c>
      <c r="AH48" s="23">
        <f t="shared" si="38"/>
        <v>-1.3452907691000075E-3</v>
      </c>
      <c r="AI48" s="23">
        <f t="shared" si="39"/>
        <v>0</v>
      </c>
      <c r="AJ48" s="24">
        <f t="shared" si="14"/>
        <v>3.7293550409068878E-2</v>
      </c>
      <c r="AK48" s="24">
        <f t="shared" si="15"/>
        <v>0</v>
      </c>
      <c r="AL48" s="25">
        <f t="shared" si="16"/>
        <v>0.28262383801709201</v>
      </c>
      <c r="AM48" s="25">
        <f t="shared" si="17"/>
        <v>0</v>
      </c>
      <c r="AN48" s="387">
        <f t="shared" si="18"/>
        <v>5.5824338804436456E-2</v>
      </c>
      <c r="AO48" s="388">
        <f t="shared" si="19"/>
        <v>0</v>
      </c>
      <c r="AP48" s="30"/>
      <c r="AQ48" s="38"/>
      <c r="AR48" s="35"/>
      <c r="AS48" s="29"/>
      <c r="AT48" s="29"/>
    </row>
    <row r="49" spans="1:48" s="103" customFormat="1">
      <c r="A49" s="202" t="s">
        <v>76</v>
      </c>
      <c r="B49" s="321">
        <v>48551316517.480003</v>
      </c>
      <c r="C49" s="310">
        <v>1</v>
      </c>
      <c r="D49" s="321">
        <v>47624281523.449997</v>
      </c>
      <c r="E49" s="310">
        <v>1</v>
      </c>
      <c r="F49" s="23">
        <f>((D49-B49)/B49)</f>
        <v>-1.9093920835210401E-2</v>
      </c>
      <c r="G49" s="23">
        <f>((E49-C49)/C49)</f>
        <v>0</v>
      </c>
      <c r="H49" s="321">
        <v>47992325555.459999</v>
      </c>
      <c r="I49" s="310">
        <v>1</v>
      </c>
      <c r="J49" s="23">
        <f t="shared" si="26"/>
        <v>7.7280752640599693E-3</v>
      </c>
      <c r="K49" s="23">
        <f t="shared" si="27"/>
        <v>0</v>
      </c>
      <c r="L49" s="321">
        <v>46871670231.099998</v>
      </c>
      <c r="M49" s="310">
        <v>1</v>
      </c>
      <c r="N49" s="23">
        <f t="shared" si="28"/>
        <v>-2.335071933667748E-2</v>
      </c>
      <c r="O49" s="23">
        <f t="shared" si="29"/>
        <v>0</v>
      </c>
      <c r="P49" s="321">
        <v>47016801670.660004</v>
      </c>
      <c r="Q49" s="310">
        <v>1</v>
      </c>
      <c r="R49" s="23">
        <f t="shared" si="30"/>
        <v>3.0963573272391833E-3</v>
      </c>
      <c r="S49" s="23">
        <f t="shared" si="31"/>
        <v>0</v>
      </c>
      <c r="T49" s="321">
        <v>47758737757.550003</v>
      </c>
      <c r="U49" s="310">
        <v>1</v>
      </c>
      <c r="V49" s="23">
        <f t="shared" si="32"/>
        <v>1.578023303428977E-2</v>
      </c>
      <c r="W49" s="23">
        <f t="shared" si="33"/>
        <v>0</v>
      </c>
      <c r="X49" s="321">
        <v>45539940187.550003</v>
      </c>
      <c r="Y49" s="310">
        <v>1</v>
      </c>
      <c r="Z49" s="23">
        <f t="shared" si="34"/>
        <v>-4.6458463397082525E-2</v>
      </c>
      <c r="AA49" s="23">
        <f t="shared" si="35"/>
        <v>0</v>
      </c>
      <c r="AB49" s="321">
        <v>46856482719.209999</v>
      </c>
      <c r="AC49" s="310">
        <v>1</v>
      </c>
      <c r="AD49" s="23">
        <f t="shared" si="36"/>
        <v>2.8909623645485612E-2</v>
      </c>
      <c r="AE49" s="23">
        <f t="shared" si="37"/>
        <v>0</v>
      </c>
      <c r="AF49" s="321">
        <v>46205218883.139999</v>
      </c>
      <c r="AG49" s="310">
        <v>1</v>
      </c>
      <c r="AH49" s="23">
        <f t="shared" si="38"/>
        <v>-1.3899119145855086E-2</v>
      </c>
      <c r="AI49" s="23">
        <f t="shared" si="39"/>
        <v>0</v>
      </c>
      <c r="AJ49" s="24">
        <f t="shared" si="14"/>
        <v>-5.9109916804688705E-3</v>
      </c>
      <c r="AK49" s="24">
        <f t="shared" si="15"/>
        <v>0</v>
      </c>
      <c r="AL49" s="25">
        <f t="shared" si="16"/>
        <v>-2.9797040394431085E-2</v>
      </c>
      <c r="AM49" s="25">
        <f t="shared" si="17"/>
        <v>0</v>
      </c>
      <c r="AN49" s="387">
        <f t="shared" si="18"/>
        <v>2.4307501280183195E-2</v>
      </c>
      <c r="AO49" s="388">
        <f t="shared" si="19"/>
        <v>0</v>
      </c>
      <c r="AP49" s="30"/>
      <c r="AQ49" s="38"/>
      <c r="AR49" s="35"/>
      <c r="AS49" s="29"/>
      <c r="AT49" s="29"/>
    </row>
    <row r="50" spans="1:48" s="103" customFormat="1">
      <c r="A50" s="202" t="s">
        <v>159</v>
      </c>
      <c r="B50" s="321">
        <v>1213657641.04</v>
      </c>
      <c r="C50" s="310">
        <v>1</v>
      </c>
      <c r="D50" s="321">
        <v>1240211706.1500001</v>
      </c>
      <c r="E50" s="310">
        <v>1</v>
      </c>
      <c r="F50" s="23">
        <f>((D50-B50)/B50)</f>
        <v>2.187937043534418E-2</v>
      </c>
      <c r="G50" s="23">
        <f>((E50-C50)/C50)</f>
        <v>0</v>
      </c>
      <c r="H50" s="321">
        <v>1251653301.97</v>
      </c>
      <c r="I50" s="310">
        <v>1</v>
      </c>
      <c r="J50" s="23">
        <f t="shared" si="26"/>
        <v>9.2255183234144587E-3</v>
      </c>
      <c r="K50" s="23">
        <f t="shared" si="27"/>
        <v>0</v>
      </c>
      <c r="L50" s="321">
        <v>1743422992.8201618</v>
      </c>
      <c r="M50" s="310">
        <v>1</v>
      </c>
      <c r="N50" s="23">
        <f t="shared" si="28"/>
        <v>0.3928960919738369</v>
      </c>
      <c r="O50" s="23">
        <f t="shared" si="29"/>
        <v>0</v>
      </c>
      <c r="P50" s="321">
        <v>1746093745.9000001</v>
      </c>
      <c r="Q50" s="310">
        <v>1</v>
      </c>
      <c r="R50" s="23">
        <f t="shared" si="30"/>
        <v>1.5319019485443774E-3</v>
      </c>
      <c r="S50" s="23">
        <f t="shared" si="31"/>
        <v>0</v>
      </c>
      <c r="T50" s="321">
        <v>1747483379.8699999</v>
      </c>
      <c r="U50" s="310">
        <v>1</v>
      </c>
      <c r="V50" s="23">
        <f t="shared" si="32"/>
        <v>7.9585301377018704E-4</v>
      </c>
      <c r="W50" s="23">
        <f t="shared" si="33"/>
        <v>0</v>
      </c>
      <c r="X50" s="321">
        <v>1960264366.8476787</v>
      </c>
      <c r="Y50" s="310">
        <v>1</v>
      </c>
      <c r="Z50" s="23">
        <f t="shared" si="34"/>
        <v>0.12176424075261198</v>
      </c>
      <c r="AA50" s="23">
        <f t="shared" si="35"/>
        <v>0</v>
      </c>
      <c r="AB50" s="321">
        <v>1969128508.02</v>
      </c>
      <c r="AC50" s="310">
        <v>1</v>
      </c>
      <c r="AD50" s="23">
        <f t="shared" si="36"/>
        <v>4.5219110861948872E-3</v>
      </c>
      <c r="AE50" s="23">
        <f t="shared" si="37"/>
        <v>0</v>
      </c>
      <c r="AF50" s="321">
        <v>1912438357.3499999</v>
      </c>
      <c r="AG50" s="310">
        <v>1</v>
      </c>
      <c r="AH50" s="23">
        <f t="shared" si="38"/>
        <v>-2.8789462160091935E-2</v>
      </c>
      <c r="AI50" s="23">
        <f t="shared" si="39"/>
        <v>0</v>
      </c>
      <c r="AJ50" s="24">
        <f t="shared" si="14"/>
        <v>6.5478178171703122E-2</v>
      </c>
      <c r="AK50" s="24">
        <f t="shared" si="15"/>
        <v>0</v>
      </c>
      <c r="AL50" s="25">
        <f t="shared" si="16"/>
        <v>0.5420257266292049</v>
      </c>
      <c r="AM50" s="25">
        <f t="shared" si="17"/>
        <v>0</v>
      </c>
      <c r="AN50" s="387">
        <f t="shared" si="18"/>
        <v>0.13954559563956781</v>
      </c>
      <c r="AO50" s="388">
        <f t="shared" si="19"/>
        <v>0</v>
      </c>
      <c r="AP50" s="30"/>
      <c r="AQ50" s="38"/>
      <c r="AR50" s="35"/>
      <c r="AS50" s="29"/>
      <c r="AT50" s="29"/>
    </row>
    <row r="51" spans="1:48" s="108" customFormat="1">
      <c r="A51" s="202" t="s">
        <v>131</v>
      </c>
      <c r="B51" s="321">
        <v>1381089055.55</v>
      </c>
      <c r="C51" s="310">
        <v>1</v>
      </c>
      <c r="D51" s="321">
        <v>1378201669.3599999</v>
      </c>
      <c r="E51" s="310">
        <v>1</v>
      </c>
      <c r="F51" s="23">
        <f>((D51-B51)/B51)</f>
        <v>-2.0906589465732859E-3</v>
      </c>
      <c r="G51" s="23">
        <f>((E51-C51)/C51)</f>
        <v>0</v>
      </c>
      <c r="H51" s="321">
        <v>1395274933.54</v>
      </c>
      <c r="I51" s="310">
        <v>1</v>
      </c>
      <c r="J51" s="23">
        <f t="shared" si="26"/>
        <v>1.2388073936906807E-2</v>
      </c>
      <c r="K51" s="23">
        <f t="shared" si="27"/>
        <v>0</v>
      </c>
      <c r="L51" s="321">
        <v>1459418551.0699999</v>
      </c>
      <c r="M51" s="310">
        <v>1</v>
      </c>
      <c r="N51" s="23">
        <f t="shared" si="28"/>
        <v>4.5972027439250981E-2</v>
      </c>
      <c r="O51" s="23">
        <f t="shared" si="29"/>
        <v>0</v>
      </c>
      <c r="P51" s="321">
        <v>1455997321.7</v>
      </c>
      <c r="Q51" s="310">
        <v>1</v>
      </c>
      <c r="R51" s="23">
        <f t="shared" si="30"/>
        <v>-2.3442413881141549E-3</v>
      </c>
      <c r="S51" s="23">
        <f t="shared" si="31"/>
        <v>0</v>
      </c>
      <c r="T51" s="321">
        <v>1502214044.52</v>
      </c>
      <c r="U51" s="310">
        <v>1</v>
      </c>
      <c r="V51" s="23">
        <f t="shared" si="32"/>
        <v>3.1742313073789177E-2</v>
      </c>
      <c r="W51" s="23">
        <f t="shared" si="33"/>
        <v>0</v>
      </c>
      <c r="X51" s="321">
        <v>1500621737.8199999</v>
      </c>
      <c r="Y51" s="310">
        <v>1</v>
      </c>
      <c r="Z51" s="23">
        <f t="shared" si="34"/>
        <v>-1.0599732480259395E-3</v>
      </c>
      <c r="AA51" s="23">
        <f t="shared" si="35"/>
        <v>0</v>
      </c>
      <c r="AB51" s="321">
        <v>1475000894.24</v>
      </c>
      <c r="AC51" s="310">
        <v>1</v>
      </c>
      <c r="AD51" s="23">
        <f t="shared" si="36"/>
        <v>-1.7073485565536405E-2</v>
      </c>
      <c r="AE51" s="23">
        <f t="shared" si="37"/>
        <v>0</v>
      </c>
      <c r="AF51" s="321">
        <v>1472255115.6199999</v>
      </c>
      <c r="AG51" s="310">
        <v>1</v>
      </c>
      <c r="AH51" s="23">
        <f t="shared" si="38"/>
        <v>-1.861543698531042E-3</v>
      </c>
      <c r="AI51" s="23">
        <f t="shared" si="39"/>
        <v>0</v>
      </c>
      <c r="AJ51" s="24">
        <f t="shared" si="14"/>
        <v>8.2090639503957664E-3</v>
      </c>
      <c r="AK51" s="24">
        <f t="shared" si="15"/>
        <v>0</v>
      </c>
      <c r="AL51" s="25">
        <f t="shared" si="16"/>
        <v>6.8243602043869173E-2</v>
      </c>
      <c r="AM51" s="25">
        <f t="shared" si="17"/>
        <v>0</v>
      </c>
      <c r="AN51" s="387">
        <f t="shared" si="18"/>
        <v>2.0844030987255759E-2</v>
      </c>
      <c r="AO51" s="388">
        <f t="shared" si="19"/>
        <v>0</v>
      </c>
      <c r="AP51" s="30"/>
      <c r="AQ51" s="38"/>
      <c r="AR51" s="35"/>
      <c r="AS51" s="29"/>
      <c r="AT51" s="29"/>
    </row>
    <row r="52" spans="1:48">
      <c r="A52" s="202" t="s">
        <v>112</v>
      </c>
      <c r="B52" s="321">
        <v>22261834259.299999</v>
      </c>
      <c r="C52" s="310">
        <v>1</v>
      </c>
      <c r="D52" s="321">
        <v>22581417729.529999</v>
      </c>
      <c r="E52" s="310">
        <v>1</v>
      </c>
      <c r="F52" s="23">
        <f>((D52-B52)/B52)</f>
        <v>1.4355666586480485E-2</v>
      </c>
      <c r="G52" s="23">
        <f>((E52-C52)/C52)</f>
        <v>0</v>
      </c>
      <c r="H52" s="321">
        <v>23003112017.23</v>
      </c>
      <c r="I52" s="310">
        <v>1</v>
      </c>
      <c r="J52" s="23">
        <f t="shared" si="26"/>
        <v>1.8674393820213773E-2</v>
      </c>
      <c r="K52" s="23">
        <f t="shared" si="27"/>
        <v>0</v>
      </c>
      <c r="L52" s="321">
        <v>23187442008.939999</v>
      </c>
      <c r="M52" s="310">
        <v>1</v>
      </c>
      <c r="N52" s="23">
        <f t="shared" si="28"/>
        <v>8.0132632302938218E-3</v>
      </c>
      <c r="O52" s="23">
        <f t="shared" si="29"/>
        <v>0</v>
      </c>
      <c r="P52" s="321">
        <v>23671739562.240002</v>
      </c>
      <c r="Q52" s="310">
        <v>1</v>
      </c>
      <c r="R52" s="23">
        <f t="shared" si="30"/>
        <v>2.0886200086809078E-2</v>
      </c>
      <c r="S52" s="23">
        <f t="shared" si="31"/>
        <v>0</v>
      </c>
      <c r="T52" s="321">
        <v>24313594778.380001</v>
      </c>
      <c r="U52" s="310">
        <v>1</v>
      </c>
      <c r="V52" s="23">
        <f t="shared" si="32"/>
        <v>2.7114830933838735E-2</v>
      </c>
      <c r="W52" s="23">
        <f t="shared" si="33"/>
        <v>0</v>
      </c>
      <c r="X52" s="321">
        <v>24683657105.130001</v>
      </c>
      <c r="Y52" s="310">
        <v>1</v>
      </c>
      <c r="Z52" s="23">
        <f t="shared" si="34"/>
        <v>1.5220387199965378E-2</v>
      </c>
      <c r="AA52" s="23">
        <f t="shared" si="35"/>
        <v>0</v>
      </c>
      <c r="AB52" s="321">
        <v>26305325064.27</v>
      </c>
      <c r="AC52" s="310">
        <v>1</v>
      </c>
      <c r="AD52" s="23">
        <f t="shared" si="36"/>
        <v>6.569804272653619E-2</v>
      </c>
      <c r="AE52" s="23">
        <f t="shared" si="37"/>
        <v>0</v>
      </c>
      <c r="AF52" s="321">
        <v>26956318666.68</v>
      </c>
      <c r="AG52" s="310">
        <v>1</v>
      </c>
      <c r="AH52" s="23">
        <f t="shared" si="38"/>
        <v>2.4747597713370647E-2</v>
      </c>
      <c r="AI52" s="23">
        <f t="shared" si="39"/>
        <v>0</v>
      </c>
      <c r="AJ52" s="24">
        <f t="shared" si="14"/>
        <v>2.4338797787188515E-2</v>
      </c>
      <c r="AK52" s="24">
        <f t="shared" si="15"/>
        <v>0</v>
      </c>
      <c r="AL52" s="25">
        <f t="shared" si="16"/>
        <v>0.19373898439639994</v>
      </c>
      <c r="AM52" s="25">
        <f t="shared" si="17"/>
        <v>0</v>
      </c>
      <c r="AN52" s="387">
        <f t="shared" si="18"/>
        <v>1.7775576829385648E-2</v>
      </c>
      <c r="AO52" s="388">
        <f t="shared" si="19"/>
        <v>0</v>
      </c>
      <c r="AP52" s="30"/>
      <c r="AQ52" s="39">
        <v>2266908745.4000001</v>
      </c>
      <c r="AR52" s="35">
        <v>1</v>
      </c>
      <c r="AS52" s="29" t="e">
        <f>(#REF!/AQ52)-1</f>
        <v>#REF!</v>
      </c>
      <c r="AT52" s="29" t="e">
        <f>(#REF!/AR52)-1</f>
        <v>#REF!</v>
      </c>
    </row>
    <row r="53" spans="1:48">
      <c r="A53" s="204" t="s">
        <v>42</v>
      </c>
      <c r="B53" s="76">
        <f>SUM(B24:B52)</f>
        <v>806087341383.99084</v>
      </c>
      <c r="C53" s="85"/>
      <c r="D53" s="76">
        <f>SUM(D24:D52)</f>
        <v>798748175531.57666</v>
      </c>
      <c r="E53" s="85"/>
      <c r="F53" s="23">
        <f>((D53-B53)/B53)</f>
        <v>-9.1046782099485565E-3</v>
      </c>
      <c r="G53" s="23"/>
      <c r="H53" s="76">
        <f>SUM(H24:H52)</f>
        <v>807261945859.45349</v>
      </c>
      <c r="I53" s="85"/>
      <c r="J53" s="23">
        <f>((H53-D53)/D53)</f>
        <v>1.0658891736698883E-2</v>
      </c>
      <c r="K53" s="23"/>
      <c r="L53" s="76">
        <f>SUM(L24:L52)</f>
        <v>810860786783.24963</v>
      </c>
      <c r="M53" s="85"/>
      <c r="N53" s="23">
        <f>((L53-H53)/H53)</f>
        <v>4.4580832061452214E-3</v>
      </c>
      <c r="O53" s="23"/>
      <c r="P53" s="76">
        <f>SUM(P24:P52)</f>
        <v>816758455712.61926</v>
      </c>
      <c r="Q53" s="85"/>
      <c r="R53" s="23">
        <f>((P53-L53)/L53)</f>
        <v>7.2733433722527866E-3</v>
      </c>
      <c r="S53" s="23"/>
      <c r="T53" s="76">
        <f>SUM(T24:T52)</f>
        <v>817523630430.57593</v>
      </c>
      <c r="U53" s="85"/>
      <c r="V53" s="23">
        <f>((T53-P53)/P53)</f>
        <v>9.3684333795975515E-4</v>
      </c>
      <c r="W53" s="23"/>
      <c r="X53" s="76">
        <f>SUM(X24:X52)</f>
        <v>822530716125.65808</v>
      </c>
      <c r="Y53" s="85"/>
      <c r="Z53" s="23">
        <f>((X53-T53)/T53)</f>
        <v>6.1246984291389913E-3</v>
      </c>
      <c r="AA53" s="23"/>
      <c r="AB53" s="76">
        <f>SUM(AB24:AB52)</f>
        <v>835884528785.64209</v>
      </c>
      <c r="AC53" s="85"/>
      <c r="AD53" s="23">
        <f>((AB53-X53)/X53)</f>
        <v>1.6235032197805421E-2</v>
      </c>
      <c r="AE53" s="23"/>
      <c r="AF53" s="76">
        <f>SUM(AF24:AF52)</f>
        <v>846543599278.24768</v>
      </c>
      <c r="AG53" s="85"/>
      <c r="AH53" s="23">
        <f>((AF53-AB53)/AB53)</f>
        <v>1.2751845650368594E-2</v>
      </c>
      <c r="AI53" s="23"/>
      <c r="AJ53" s="24">
        <f t="shared" si="14"/>
        <v>6.1667574650526372E-3</v>
      </c>
      <c r="AK53" s="24"/>
      <c r="AL53" s="25">
        <f t="shared" si="16"/>
        <v>5.9837912887704042E-2</v>
      </c>
      <c r="AM53" s="25"/>
      <c r="AN53" s="387">
        <f t="shared" si="18"/>
        <v>7.8342419746822087E-3</v>
      </c>
      <c r="AO53" s="388"/>
      <c r="AP53" s="30"/>
      <c r="AQ53" s="43">
        <f>SUM(AQ24:AQ52)</f>
        <v>74083068068.144089</v>
      </c>
      <c r="AR53" s="44"/>
      <c r="AS53" s="29" t="e">
        <f>(#REF!/AQ53)-1</f>
        <v>#REF!</v>
      </c>
      <c r="AT53" s="29" t="e">
        <f>(#REF!/AR53)-1</f>
        <v>#REF!</v>
      </c>
    </row>
    <row r="54" spans="1:48" s="108" customFormat="1" ht="8.25" customHeight="1">
      <c r="A54" s="204"/>
      <c r="B54" s="85"/>
      <c r="C54" s="85"/>
      <c r="D54" s="85"/>
      <c r="E54" s="85"/>
      <c r="F54" s="23"/>
      <c r="G54" s="23"/>
      <c r="H54" s="85"/>
      <c r="I54" s="85"/>
      <c r="J54" s="23"/>
      <c r="K54" s="23"/>
      <c r="L54" s="85"/>
      <c r="M54" s="85"/>
      <c r="N54" s="23"/>
      <c r="O54" s="23"/>
      <c r="P54" s="85"/>
      <c r="Q54" s="85"/>
      <c r="R54" s="23"/>
      <c r="S54" s="23"/>
      <c r="T54" s="85"/>
      <c r="U54" s="85"/>
      <c r="V54" s="23"/>
      <c r="W54" s="23"/>
      <c r="X54" s="85"/>
      <c r="Y54" s="85"/>
      <c r="Z54" s="23"/>
      <c r="AA54" s="23"/>
      <c r="AB54" s="85"/>
      <c r="AC54" s="85"/>
      <c r="AD54" s="23"/>
      <c r="AE54" s="23"/>
      <c r="AF54" s="85"/>
      <c r="AG54" s="85"/>
      <c r="AH54" s="23"/>
      <c r="AI54" s="23"/>
      <c r="AJ54" s="24"/>
      <c r="AK54" s="24"/>
      <c r="AL54" s="25"/>
      <c r="AM54" s="25"/>
      <c r="AN54" s="387"/>
      <c r="AO54" s="388"/>
      <c r="AP54" s="30"/>
      <c r="AQ54" s="43"/>
      <c r="AR54" s="44"/>
      <c r="AS54" s="29"/>
      <c r="AT54" s="29"/>
    </row>
    <row r="55" spans="1:48">
      <c r="A55" s="205" t="s">
        <v>193</v>
      </c>
      <c r="B55" s="85"/>
      <c r="C55" s="85"/>
      <c r="D55" s="85"/>
      <c r="E55" s="85"/>
      <c r="F55" s="23"/>
      <c r="G55" s="23"/>
      <c r="H55" s="85"/>
      <c r="I55" s="85"/>
      <c r="J55" s="23"/>
      <c r="K55" s="23"/>
      <c r="L55" s="85"/>
      <c r="M55" s="85"/>
      <c r="N55" s="23"/>
      <c r="O55" s="23"/>
      <c r="P55" s="85"/>
      <c r="Q55" s="85"/>
      <c r="R55" s="23"/>
      <c r="S55" s="23"/>
      <c r="T55" s="85"/>
      <c r="U55" s="85"/>
      <c r="V55" s="23"/>
      <c r="W55" s="23"/>
      <c r="X55" s="85"/>
      <c r="Y55" s="85"/>
      <c r="Z55" s="23"/>
      <c r="AA55" s="23"/>
      <c r="AB55" s="85"/>
      <c r="AC55" s="85"/>
      <c r="AD55" s="23"/>
      <c r="AE55" s="23"/>
      <c r="AF55" s="85"/>
      <c r="AG55" s="85"/>
      <c r="AH55" s="23"/>
      <c r="AI55" s="23"/>
      <c r="AJ55" s="24"/>
      <c r="AK55" s="24"/>
      <c r="AL55" s="25"/>
      <c r="AM55" s="25"/>
      <c r="AN55" s="387"/>
      <c r="AO55" s="388"/>
      <c r="AP55" s="30"/>
      <c r="AQ55" s="40"/>
      <c r="AR55" s="13"/>
      <c r="AS55" s="29" t="e">
        <f>(#REF!/AQ55)-1</f>
        <v>#REF!</v>
      </c>
      <c r="AT55" s="29" t="e">
        <f>(#REF!/AR55)-1</f>
        <v>#REF!</v>
      </c>
    </row>
    <row r="56" spans="1:48">
      <c r="A56" s="202" t="s">
        <v>138</v>
      </c>
      <c r="B56" s="326">
        <v>430159762.5</v>
      </c>
      <c r="C56" s="327">
        <v>1.2707999999999999</v>
      </c>
      <c r="D56" s="326">
        <v>431843654.76999998</v>
      </c>
      <c r="E56" s="327">
        <v>1.2755000000000001</v>
      </c>
      <c r="F56" s="23">
        <f>((D56-B56)/B56)</f>
        <v>3.9145741112872707E-3</v>
      </c>
      <c r="G56" s="23">
        <f>((E56-C56)/C56)</f>
        <v>3.6984576644634474E-3</v>
      </c>
      <c r="H56" s="326">
        <v>435782729.64999998</v>
      </c>
      <c r="I56" s="327">
        <v>1.2842</v>
      </c>
      <c r="J56" s="23">
        <f t="shared" ref="J56:J82" si="46">((H56-D56)/D56)</f>
        <v>9.1215300641570088E-3</v>
      </c>
      <c r="K56" s="23">
        <f t="shared" ref="K56:K81" si="47">((I56-E56)/E56)</f>
        <v>6.8208545668364791E-3</v>
      </c>
      <c r="L56" s="326">
        <v>437991462.02999997</v>
      </c>
      <c r="M56" s="327">
        <v>1.2892999999999999</v>
      </c>
      <c r="N56" s="23">
        <f t="shared" ref="N56:N82" si="48">((L56-H56)/H56)</f>
        <v>5.0684256849140037E-3</v>
      </c>
      <c r="O56" s="23">
        <f t="shared" ref="O56:O81" si="49">((M56-I56)/I56)</f>
        <v>3.9713440274099692E-3</v>
      </c>
      <c r="P56" s="326">
        <v>438176583.14999998</v>
      </c>
      <c r="Q56" s="327">
        <v>1.2897000000000001</v>
      </c>
      <c r="R56" s="23">
        <f t="shared" ref="R56:R82" si="50">((P56-L56)/L56)</f>
        <v>4.2265919783460301E-4</v>
      </c>
      <c r="S56" s="23">
        <f t="shared" ref="S56:S81" si="51">((Q56-M56)/M56)</f>
        <v>3.1024586985199567E-4</v>
      </c>
      <c r="T56" s="326">
        <v>441747390.16000003</v>
      </c>
      <c r="U56" s="327">
        <v>1.2982</v>
      </c>
      <c r="V56" s="23">
        <f t="shared" ref="V56:V82" si="52">((T56-P56)/P56)</f>
        <v>8.1492419889943411E-3</v>
      </c>
      <c r="W56" s="23">
        <f t="shared" ref="W56:W81" si="53">((U56-Q56)/Q56)</f>
        <v>6.590680003101459E-3</v>
      </c>
      <c r="X56" s="326">
        <v>462533700.88</v>
      </c>
      <c r="Y56" s="327">
        <v>1.3594999999999999</v>
      </c>
      <c r="Z56" s="23">
        <f t="shared" ref="Z56:Z82" si="54">((X56-T56)/T56)</f>
        <v>4.7054744822535813E-2</v>
      </c>
      <c r="AA56" s="23">
        <f t="shared" ref="AA56:AA81" si="55">((Y56-U56)/U56)</f>
        <v>4.7219226621475818E-2</v>
      </c>
      <c r="AB56" s="326">
        <v>466969177.01999998</v>
      </c>
      <c r="AC56" s="327">
        <v>1.3539000000000001</v>
      </c>
      <c r="AD56" s="23">
        <f t="shared" ref="AD56:AD82" si="56">((AB56-X56)/X56)</f>
        <v>9.5895199237616812E-3</v>
      </c>
      <c r="AE56" s="23">
        <f t="shared" ref="AE56:AE81" si="57">((AC56-Y56)/Y56)</f>
        <v>-4.1191614564176741E-3</v>
      </c>
      <c r="AF56" s="326">
        <v>297803859.43000001</v>
      </c>
      <c r="AG56" s="327">
        <v>1.3573</v>
      </c>
      <c r="AH56" s="23">
        <f t="shared" ref="AH56:AH82" si="58">((AF56-AB56)/AB56)</f>
        <v>-0.36226227750092965</v>
      </c>
      <c r="AI56" s="23">
        <f t="shared" ref="AI56:AI81" si="59">((AG56-AC56)/AC56)</f>
        <v>2.511263756555024E-3</v>
      </c>
      <c r="AJ56" s="24">
        <f t="shared" si="14"/>
        <v>-3.4867697713430616E-2</v>
      </c>
      <c r="AK56" s="24">
        <f t="shared" si="15"/>
        <v>8.3753638816595651E-3</v>
      </c>
      <c r="AL56" s="25">
        <f t="shared" si="16"/>
        <v>-0.31038963722041857</v>
      </c>
      <c r="AM56" s="25">
        <f t="shared" si="17"/>
        <v>6.4131713053704326E-2</v>
      </c>
      <c r="AN56" s="387">
        <f t="shared" si="18"/>
        <v>0.13309761121504646</v>
      </c>
      <c r="AO56" s="388">
        <f t="shared" si="19"/>
        <v>1.6085765993540037E-2</v>
      </c>
      <c r="AP56" s="30"/>
      <c r="AQ56" s="28">
        <v>1092437778.4100001</v>
      </c>
      <c r="AR56" s="32">
        <v>143.21</v>
      </c>
      <c r="AS56" s="29" t="e">
        <f>(#REF!/AQ56)-1</f>
        <v>#REF!</v>
      </c>
      <c r="AT56" s="29" t="e">
        <f>(#REF!/AR56)-1</f>
        <v>#REF!</v>
      </c>
    </row>
    <row r="57" spans="1:48">
      <c r="A57" s="202" t="s">
        <v>144</v>
      </c>
      <c r="B57" s="326">
        <v>1024529602.21</v>
      </c>
      <c r="C57" s="327">
        <v>1.1362000000000001</v>
      </c>
      <c r="D57" s="326">
        <v>1027984084.27</v>
      </c>
      <c r="E57" s="327">
        <v>1.1376999999999999</v>
      </c>
      <c r="F57" s="23">
        <f>((D57-B57)/B57)</f>
        <v>3.3717737901846102E-3</v>
      </c>
      <c r="G57" s="23">
        <f>((E57-C57)/C57)</f>
        <v>1.3201901073753165E-3</v>
      </c>
      <c r="H57" s="326">
        <v>1033854678.0599999</v>
      </c>
      <c r="I57" s="327">
        <v>1.1383000000000001</v>
      </c>
      <c r="J57" s="23">
        <f t="shared" si="46"/>
        <v>5.710782763887666E-3</v>
      </c>
      <c r="K57" s="23">
        <f t="shared" si="47"/>
        <v>5.2737980135374532E-4</v>
      </c>
      <c r="L57" s="326">
        <v>1016752779.01</v>
      </c>
      <c r="M57" s="327">
        <v>1.1389</v>
      </c>
      <c r="N57" s="23">
        <f t="shared" si="48"/>
        <v>-1.6541879059918944E-2</v>
      </c>
      <c r="O57" s="23">
        <f t="shared" si="49"/>
        <v>5.2710181850121579E-4</v>
      </c>
      <c r="P57" s="326">
        <v>993025846.11000001</v>
      </c>
      <c r="Q57" s="327">
        <v>1.1324000000000001</v>
      </c>
      <c r="R57" s="23">
        <f t="shared" si="50"/>
        <v>-2.3335990212982358E-2</v>
      </c>
      <c r="S57" s="23">
        <f t="shared" si="51"/>
        <v>-5.7072613925717363E-3</v>
      </c>
      <c r="T57" s="326">
        <v>572772340.07000005</v>
      </c>
      <c r="U57" s="327">
        <v>1.1323000000000001</v>
      </c>
      <c r="V57" s="23">
        <f t="shared" si="52"/>
        <v>-0.42320500285694218</v>
      </c>
      <c r="W57" s="23">
        <f t="shared" si="53"/>
        <v>-8.8308018368058087E-5</v>
      </c>
      <c r="X57" s="326">
        <v>574045627.38</v>
      </c>
      <c r="Y57" s="327">
        <v>1.1353</v>
      </c>
      <c r="Z57" s="23">
        <f t="shared" si="54"/>
        <v>2.2230251374295257E-3</v>
      </c>
      <c r="AA57" s="23">
        <f t="shared" si="55"/>
        <v>2.6494745208865949E-3</v>
      </c>
      <c r="AB57" s="326">
        <v>569797345.80999994</v>
      </c>
      <c r="AC57" s="327">
        <v>1.1335999999999999</v>
      </c>
      <c r="AD57" s="23">
        <f t="shared" si="56"/>
        <v>-7.4005991290093474E-3</v>
      </c>
      <c r="AE57" s="23">
        <f t="shared" si="57"/>
        <v>-1.4974015678675546E-3</v>
      </c>
      <c r="AF57" s="326">
        <v>569420483.15999997</v>
      </c>
      <c r="AG57" s="327">
        <v>1.133</v>
      </c>
      <c r="AH57" s="23">
        <f t="shared" si="58"/>
        <v>-6.6139769300652682E-4</v>
      </c>
      <c r="AI57" s="23">
        <f t="shared" si="59"/>
        <v>-5.2928722653487466E-4</v>
      </c>
      <c r="AJ57" s="24">
        <f t="shared" si="14"/>
        <v>-5.7479910907544701E-2</v>
      </c>
      <c r="AK57" s="24">
        <f t="shared" si="15"/>
        <v>-3.4976399465316886E-4</v>
      </c>
      <c r="AL57" s="25">
        <f t="shared" si="16"/>
        <v>-0.44608044825483728</v>
      </c>
      <c r="AM57" s="25">
        <f t="shared" si="17"/>
        <v>-4.1311417772698662E-3</v>
      </c>
      <c r="AN57" s="387">
        <f t="shared" si="18"/>
        <v>0.14812797817866355</v>
      </c>
      <c r="AO57" s="388">
        <f t="shared" si="19"/>
        <v>2.4912100174014499E-3</v>
      </c>
      <c r="AP57" s="30"/>
      <c r="AQ57" s="31">
        <v>1186217562.8099999</v>
      </c>
      <c r="AR57" s="35">
        <v>212.98</v>
      </c>
      <c r="AS57" s="29" t="e">
        <f>(#REF!/AQ57)-1</f>
        <v>#REF!</v>
      </c>
      <c r="AT57" s="29" t="e">
        <f>(#REF!/AR57)-1</f>
        <v>#REF!</v>
      </c>
      <c r="AU57" s="83"/>
      <c r="AV57" s="83"/>
    </row>
    <row r="58" spans="1:48">
      <c r="A58" s="202" t="s">
        <v>226</v>
      </c>
      <c r="B58" s="326">
        <v>861288344.36000001</v>
      </c>
      <c r="C58" s="327">
        <v>1.0593999999999999</v>
      </c>
      <c r="D58" s="326">
        <v>862100586.23000002</v>
      </c>
      <c r="E58" s="327">
        <v>1.0608</v>
      </c>
      <c r="F58" s="23">
        <f>((D58-B58)/B58)</f>
        <v>9.4305452444449329E-4</v>
      </c>
      <c r="G58" s="23">
        <f>((E58-C58)/C58)</f>
        <v>1.3215027373985916E-3</v>
      </c>
      <c r="H58" s="326">
        <v>863308414.51999998</v>
      </c>
      <c r="I58" s="327">
        <v>1.0623</v>
      </c>
      <c r="J58" s="23">
        <f t="shared" si="46"/>
        <v>1.4010294266030403E-3</v>
      </c>
      <c r="K58" s="23">
        <f t="shared" si="47"/>
        <v>1.4140271493213207E-3</v>
      </c>
      <c r="L58" s="326">
        <v>840002418.75</v>
      </c>
      <c r="M58" s="327">
        <v>1.0637000000000001</v>
      </c>
      <c r="N58" s="23">
        <f t="shared" si="48"/>
        <v>-2.6996141098610895E-2</v>
      </c>
      <c r="O58" s="23">
        <f t="shared" si="49"/>
        <v>1.3178951332016076E-3</v>
      </c>
      <c r="P58" s="326">
        <v>840701547.28999996</v>
      </c>
      <c r="Q58" s="327">
        <v>1.0261</v>
      </c>
      <c r="R58" s="23">
        <f t="shared" si="50"/>
        <v>8.3229348439297203E-4</v>
      </c>
      <c r="S58" s="23">
        <f t="shared" si="51"/>
        <v>-3.5348312494124352E-2</v>
      </c>
      <c r="T58" s="326">
        <v>591074536.51999998</v>
      </c>
      <c r="U58" s="327">
        <v>1.0271999999999999</v>
      </c>
      <c r="V58" s="23">
        <f t="shared" si="52"/>
        <v>-0.29692702668940274</v>
      </c>
      <c r="W58" s="23">
        <f t="shared" si="53"/>
        <v>1.0720202709286412E-3</v>
      </c>
      <c r="X58" s="326">
        <v>593325159.47000003</v>
      </c>
      <c r="Y58" s="327">
        <v>1.0314000000000001</v>
      </c>
      <c r="Z58" s="23">
        <f t="shared" si="54"/>
        <v>3.8076804378188505E-3</v>
      </c>
      <c r="AA58" s="23">
        <f t="shared" si="55"/>
        <v>4.0887850467291702E-3</v>
      </c>
      <c r="AB58" s="326">
        <v>593230861.70000005</v>
      </c>
      <c r="AC58" s="327">
        <v>1.0313000000000001</v>
      </c>
      <c r="AD58" s="23">
        <f t="shared" si="56"/>
        <v>-1.589310153040103E-4</v>
      </c>
      <c r="AE58" s="23">
        <f t="shared" si="57"/>
        <v>-9.6955594337782598E-5</v>
      </c>
      <c r="AF58" s="326">
        <v>590474118.48000002</v>
      </c>
      <c r="AG58" s="327">
        <v>1.0317000000000001</v>
      </c>
      <c r="AH58" s="23">
        <f t="shared" si="58"/>
        <v>-4.6469989981642729E-3</v>
      </c>
      <c r="AI58" s="23">
        <f t="shared" si="59"/>
        <v>3.8785998254625801E-4</v>
      </c>
      <c r="AJ58" s="24">
        <f t="shared" si="14"/>
        <v>-4.0218129991027821E-2</v>
      </c>
      <c r="AK58" s="24">
        <f t="shared" si="15"/>
        <v>-3.2303972210420682E-3</v>
      </c>
      <c r="AL58" s="25">
        <f t="shared" si="16"/>
        <v>-0.31507514562521444</v>
      </c>
      <c r="AM58" s="25">
        <f t="shared" si="17"/>
        <v>-2.7432126696832489E-2</v>
      </c>
      <c r="AN58" s="387">
        <f t="shared" si="18"/>
        <v>0.10419359056914289</v>
      </c>
      <c r="AO58" s="388">
        <f t="shared" si="19"/>
        <v>1.3035826362953949E-2</v>
      </c>
      <c r="AP58" s="30"/>
      <c r="AQ58" s="31">
        <v>4662655514.79</v>
      </c>
      <c r="AR58" s="35">
        <v>1067.58</v>
      </c>
      <c r="AS58" s="29" t="e">
        <f>(#REF!/AQ58)-1</f>
        <v>#REF!</v>
      </c>
      <c r="AT58" s="29" t="e">
        <f>(#REF!/AR58)-1</f>
        <v>#REF!</v>
      </c>
    </row>
    <row r="59" spans="1:48" s="103" customFormat="1">
      <c r="A59" s="202" t="s">
        <v>167</v>
      </c>
      <c r="B59" s="326">
        <v>259897315.68000001</v>
      </c>
      <c r="C59" s="74">
        <v>1135.9100000000001</v>
      </c>
      <c r="D59" s="326">
        <v>259372182.41</v>
      </c>
      <c r="E59" s="74">
        <v>1138.0999999999999</v>
      </c>
      <c r="F59" s="23">
        <f>((D59-B59)/B59)</f>
        <v>-2.0205413381282626E-3</v>
      </c>
      <c r="G59" s="23">
        <f>((E59-C59)/C59)</f>
        <v>1.9279696454823244E-3</v>
      </c>
      <c r="H59" s="326">
        <v>247396258.00999999</v>
      </c>
      <c r="I59" s="74">
        <v>1086.21</v>
      </c>
      <c r="J59" s="23">
        <f t="shared" si="46"/>
        <v>-4.6172740224968235E-2</v>
      </c>
      <c r="K59" s="23">
        <f t="shared" si="47"/>
        <v>-4.5593533081451434E-2</v>
      </c>
      <c r="L59" s="326">
        <v>250284868.36000001</v>
      </c>
      <c r="M59" s="74">
        <v>1091.99</v>
      </c>
      <c r="N59" s="23">
        <f t="shared" si="48"/>
        <v>1.1676047055987659E-2</v>
      </c>
      <c r="O59" s="23">
        <f t="shared" si="49"/>
        <v>5.3212546376851366E-3</v>
      </c>
      <c r="P59" s="326">
        <v>250569426.77000001</v>
      </c>
      <c r="Q59" s="74">
        <v>1094.24</v>
      </c>
      <c r="R59" s="23">
        <f t="shared" si="50"/>
        <v>1.1369381291988403E-3</v>
      </c>
      <c r="S59" s="23">
        <f t="shared" si="51"/>
        <v>2.0604584291064936E-3</v>
      </c>
      <c r="T59" s="326">
        <v>252584086.44</v>
      </c>
      <c r="U59" s="74">
        <v>1104.05</v>
      </c>
      <c r="V59" s="23">
        <f t="shared" si="52"/>
        <v>8.040325174424658E-3</v>
      </c>
      <c r="W59" s="23">
        <f t="shared" si="53"/>
        <v>8.9651264804795523E-3</v>
      </c>
      <c r="X59" s="326">
        <v>253302524.36000001</v>
      </c>
      <c r="Y59" s="74">
        <v>1106.32</v>
      </c>
      <c r="Z59" s="23">
        <f t="shared" si="54"/>
        <v>2.8443514796435039E-3</v>
      </c>
      <c r="AA59" s="23">
        <f t="shared" si="55"/>
        <v>2.0560663013450315E-3</v>
      </c>
      <c r="AB59" s="326">
        <v>253831885.16</v>
      </c>
      <c r="AC59" s="74">
        <v>1108.6300000000001</v>
      </c>
      <c r="AD59" s="23">
        <f t="shared" si="56"/>
        <v>2.0898362593798751E-3</v>
      </c>
      <c r="AE59" s="23">
        <f t="shared" si="57"/>
        <v>2.0880034709669652E-3</v>
      </c>
      <c r="AF59" s="326">
        <v>258686348.22</v>
      </c>
      <c r="AG59" s="74">
        <v>1130.42</v>
      </c>
      <c r="AH59" s="23">
        <f t="shared" si="58"/>
        <v>1.9124717357474803E-2</v>
      </c>
      <c r="AI59" s="23">
        <f t="shared" si="59"/>
        <v>1.9654889367958617E-2</v>
      </c>
      <c r="AJ59" s="24">
        <f t="shared" si="14"/>
        <v>-4.101332633733943E-4</v>
      </c>
      <c r="AK59" s="24">
        <f t="shared" si="15"/>
        <v>-4.3997059355341435E-4</v>
      </c>
      <c r="AL59" s="25">
        <f t="shared" si="16"/>
        <v>-2.6442087336716472E-3</v>
      </c>
      <c r="AM59" s="25">
        <f t="shared" si="17"/>
        <v>-6.7480889201298978E-3</v>
      </c>
      <c r="AN59" s="387">
        <f t="shared" si="18"/>
        <v>1.969460023835214E-2</v>
      </c>
      <c r="AO59" s="388">
        <f t="shared" si="19"/>
        <v>1.9230835761806092E-2</v>
      </c>
      <c r="AP59" s="30"/>
      <c r="AQ59" s="31"/>
      <c r="AR59" s="31"/>
      <c r="AS59" s="29"/>
      <c r="AT59" s="29"/>
    </row>
    <row r="60" spans="1:48">
      <c r="A60" s="202" t="s">
        <v>176</v>
      </c>
      <c r="B60" s="326">
        <v>1376638453.21</v>
      </c>
      <c r="C60" s="327">
        <v>1.0334000000000001</v>
      </c>
      <c r="D60" s="326">
        <v>1378772797.47</v>
      </c>
      <c r="E60" s="327">
        <v>1.0347</v>
      </c>
      <c r="F60" s="23">
        <f>((D60-B60)/B60)</f>
        <v>1.5504029071853958E-3</v>
      </c>
      <c r="G60" s="23">
        <f>((E60-C60)/C60)</f>
        <v>1.2579833559123832E-3</v>
      </c>
      <c r="H60" s="326">
        <v>1390523983.53</v>
      </c>
      <c r="I60" s="327">
        <v>1.0358000000000001</v>
      </c>
      <c r="J60" s="23">
        <f t="shared" si="46"/>
        <v>8.5229314659840683E-3</v>
      </c>
      <c r="K60" s="23">
        <f t="shared" si="47"/>
        <v>1.0631100802165855E-3</v>
      </c>
      <c r="L60" s="326">
        <v>1402292232.3599999</v>
      </c>
      <c r="M60" s="74">
        <v>1.0358000000000001</v>
      </c>
      <c r="N60" s="23">
        <f t="shared" si="48"/>
        <v>8.4631757304357413E-3</v>
      </c>
      <c r="O60" s="23">
        <f t="shared" si="49"/>
        <v>0</v>
      </c>
      <c r="P60" s="326">
        <v>1380876684.46</v>
      </c>
      <c r="Q60" s="74">
        <v>1.0422</v>
      </c>
      <c r="R60" s="23">
        <f t="shared" si="50"/>
        <v>-1.5271815250633154E-2</v>
      </c>
      <c r="S60" s="23">
        <f t="shared" si="51"/>
        <v>6.1787989959451251E-3</v>
      </c>
      <c r="T60" s="326">
        <v>1375989298.0699999</v>
      </c>
      <c r="U60" s="74">
        <v>1.044</v>
      </c>
      <c r="V60" s="23">
        <f t="shared" si="52"/>
        <v>-3.5393358762599038E-3</v>
      </c>
      <c r="W60" s="23">
        <f t="shared" si="53"/>
        <v>1.7271157167530454E-3</v>
      </c>
      <c r="X60" s="326">
        <v>1384370561.9100001</v>
      </c>
      <c r="Y60" s="74">
        <v>1.0454000000000001</v>
      </c>
      <c r="Z60" s="23">
        <f t="shared" si="54"/>
        <v>6.0910821412317245E-3</v>
      </c>
      <c r="AA60" s="23">
        <f t="shared" si="55"/>
        <v>1.3409961685824404E-3</v>
      </c>
      <c r="AB60" s="326">
        <v>1397180405.9300001</v>
      </c>
      <c r="AC60" s="74">
        <v>1.0472999999999999</v>
      </c>
      <c r="AD60" s="23">
        <f t="shared" si="56"/>
        <v>9.2531901301963447E-3</v>
      </c>
      <c r="AE60" s="23">
        <f t="shared" si="57"/>
        <v>1.8174861297109151E-3</v>
      </c>
      <c r="AF60" s="326">
        <v>1396161113.3599999</v>
      </c>
      <c r="AG60" s="74">
        <v>1.0119</v>
      </c>
      <c r="AH60" s="23">
        <f t="shared" si="58"/>
        <v>-7.2953540263950649E-4</v>
      </c>
      <c r="AI60" s="23">
        <f t="shared" si="59"/>
        <v>-3.3801203093669317E-2</v>
      </c>
      <c r="AJ60" s="24">
        <f t="shared" si="14"/>
        <v>1.792511980687589E-3</v>
      </c>
      <c r="AK60" s="24">
        <f t="shared" si="15"/>
        <v>-2.551964080818603E-3</v>
      </c>
      <c r="AL60" s="25">
        <f t="shared" si="16"/>
        <v>1.2611443975328509E-2</v>
      </c>
      <c r="AM60" s="25">
        <f t="shared" si="17"/>
        <v>-2.2035372571759866E-2</v>
      </c>
      <c r="AN60" s="387">
        <f t="shared" si="18"/>
        <v>8.3663862348976152E-3</v>
      </c>
      <c r="AO60" s="388">
        <f t="shared" si="19"/>
        <v>1.27581677069732E-2</v>
      </c>
      <c r="AP60" s="30"/>
      <c r="AQ60" s="45">
        <v>1198249163.9190199</v>
      </c>
      <c r="AR60" s="45">
        <v>1987.7461478934799</v>
      </c>
      <c r="AS60" s="29" t="e">
        <f>(#REF!/AQ60)-1</f>
        <v>#REF!</v>
      </c>
      <c r="AT60" s="29" t="e">
        <f>(#REF!/AR60)-1</f>
        <v>#REF!</v>
      </c>
    </row>
    <row r="61" spans="1:48">
      <c r="A61" s="202" t="s">
        <v>105</v>
      </c>
      <c r="B61" s="326">
        <v>424193315.27999997</v>
      </c>
      <c r="C61" s="327">
        <v>2.1901999999999999</v>
      </c>
      <c r="D61" s="326">
        <v>425068746.30000001</v>
      </c>
      <c r="E61" s="327">
        <v>2.1947000000000001</v>
      </c>
      <c r="F61" s="23">
        <f>((D61-B61)/B61)</f>
        <v>2.0637548694566045E-3</v>
      </c>
      <c r="G61" s="23">
        <f>((E61-C61)/C61)</f>
        <v>2.0546068852160398E-3</v>
      </c>
      <c r="H61" s="326">
        <v>425928273.67000002</v>
      </c>
      <c r="I61" s="327">
        <v>2.1989000000000001</v>
      </c>
      <c r="J61" s="23">
        <f t="shared" si="46"/>
        <v>2.022090255945041E-3</v>
      </c>
      <c r="K61" s="23">
        <f t="shared" si="47"/>
        <v>1.9137011892285877E-3</v>
      </c>
      <c r="L61" s="326">
        <v>426817161.36000001</v>
      </c>
      <c r="M61" s="327">
        <v>2.2035</v>
      </c>
      <c r="N61" s="23">
        <f t="shared" si="48"/>
        <v>2.0869422035332845E-3</v>
      </c>
      <c r="O61" s="23">
        <f t="shared" si="49"/>
        <v>2.091955068443284E-3</v>
      </c>
      <c r="P61" s="326">
        <v>427641327.52999997</v>
      </c>
      <c r="Q61" s="74">
        <v>2.2075999999999998</v>
      </c>
      <c r="R61" s="23">
        <f t="shared" si="50"/>
        <v>1.9309583695600564E-3</v>
      </c>
      <c r="S61" s="23">
        <f t="shared" si="51"/>
        <v>1.8606761969592787E-3</v>
      </c>
      <c r="T61" s="326">
        <v>426641143.81999999</v>
      </c>
      <c r="U61" s="74">
        <v>2.2023999999999999</v>
      </c>
      <c r="V61" s="23">
        <f t="shared" si="52"/>
        <v>-2.3388378194804231E-3</v>
      </c>
      <c r="W61" s="23">
        <f t="shared" si="53"/>
        <v>-2.3554991846348396E-3</v>
      </c>
      <c r="X61" s="326">
        <v>428293032.39999998</v>
      </c>
      <c r="Y61" s="74">
        <v>2.2084000000000001</v>
      </c>
      <c r="Z61" s="23">
        <f t="shared" si="54"/>
        <v>3.871845469964602E-3</v>
      </c>
      <c r="AA61" s="23">
        <f t="shared" si="55"/>
        <v>2.7243007628043169E-3</v>
      </c>
      <c r="AB61" s="326">
        <v>428104942.13</v>
      </c>
      <c r="AC61" s="74">
        <v>2.21</v>
      </c>
      <c r="AD61" s="23">
        <f t="shared" si="56"/>
        <v>-4.3916257275069539E-4</v>
      </c>
      <c r="AE61" s="23">
        <f t="shared" si="57"/>
        <v>7.2450642999448639E-4</v>
      </c>
      <c r="AF61" s="326">
        <v>428854878.23000002</v>
      </c>
      <c r="AG61" s="74">
        <v>2.2139000000000002</v>
      </c>
      <c r="AH61" s="23">
        <f t="shared" si="58"/>
        <v>1.7517576327635465E-3</v>
      </c>
      <c r="AI61" s="23">
        <f t="shared" si="59"/>
        <v>1.7647058823530484E-3</v>
      </c>
      <c r="AJ61" s="24">
        <f t="shared" si="14"/>
        <v>1.3686685511240021E-3</v>
      </c>
      <c r="AK61" s="24">
        <f t="shared" si="15"/>
        <v>1.3473691537955253E-3</v>
      </c>
      <c r="AL61" s="25">
        <f t="shared" si="16"/>
        <v>8.9071049399804033E-3</v>
      </c>
      <c r="AM61" s="25">
        <f t="shared" si="17"/>
        <v>8.7483482936164883E-3</v>
      </c>
      <c r="AN61" s="387">
        <f t="shared" si="18"/>
        <v>1.8961879271669863E-3</v>
      </c>
      <c r="AO61" s="388">
        <f t="shared" si="19"/>
        <v>1.594997178380732E-3</v>
      </c>
      <c r="AP61" s="30"/>
      <c r="AQ61" s="28">
        <v>609639394.97000003</v>
      </c>
      <c r="AR61" s="32">
        <v>1.1629</v>
      </c>
      <c r="AS61" s="29" t="e">
        <f>(#REF!/AQ61)-1</f>
        <v>#REF!</v>
      </c>
      <c r="AT61" s="29" t="e">
        <f>(#REF!/AR61)-1</f>
        <v>#REF!</v>
      </c>
    </row>
    <row r="62" spans="1:48">
      <c r="A62" s="203" t="s">
        <v>18</v>
      </c>
      <c r="B62" s="326">
        <v>3342075495.10537</v>
      </c>
      <c r="C62" s="326">
        <v>3819.8758769675501</v>
      </c>
      <c r="D62" s="326">
        <v>3344790402.9352102</v>
      </c>
      <c r="E62" s="326">
        <v>3825.32820687699</v>
      </c>
      <c r="F62" s="23">
        <f>((D62-B62)/B62)</f>
        <v>8.1234186176114092E-4</v>
      </c>
      <c r="G62" s="23">
        <f>((E62-C62)/C62)</f>
        <v>1.4273578736721307E-3</v>
      </c>
      <c r="H62" s="326">
        <v>3342183904.2787499</v>
      </c>
      <c r="I62" s="326">
        <v>3830.741920294</v>
      </c>
      <c r="J62" s="23">
        <f t="shared" si="46"/>
        <v>-7.7927114780434689E-4</v>
      </c>
      <c r="K62" s="23">
        <f t="shared" si="47"/>
        <v>1.4152284782460093E-3</v>
      </c>
      <c r="L62" s="326">
        <v>3349479690.7715502</v>
      </c>
      <c r="M62" s="326">
        <v>3836.1960200561998</v>
      </c>
      <c r="N62" s="23">
        <f t="shared" si="48"/>
        <v>2.1829398685871181E-3</v>
      </c>
      <c r="O62" s="23">
        <f t="shared" si="49"/>
        <v>1.4237711325072022E-3</v>
      </c>
      <c r="P62" s="326">
        <v>3349492057.9685998</v>
      </c>
      <c r="Q62" s="326">
        <v>3841.8106843473502</v>
      </c>
      <c r="R62" s="23">
        <f t="shared" si="50"/>
        <v>3.6922740817601414E-6</v>
      </c>
      <c r="S62" s="23">
        <f t="shared" si="51"/>
        <v>1.4636020322726089E-3</v>
      </c>
      <c r="T62" s="326">
        <v>3355160303.19665</v>
      </c>
      <c r="U62" s="326">
        <v>3847.2670315517398</v>
      </c>
      <c r="V62" s="23">
        <f t="shared" si="52"/>
        <v>1.6922700904948285E-3</v>
      </c>
      <c r="W62" s="23">
        <f t="shared" si="53"/>
        <v>1.4202540553651948E-3</v>
      </c>
      <c r="X62" s="326">
        <v>3358973503.3470702</v>
      </c>
      <c r="Y62" s="326">
        <v>3852.9402117873801</v>
      </c>
      <c r="Z62" s="23">
        <f t="shared" si="54"/>
        <v>1.1365180217431455E-3</v>
      </c>
      <c r="AA62" s="23">
        <f t="shared" si="55"/>
        <v>1.474600070417287E-3</v>
      </c>
      <c r="AB62" s="326">
        <v>3364534181.98317</v>
      </c>
      <c r="AC62" s="326">
        <v>3858.8447676742999</v>
      </c>
      <c r="AD62" s="23">
        <f t="shared" si="56"/>
        <v>1.6554696339696761E-3</v>
      </c>
      <c r="AE62" s="23">
        <f t="shared" si="57"/>
        <v>1.5324805375530671E-3</v>
      </c>
      <c r="AF62" s="326">
        <v>3363372917.55371</v>
      </c>
      <c r="AG62" s="326">
        <v>3864.4071978944298</v>
      </c>
      <c r="AH62" s="23">
        <f t="shared" si="58"/>
        <v>-3.4514864960461189E-4</v>
      </c>
      <c r="AI62" s="23">
        <f t="shared" si="59"/>
        <v>1.441475507573318E-3</v>
      </c>
      <c r="AJ62" s="24">
        <f t="shared" si="14"/>
        <v>7.9485149415358877E-4</v>
      </c>
      <c r="AK62" s="24">
        <f t="shared" si="15"/>
        <v>1.4498462109508521E-3</v>
      </c>
      <c r="AL62" s="25">
        <f t="shared" si="16"/>
        <v>5.5556589142903333E-3</v>
      </c>
      <c r="AM62" s="25">
        <f t="shared" si="17"/>
        <v>1.0215853099136842E-2</v>
      </c>
      <c r="AN62" s="387">
        <f t="shared" si="18"/>
        <v>1.0685938901933078E-3</v>
      </c>
      <c r="AO62" s="388">
        <f t="shared" si="19"/>
        <v>3.9569459554398083E-5</v>
      </c>
      <c r="AP62" s="30"/>
      <c r="AQ62" s="28">
        <v>4056683843.0900002</v>
      </c>
      <c r="AR62" s="35">
        <v>1</v>
      </c>
      <c r="AS62" s="29" t="e">
        <f>(#REF!/AQ62)-1</f>
        <v>#REF!</v>
      </c>
      <c r="AT62" s="29" t="e">
        <f>(#REF!/AR62)-1</f>
        <v>#REF!</v>
      </c>
    </row>
    <row r="63" spans="1:48" ht="15" customHeight="1">
      <c r="A63" s="202" t="s">
        <v>222</v>
      </c>
      <c r="B63" s="326">
        <v>362121819.01999998</v>
      </c>
      <c r="C63" s="327">
        <v>105.2</v>
      </c>
      <c r="D63" s="326">
        <v>332691911.61000001</v>
      </c>
      <c r="E63" s="327">
        <v>105.39</v>
      </c>
      <c r="F63" s="23">
        <f>((D63-B63)/B63)</f>
        <v>-8.1270737813162686E-2</v>
      </c>
      <c r="G63" s="23">
        <f>((E63-C63)/C63)</f>
        <v>1.8060836501900923E-3</v>
      </c>
      <c r="H63" s="326">
        <v>333551556.69</v>
      </c>
      <c r="I63" s="327">
        <v>105.59</v>
      </c>
      <c r="J63" s="23">
        <f t="shared" si="46"/>
        <v>2.5839073629409636E-3</v>
      </c>
      <c r="K63" s="23">
        <f t="shared" si="47"/>
        <v>1.8977132555271169E-3</v>
      </c>
      <c r="L63" s="326">
        <v>333742498.25</v>
      </c>
      <c r="M63" s="327">
        <v>105.8</v>
      </c>
      <c r="N63" s="23">
        <f t="shared" si="48"/>
        <v>5.7244991417462299E-4</v>
      </c>
      <c r="O63" s="23">
        <f t="shared" si="49"/>
        <v>1.9888246993085873E-3</v>
      </c>
      <c r="P63" s="326">
        <v>334531774.12</v>
      </c>
      <c r="Q63" s="327">
        <v>106</v>
      </c>
      <c r="R63" s="23">
        <f t="shared" si="50"/>
        <v>2.3649246773743918E-3</v>
      </c>
      <c r="S63" s="23">
        <f t="shared" si="51"/>
        <v>1.8903591682419929E-3</v>
      </c>
      <c r="T63" s="326">
        <v>325338460.38999999</v>
      </c>
      <c r="U63" s="327">
        <v>106.19</v>
      </c>
      <c r="V63" s="23">
        <f t="shared" si="52"/>
        <v>-2.7481137641359839E-2</v>
      </c>
      <c r="W63" s="23">
        <f t="shared" si="53"/>
        <v>1.7924528301886578E-3</v>
      </c>
      <c r="X63" s="326">
        <v>326126178.5</v>
      </c>
      <c r="Y63" s="327">
        <v>106.39</v>
      </c>
      <c r="Z63" s="23">
        <f t="shared" si="54"/>
        <v>2.4212265253107058E-3</v>
      </c>
      <c r="AA63" s="23">
        <f t="shared" si="55"/>
        <v>1.8834165175628857E-3</v>
      </c>
      <c r="AB63" s="326">
        <v>315087741.38</v>
      </c>
      <c r="AC63" s="327">
        <v>103.99</v>
      </c>
      <c r="AD63" s="23">
        <f t="shared" si="56"/>
        <v>-3.3847136009659537E-2</v>
      </c>
      <c r="AE63" s="23">
        <f t="shared" si="57"/>
        <v>-2.2558511138264927E-2</v>
      </c>
      <c r="AF63" s="326">
        <v>312553095.89999998</v>
      </c>
      <c r="AG63" s="327">
        <v>106.81</v>
      </c>
      <c r="AH63" s="23">
        <f t="shared" si="58"/>
        <v>-8.0442529084087822E-3</v>
      </c>
      <c r="AI63" s="23">
        <f t="shared" si="59"/>
        <v>2.7117992114626479E-2</v>
      </c>
      <c r="AJ63" s="24">
        <f t="shared" si="14"/>
        <v>-1.783759448659877E-2</v>
      </c>
      <c r="AK63" s="24">
        <f t="shared" si="15"/>
        <v>1.9772913871726108E-3</v>
      </c>
      <c r="AL63" s="25">
        <f t="shared" si="16"/>
        <v>-6.0532928536020075E-2</v>
      </c>
      <c r="AM63" s="25">
        <f t="shared" si="17"/>
        <v>1.3473764114242354E-2</v>
      </c>
      <c r="AN63" s="387">
        <f t="shared" si="18"/>
        <v>2.9382953361975862E-2</v>
      </c>
      <c r="AO63" s="388">
        <f t="shared" si="19"/>
        <v>1.3278052521866809E-2</v>
      </c>
      <c r="AP63" s="30"/>
      <c r="AQ63" s="28">
        <v>739078842.02999997</v>
      </c>
      <c r="AR63" s="32">
        <v>16.871500000000001</v>
      </c>
      <c r="AS63" s="29" t="e">
        <f>(#REF!/AQ63)-1</f>
        <v>#REF!</v>
      </c>
      <c r="AT63" s="29" t="e">
        <f>(#REF!/AR63)-1</f>
        <v>#REF!</v>
      </c>
    </row>
    <row r="64" spans="1:48">
      <c r="A64" s="202" t="s">
        <v>110</v>
      </c>
      <c r="B64" s="326">
        <v>343261374.44</v>
      </c>
      <c r="C64" s="327">
        <v>1.4018999999999999</v>
      </c>
      <c r="D64" s="326">
        <v>344514187.93000001</v>
      </c>
      <c r="E64" s="327">
        <v>1.407</v>
      </c>
      <c r="F64" s="23">
        <f>((D64-B64)/B64)</f>
        <v>3.6497362747086293E-3</v>
      </c>
      <c r="G64" s="23">
        <f>((E64-C64)/C64)</f>
        <v>3.637919965760828E-3</v>
      </c>
      <c r="H64" s="326">
        <v>345660860.52999997</v>
      </c>
      <c r="I64" s="327">
        <v>1.4116</v>
      </c>
      <c r="J64" s="23">
        <f t="shared" si="46"/>
        <v>3.3283755507710774E-3</v>
      </c>
      <c r="K64" s="23">
        <f t="shared" si="47"/>
        <v>3.2693674484718816E-3</v>
      </c>
      <c r="L64" s="326">
        <v>348318948.70999998</v>
      </c>
      <c r="M64" s="327">
        <v>1.4225000000000001</v>
      </c>
      <c r="N64" s="23">
        <f t="shared" si="48"/>
        <v>7.6898731777858059E-3</v>
      </c>
      <c r="O64" s="23">
        <f t="shared" si="49"/>
        <v>7.7217342023236978E-3</v>
      </c>
      <c r="P64" s="326">
        <v>348172202.95999998</v>
      </c>
      <c r="Q64" s="327">
        <v>1.4218999999999999</v>
      </c>
      <c r="R64" s="23">
        <f t="shared" si="50"/>
        <v>-4.2129706277385486E-4</v>
      </c>
      <c r="S64" s="23">
        <f t="shared" si="51"/>
        <v>-4.2179261862928359E-4</v>
      </c>
      <c r="T64" s="326">
        <v>352998746.98000002</v>
      </c>
      <c r="U64" s="327">
        <v>1.4416</v>
      </c>
      <c r="V64" s="23">
        <f t="shared" si="52"/>
        <v>1.3862519692746815E-2</v>
      </c>
      <c r="W64" s="23">
        <f t="shared" si="53"/>
        <v>1.3854701455798616E-2</v>
      </c>
      <c r="X64" s="326">
        <v>352998746.98000002</v>
      </c>
      <c r="Y64" s="327">
        <v>1.4416</v>
      </c>
      <c r="Z64" s="23">
        <f t="shared" si="54"/>
        <v>0</v>
      </c>
      <c r="AA64" s="23">
        <f t="shared" si="55"/>
        <v>0</v>
      </c>
      <c r="AB64" s="326">
        <v>355576575.60000002</v>
      </c>
      <c r="AC64" s="327">
        <v>1.4528000000000001</v>
      </c>
      <c r="AD64" s="23">
        <f t="shared" si="56"/>
        <v>7.3026565732995583E-3</v>
      </c>
      <c r="AE64" s="23">
        <f t="shared" si="57"/>
        <v>7.7691453940067282E-3</v>
      </c>
      <c r="AF64" s="326">
        <v>357093615.06</v>
      </c>
      <c r="AG64" s="327">
        <v>1.4583999999999999</v>
      </c>
      <c r="AH64" s="23">
        <f t="shared" si="58"/>
        <v>4.266421255225054E-3</v>
      </c>
      <c r="AI64" s="23">
        <f t="shared" si="59"/>
        <v>3.8546255506606737E-3</v>
      </c>
      <c r="AJ64" s="24">
        <f t="shared" si="14"/>
        <v>4.9597856827203858E-3</v>
      </c>
      <c r="AK64" s="24">
        <f t="shared" si="15"/>
        <v>4.9607126747991427E-3</v>
      </c>
      <c r="AL64" s="25">
        <f t="shared" si="16"/>
        <v>3.651352417612462E-2</v>
      </c>
      <c r="AM64" s="25">
        <f t="shared" si="17"/>
        <v>3.6531627576403616E-2</v>
      </c>
      <c r="AN64" s="387">
        <f t="shared" si="18"/>
        <v>4.638582031268758E-3</v>
      </c>
      <c r="AO64" s="388">
        <f t="shared" si="19"/>
        <v>4.6908339508008592E-3</v>
      </c>
      <c r="AP64" s="30"/>
      <c r="AQ64" s="36">
        <v>0</v>
      </c>
      <c r="AR64" s="37">
        <v>0</v>
      </c>
      <c r="AS64" s="29" t="e">
        <f>(#REF!/AQ64)-1</f>
        <v>#REF!</v>
      </c>
      <c r="AT64" s="29" t="e">
        <f>(#REF!/AR64)-1</f>
        <v>#REF!</v>
      </c>
    </row>
    <row r="65" spans="1:46">
      <c r="A65" s="202" t="s">
        <v>238</v>
      </c>
      <c r="B65" s="326">
        <v>538882249.6500001</v>
      </c>
      <c r="C65" s="74">
        <v>1000</v>
      </c>
      <c r="D65" s="326">
        <v>544459590.16000009</v>
      </c>
      <c r="E65" s="74">
        <v>1000</v>
      </c>
      <c r="F65" s="23">
        <f>((D65-B65)/B65)</f>
        <v>1.0349831551554037E-2</v>
      </c>
      <c r="G65" s="23">
        <f>((E65-C65)/C65)</f>
        <v>0</v>
      </c>
      <c r="H65" s="326">
        <v>767024906.98000002</v>
      </c>
      <c r="I65" s="74">
        <v>1000</v>
      </c>
      <c r="J65" s="23">
        <f t="shared" si="46"/>
        <v>0.40878206728729816</v>
      </c>
      <c r="K65" s="23">
        <f t="shared" si="47"/>
        <v>0</v>
      </c>
      <c r="L65" s="326">
        <v>766811976.88999999</v>
      </c>
      <c r="M65" s="74">
        <v>1000</v>
      </c>
      <c r="N65" s="23">
        <f t="shared" si="48"/>
        <v>-2.7760518343322255E-4</v>
      </c>
      <c r="O65" s="23">
        <f t="shared" si="49"/>
        <v>0</v>
      </c>
      <c r="P65" s="326">
        <v>766103183.28000009</v>
      </c>
      <c r="Q65" s="74">
        <v>1000</v>
      </c>
      <c r="R65" s="23">
        <f t="shared" si="50"/>
        <v>-9.2433820983676724E-4</v>
      </c>
      <c r="S65" s="23">
        <f t="shared" si="51"/>
        <v>0</v>
      </c>
      <c r="T65" s="326">
        <v>819285447.79000008</v>
      </c>
      <c r="U65" s="74">
        <v>1000</v>
      </c>
      <c r="V65" s="23">
        <f t="shared" si="52"/>
        <v>6.9419192702352486E-2</v>
      </c>
      <c r="W65" s="23">
        <f t="shared" si="53"/>
        <v>0</v>
      </c>
      <c r="X65" s="326">
        <v>847565533.24000001</v>
      </c>
      <c r="Y65" s="74">
        <v>1000</v>
      </c>
      <c r="Z65" s="23">
        <f t="shared" si="54"/>
        <v>3.4517988237536358E-2</v>
      </c>
      <c r="AA65" s="23">
        <f t="shared" si="55"/>
        <v>0</v>
      </c>
      <c r="AB65" s="326">
        <v>857422739.38999999</v>
      </c>
      <c r="AC65" s="74">
        <v>1000</v>
      </c>
      <c r="AD65" s="23">
        <f t="shared" si="56"/>
        <v>1.1630022415280036E-2</v>
      </c>
      <c r="AE65" s="23">
        <f t="shared" si="57"/>
        <v>0</v>
      </c>
      <c r="AF65" s="326">
        <v>657726995.08000004</v>
      </c>
      <c r="AG65" s="74">
        <v>1000</v>
      </c>
      <c r="AH65" s="23">
        <f t="shared" si="58"/>
        <v>-0.23290231893321417</v>
      </c>
      <c r="AI65" s="23">
        <f t="shared" si="59"/>
        <v>0</v>
      </c>
      <c r="AJ65" s="24">
        <f t="shared" si="14"/>
        <v>3.7574354983442103E-2</v>
      </c>
      <c r="AK65" s="24">
        <f t="shared" si="15"/>
        <v>0</v>
      </c>
      <c r="AL65" s="25">
        <f t="shared" si="16"/>
        <v>0.2080363850083238</v>
      </c>
      <c r="AM65" s="25">
        <f t="shared" si="17"/>
        <v>0</v>
      </c>
      <c r="AN65" s="387">
        <f t="shared" si="18"/>
        <v>0.17578616685721749</v>
      </c>
      <c r="AO65" s="388">
        <f t="shared" si="19"/>
        <v>0</v>
      </c>
      <c r="AP65" s="30"/>
      <c r="AQ65" s="28">
        <v>3320655667.8400002</v>
      </c>
      <c r="AR65" s="32">
        <v>177.09</v>
      </c>
      <c r="AS65" s="29" t="e">
        <f>(#REF!/AQ65)-1</f>
        <v>#REF!</v>
      </c>
      <c r="AT65" s="29" t="e">
        <f>(#REF!/AR65)-1</f>
        <v>#REF!</v>
      </c>
    </row>
    <row r="66" spans="1:46">
      <c r="A66" s="202" t="s">
        <v>101</v>
      </c>
      <c r="B66" s="326">
        <v>312162311.66000003</v>
      </c>
      <c r="C66" s="74">
        <v>1157.52</v>
      </c>
      <c r="D66" s="326">
        <v>283455163.86000001</v>
      </c>
      <c r="E66" s="74">
        <v>1157.52</v>
      </c>
      <c r="F66" s="23">
        <f>((D66-B66)/B66)</f>
        <v>-9.1962247611964046E-2</v>
      </c>
      <c r="G66" s="23">
        <f>((E66-C66)/C66)</f>
        <v>0</v>
      </c>
      <c r="H66" s="326">
        <v>283455163.86000001</v>
      </c>
      <c r="I66" s="74">
        <v>1159.02</v>
      </c>
      <c r="J66" s="23">
        <f t="shared" si="46"/>
        <v>0</v>
      </c>
      <c r="K66" s="23">
        <f t="shared" si="47"/>
        <v>1.2958739373833713E-3</v>
      </c>
      <c r="L66" s="326">
        <v>279531751.57999998</v>
      </c>
      <c r="M66" s="74">
        <v>1163.6099999999999</v>
      </c>
      <c r="N66" s="23">
        <f t="shared" si="48"/>
        <v>-1.3841385800040761E-2</v>
      </c>
      <c r="O66" s="23">
        <f t="shared" si="49"/>
        <v>3.9602422736449054E-3</v>
      </c>
      <c r="P66" s="326">
        <v>279255206.41000003</v>
      </c>
      <c r="Q66" s="74">
        <v>1166.33</v>
      </c>
      <c r="R66" s="23">
        <f t="shared" si="50"/>
        <v>-9.8931576980732308E-4</v>
      </c>
      <c r="S66" s="23">
        <f t="shared" si="51"/>
        <v>2.3375529601842777E-3</v>
      </c>
      <c r="T66" s="326">
        <v>280455552.80000001</v>
      </c>
      <c r="U66" s="74">
        <v>1171.9000000000001</v>
      </c>
      <c r="V66" s="23">
        <f t="shared" si="52"/>
        <v>4.2983849985509231E-3</v>
      </c>
      <c r="W66" s="23">
        <f t="shared" si="53"/>
        <v>4.7756638344209311E-3</v>
      </c>
      <c r="X66" s="326">
        <v>281329015.79000002</v>
      </c>
      <c r="Y66" s="74">
        <v>1175.29</v>
      </c>
      <c r="Z66" s="23">
        <f t="shared" si="54"/>
        <v>3.1144435589866826E-3</v>
      </c>
      <c r="AA66" s="23">
        <f t="shared" si="55"/>
        <v>2.892738288249742E-3</v>
      </c>
      <c r="AB66" s="326">
        <v>264535189.61000001</v>
      </c>
      <c r="AC66" s="74">
        <v>1094.5</v>
      </c>
      <c r="AD66" s="23">
        <f t="shared" si="56"/>
        <v>-5.9694611068969415E-2</v>
      </c>
      <c r="AE66" s="23">
        <f t="shared" si="57"/>
        <v>-6.8740481072756487E-2</v>
      </c>
      <c r="AF66" s="326">
        <v>265596152.59999999</v>
      </c>
      <c r="AG66" s="74">
        <v>1100.3499999999999</v>
      </c>
      <c r="AH66" s="23">
        <f t="shared" si="58"/>
        <v>4.0106686432309462E-3</v>
      </c>
      <c r="AI66" s="23">
        <f t="shared" si="59"/>
        <v>5.3449063499313929E-3</v>
      </c>
      <c r="AJ66" s="24">
        <f t="shared" si="14"/>
        <v>-1.9383007881251624E-2</v>
      </c>
      <c r="AK66" s="24">
        <f t="shared" si="15"/>
        <v>-6.0166879286177337E-3</v>
      </c>
      <c r="AL66" s="25">
        <f t="shared" si="16"/>
        <v>-6.3004713044567007E-2</v>
      </c>
      <c r="AM66" s="25">
        <f t="shared" si="17"/>
        <v>-4.9390075333471624E-2</v>
      </c>
      <c r="AN66" s="387">
        <f t="shared" si="18"/>
        <v>3.6354833952749764E-2</v>
      </c>
      <c r="AO66" s="388">
        <f t="shared" si="19"/>
        <v>2.5405903011458515E-2</v>
      </c>
      <c r="AP66" s="30"/>
      <c r="AQ66" s="46">
        <v>1300500308</v>
      </c>
      <c r="AR66" s="32">
        <v>1.19</v>
      </c>
      <c r="AS66" s="29" t="e">
        <f>(#REF!/AQ66)-1</f>
        <v>#REF!</v>
      </c>
      <c r="AT66" s="29" t="e">
        <f>(#REF!/AR66)-1</f>
        <v>#REF!</v>
      </c>
    </row>
    <row r="67" spans="1:46">
      <c r="A67" s="202" t="s">
        <v>170</v>
      </c>
      <c r="B67" s="326">
        <v>707276606.19000006</v>
      </c>
      <c r="C67" s="311">
        <v>1.0438000000000001</v>
      </c>
      <c r="D67" s="326">
        <v>710216995.62</v>
      </c>
      <c r="E67" s="311">
        <v>1.0475000000000001</v>
      </c>
      <c r="F67" s="23">
        <f>((D67-B67)/B67)</f>
        <v>4.1573401470740186E-3</v>
      </c>
      <c r="G67" s="23">
        <f>((E67-C67)/C67)</f>
        <v>3.544740371718755E-3</v>
      </c>
      <c r="H67" s="326">
        <v>711641333.46000004</v>
      </c>
      <c r="I67" s="311">
        <v>1.0494000000000001</v>
      </c>
      <c r="J67" s="23">
        <f t="shared" si="46"/>
        <v>2.0054966985922737E-3</v>
      </c>
      <c r="K67" s="23">
        <f t="shared" si="47"/>
        <v>1.8138424821002508E-3</v>
      </c>
      <c r="L67" s="326">
        <v>712878368.46000004</v>
      </c>
      <c r="M67" s="311">
        <v>1.0510999999999999</v>
      </c>
      <c r="N67" s="23">
        <f t="shared" si="48"/>
        <v>1.7382843601643206E-3</v>
      </c>
      <c r="O67" s="23">
        <f t="shared" si="49"/>
        <v>1.619973318086347E-3</v>
      </c>
      <c r="P67" s="326">
        <v>714449304</v>
      </c>
      <c r="Q67" s="311">
        <v>1.0529999999999999</v>
      </c>
      <c r="R67" s="23">
        <f t="shared" si="50"/>
        <v>2.2036515757850603E-3</v>
      </c>
      <c r="S67" s="23">
        <f t="shared" si="51"/>
        <v>1.8076301017981285E-3</v>
      </c>
      <c r="T67" s="326">
        <v>716982747.07000005</v>
      </c>
      <c r="U67" s="311">
        <v>1.0568</v>
      </c>
      <c r="V67" s="23">
        <f t="shared" si="52"/>
        <v>3.5460081713510247E-3</v>
      </c>
      <c r="W67" s="23">
        <f t="shared" si="53"/>
        <v>3.6087369420702998E-3</v>
      </c>
      <c r="X67" s="326">
        <v>720852198.14999998</v>
      </c>
      <c r="Y67" s="311">
        <v>1.0612999999999999</v>
      </c>
      <c r="Z67" s="23">
        <f t="shared" si="54"/>
        <v>5.3968538236278422E-3</v>
      </c>
      <c r="AA67" s="23">
        <f t="shared" si="55"/>
        <v>4.2581377744132743E-3</v>
      </c>
      <c r="AB67" s="326">
        <v>723138750.88999999</v>
      </c>
      <c r="AC67" s="311">
        <v>1.1289</v>
      </c>
      <c r="AD67" s="23">
        <f t="shared" si="56"/>
        <v>3.1720132724409166E-3</v>
      </c>
      <c r="AE67" s="23">
        <f t="shared" si="57"/>
        <v>6.3695467822481963E-2</v>
      </c>
      <c r="AF67" s="326">
        <v>724601569.22000003</v>
      </c>
      <c r="AG67" s="311">
        <v>1.0658000000000001</v>
      </c>
      <c r="AH67" s="23">
        <f t="shared" si="58"/>
        <v>2.0228736576482528E-3</v>
      </c>
      <c r="AI67" s="23">
        <f t="shared" si="59"/>
        <v>-5.5895119142528066E-2</v>
      </c>
      <c r="AJ67" s="24">
        <f t="shared" si="14"/>
        <v>3.0303152133354639E-3</v>
      </c>
      <c r="AK67" s="24">
        <f t="shared" si="15"/>
        <v>3.056676208767619E-3</v>
      </c>
      <c r="AL67" s="25">
        <f t="shared" si="16"/>
        <v>2.0253772704274253E-2</v>
      </c>
      <c r="AM67" s="25">
        <f t="shared" si="17"/>
        <v>1.7470167064439122E-2</v>
      </c>
      <c r="AN67" s="387">
        <f t="shared" si="18"/>
        <v>1.285891338091664E-3</v>
      </c>
      <c r="AO67" s="388">
        <f t="shared" si="19"/>
        <v>3.1981093919761464E-2</v>
      </c>
      <c r="AP67" s="30"/>
      <c r="AQ67" s="31">
        <v>776682398.99000001</v>
      </c>
      <c r="AR67" s="35">
        <v>2.4700000000000002</v>
      </c>
      <c r="AS67" s="29" t="e">
        <f>(#REF!/AQ67)-1</f>
        <v>#REF!</v>
      </c>
      <c r="AT67" s="29" t="e">
        <f>(#REF!/AR67)-1</f>
        <v>#REF!</v>
      </c>
    </row>
    <row r="68" spans="1:46">
      <c r="A68" s="202" t="s">
        <v>210</v>
      </c>
      <c r="B68" s="326">
        <v>66728090200.639999</v>
      </c>
      <c r="C68" s="326">
        <v>1536.72</v>
      </c>
      <c r="D68" s="326">
        <v>67040704989.099998</v>
      </c>
      <c r="E68" s="326">
        <v>1540.08</v>
      </c>
      <c r="F68" s="23">
        <f>((D68-B68)/B68)</f>
        <v>4.6849053752328245E-3</v>
      </c>
      <c r="G68" s="23">
        <f>((E68-C68)/C68)</f>
        <v>2.1864750898015904E-3</v>
      </c>
      <c r="H68" s="326">
        <v>67119433047.849998</v>
      </c>
      <c r="I68" s="326">
        <v>1543.44</v>
      </c>
      <c r="J68" s="23">
        <f t="shared" si="46"/>
        <v>1.174332202544711E-3</v>
      </c>
      <c r="K68" s="23">
        <f t="shared" si="47"/>
        <v>2.1817048465015633E-3</v>
      </c>
      <c r="L68" s="326">
        <v>66573844982.93</v>
      </c>
      <c r="M68" s="326">
        <v>1546.83</v>
      </c>
      <c r="N68" s="23">
        <f t="shared" si="48"/>
        <v>-8.1286155163295837E-3</v>
      </c>
      <c r="O68" s="23">
        <f t="shared" si="49"/>
        <v>2.1963924739542015E-3</v>
      </c>
      <c r="P68" s="326">
        <v>66586071668.029999</v>
      </c>
      <c r="Q68" s="326">
        <v>1550.28</v>
      </c>
      <c r="R68" s="23">
        <f t="shared" si="50"/>
        <v>1.8365598536682811E-4</v>
      </c>
      <c r="S68" s="23">
        <f t="shared" si="51"/>
        <v>2.2303679137332774E-3</v>
      </c>
      <c r="T68" s="326">
        <v>67249605090.529999</v>
      </c>
      <c r="U68" s="326">
        <v>1553.62</v>
      </c>
      <c r="V68" s="23">
        <f t="shared" si="52"/>
        <v>9.9650483333526135E-3</v>
      </c>
      <c r="W68" s="23">
        <f t="shared" si="53"/>
        <v>2.1544495187965518E-3</v>
      </c>
      <c r="X68" s="326">
        <v>67394318452.419998</v>
      </c>
      <c r="Y68" s="326">
        <v>1557.09</v>
      </c>
      <c r="Z68" s="23">
        <f t="shared" si="54"/>
        <v>2.151884188690615E-3</v>
      </c>
      <c r="AA68" s="23">
        <f t="shared" si="55"/>
        <v>2.2334933896319738E-3</v>
      </c>
      <c r="AB68" s="326">
        <v>67204708627.720001</v>
      </c>
      <c r="AC68" s="326">
        <v>1560.5</v>
      </c>
      <c r="AD68" s="23">
        <f t="shared" si="56"/>
        <v>-2.813439308446459E-3</v>
      </c>
      <c r="AE68" s="23">
        <f t="shared" si="57"/>
        <v>2.1899825957395411E-3</v>
      </c>
      <c r="AF68" s="326">
        <v>67192842137.190002</v>
      </c>
      <c r="AG68" s="326">
        <v>1563.84</v>
      </c>
      <c r="AH68" s="23">
        <f t="shared" si="58"/>
        <v>-1.765723082847233E-4</v>
      </c>
      <c r="AI68" s="23">
        <f t="shared" si="59"/>
        <v>2.1403396347324053E-3</v>
      </c>
      <c r="AJ68" s="24">
        <f t="shared" si="14"/>
        <v>8.801498690158533E-4</v>
      </c>
      <c r="AK68" s="24">
        <f t="shared" si="15"/>
        <v>2.189150682861388E-3</v>
      </c>
      <c r="AL68" s="25">
        <f t="shared" si="16"/>
        <v>2.2693250035890826E-3</v>
      </c>
      <c r="AM68" s="25">
        <f t="shared" si="17"/>
        <v>1.5427769985974749E-2</v>
      </c>
      <c r="AN68" s="387">
        <f t="shared" si="18"/>
        <v>5.2795781252539505E-3</v>
      </c>
      <c r="AO68" s="388">
        <f t="shared" si="19"/>
        <v>3.2442388202519974E-5</v>
      </c>
      <c r="AP68" s="30"/>
      <c r="AQ68" s="28">
        <v>8144502990.9799995</v>
      </c>
      <c r="AR68" s="28">
        <v>2263.5700000000002</v>
      </c>
      <c r="AS68" s="29" t="e">
        <f>(#REF!/AQ68)-1</f>
        <v>#REF!</v>
      </c>
      <c r="AT68" s="29" t="e">
        <f>(#REF!/AR68)-1</f>
        <v>#REF!</v>
      </c>
    </row>
    <row r="69" spans="1:46">
      <c r="A69" s="202" t="s">
        <v>174</v>
      </c>
      <c r="B69" s="326">
        <v>21385156.890000001</v>
      </c>
      <c r="C69" s="326">
        <v>0.63800000000000001</v>
      </c>
      <c r="D69" s="326">
        <v>21525033.219999999</v>
      </c>
      <c r="E69" s="326">
        <v>0.6421</v>
      </c>
      <c r="F69" s="23">
        <f>((D69-B69)/B69)</f>
        <v>6.5408138326731825E-3</v>
      </c>
      <c r="G69" s="23">
        <f>((E69-C69)/C69)</f>
        <v>6.426332288401242E-3</v>
      </c>
      <c r="H69" s="326">
        <v>21606986.210000001</v>
      </c>
      <c r="I69" s="326">
        <v>0.64459999999999995</v>
      </c>
      <c r="J69" s="23">
        <f t="shared" si="46"/>
        <v>3.8073339614572771E-3</v>
      </c>
      <c r="K69" s="23">
        <f t="shared" si="47"/>
        <v>3.8934745366764473E-3</v>
      </c>
      <c r="L69" s="326">
        <v>21647941.760000002</v>
      </c>
      <c r="M69" s="326">
        <v>0.64580000000000004</v>
      </c>
      <c r="N69" s="23">
        <f t="shared" si="48"/>
        <v>1.8954772128769153E-3</v>
      </c>
      <c r="O69" s="23">
        <f t="shared" si="49"/>
        <v>1.8616196090600217E-3</v>
      </c>
      <c r="P69" s="326">
        <v>21711622.109999999</v>
      </c>
      <c r="Q69" s="326">
        <v>0.64770000000000005</v>
      </c>
      <c r="R69" s="23">
        <f t="shared" si="50"/>
        <v>2.9416353160032598E-3</v>
      </c>
      <c r="S69" s="23">
        <f t="shared" si="51"/>
        <v>2.942087333539815E-3</v>
      </c>
      <c r="T69" s="326">
        <v>21761622.530000001</v>
      </c>
      <c r="U69" s="326">
        <v>0.6492</v>
      </c>
      <c r="V69" s="23">
        <f t="shared" si="52"/>
        <v>2.3029334126524088E-3</v>
      </c>
      <c r="W69" s="23">
        <f t="shared" si="53"/>
        <v>2.3158869847150622E-3</v>
      </c>
      <c r="X69" s="326">
        <v>21811589.719999999</v>
      </c>
      <c r="Y69" s="326">
        <v>0.65069999999999995</v>
      </c>
      <c r="Z69" s="23">
        <f t="shared" si="54"/>
        <v>2.2961150957891197E-3</v>
      </c>
      <c r="AA69" s="23">
        <f t="shared" si="55"/>
        <v>2.3105360443622085E-3</v>
      </c>
      <c r="AB69" s="326">
        <v>21859957.219999999</v>
      </c>
      <c r="AC69" s="326">
        <v>0.65210000000000001</v>
      </c>
      <c r="AD69" s="23">
        <f t="shared" si="56"/>
        <v>2.2175137447982404E-3</v>
      </c>
      <c r="AE69" s="23">
        <f t="shared" si="57"/>
        <v>2.1515291224835837E-3</v>
      </c>
      <c r="AF69" s="326">
        <v>21906034.350000001</v>
      </c>
      <c r="AG69" s="326">
        <v>0.65349999999999997</v>
      </c>
      <c r="AH69" s="23">
        <f t="shared" si="58"/>
        <v>2.1078325788234406E-3</v>
      </c>
      <c r="AI69" s="23">
        <f t="shared" si="59"/>
        <v>2.1469099831313552E-3</v>
      </c>
      <c r="AJ69" s="24">
        <f t="shared" si="14"/>
        <v>3.0137068943842308E-3</v>
      </c>
      <c r="AK69" s="24">
        <f t="shared" si="15"/>
        <v>3.0060469877962173E-3</v>
      </c>
      <c r="AL69" s="25">
        <f t="shared" si="16"/>
        <v>1.7700373611781246E-2</v>
      </c>
      <c r="AM69" s="25">
        <f t="shared" si="17"/>
        <v>1.7754243887244923E-2</v>
      </c>
      <c r="AN69" s="387">
        <f t="shared" si="18"/>
        <v>1.5492222909537473E-3</v>
      </c>
      <c r="AO69" s="388">
        <f t="shared" si="19"/>
        <v>1.5225944742835872E-3</v>
      </c>
      <c r="AP69" s="30"/>
      <c r="AQ69" s="28"/>
      <c r="AR69" s="28"/>
      <c r="AS69" s="29"/>
      <c r="AT69" s="29"/>
    </row>
    <row r="70" spans="1:46">
      <c r="A70" s="202" t="s">
        <v>104</v>
      </c>
      <c r="B70" s="326">
        <v>745411120.92999995</v>
      </c>
      <c r="C70" s="327">
        <v>204.46580700000001</v>
      </c>
      <c r="D70" s="326">
        <v>740491563.21000004</v>
      </c>
      <c r="E70" s="327">
        <v>203.61999900000001</v>
      </c>
      <c r="F70" s="23">
        <f>((D70-B70)/B70)</f>
        <v>-6.5997911513073536E-3</v>
      </c>
      <c r="G70" s="23">
        <f>((E70-C70)/C70)</f>
        <v>-4.1366721038105176E-3</v>
      </c>
      <c r="H70" s="326">
        <v>732213641.27999997</v>
      </c>
      <c r="I70" s="327">
        <v>204.84912299999999</v>
      </c>
      <c r="J70" s="23">
        <f t="shared" si="46"/>
        <v>-1.1178955090474793E-2</v>
      </c>
      <c r="K70" s="23">
        <f t="shared" si="47"/>
        <v>6.0363618801509986E-3</v>
      </c>
      <c r="L70" s="326">
        <v>756899028.12</v>
      </c>
      <c r="M70" s="327">
        <v>204.426231</v>
      </c>
      <c r="N70" s="23">
        <f t="shared" si="48"/>
        <v>3.371336649348259E-2</v>
      </c>
      <c r="O70" s="23">
        <f t="shared" si="49"/>
        <v>-2.0644071783504307E-3</v>
      </c>
      <c r="P70" s="326">
        <v>905766915.50999999</v>
      </c>
      <c r="Q70" s="326">
        <v>204.76953</v>
      </c>
      <c r="R70" s="23">
        <f t="shared" si="50"/>
        <v>0.19668130339625464</v>
      </c>
      <c r="S70" s="23">
        <f t="shared" si="51"/>
        <v>1.6793294985710605E-3</v>
      </c>
      <c r="T70" s="326">
        <v>974655774.58000004</v>
      </c>
      <c r="U70" s="326">
        <v>205.39851899999999</v>
      </c>
      <c r="V70" s="23">
        <f t="shared" si="52"/>
        <v>7.6055834995045687E-2</v>
      </c>
      <c r="W70" s="23">
        <f t="shared" si="53"/>
        <v>3.0716923557913621E-3</v>
      </c>
      <c r="X70" s="326">
        <v>976106839.76999998</v>
      </c>
      <c r="Y70" s="326">
        <v>205.718999</v>
      </c>
      <c r="Z70" s="23">
        <f t="shared" si="54"/>
        <v>1.4887976122905883E-3</v>
      </c>
      <c r="AA70" s="23">
        <f t="shared" si="55"/>
        <v>1.5602838889018642E-3</v>
      </c>
      <c r="AB70" s="326">
        <v>979375730.53999996</v>
      </c>
      <c r="AC70" s="326">
        <v>206.96445700000001</v>
      </c>
      <c r="AD70" s="23">
        <f t="shared" si="56"/>
        <v>3.3489067352199166E-3</v>
      </c>
      <c r="AE70" s="23">
        <f t="shared" si="57"/>
        <v>6.0541710102333017E-3</v>
      </c>
      <c r="AF70" s="326">
        <v>988314510.83000004</v>
      </c>
      <c r="AG70" s="326">
        <v>207.55206699999999</v>
      </c>
      <c r="AH70" s="23">
        <f t="shared" si="58"/>
        <v>9.1270183763605128E-3</v>
      </c>
      <c r="AI70" s="23">
        <f t="shared" si="59"/>
        <v>2.839183155008996E-3</v>
      </c>
      <c r="AJ70" s="24">
        <f t="shared" ref="AJ70:AJ133" si="60">AVERAGE(F70,J70,N70,R70,V70,Z70,AD70,AH70)</f>
        <v>3.7829560170858978E-2</v>
      </c>
      <c r="AK70" s="24">
        <f t="shared" ref="AK70:AK133" si="61">AVERAGE(G70,K70,O70,S70,W70,AA70,AE70,AI70)</f>
        <v>1.8799928133120794E-3</v>
      </c>
      <c r="AL70" s="25">
        <f t="shared" ref="AL70:AL133" si="62">((AF70-D70)/D70)</f>
        <v>0.33467356001423954</v>
      </c>
      <c r="AM70" s="25">
        <f t="shared" ref="AM70:AM133" si="63">((AG70-E70)/E70)</f>
        <v>1.9310814356697775E-2</v>
      </c>
      <c r="AN70" s="387">
        <f t="shared" ref="AN70:AN133" si="64">STDEV(F70,J70,N70,R70,V70,Z70,AD70,AH70)</f>
        <v>7.0123637425266505E-2</v>
      </c>
      <c r="AO70" s="388">
        <f t="shared" ref="AO70:AO133" si="65">STDEV(G70,K70,O70,S70,W70,AA70,AE70,AI70)</f>
        <v>3.5645153734307554E-3</v>
      </c>
      <c r="AP70" s="30"/>
      <c r="AQ70" s="28">
        <v>421796041.39999998</v>
      </c>
      <c r="AR70" s="28">
        <v>2004.5</v>
      </c>
      <c r="AS70" s="29" t="e">
        <f>(#REF!/AQ70)-1</f>
        <v>#REF!</v>
      </c>
      <c r="AT70" s="29" t="e">
        <f>(#REF!/AR70)-1</f>
        <v>#REF!</v>
      </c>
    </row>
    <row r="71" spans="1:46">
      <c r="A71" s="202" t="s">
        <v>111</v>
      </c>
      <c r="B71" s="326">
        <v>1356912544.1400001</v>
      </c>
      <c r="C71" s="327">
        <v>3.56</v>
      </c>
      <c r="D71" s="326">
        <v>1242357846.8699999</v>
      </c>
      <c r="E71" s="327">
        <v>3.49</v>
      </c>
      <c r="F71" s="23">
        <f>((D71-B71)/B71)</f>
        <v>-8.442305126053945E-2</v>
      </c>
      <c r="G71" s="23">
        <f>((E71-C71)/C71)</f>
        <v>-1.9662921348314561E-2</v>
      </c>
      <c r="H71" s="326">
        <v>1243441877.8900001</v>
      </c>
      <c r="I71" s="327">
        <v>3.49</v>
      </c>
      <c r="J71" s="23">
        <f t="shared" si="46"/>
        <v>8.7255940205258119E-4</v>
      </c>
      <c r="K71" s="23">
        <f t="shared" si="47"/>
        <v>0</v>
      </c>
      <c r="L71" s="326">
        <v>1244741221.6400001</v>
      </c>
      <c r="M71" s="327">
        <v>3.5</v>
      </c>
      <c r="N71" s="23">
        <f t="shared" si="48"/>
        <v>1.0449573664069124E-3</v>
      </c>
      <c r="O71" s="23">
        <f t="shared" si="49"/>
        <v>2.8653295128939216E-3</v>
      </c>
      <c r="P71" s="326">
        <v>1245630004.48</v>
      </c>
      <c r="Q71" s="327">
        <v>3.5</v>
      </c>
      <c r="R71" s="23">
        <f t="shared" si="50"/>
        <v>7.1403021330723228E-4</v>
      </c>
      <c r="S71" s="23">
        <f t="shared" si="51"/>
        <v>0</v>
      </c>
      <c r="T71" s="326">
        <v>1245948704.3099999</v>
      </c>
      <c r="U71" s="327">
        <v>3.5</v>
      </c>
      <c r="V71" s="23">
        <f t="shared" si="52"/>
        <v>2.5585432982000781E-4</v>
      </c>
      <c r="W71" s="23">
        <f t="shared" si="53"/>
        <v>0</v>
      </c>
      <c r="X71" s="326">
        <v>1241553264.1600001</v>
      </c>
      <c r="Y71" s="327">
        <v>3.51</v>
      </c>
      <c r="Z71" s="23">
        <f t="shared" si="54"/>
        <v>-3.5277858027341737E-3</v>
      </c>
      <c r="AA71" s="23">
        <f t="shared" si="55"/>
        <v>2.8571428571427964E-3</v>
      </c>
      <c r="AB71" s="326">
        <v>1244684457.24</v>
      </c>
      <c r="AC71" s="327">
        <v>3.51</v>
      </c>
      <c r="AD71" s="23">
        <f t="shared" si="56"/>
        <v>2.5219965750872563E-3</v>
      </c>
      <c r="AE71" s="23">
        <f t="shared" si="57"/>
        <v>0</v>
      </c>
      <c r="AF71" s="326">
        <v>1244226232.96</v>
      </c>
      <c r="AG71" s="327">
        <v>3.51</v>
      </c>
      <c r="AH71" s="23">
        <f t="shared" si="58"/>
        <v>-3.6814493611983507E-4</v>
      </c>
      <c r="AI71" s="23">
        <f t="shared" si="59"/>
        <v>0</v>
      </c>
      <c r="AJ71" s="24">
        <f t="shared" si="60"/>
        <v>-1.0363698014089933E-2</v>
      </c>
      <c r="AK71" s="24">
        <f t="shared" si="61"/>
        <v>-1.7425561222847304E-3</v>
      </c>
      <c r="AL71" s="25">
        <f t="shared" si="62"/>
        <v>1.5039033195688104E-3</v>
      </c>
      <c r="AM71" s="25">
        <f t="shared" si="63"/>
        <v>5.7306590257878431E-3</v>
      </c>
      <c r="AN71" s="387">
        <f t="shared" si="64"/>
        <v>2.9974683504588373E-2</v>
      </c>
      <c r="AO71" s="388">
        <f t="shared" si="65"/>
        <v>7.3553851968578736E-3</v>
      </c>
      <c r="AP71" s="30"/>
      <c r="AQ71" s="28"/>
      <c r="AR71" s="28"/>
      <c r="AS71" s="29"/>
      <c r="AT71" s="29"/>
    </row>
    <row r="72" spans="1:46">
      <c r="A72" s="202" t="s">
        <v>85</v>
      </c>
      <c r="B72" s="326">
        <v>16286957930.43</v>
      </c>
      <c r="C72" s="326">
        <v>1179.81</v>
      </c>
      <c r="D72" s="326">
        <v>16337580274.32</v>
      </c>
      <c r="E72" s="326">
        <v>1181.3599999999999</v>
      </c>
      <c r="F72" s="23">
        <f>((D72-B72)/B72)</f>
        <v>3.1081521857079472E-3</v>
      </c>
      <c r="G72" s="23">
        <f>((E72-C72)/C72)</f>
        <v>1.3137708614098496E-3</v>
      </c>
      <c r="H72" s="326">
        <v>15929112292.889999</v>
      </c>
      <c r="I72" s="326">
        <v>1183.05</v>
      </c>
      <c r="J72" s="23">
        <f t="shared" si="46"/>
        <v>-2.5001742887962735E-2</v>
      </c>
      <c r="K72" s="23">
        <f t="shared" si="47"/>
        <v>1.4305546150200233E-3</v>
      </c>
      <c r="L72" s="326">
        <v>15988388198.799999</v>
      </c>
      <c r="M72" s="326">
        <v>1191.53</v>
      </c>
      <c r="N72" s="23">
        <f t="shared" si="48"/>
        <v>3.7212309650461691E-3</v>
      </c>
      <c r="O72" s="23">
        <f t="shared" si="49"/>
        <v>7.1679134440640873E-3</v>
      </c>
      <c r="P72" s="326">
        <v>16074541304.75</v>
      </c>
      <c r="Q72" s="326">
        <v>1193.5</v>
      </c>
      <c r="R72" s="23">
        <f t="shared" si="50"/>
        <v>5.3884797440974658E-3</v>
      </c>
      <c r="S72" s="23">
        <f t="shared" si="51"/>
        <v>1.6533364665598242E-3</v>
      </c>
      <c r="T72" s="326">
        <v>16256989084.93</v>
      </c>
      <c r="U72" s="326">
        <v>1195.07</v>
      </c>
      <c r="V72" s="23">
        <f t="shared" si="52"/>
        <v>1.1350108019946254E-2</v>
      </c>
      <c r="W72" s="23">
        <f t="shared" si="53"/>
        <v>1.3154587348135202E-3</v>
      </c>
      <c r="X72" s="326">
        <v>16322168283.280001</v>
      </c>
      <c r="Y72" s="326">
        <v>1196.8699999999999</v>
      </c>
      <c r="Z72" s="23">
        <f t="shared" si="54"/>
        <v>4.0093031993495391E-3</v>
      </c>
      <c r="AA72" s="23">
        <f t="shared" si="55"/>
        <v>1.5061879220463694E-3</v>
      </c>
      <c r="AB72" s="326">
        <v>16634890992.860001</v>
      </c>
      <c r="AC72" s="326">
        <v>1198.94</v>
      </c>
      <c r="AD72" s="23">
        <f t="shared" si="56"/>
        <v>1.9159385208664025E-2</v>
      </c>
      <c r="AE72" s="23">
        <f t="shared" si="57"/>
        <v>1.7295111415610417E-3</v>
      </c>
      <c r="AF72" s="326">
        <v>16604859331.24</v>
      </c>
      <c r="AG72" s="326">
        <v>1176.9100000000001</v>
      </c>
      <c r="AH72" s="23">
        <f t="shared" si="58"/>
        <v>-1.8053416540505722E-3</v>
      </c>
      <c r="AI72" s="23">
        <f t="shared" si="59"/>
        <v>-1.8374564198375208E-2</v>
      </c>
      <c r="AJ72" s="24">
        <f t="shared" si="60"/>
        <v>2.4911968475997619E-3</v>
      </c>
      <c r="AK72" s="24">
        <f t="shared" si="61"/>
        <v>-2.8222887661256187E-4</v>
      </c>
      <c r="AL72" s="25">
        <f t="shared" si="62"/>
        <v>1.6359770078076923E-2</v>
      </c>
      <c r="AM72" s="25">
        <f t="shared" si="63"/>
        <v>-3.7668449922122118E-3</v>
      </c>
      <c r="AN72" s="387">
        <f t="shared" si="64"/>
        <v>1.2779578026208969E-2</v>
      </c>
      <c r="AO72" s="388">
        <f t="shared" si="65"/>
        <v>7.5768690470617329E-3</v>
      </c>
      <c r="AP72" s="30"/>
      <c r="AQ72" s="28"/>
      <c r="AR72" s="28"/>
      <c r="AS72" s="29"/>
      <c r="AT72" s="29"/>
    </row>
    <row r="73" spans="1:46">
      <c r="A73" s="202" t="s">
        <v>17</v>
      </c>
      <c r="B73" s="326">
        <v>2185516775</v>
      </c>
      <c r="C73" s="327">
        <v>103.56</v>
      </c>
      <c r="D73" s="326">
        <v>1928845437</v>
      </c>
      <c r="E73" s="327">
        <v>103.76</v>
      </c>
      <c r="F73" s="23">
        <f>((D73-B73)/B73)</f>
        <v>-0.11744194367943024</v>
      </c>
      <c r="G73" s="23">
        <f>((E73-C73)/C73)</f>
        <v>1.9312475859405451E-3</v>
      </c>
      <c r="H73" s="326">
        <v>1996672494</v>
      </c>
      <c r="I73" s="327">
        <v>103.95</v>
      </c>
      <c r="J73" s="23">
        <f t="shared" si="46"/>
        <v>3.5164588981009159E-2</v>
      </c>
      <c r="K73" s="23">
        <f t="shared" si="47"/>
        <v>1.8311488049344421E-3</v>
      </c>
      <c r="L73" s="326">
        <v>1752480340</v>
      </c>
      <c r="M73" s="327">
        <v>104.15</v>
      </c>
      <c r="N73" s="23">
        <f t="shared" si="48"/>
        <v>-0.12229955324861605</v>
      </c>
      <c r="O73" s="23">
        <f t="shared" si="49"/>
        <v>1.9240019240019514E-3</v>
      </c>
      <c r="P73" s="326">
        <v>1752480340</v>
      </c>
      <c r="Q73" s="327">
        <v>104.31</v>
      </c>
      <c r="R73" s="23">
        <f t="shared" si="50"/>
        <v>0</v>
      </c>
      <c r="S73" s="23">
        <f t="shared" si="51"/>
        <v>1.5362457993278596E-3</v>
      </c>
      <c r="T73" s="326">
        <v>1226133454</v>
      </c>
      <c r="U73" s="327">
        <v>103.45</v>
      </c>
      <c r="V73" s="23">
        <f t="shared" si="52"/>
        <v>-0.300343960492019</v>
      </c>
      <c r="W73" s="23">
        <f t="shared" si="53"/>
        <v>-8.2446553542325704E-3</v>
      </c>
      <c r="X73" s="326">
        <v>1286495315</v>
      </c>
      <c r="Y73" s="327">
        <v>103.64</v>
      </c>
      <c r="Z73" s="23">
        <f t="shared" si="54"/>
        <v>4.922943811954747E-2</v>
      </c>
      <c r="AA73" s="23">
        <f t="shared" si="55"/>
        <v>1.8366360560657102E-3</v>
      </c>
      <c r="AB73" s="326">
        <v>1286103304</v>
      </c>
      <c r="AC73" s="327">
        <v>103.64</v>
      </c>
      <c r="AD73" s="23">
        <f t="shared" si="56"/>
        <v>-3.0471234168466445E-4</v>
      </c>
      <c r="AE73" s="23">
        <f t="shared" si="57"/>
        <v>0</v>
      </c>
      <c r="AF73" s="326">
        <v>1286103304</v>
      </c>
      <c r="AG73" s="327">
        <v>103.83</v>
      </c>
      <c r="AH73" s="23">
        <f t="shared" si="58"/>
        <v>0</v>
      </c>
      <c r="AI73" s="23">
        <f t="shared" si="59"/>
        <v>1.8332690081049568E-3</v>
      </c>
      <c r="AJ73" s="24">
        <f t="shared" si="60"/>
        <v>-5.6999517832649164E-2</v>
      </c>
      <c r="AK73" s="24">
        <f t="shared" si="61"/>
        <v>3.3098672801786183E-4</v>
      </c>
      <c r="AL73" s="25">
        <f t="shared" si="62"/>
        <v>-0.33322635431052428</v>
      </c>
      <c r="AM73" s="25">
        <f t="shared" si="63"/>
        <v>6.7463377023894739E-4</v>
      </c>
      <c r="AN73" s="387">
        <f t="shared" si="64"/>
        <v>0.11748854287254076</v>
      </c>
      <c r="AO73" s="388">
        <f t="shared" si="65"/>
        <v>3.5249455760567121E-3</v>
      </c>
      <c r="AP73" s="30"/>
      <c r="AQ73" s="28"/>
      <c r="AR73" s="28"/>
      <c r="AS73" s="29"/>
      <c r="AT73" s="29"/>
    </row>
    <row r="74" spans="1:46">
      <c r="A74" s="202" t="s">
        <v>220</v>
      </c>
      <c r="B74" s="326">
        <v>1559022409.8199999</v>
      </c>
      <c r="C74" s="327">
        <v>336.4341</v>
      </c>
      <c r="D74" s="326">
        <v>1561516246.0999999</v>
      </c>
      <c r="E74" s="327">
        <v>336.9554</v>
      </c>
      <c r="F74" s="23">
        <f>((D74-B74)/B74)</f>
        <v>1.5996154155910448E-3</v>
      </c>
      <c r="G74" s="23">
        <f>((E74-C74)/C74)</f>
        <v>1.5494862143878893E-3</v>
      </c>
      <c r="H74" s="326">
        <v>1565314267.6199999</v>
      </c>
      <c r="I74" s="327">
        <v>337.70100000000002</v>
      </c>
      <c r="J74" s="23">
        <f t="shared" si="46"/>
        <v>2.4322651329986575E-3</v>
      </c>
      <c r="K74" s="23">
        <f t="shared" si="47"/>
        <v>2.212755753432129E-3</v>
      </c>
      <c r="L74" s="326">
        <v>1568546174.75</v>
      </c>
      <c r="M74" s="327">
        <v>338.38470000000001</v>
      </c>
      <c r="N74" s="23">
        <f t="shared" si="48"/>
        <v>2.064701764275173E-3</v>
      </c>
      <c r="O74" s="23">
        <f t="shared" si="49"/>
        <v>2.0245720326560702E-3</v>
      </c>
      <c r="P74" s="326">
        <v>1571852032.3800001</v>
      </c>
      <c r="Q74" s="327">
        <v>339.07859999999999</v>
      </c>
      <c r="R74" s="23">
        <f t="shared" si="50"/>
        <v>2.1075934411220075E-3</v>
      </c>
      <c r="S74" s="23">
        <f t="shared" si="51"/>
        <v>2.0506246293050044E-3</v>
      </c>
      <c r="T74" s="326">
        <v>1575703570.24</v>
      </c>
      <c r="U74" s="327">
        <v>339.79730000000001</v>
      </c>
      <c r="V74" s="23">
        <f t="shared" si="52"/>
        <v>2.4503183382777686E-3</v>
      </c>
      <c r="W74" s="23">
        <f t="shared" si="53"/>
        <v>2.1195675574926065E-3</v>
      </c>
      <c r="X74" s="326">
        <v>1579142949.23</v>
      </c>
      <c r="Y74" s="327">
        <v>340.48169999999999</v>
      </c>
      <c r="Z74" s="23">
        <f t="shared" si="54"/>
        <v>2.1827576296448623E-3</v>
      </c>
      <c r="AA74" s="23">
        <f t="shared" si="55"/>
        <v>2.0141419605158202E-3</v>
      </c>
      <c r="AB74" s="326">
        <v>1582302147.95</v>
      </c>
      <c r="AC74" s="327">
        <v>341.1628</v>
      </c>
      <c r="AD74" s="23">
        <f t="shared" si="56"/>
        <v>2.0005780487070369E-3</v>
      </c>
      <c r="AE74" s="23">
        <f t="shared" si="57"/>
        <v>2.0004011963051611E-3</v>
      </c>
      <c r="AF74" s="326">
        <v>1585745578.7</v>
      </c>
      <c r="AG74" s="327">
        <v>341.84410000000003</v>
      </c>
      <c r="AH74" s="23">
        <f t="shared" si="58"/>
        <v>2.1762156832443426E-3</v>
      </c>
      <c r="AI74" s="23">
        <f t="shared" si="59"/>
        <v>1.9969938105796458E-3</v>
      </c>
      <c r="AJ74" s="24">
        <f t="shared" si="60"/>
        <v>2.1267556817326115E-3</v>
      </c>
      <c r="AK74" s="24">
        <f t="shared" si="61"/>
        <v>1.9960678943342905E-3</v>
      </c>
      <c r="AL74" s="25">
        <f t="shared" si="62"/>
        <v>1.5516542117646652E-2</v>
      </c>
      <c r="AM74" s="25">
        <f t="shared" si="63"/>
        <v>1.4508448299092487E-2</v>
      </c>
      <c r="AN74" s="387">
        <f t="shared" si="64"/>
        <v>2.6769568619282135E-4</v>
      </c>
      <c r="AO74" s="388">
        <f t="shared" si="65"/>
        <v>1.9485387267374879E-4</v>
      </c>
      <c r="AP74" s="30"/>
      <c r="AQ74" s="28"/>
      <c r="AR74" s="28"/>
      <c r="AS74" s="29"/>
      <c r="AT74" s="29"/>
    </row>
    <row r="75" spans="1:46" s="86" customFormat="1">
      <c r="A75" s="203" t="s">
        <v>91</v>
      </c>
      <c r="B75" s="326">
        <v>96115700.5</v>
      </c>
      <c r="C75" s="326">
        <v>21.398900000000001</v>
      </c>
      <c r="D75" s="326">
        <v>52716343.340000004</v>
      </c>
      <c r="E75" s="326">
        <v>11.873955</v>
      </c>
      <c r="F75" s="23">
        <f>((D75-B75)/B75)</f>
        <v>-0.45153244406724163</v>
      </c>
      <c r="G75" s="23">
        <f>((E75-C75)/C75)</f>
        <v>-0.44511376753010667</v>
      </c>
      <c r="H75" s="326">
        <v>52783144.090000004</v>
      </c>
      <c r="I75" s="326">
        <v>11.89617</v>
      </c>
      <c r="J75" s="23">
        <f t="shared" si="46"/>
        <v>1.2671734374510961E-3</v>
      </c>
      <c r="K75" s="23">
        <f t="shared" si="47"/>
        <v>1.8709014814355628E-3</v>
      </c>
      <c r="L75" s="326">
        <v>52850900.829999998</v>
      </c>
      <c r="M75" s="326">
        <v>11.917521000000001</v>
      </c>
      <c r="N75" s="23">
        <f t="shared" si="48"/>
        <v>1.2836813942811612E-3</v>
      </c>
      <c r="O75" s="23">
        <f t="shared" si="49"/>
        <v>1.7947793281367875E-3</v>
      </c>
      <c r="P75" s="326">
        <v>52941217.170000002</v>
      </c>
      <c r="Q75" s="326">
        <v>11.94599</v>
      </c>
      <c r="R75" s="23">
        <f t="shared" si="50"/>
        <v>1.7088893203639946E-3</v>
      </c>
      <c r="S75" s="23">
        <f t="shared" si="51"/>
        <v>2.3888357318606287E-3</v>
      </c>
      <c r="T75" s="326">
        <v>53346346.43</v>
      </c>
      <c r="U75" s="326">
        <v>11.938226999999999</v>
      </c>
      <c r="V75" s="23">
        <f t="shared" si="52"/>
        <v>7.6524356948402573E-3</v>
      </c>
      <c r="W75" s="23">
        <f t="shared" si="53"/>
        <v>-6.4984149492847642E-4</v>
      </c>
      <c r="X75" s="326">
        <v>53425232.340000004</v>
      </c>
      <c r="Y75" s="326">
        <v>11.962932</v>
      </c>
      <c r="Z75" s="23">
        <f t="shared" si="54"/>
        <v>1.478750004061035E-3</v>
      </c>
      <c r="AA75" s="23">
        <f t="shared" si="55"/>
        <v>2.0694027680995567E-3</v>
      </c>
      <c r="AB75" s="326">
        <v>53504095.560000002</v>
      </c>
      <c r="AC75" s="326">
        <v>11.987636999999999</v>
      </c>
      <c r="AD75" s="23">
        <f t="shared" si="56"/>
        <v>1.476141825609865E-3</v>
      </c>
      <c r="AE75" s="23">
        <f t="shared" si="57"/>
        <v>2.0651291840494529E-3</v>
      </c>
      <c r="AF75" s="326">
        <v>53581620.880000003</v>
      </c>
      <c r="AG75" s="326">
        <v>12.005623</v>
      </c>
      <c r="AH75" s="23">
        <f t="shared" si="58"/>
        <v>1.4489604802881428E-3</v>
      </c>
      <c r="AI75" s="23">
        <f t="shared" si="59"/>
        <v>1.5003790989000169E-3</v>
      </c>
      <c r="AJ75" s="24">
        <f t="shared" si="60"/>
        <v>-5.4402051488793263E-2</v>
      </c>
      <c r="AK75" s="24">
        <f t="shared" si="61"/>
        <v>-5.4259272679069152E-2</v>
      </c>
      <c r="AL75" s="25">
        <f t="shared" si="62"/>
        <v>1.6413838388207126E-2</v>
      </c>
      <c r="AM75" s="25">
        <f t="shared" si="63"/>
        <v>1.1088807393997993E-2</v>
      </c>
      <c r="AN75" s="387">
        <f t="shared" si="64"/>
        <v>0.16047967437821928</v>
      </c>
      <c r="AO75" s="388">
        <f t="shared" si="65"/>
        <v>0.15793188646224737</v>
      </c>
      <c r="AP75" s="30"/>
      <c r="AQ75" s="28"/>
      <c r="AR75" s="28"/>
      <c r="AS75" s="29"/>
      <c r="AT75" s="29"/>
    </row>
    <row r="76" spans="1:46" s="86" customFormat="1">
      <c r="A76" s="202" t="s">
        <v>35</v>
      </c>
      <c r="B76" s="326">
        <v>6816381535.5600004</v>
      </c>
      <c r="C76" s="327">
        <v>1.04</v>
      </c>
      <c r="D76" s="326">
        <v>6806397092.5</v>
      </c>
      <c r="E76" s="327">
        <v>1.04</v>
      </c>
      <c r="F76" s="23">
        <f>((D76-B76)/B76)</f>
        <v>-1.4647717425899851E-3</v>
      </c>
      <c r="G76" s="23">
        <f>((E76-C76)/C76)</f>
        <v>0</v>
      </c>
      <c r="H76" s="326">
        <v>6721544185.1700001</v>
      </c>
      <c r="I76" s="327">
        <v>1.05</v>
      </c>
      <c r="J76" s="23">
        <f t="shared" si="46"/>
        <v>-1.246664074646772E-2</v>
      </c>
      <c r="K76" s="23">
        <f t="shared" si="47"/>
        <v>9.6153846153846229E-3</v>
      </c>
      <c r="L76" s="326">
        <v>6627638303.2700005</v>
      </c>
      <c r="M76" s="327">
        <v>1.05</v>
      </c>
      <c r="N76" s="23">
        <f t="shared" si="48"/>
        <v>-1.3970879207665965E-2</v>
      </c>
      <c r="O76" s="23">
        <f t="shared" si="49"/>
        <v>0</v>
      </c>
      <c r="P76" s="326">
        <v>6574211292.6000004</v>
      </c>
      <c r="Q76" s="327">
        <v>1.05</v>
      </c>
      <c r="R76" s="23">
        <f t="shared" si="50"/>
        <v>-8.061244175567004E-3</v>
      </c>
      <c r="S76" s="23">
        <f t="shared" si="51"/>
        <v>0</v>
      </c>
      <c r="T76" s="326">
        <v>6651252133.2299995</v>
      </c>
      <c r="U76" s="327">
        <v>1.05</v>
      </c>
      <c r="V76" s="23">
        <f t="shared" si="52"/>
        <v>1.1718643834389248E-2</v>
      </c>
      <c r="W76" s="23">
        <f t="shared" si="53"/>
        <v>0</v>
      </c>
      <c r="X76" s="326">
        <v>6705602451.8400002</v>
      </c>
      <c r="Y76" s="327">
        <v>1.06</v>
      </c>
      <c r="Z76" s="23">
        <f t="shared" si="54"/>
        <v>8.1714416355476299E-3</v>
      </c>
      <c r="AA76" s="23">
        <f t="shared" si="55"/>
        <v>9.5238095238095316E-3</v>
      </c>
      <c r="AB76" s="326">
        <v>6693845333.0900002</v>
      </c>
      <c r="AC76" s="327">
        <v>1.06</v>
      </c>
      <c r="AD76" s="23">
        <f t="shared" si="56"/>
        <v>-1.7533277337033121E-3</v>
      </c>
      <c r="AE76" s="23">
        <f t="shared" si="57"/>
        <v>0</v>
      </c>
      <c r="AF76" s="326">
        <v>6774295169.1400003</v>
      </c>
      <c r="AG76" s="327">
        <v>1.06</v>
      </c>
      <c r="AH76" s="23">
        <f t="shared" si="58"/>
        <v>1.2018478474892262E-2</v>
      </c>
      <c r="AI76" s="23">
        <f t="shared" si="59"/>
        <v>0</v>
      </c>
      <c r="AJ76" s="24">
        <f t="shared" si="60"/>
        <v>-7.2603745764560621E-4</v>
      </c>
      <c r="AK76" s="24">
        <f t="shared" si="61"/>
        <v>2.3923992673992693E-3</v>
      </c>
      <c r="AL76" s="25">
        <f t="shared" si="62"/>
        <v>-4.7164341021732207E-3</v>
      </c>
      <c r="AM76" s="25">
        <f t="shared" si="63"/>
        <v>1.9230769230769246E-2</v>
      </c>
      <c r="AN76" s="387">
        <f t="shared" si="64"/>
        <v>1.0454881449400301E-2</v>
      </c>
      <c r="AO76" s="388">
        <f t="shared" si="65"/>
        <v>4.429930265661396E-3</v>
      </c>
      <c r="AP76" s="30"/>
      <c r="AQ76" s="28"/>
      <c r="AR76" s="28"/>
      <c r="AS76" s="29"/>
      <c r="AT76" s="29"/>
    </row>
    <row r="77" spans="1:46" s="86" customFormat="1">
      <c r="A77" s="203" t="s">
        <v>68</v>
      </c>
      <c r="B77" s="326">
        <v>31296332331.400002</v>
      </c>
      <c r="C77" s="326">
        <v>4720.1899999999996</v>
      </c>
      <c r="D77" s="326">
        <v>27356775137.779999</v>
      </c>
      <c r="E77" s="326">
        <v>4725.96</v>
      </c>
      <c r="F77" s="23">
        <f>((D77-B77)/B77)</f>
        <v>-0.12587919734183661</v>
      </c>
      <c r="G77" s="23">
        <f>((E77-C77)/C77)</f>
        <v>1.2224084200001351E-3</v>
      </c>
      <c r="H77" s="326">
        <v>26653243225.68</v>
      </c>
      <c r="I77" s="326">
        <v>4733.92</v>
      </c>
      <c r="J77" s="23">
        <f t="shared" si="46"/>
        <v>-2.5716916871843326E-2</v>
      </c>
      <c r="K77" s="23">
        <f t="shared" si="47"/>
        <v>1.6843138748529477E-3</v>
      </c>
      <c r="L77" s="326">
        <v>25031085356.98</v>
      </c>
      <c r="M77" s="326">
        <v>4742.32</v>
      </c>
      <c r="N77" s="23">
        <f t="shared" si="48"/>
        <v>-6.0861556507955321E-2</v>
      </c>
      <c r="O77" s="23">
        <f t="shared" si="49"/>
        <v>1.7744279582248192E-3</v>
      </c>
      <c r="P77" s="326">
        <v>24783269491.759998</v>
      </c>
      <c r="Q77" s="326">
        <v>4750.82</v>
      </c>
      <c r="R77" s="23">
        <f t="shared" si="50"/>
        <v>-9.9003244040673198E-3</v>
      </c>
      <c r="S77" s="23">
        <f t="shared" si="51"/>
        <v>1.7923716661887011E-3</v>
      </c>
      <c r="T77" s="326">
        <v>24045984083.23</v>
      </c>
      <c r="U77" s="326">
        <v>4759.12</v>
      </c>
      <c r="V77" s="23">
        <f t="shared" si="52"/>
        <v>-2.9749319748757653E-2</v>
      </c>
      <c r="W77" s="23">
        <f t="shared" si="53"/>
        <v>1.7470668221486359E-3</v>
      </c>
      <c r="X77" s="326">
        <v>23969004408.549999</v>
      </c>
      <c r="Y77" s="326">
        <v>4767.4799999999996</v>
      </c>
      <c r="Z77" s="23">
        <f t="shared" si="54"/>
        <v>-3.2013526422354655E-3</v>
      </c>
      <c r="AA77" s="23">
        <f t="shared" si="55"/>
        <v>1.75662727563072E-3</v>
      </c>
      <c r="AB77" s="326">
        <v>23984686825.459999</v>
      </c>
      <c r="AC77" s="326">
        <v>4775.93</v>
      </c>
      <c r="AD77" s="23">
        <f t="shared" si="56"/>
        <v>6.5427902814377064E-4</v>
      </c>
      <c r="AE77" s="23">
        <f t="shared" si="57"/>
        <v>1.7724248449916366E-3</v>
      </c>
      <c r="AF77" s="326">
        <v>23680282293.150002</v>
      </c>
      <c r="AG77" s="326">
        <v>4785.92</v>
      </c>
      <c r="AH77" s="23">
        <f t="shared" si="58"/>
        <v>-1.2691620054295182E-2</v>
      </c>
      <c r="AI77" s="23">
        <f t="shared" si="59"/>
        <v>2.0917392005326252E-3</v>
      </c>
      <c r="AJ77" s="24">
        <f t="shared" si="60"/>
        <v>-3.3418251067855897E-2</v>
      </c>
      <c r="AK77" s="24">
        <f t="shared" si="61"/>
        <v>1.7301725078212777E-3</v>
      </c>
      <c r="AL77" s="25">
        <f t="shared" si="62"/>
        <v>-0.13439057879131086</v>
      </c>
      <c r="AM77" s="25">
        <f t="shared" si="63"/>
        <v>1.2687369338716375E-2</v>
      </c>
      <c r="AN77" s="387">
        <f t="shared" si="64"/>
        <v>4.2141966816471629E-2</v>
      </c>
      <c r="AO77" s="388">
        <f t="shared" si="65"/>
        <v>2.388232069250091E-4</v>
      </c>
      <c r="AP77" s="30"/>
      <c r="AQ77" s="28"/>
      <c r="AR77" s="28"/>
      <c r="AS77" s="29"/>
      <c r="AT77" s="29"/>
    </row>
    <row r="78" spans="1:46" s="103" customFormat="1" ht="15.75" customHeight="1">
      <c r="A78" s="202" t="s">
        <v>16</v>
      </c>
      <c r="B78" s="326">
        <v>40608967761.57</v>
      </c>
      <c r="C78" s="327">
        <v>249.03</v>
      </c>
      <c r="D78" s="326">
        <v>42314478538.550003</v>
      </c>
      <c r="E78" s="327">
        <v>249.03</v>
      </c>
      <c r="F78" s="23">
        <f>((D78-B78)/B78)</f>
        <v>4.1998377968966771E-2</v>
      </c>
      <c r="G78" s="23">
        <f>((E78-C78)/C78)</f>
        <v>0</v>
      </c>
      <c r="H78" s="326">
        <v>42706600755.720001</v>
      </c>
      <c r="I78" s="327">
        <v>249.23</v>
      </c>
      <c r="J78" s="23">
        <f t="shared" si="46"/>
        <v>9.26685689421319E-3</v>
      </c>
      <c r="K78" s="23">
        <f t="shared" si="47"/>
        <v>8.0311609043082612E-4</v>
      </c>
      <c r="L78" s="326">
        <v>42032636728.5</v>
      </c>
      <c r="M78" s="327">
        <v>249.41</v>
      </c>
      <c r="N78" s="23">
        <f t="shared" si="48"/>
        <v>-1.578126133416817E-2</v>
      </c>
      <c r="O78" s="23">
        <f t="shared" si="49"/>
        <v>7.2222445131006228E-4</v>
      </c>
      <c r="P78" s="326">
        <v>39948050523.889999</v>
      </c>
      <c r="Q78" s="327">
        <v>249.63</v>
      </c>
      <c r="R78" s="23">
        <f t="shared" si="50"/>
        <v>-4.9594466749133495E-2</v>
      </c>
      <c r="S78" s="23">
        <f t="shared" si="51"/>
        <v>8.8208171284230325E-4</v>
      </c>
      <c r="T78" s="326">
        <v>43656850980.110001</v>
      </c>
      <c r="U78" s="327">
        <v>249.82</v>
      </c>
      <c r="V78" s="23">
        <f t="shared" si="52"/>
        <v>9.2840586901782346E-2</v>
      </c>
      <c r="W78" s="23">
        <f t="shared" si="53"/>
        <v>7.6112646717140463E-4</v>
      </c>
      <c r="X78" s="326">
        <v>44437097763.720001</v>
      </c>
      <c r="Y78" s="327">
        <v>250.04</v>
      </c>
      <c r="Z78" s="23">
        <f t="shared" si="54"/>
        <v>1.7872264400505659E-2</v>
      </c>
      <c r="AA78" s="23">
        <f t="shared" si="55"/>
        <v>8.806340565206904E-4</v>
      </c>
      <c r="AB78" s="326">
        <v>43620412227.959999</v>
      </c>
      <c r="AC78" s="327">
        <v>251.4</v>
      </c>
      <c r="AD78" s="23">
        <f t="shared" si="56"/>
        <v>-1.8378462520267754E-2</v>
      </c>
      <c r="AE78" s="23">
        <f t="shared" si="57"/>
        <v>5.4391297392417763E-3</v>
      </c>
      <c r="AF78" s="326">
        <v>43360607259.209999</v>
      </c>
      <c r="AG78" s="327">
        <v>251.59</v>
      </c>
      <c r="AH78" s="23">
        <f t="shared" si="58"/>
        <v>-5.956041116536471E-3</v>
      </c>
      <c r="AI78" s="23">
        <f t="shared" si="59"/>
        <v>7.5576770087509035E-4</v>
      </c>
      <c r="AJ78" s="24">
        <f t="shared" si="60"/>
        <v>9.0334818056702591E-3</v>
      </c>
      <c r="AK78" s="24">
        <f t="shared" si="61"/>
        <v>1.2805100272990191E-3</v>
      </c>
      <c r="AL78" s="25">
        <f t="shared" si="62"/>
        <v>2.4722713283750745E-2</v>
      </c>
      <c r="AM78" s="25">
        <f t="shared" si="63"/>
        <v>1.0279885957515169E-2</v>
      </c>
      <c r="AN78" s="387">
        <f t="shared" si="64"/>
        <v>4.3453755555833598E-2</v>
      </c>
      <c r="AO78" s="388">
        <f t="shared" si="65"/>
        <v>1.7044970477000118E-3</v>
      </c>
      <c r="AP78" s="30"/>
      <c r="AQ78" s="28"/>
      <c r="AR78" s="28"/>
      <c r="AS78" s="29"/>
      <c r="AT78" s="29"/>
    </row>
    <row r="79" spans="1:46" s="103" customFormat="1" ht="15.75" customHeight="1">
      <c r="A79" s="203" t="s">
        <v>69</v>
      </c>
      <c r="B79" s="326">
        <v>252413526.38999999</v>
      </c>
      <c r="C79" s="326">
        <v>4478.3999999999996</v>
      </c>
      <c r="D79" s="326">
        <v>255238723.50999999</v>
      </c>
      <c r="E79" s="326">
        <v>4528.68</v>
      </c>
      <c r="F79" s="23">
        <f>((D79-B79)/B79)</f>
        <v>1.1192732657420424E-2</v>
      </c>
      <c r="G79" s="23">
        <f>((E79-C79)/C79)</f>
        <v>1.1227224008574638E-2</v>
      </c>
      <c r="H79" s="326">
        <v>259970569.11000001</v>
      </c>
      <c r="I79" s="326">
        <v>4613.05</v>
      </c>
      <c r="J79" s="23">
        <f t="shared" si="46"/>
        <v>1.8538901679684333E-2</v>
      </c>
      <c r="K79" s="23">
        <f t="shared" si="47"/>
        <v>1.8630152715581556E-2</v>
      </c>
      <c r="L79" s="326">
        <v>261789070.74000001</v>
      </c>
      <c r="M79" s="326">
        <v>4645.55</v>
      </c>
      <c r="N79" s="23">
        <f t="shared" si="48"/>
        <v>6.9950288458634794E-3</v>
      </c>
      <c r="O79" s="23">
        <f t="shared" si="49"/>
        <v>7.0452303790333945E-3</v>
      </c>
      <c r="P79" s="326">
        <v>269116980.75</v>
      </c>
      <c r="Q79" s="326">
        <v>4776.09</v>
      </c>
      <c r="R79" s="23">
        <f t="shared" si="50"/>
        <v>2.7991657517581477E-2</v>
      </c>
      <c r="S79" s="23">
        <f t="shared" si="51"/>
        <v>2.8100009686689402E-2</v>
      </c>
      <c r="T79" s="326">
        <v>268567070.63999999</v>
      </c>
      <c r="U79" s="326">
        <v>4778.4799999999996</v>
      </c>
      <c r="V79" s="23">
        <f t="shared" si="52"/>
        <v>-2.0433868887331976E-3</v>
      </c>
      <c r="W79" s="23">
        <f t="shared" si="53"/>
        <v>5.0040933064481985E-4</v>
      </c>
      <c r="X79" s="326">
        <v>272413827.91000003</v>
      </c>
      <c r="Y79" s="326">
        <v>4847.71</v>
      </c>
      <c r="Z79" s="23">
        <f t="shared" si="54"/>
        <v>1.4323264802468713E-2</v>
      </c>
      <c r="AA79" s="23">
        <f t="shared" si="55"/>
        <v>1.4487870619946192E-2</v>
      </c>
      <c r="AB79" s="326">
        <v>280167437.07999998</v>
      </c>
      <c r="AC79" s="326">
        <v>4988.32</v>
      </c>
      <c r="AD79" s="23">
        <f t="shared" si="56"/>
        <v>2.8462612303812973E-2</v>
      </c>
      <c r="AE79" s="23">
        <f t="shared" si="57"/>
        <v>2.9005447933147747E-2</v>
      </c>
      <c r="AF79" s="326">
        <v>275240451.76999998</v>
      </c>
      <c r="AG79" s="326">
        <v>4897.6899999999996</v>
      </c>
      <c r="AH79" s="23">
        <f t="shared" si="58"/>
        <v>-1.7585859946290382E-2</v>
      </c>
      <c r="AI79" s="23">
        <f t="shared" si="59"/>
        <v>-1.8168441479295659E-2</v>
      </c>
      <c r="AJ79" s="24">
        <f t="shared" si="60"/>
        <v>1.0984368871475979E-2</v>
      </c>
      <c r="AK79" s="24">
        <f t="shared" si="61"/>
        <v>1.1353487899290259E-2</v>
      </c>
      <c r="AL79" s="25">
        <f t="shared" si="62"/>
        <v>7.8364787227187108E-2</v>
      </c>
      <c r="AM79" s="25">
        <f t="shared" si="63"/>
        <v>8.1482904510806517E-2</v>
      </c>
      <c r="AN79" s="387">
        <f t="shared" si="64"/>
        <v>1.5422130187839597E-2</v>
      </c>
      <c r="AO79" s="388">
        <f t="shared" si="65"/>
        <v>1.5412066446147637E-2</v>
      </c>
      <c r="AP79" s="30"/>
      <c r="AQ79" s="28"/>
      <c r="AR79" s="28"/>
      <c r="AS79" s="29"/>
      <c r="AT79" s="29"/>
    </row>
    <row r="80" spans="1:46" s="285" customFormat="1" ht="15.75" customHeight="1">
      <c r="A80" s="202" t="s">
        <v>166</v>
      </c>
      <c r="B80" s="326">
        <v>19587138388.970001</v>
      </c>
      <c r="C80" s="327">
        <v>118.83</v>
      </c>
      <c r="D80" s="326">
        <v>19265404051.09</v>
      </c>
      <c r="E80" s="327">
        <v>119.03</v>
      </c>
      <c r="F80" s="23">
        <f>((D80-B80)/B80)</f>
        <v>-1.6425795922347573E-2</v>
      </c>
      <c r="G80" s="23">
        <f>((E80-C80)/C80)</f>
        <v>1.6830766641420757E-3</v>
      </c>
      <c r="H80" s="326">
        <v>19263384265.110001</v>
      </c>
      <c r="I80" s="327">
        <v>119.33</v>
      </c>
      <c r="J80" s="23">
        <f t="shared" si="46"/>
        <v>-1.04840052907443E-4</v>
      </c>
      <c r="K80" s="23">
        <f t="shared" si="47"/>
        <v>2.5203730152062267E-3</v>
      </c>
      <c r="L80" s="326">
        <v>19182276418.849998</v>
      </c>
      <c r="M80" s="327">
        <v>119.54</v>
      </c>
      <c r="N80" s="23">
        <f t="shared" si="48"/>
        <v>-4.2104671299583287E-3</v>
      </c>
      <c r="O80" s="23">
        <f t="shared" si="49"/>
        <v>1.7598256934551911E-3</v>
      </c>
      <c r="P80" s="326">
        <v>19129113536.549999</v>
      </c>
      <c r="Q80" s="327">
        <v>119.76</v>
      </c>
      <c r="R80" s="23">
        <f t="shared" si="50"/>
        <v>-2.7714584619246362E-3</v>
      </c>
      <c r="S80" s="23">
        <f t="shared" si="51"/>
        <v>1.8403881545925953E-3</v>
      </c>
      <c r="T80" s="326">
        <v>19235455121.529999</v>
      </c>
      <c r="U80" s="327">
        <v>119.98</v>
      </c>
      <c r="V80" s="23">
        <f t="shared" si="52"/>
        <v>5.5591486127578608E-3</v>
      </c>
      <c r="W80" s="23">
        <f t="shared" si="53"/>
        <v>1.8370073480293825E-3</v>
      </c>
      <c r="X80" s="326">
        <v>18866705976.860001</v>
      </c>
      <c r="Y80" s="327">
        <v>120.13</v>
      </c>
      <c r="Z80" s="23">
        <f t="shared" si="54"/>
        <v>-1.91702843702025E-2</v>
      </c>
      <c r="AA80" s="23">
        <f t="shared" si="55"/>
        <v>1.2502083680612725E-3</v>
      </c>
      <c r="AB80" s="326">
        <v>18897586830.689999</v>
      </c>
      <c r="AC80" s="327">
        <v>120.36</v>
      </c>
      <c r="AD80" s="23">
        <f t="shared" si="56"/>
        <v>1.6367909622312109E-3</v>
      </c>
      <c r="AE80" s="23">
        <f t="shared" si="57"/>
        <v>1.9145925247648712E-3</v>
      </c>
      <c r="AF80" s="326">
        <v>8837639296.7099991</v>
      </c>
      <c r="AG80" s="327">
        <v>120.58</v>
      </c>
      <c r="AH80" s="23">
        <f t="shared" si="58"/>
        <v>-0.53234032599561742</v>
      </c>
      <c r="AI80" s="23">
        <f t="shared" si="59"/>
        <v>1.8278497839813797E-3</v>
      </c>
      <c r="AJ80" s="24">
        <f t="shared" si="60"/>
        <v>-7.0978404044746105E-2</v>
      </c>
      <c r="AK80" s="24">
        <f t="shared" si="61"/>
        <v>1.8291651940291244E-3</v>
      </c>
      <c r="AL80" s="25">
        <f t="shared" si="62"/>
        <v>-0.54126893610570381</v>
      </c>
      <c r="AM80" s="25">
        <f t="shared" si="63"/>
        <v>1.3021927245232271E-2</v>
      </c>
      <c r="AN80" s="387">
        <f t="shared" si="64"/>
        <v>0.18661613073540315</v>
      </c>
      <c r="AO80" s="388">
        <f t="shared" si="65"/>
        <v>3.4776759412387739E-4</v>
      </c>
      <c r="AP80" s="30"/>
      <c r="AQ80" s="28"/>
      <c r="AR80" s="28"/>
      <c r="AS80" s="29"/>
      <c r="AT80" s="29"/>
    </row>
    <row r="81" spans="1:46" s="285" customFormat="1" ht="15.75" customHeight="1">
      <c r="A81" s="202" t="s">
        <v>63</v>
      </c>
      <c r="B81" s="326">
        <v>14862305342.799999</v>
      </c>
      <c r="C81" s="327">
        <v>339.99</v>
      </c>
      <c r="D81" s="326">
        <v>14728727076.33</v>
      </c>
      <c r="E81" s="327">
        <v>340.28</v>
      </c>
      <c r="F81" s="23">
        <f>((D81-B81)/B81)</f>
        <v>-8.9877218499424053E-3</v>
      </c>
      <c r="G81" s="23">
        <f>((E81-C81)/C81)</f>
        <v>8.5296626371353162E-4</v>
      </c>
      <c r="H81" s="326">
        <v>14723295772.879999</v>
      </c>
      <c r="I81" s="327">
        <v>340.45</v>
      </c>
      <c r="J81" s="23">
        <f t="shared" si="46"/>
        <v>-3.6875579416019005E-4</v>
      </c>
      <c r="K81" s="23">
        <f t="shared" si="47"/>
        <v>4.995885741154812E-4</v>
      </c>
      <c r="L81" s="326">
        <v>14501808658.77</v>
      </c>
      <c r="M81" s="327">
        <v>341</v>
      </c>
      <c r="N81" s="23">
        <f t="shared" si="48"/>
        <v>-1.5043310786296456E-2</v>
      </c>
      <c r="O81" s="23">
        <f t="shared" si="49"/>
        <v>1.6155088852989026E-3</v>
      </c>
      <c r="P81" s="326">
        <v>14470501789.379999</v>
      </c>
      <c r="Q81" s="327">
        <v>341.43</v>
      </c>
      <c r="R81" s="23">
        <f t="shared" si="50"/>
        <v>-2.1588251594443979E-3</v>
      </c>
      <c r="S81" s="23">
        <f t="shared" si="51"/>
        <v>1.2609970674487003E-3</v>
      </c>
      <c r="T81" s="326">
        <v>14472172652.34</v>
      </c>
      <c r="U81" s="327">
        <v>341.7</v>
      </c>
      <c r="V81" s="23">
        <f t="shared" si="52"/>
        <v>1.1546682930009032E-4</v>
      </c>
      <c r="W81" s="23">
        <f t="shared" si="53"/>
        <v>7.9079167032768594E-4</v>
      </c>
      <c r="X81" s="326">
        <v>14426908306.959999</v>
      </c>
      <c r="Y81" s="327">
        <v>342.1</v>
      </c>
      <c r="Z81" s="23">
        <f t="shared" si="54"/>
        <v>-3.1276814108959854E-3</v>
      </c>
      <c r="AA81" s="23">
        <f t="shared" si="55"/>
        <v>1.1706175007317357E-3</v>
      </c>
      <c r="AB81" s="326">
        <v>14289020432.26</v>
      </c>
      <c r="AC81" s="327">
        <v>342.37</v>
      </c>
      <c r="AD81" s="23">
        <f t="shared" si="56"/>
        <v>-9.5576870502100137E-3</v>
      </c>
      <c r="AE81" s="23">
        <f t="shared" si="57"/>
        <v>7.8924291142935343E-4</v>
      </c>
      <c r="AF81" s="326">
        <v>14284793785.51</v>
      </c>
      <c r="AG81" s="327">
        <v>342.66</v>
      </c>
      <c r="AH81" s="23">
        <f t="shared" si="58"/>
        <v>-2.9579681616645985E-4</v>
      </c>
      <c r="AI81" s="23">
        <f t="shared" si="59"/>
        <v>8.4703683149814661E-4</v>
      </c>
      <c r="AJ81" s="24">
        <f t="shared" si="60"/>
        <v>-4.928039004726977E-3</v>
      </c>
      <c r="AK81" s="24">
        <f t="shared" si="61"/>
        <v>9.7834371307044211E-4</v>
      </c>
      <c r="AL81" s="25">
        <f t="shared" si="62"/>
        <v>-3.0140642060876306E-2</v>
      </c>
      <c r="AM81" s="25">
        <f t="shared" si="63"/>
        <v>6.9942400376162353E-3</v>
      </c>
      <c r="AN81" s="387">
        <f t="shared" si="64"/>
        <v>5.5911269502395868E-3</v>
      </c>
      <c r="AO81" s="388">
        <f t="shared" si="65"/>
        <v>3.4968229495058954E-4</v>
      </c>
      <c r="AP81" s="30"/>
      <c r="AQ81" s="28"/>
      <c r="AR81" s="28"/>
      <c r="AS81" s="29"/>
      <c r="AT81" s="29"/>
    </row>
    <row r="82" spans="1:46" s="288" customFormat="1" ht="15.75" customHeight="1">
      <c r="A82" s="202" t="s">
        <v>247</v>
      </c>
      <c r="B82" s="326">
        <v>65607962.390000001</v>
      </c>
      <c r="C82" s="74">
        <v>105.3723</v>
      </c>
      <c r="D82" s="326">
        <v>68535470.450000003</v>
      </c>
      <c r="E82" s="74">
        <v>105.5107</v>
      </c>
      <c r="F82" s="23">
        <f>((D82-B82)/B82)</f>
        <v>4.4621231224919351E-2</v>
      </c>
      <c r="G82" s="23">
        <f>((E82-C82)/C82)</f>
        <v>1.3134381616421423E-3</v>
      </c>
      <c r="H82" s="326">
        <v>70603254.359999999</v>
      </c>
      <c r="I82" s="74">
        <v>105.7029</v>
      </c>
      <c r="J82" s="23">
        <f t="shared" si="46"/>
        <v>3.0171003371291461E-2</v>
      </c>
      <c r="K82" s="23">
        <f>((I82-E82)/E82)</f>
        <v>1.8216161962720341E-3</v>
      </c>
      <c r="L82" s="326">
        <v>69509898.75</v>
      </c>
      <c r="M82" s="74">
        <v>105.9015</v>
      </c>
      <c r="N82" s="23">
        <f t="shared" si="48"/>
        <v>-1.5485909536479324E-2</v>
      </c>
      <c r="O82" s="23">
        <f>((M82-I82)/I82)</f>
        <v>1.8788510059799589E-3</v>
      </c>
      <c r="P82" s="326">
        <v>69603613.450000003</v>
      </c>
      <c r="Q82" s="74">
        <v>106.10169999999999</v>
      </c>
      <c r="R82" s="23">
        <f t="shared" si="50"/>
        <v>1.3482209251528075E-3</v>
      </c>
      <c r="S82" s="23">
        <f>((Q82-M82)/M82)</f>
        <v>1.8904359239481526E-3</v>
      </c>
      <c r="T82" s="326">
        <v>69859876.75</v>
      </c>
      <c r="U82" s="74">
        <v>106.3017</v>
      </c>
      <c r="V82" s="23">
        <f t="shared" si="52"/>
        <v>3.6817528185384319E-3</v>
      </c>
      <c r="W82" s="23">
        <f>((U82-Q82)/Q82)</f>
        <v>1.8849839352244389E-3</v>
      </c>
      <c r="X82" s="326">
        <v>69991061.420000002</v>
      </c>
      <c r="Y82" s="74">
        <v>106.5013</v>
      </c>
      <c r="Z82" s="23">
        <f t="shared" si="54"/>
        <v>1.8778256719441148E-3</v>
      </c>
      <c r="AA82" s="23">
        <f>((Y82-U82)/U82)</f>
        <v>1.8776745809333602E-3</v>
      </c>
      <c r="AB82" s="326">
        <v>70322722.430000007</v>
      </c>
      <c r="AC82" s="74">
        <v>106.58</v>
      </c>
      <c r="AD82" s="23">
        <f t="shared" si="56"/>
        <v>4.7386195218527289E-3</v>
      </c>
      <c r="AE82" s="23">
        <f>((AC82-Y82)/Y82)</f>
        <v>7.3895811600419687E-4</v>
      </c>
      <c r="AF82" s="326">
        <v>70398567.409999996</v>
      </c>
      <c r="AG82" s="74">
        <v>106.6874</v>
      </c>
      <c r="AH82" s="23">
        <f t="shared" si="58"/>
        <v>1.0785273575761544E-3</v>
      </c>
      <c r="AI82" s="23">
        <f>((AG82-AC82)/AC82)</f>
        <v>1.0076937511728128E-3</v>
      </c>
      <c r="AJ82" s="24">
        <f t="shared" si="60"/>
        <v>9.0039089193494661E-3</v>
      </c>
      <c r="AK82" s="24">
        <f t="shared" si="61"/>
        <v>1.5517064588971372E-3</v>
      </c>
      <c r="AL82" s="25">
        <f t="shared" si="62"/>
        <v>2.7184419217771538E-2</v>
      </c>
      <c r="AM82" s="25">
        <f t="shared" si="63"/>
        <v>1.1152423403503121E-2</v>
      </c>
      <c r="AN82" s="387">
        <f t="shared" si="64"/>
        <v>1.9030468341112754E-2</v>
      </c>
      <c r="AO82" s="388">
        <f t="shared" si="65"/>
        <v>4.6678582437131253E-4</v>
      </c>
      <c r="AP82" s="30"/>
      <c r="AQ82" s="28"/>
      <c r="AR82" s="28"/>
      <c r="AS82" s="29"/>
      <c r="AT82" s="29"/>
    </row>
    <row r="83" spans="1:46" s="302" customFormat="1" ht="15.75" customHeight="1">
      <c r="A83" s="202" t="s">
        <v>157</v>
      </c>
      <c r="B83" s="326">
        <v>101704149704.03999</v>
      </c>
      <c r="C83" s="326">
        <v>2.0053999999999998</v>
      </c>
      <c r="D83" s="326">
        <v>101812954660.95</v>
      </c>
      <c r="E83" s="326">
        <v>2.0081000000000002</v>
      </c>
      <c r="F83" s="23">
        <f>((D83-B83)/B83)</f>
        <v>1.0698182643149477E-3</v>
      </c>
      <c r="G83" s="23">
        <f>((E83-C83)/C83)</f>
        <v>1.3463648149996854E-3</v>
      </c>
      <c r="H83" s="326">
        <v>101950254232.06</v>
      </c>
      <c r="I83" s="326">
        <v>2.0108000000000001</v>
      </c>
      <c r="J83" s="23">
        <f>((H83-D83)/D83)</f>
        <v>1.3485471624630238E-3</v>
      </c>
      <c r="K83" s="23">
        <f>((I83-E83)/E83)</f>
        <v>1.3445545540560352E-3</v>
      </c>
      <c r="L83" s="326">
        <v>101900839195.67999</v>
      </c>
      <c r="M83" s="326">
        <v>2.0137</v>
      </c>
      <c r="N83" s="23">
        <f>((L83-H83)/H83)</f>
        <v>-4.8469752971410914E-4</v>
      </c>
      <c r="O83" s="23">
        <f>((M83-I83)/I83)</f>
        <v>1.4422120549034724E-3</v>
      </c>
      <c r="P83" s="326">
        <v>101928161772.24001</v>
      </c>
      <c r="Q83" s="326">
        <v>2.0165000000000002</v>
      </c>
      <c r="R83" s="23">
        <f>((P83-L83)/L83)</f>
        <v>2.6812906327047342E-4</v>
      </c>
      <c r="S83" s="23">
        <f>((Q83-M83)/M83)</f>
        <v>1.3904752445747309E-3</v>
      </c>
      <c r="T83" s="326">
        <v>108873034819.67999</v>
      </c>
      <c r="U83" s="326">
        <v>1.883</v>
      </c>
      <c r="V83" s="23">
        <f>((T83-P83)/P83)</f>
        <v>6.813497787744284E-2</v>
      </c>
      <c r="W83" s="23">
        <f>((U83-Q83)/Q83)</f>
        <v>-6.6203818497396566E-2</v>
      </c>
      <c r="X83" s="326">
        <v>102047324014.97</v>
      </c>
      <c r="Y83" s="326">
        <v>1.8851</v>
      </c>
      <c r="Z83" s="23">
        <f>((X83-T83)/T83)</f>
        <v>-6.2694227418341145E-2</v>
      </c>
      <c r="AA83" s="23">
        <f>((Y83-U83)/U83)</f>
        <v>1.1152416356877274E-3</v>
      </c>
      <c r="AB83" s="326">
        <v>102115129443.03</v>
      </c>
      <c r="AC83" s="326">
        <v>1.8872</v>
      </c>
      <c r="AD83" s="23">
        <f>((AB83-X83)/X83)</f>
        <v>6.6445081940659935E-4</v>
      </c>
      <c r="AE83" s="23">
        <f>((AC83-Y83)/Y83)</f>
        <v>1.1139992573338236E-3</v>
      </c>
      <c r="AF83" s="326">
        <v>102212737743.98</v>
      </c>
      <c r="AG83" s="326">
        <v>1.8893</v>
      </c>
      <c r="AH83" s="23">
        <f>((AF83-AB83)/AB83)</f>
        <v>9.5586522273815059E-4</v>
      </c>
      <c r="AI83" s="23">
        <f>((AG83-AC83)/AC83)</f>
        <v>1.112759643916909E-3</v>
      </c>
      <c r="AJ83" s="24">
        <f t="shared" si="60"/>
        <v>1.1578579326975971E-3</v>
      </c>
      <c r="AK83" s="24">
        <f t="shared" si="61"/>
        <v>-7.1672764114905224E-3</v>
      </c>
      <c r="AL83" s="25">
        <f t="shared" si="62"/>
        <v>3.9266425806158654E-3</v>
      </c>
      <c r="AM83" s="25">
        <f t="shared" si="63"/>
        <v>-5.9160400378467322E-2</v>
      </c>
      <c r="AN83" s="387">
        <f t="shared" si="64"/>
        <v>3.4983345773743742E-2</v>
      </c>
      <c r="AO83" s="388">
        <f t="shared" si="65"/>
        <v>2.3854750017625985E-2</v>
      </c>
      <c r="AP83" s="30"/>
      <c r="AQ83" s="28"/>
      <c r="AR83" s="28"/>
      <c r="AS83" s="29"/>
      <c r="AT83" s="29"/>
    </row>
    <row r="84" spans="1:46" s="302" customFormat="1" ht="15.75" customHeight="1">
      <c r="A84" s="202" t="s">
        <v>49</v>
      </c>
      <c r="B84" s="326">
        <v>9656763576.3600006</v>
      </c>
      <c r="C84" s="327">
        <v>1</v>
      </c>
      <c r="D84" s="326">
        <v>9652344448.9799995</v>
      </c>
      <c r="E84" s="327">
        <v>1</v>
      </c>
      <c r="F84" s="23">
        <f>((D84-B84)/B84)</f>
        <v>-4.5761992048963513E-4</v>
      </c>
      <c r="G84" s="23">
        <f>((E84-C84)/C84)</f>
        <v>0</v>
      </c>
      <c r="H84" s="326">
        <v>9641773970.1900005</v>
      </c>
      <c r="I84" s="327">
        <v>1</v>
      </c>
      <c r="J84" s="23">
        <f>((H84-D84)/D84)</f>
        <v>-1.0951203457224355E-3</v>
      </c>
      <c r="K84" s="23">
        <f>((I84-E84)/E84)</f>
        <v>0</v>
      </c>
      <c r="L84" s="326">
        <v>9612697205.5799999</v>
      </c>
      <c r="M84" s="327">
        <v>1</v>
      </c>
      <c r="N84" s="23">
        <f>((L84-H84)/H84)</f>
        <v>-3.0157069331742097E-3</v>
      </c>
      <c r="O84" s="23">
        <f>((M84-I84)/I84)</f>
        <v>0</v>
      </c>
      <c r="P84" s="326">
        <v>9592351018.3799992</v>
      </c>
      <c r="Q84" s="327">
        <v>1</v>
      </c>
      <c r="R84" s="23">
        <f>((P84-L84)/L84)</f>
        <v>-2.1165950372586543E-3</v>
      </c>
      <c r="S84" s="23">
        <f>((Q84-M84)/M84)</f>
        <v>0</v>
      </c>
      <c r="T84" s="326">
        <v>9596445122.3099995</v>
      </c>
      <c r="U84" s="327">
        <v>1</v>
      </c>
      <c r="V84" s="23">
        <f>((T84-P84)/P84)</f>
        <v>4.2680922770190041E-4</v>
      </c>
      <c r="W84" s="23">
        <f>((U84-Q84)/Q84)</f>
        <v>0</v>
      </c>
      <c r="X84" s="326">
        <v>9587506111.8400002</v>
      </c>
      <c r="Y84" s="327">
        <v>1</v>
      </c>
      <c r="Z84" s="23">
        <f>((X84-T84)/T84)</f>
        <v>-9.3149185516809042E-4</v>
      </c>
      <c r="AA84" s="23">
        <f>((Y84-U84)/U84)</f>
        <v>0</v>
      </c>
      <c r="AB84" s="326">
        <v>9616989727.2199993</v>
      </c>
      <c r="AC84" s="327">
        <v>1</v>
      </c>
      <c r="AD84" s="23">
        <f>((AB84-X84)/X84)</f>
        <v>3.0752121600828653E-3</v>
      </c>
      <c r="AE84" s="23">
        <f>((AC84-Y84)/Y84)</f>
        <v>0</v>
      </c>
      <c r="AF84" s="326">
        <v>9591117333.0599995</v>
      </c>
      <c r="AG84" s="327">
        <v>1</v>
      </c>
      <c r="AH84" s="23">
        <f>((AF84-AB84)/AB84)</f>
        <v>-2.6902798998287821E-3</v>
      </c>
      <c r="AI84" s="23">
        <f>((AG84-AC84)/AC84)</f>
        <v>0</v>
      </c>
      <c r="AJ84" s="24">
        <f t="shared" si="60"/>
        <v>-8.5059907548213015E-4</v>
      </c>
      <c r="AK84" s="24">
        <f t="shared" si="61"/>
        <v>0</v>
      </c>
      <c r="AL84" s="25">
        <f t="shared" si="62"/>
        <v>-6.3432377743699543E-3</v>
      </c>
      <c r="AM84" s="25">
        <f t="shared" si="63"/>
        <v>0</v>
      </c>
      <c r="AN84" s="387">
        <f t="shared" si="64"/>
        <v>1.961755630847713E-3</v>
      </c>
      <c r="AO84" s="388">
        <f t="shared" si="65"/>
        <v>0</v>
      </c>
      <c r="AP84" s="30"/>
      <c r="AQ84" s="28"/>
      <c r="AR84" s="28"/>
      <c r="AS84" s="29"/>
      <c r="AT84" s="29"/>
    </row>
    <row r="85" spans="1:46" s="108" customFormat="1" ht="15.75" customHeight="1">
      <c r="A85" s="202" t="s">
        <v>19</v>
      </c>
      <c r="B85" s="326">
        <v>2625605143.5300002</v>
      </c>
      <c r="C85" s="327">
        <v>24.1905</v>
      </c>
      <c r="D85" s="326">
        <v>2582475812.6300001</v>
      </c>
      <c r="E85" s="327">
        <v>24.225300000000001</v>
      </c>
      <c r="F85" s="23">
        <f>((D85-B85)/B85)</f>
        <v>-1.6426434495026461E-2</v>
      </c>
      <c r="G85" s="23">
        <f>((E85-C85)/C85)</f>
        <v>1.4385812612389413E-3</v>
      </c>
      <c r="H85" s="326">
        <v>2564390224.1900001</v>
      </c>
      <c r="I85" s="327">
        <v>24.280799999999999</v>
      </c>
      <c r="J85" s="23">
        <f>((H85-D85)/D85)</f>
        <v>-7.003197610428594E-3</v>
      </c>
      <c r="K85" s="23">
        <f>((I85-E85)/E85)</f>
        <v>2.290993300392505E-3</v>
      </c>
      <c r="L85" s="326">
        <v>2564396476.52</v>
      </c>
      <c r="M85" s="327">
        <v>24.290900000000001</v>
      </c>
      <c r="N85" s="23">
        <f>((L85-H85)/H85)</f>
        <v>2.4381351718413275E-6</v>
      </c>
      <c r="O85" s="23">
        <f>((M85-I85)/I85)</f>
        <v>4.1596652499099413E-4</v>
      </c>
      <c r="P85" s="326">
        <v>2567513920.6599998</v>
      </c>
      <c r="Q85" s="327">
        <v>24.331099999999999</v>
      </c>
      <c r="R85" s="23">
        <f>((P85-L85)/L85)</f>
        <v>1.215663868104505E-3</v>
      </c>
      <c r="S85" s="23">
        <f>((Q85-M85)/M85)</f>
        <v>1.6549407391244738E-3</v>
      </c>
      <c r="T85" s="326">
        <v>2564626168.6799998</v>
      </c>
      <c r="U85" s="327">
        <v>24.3658</v>
      </c>
      <c r="V85" s="23">
        <f>((T85-P85)/P85)</f>
        <v>-1.1247269028468207E-3</v>
      </c>
      <c r="W85" s="23">
        <f>((U85-Q85)/Q85)</f>
        <v>1.4261582912404635E-3</v>
      </c>
      <c r="X85" s="326">
        <v>2568682014.5999999</v>
      </c>
      <c r="Y85" s="327">
        <v>24.4055</v>
      </c>
      <c r="Z85" s="23">
        <f>((X85-T85)/T85)</f>
        <v>1.5814569661384995E-3</v>
      </c>
      <c r="AA85" s="23">
        <f>((Y85-U85)/U85)</f>
        <v>1.629332917449862E-3</v>
      </c>
      <c r="AB85" s="326">
        <v>2556885129.46</v>
      </c>
      <c r="AC85" s="327">
        <v>24.434999999999999</v>
      </c>
      <c r="AD85" s="23">
        <f>((AB85-X85)/X85)</f>
        <v>-4.5925829172112995E-3</v>
      </c>
      <c r="AE85" s="23">
        <f>((AC85-Y85)/Y85)</f>
        <v>1.2087439306713139E-3</v>
      </c>
      <c r="AF85" s="326">
        <v>2559982736.77</v>
      </c>
      <c r="AG85" s="327">
        <v>24.439900000000002</v>
      </c>
      <c r="AH85" s="23">
        <f>((AF85-AB85)/AB85)</f>
        <v>1.2114769155289115E-3</v>
      </c>
      <c r="AI85" s="23">
        <f>((AG85-AC85)/AC85)</f>
        <v>2.0053202373655787E-4</v>
      </c>
      <c r="AJ85" s="24">
        <f t="shared" si="60"/>
        <v>-3.1419882550711769E-3</v>
      </c>
      <c r="AK85" s="24">
        <f t="shared" si="61"/>
        <v>1.2831561236056391E-3</v>
      </c>
      <c r="AL85" s="25">
        <f t="shared" si="62"/>
        <v>-8.7098882978861765E-3</v>
      </c>
      <c r="AM85" s="25">
        <f t="shared" si="63"/>
        <v>8.8585074281846161E-3</v>
      </c>
      <c r="AN85" s="387">
        <f t="shared" si="64"/>
        <v>6.184071254034606E-3</v>
      </c>
      <c r="AO85" s="388">
        <f t="shared" si="65"/>
        <v>6.8117906783785314E-4</v>
      </c>
      <c r="AP85" s="30"/>
      <c r="AQ85" s="28"/>
      <c r="AR85" s="28"/>
      <c r="AS85" s="29"/>
      <c r="AT85" s="29"/>
    </row>
    <row r="86" spans="1:46">
      <c r="A86" s="204" t="s">
        <v>42</v>
      </c>
      <c r="B86" s="76">
        <f>SUM(B56:B85)</f>
        <v>326437563760.66541</v>
      </c>
      <c r="C86" s="85"/>
      <c r="D86" s="76">
        <f>SUM(D56:D85)</f>
        <v>323714339049.49524</v>
      </c>
      <c r="E86" s="85"/>
      <c r="F86" s="23">
        <f>((D85-B86)/B86)</f>
        <v>-0.99208891347282757</v>
      </c>
      <c r="G86" s="23"/>
      <c r="H86" s="76">
        <f>SUM(H56:H85)</f>
        <v>323395950269.5387</v>
      </c>
      <c r="I86" s="85"/>
      <c r="J86" s="23">
        <f>((H85-D86)/D86)</f>
        <v>-0.99207823097450776</v>
      </c>
      <c r="K86" s="23"/>
      <c r="L86" s="76">
        <f>SUM(L56:L85)</f>
        <v>319908980259.00153</v>
      </c>
      <c r="M86" s="85"/>
      <c r="N86" s="23">
        <f>((L85-H86)/H86)</f>
        <v>-0.99207041252562778</v>
      </c>
      <c r="O86" s="23"/>
      <c r="P86" s="76">
        <f>SUM(P56:P85)</f>
        <v>317665884188.13855</v>
      </c>
      <c r="Q86" s="85"/>
      <c r="R86" s="23">
        <f>((P85-L86)/L86)</f>
        <v>-0.99197423617623581</v>
      </c>
      <c r="S86" s="23"/>
      <c r="T86" s="76">
        <f>SUM(T56:T85)</f>
        <v>327549421729.35663</v>
      </c>
      <c r="U86" s="85"/>
      <c r="V86" s="23">
        <f>((T85-P86)/P86)</f>
        <v>-0.99192665534344537</v>
      </c>
      <c r="W86" s="23"/>
      <c r="X86" s="76">
        <f>SUM(X56:X85)</f>
        <v>321409973646.99713</v>
      </c>
      <c r="Y86" s="85"/>
      <c r="Z86" s="23">
        <f>((X85-T86)/T86)</f>
        <v>-0.99215787956199664</v>
      </c>
      <c r="AA86" s="23"/>
      <c r="AB86" s="76">
        <f>SUM(AB56:AB85)</f>
        <v>320721885218.37311</v>
      </c>
      <c r="AC86" s="85"/>
      <c r="AD86" s="23">
        <f>((AB85-X86)/X86)</f>
        <v>-0.99204478597708912</v>
      </c>
      <c r="AE86" s="23"/>
      <c r="AF86" s="76">
        <f>SUM(AF56:AF85)</f>
        <v>309847018533.15375</v>
      </c>
      <c r="AG86" s="85"/>
      <c r="AH86" s="23">
        <f>((AF85-AB86)/AB86)</f>
        <v>-0.99201806033589823</v>
      </c>
      <c r="AI86" s="23"/>
      <c r="AJ86" s="24">
        <f t="shared" si="60"/>
        <v>-0.99204489679595342</v>
      </c>
      <c r="AK86" s="24"/>
      <c r="AL86" s="25">
        <f t="shared" si="62"/>
        <v>-4.2838141050715726E-2</v>
      </c>
      <c r="AM86" s="25"/>
      <c r="AN86" s="387">
        <f t="shared" si="64"/>
        <v>7.1871875411069484E-5</v>
      </c>
      <c r="AO86" s="388"/>
      <c r="AP86" s="30"/>
      <c r="AQ86" s="40"/>
      <c r="AR86" s="13"/>
      <c r="AS86" s="29" t="e">
        <f>(#REF!/AQ86)-1</f>
        <v>#REF!</v>
      </c>
      <c r="AT86" s="29" t="e">
        <f>(#REF!/AR86)-1</f>
        <v>#REF!</v>
      </c>
    </row>
    <row r="87" spans="1:46" s="108" customFormat="1" ht="7.5" customHeight="1">
      <c r="A87" s="204"/>
      <c r="B87" s="85"/>
      <c r="C87" s="85"/>
      <c r="D87" s="85"/>
      <c r="E87" s="85"/>
      <c r="F87" s="23"/>
      <c r="G87" s="23"/>
      <c r="H87" s="85"/>
      <c r="I87" s="85"/>
      <c r="J87" s="23"/>
      <c r="K87" s="23"/>
      <c r="L87" s="85"/>
      <c r="M87" s="85"/>
      <c r="N87" s="23"/>
      <c r="O87" s="23"/>
      <c r="P87" s="85"/>
      <c r="Q87" s="85"/>
      <c r="R87" s="23"/>
      <c r="S87" s="23"/>
      <c r="T87" s="85"/>
      <c r="U87" s="85"/>
      <c r="V87" s="23"/>
      <c r="W87" s="23"/>
      <c r="X87" s="85"/>
      <c r="Y87" s="85"/>
      <c r="Z87" s="23"/>
      <c r="AA87" s="23"/>
      <c r="AB87" s="85"/>
      <c r="AC87" s="85"/>
      <c r="AD87" s="23"/>
      <c r="AE87" s="23"/>
      <c r="AF87" s="85"/>
      <c r="AG87" s="85"/>
      <c r="AH87" s="23"/>
      <c r="AI87" s="23"/>
      <c r="AJ87" s="24"/>
      <c r="AK87" s="24"/>
      <c r="AL87" s="25"/>
      <c r="AM87" s="25"/>
      <c r="AN87" s="387"/>
      <c r="AO87" s="388"/>
      <c r="AP87" s="30"/>
      <c r="AQ87" s="40"/>
      <c r="AR87" s="13"/>
      <c r="AS87" s="29"/>
      <c r="AT87" s="29"/>
    </row>
    <row r="88" spans="1:46" s="108" customFormat="1">
      <c r="A88" s="201" t="s">
        <v>195</v>
      </c>
      <c r="B88" s="85"/>
      <c r="C88" s="85"/>
      <c r="D88" s="85"/>
      <c r="E88" s="85"/>
      <c r="F88" s="23"/>
      <c r="G88" s="23"/>
      <c r="H88" s="85"/>
      <c r="I88" s="85"/>
      <c r="J88" s="23"/>
      <c r="K88" s="23"/>
      <c r="L88" s="85"/>
      <c r="M88" s="85"/>
      <c r="N88" s="23"/>
      <c r="O88" s="23"/>
      <c r="P88" s="85"/>
      <c r="Q88" s="85"/>
      <c r="R88" s="23"/>
      <c r="S88" s="23"/>
      <c r="T88" s="85"/>
      <c r="U88" s="85"/>
      <c r="V88" s="23"/>
      <c r="W88" s="23"/>
      <c r="X88" s="85"/>
      <c r="Y88" s="85"/>
      <c r="Z88" s="23"/>
      <c r="AA88" s="23"/>
      <c r="AB88" s="85"/>
      <c r="AC88" s="85"/>
      <c r="AD88" s="23"/>
      <c r="AE88" s="23"/>
      <c r="AF88" s="85"/>
      <c r="AG88" s="85"/>
      <c r="AH88" s="23"/>
      <c r="AI88" s="23"/>
      <c r="AJ88" s="24"/>
      <c r="AK88" s="24"/>
      <c r="AL88" s="25"/>
      <c r="AM88" s="25"/>
      <c r="AN88" s="387"/>
      <c r="AO88" s="388"/>
      <c r="AP88" s="30"/>
      <c r="AQ88" s="40"/>
      <c r="AR88" s="13"/>
      <c r="AS88" s="29"/>
      <c r="AT88" s="29"/>
    </row>
    <row r="89" spans="1:46" s="108" customFormat="1">
      <c r="A89" s="200" t="s">
        <v>196</v>
      </c>
      <c r="B89" s="85"/>
      <c r="C89" s="85"/>
      <c r="D89" s="85"/>
      <c r="E89" s="85"/>
      <c r="F89" s="23"/>
      <c r="G89" s="23"/>
      <c r="H89" s="85"/>
      <c r="I89" s="85"/>
      <c r="J89" s="23"/>
      <c r="K89" s="23"/>
      <c r="L89" s="85"/>
      <c r="M89" s="85"/>
      <c r="N89" s="23"/>
      <c r="O89" s="23"/>
      <c r="P89" s="85"/>
      <c r="Q89" s="85"/>
      <c r="R89" s="23"/>
      <c r="S89" s="23"/>
      <c r="T89" s="85"/>
      <c r="U89" s="85"/>
      <c r="V89" s="23"/>
      <c r="W89" s="23"/>
      <c r="X89" s="85"/>
      <c r="Y89" s="85"/>
      <c r="Z89" s="23"/>
      <c r="AA89" s="23"/>
      <c r="AB89" s="85"/>
      <c r="AC89" s="85"/>
      <c r="AD89" s="23"/>
      <c r="AE89" s="23"/>
      <c r="AF89" s="85"/>
      <c r="AG89" s="85"/>
      <c r="AH89" s="23"/>
      <c r="AI89" s="23"/>
      <c r="AJ89" s="24"/>
      <c r="AK89" s="24"/>
      <c r="AL89" s="25"/>
      <c r="AM89" s="25"/>
      <c r="AN89" s="387"/>
      <c r="AO89" s="388"/>
      <c r="AP89" s="30"/>
      <c r="AQ89" s="40"/>
      <c r="AR89" s="13"/>
      <c r="AS89" s="29"/>
      <c r="AT89" s="29"/>
    </row>
    <row r="90" spans="1:46">
      <c r="A90" s="202" t="s">
        <v>145</v>
      </c>
      <c r="B90" s="326">
        <v>799837469.70000005</v>
      </c>
      <c r="C90" s="326">
        <f>108.2735*460.53</f>
        <v>49863.194954999999</v>
      </c>
      <c r="D90" s="326">
        <v>801937693.36000001</v>
      </c>
      <c r="E90" s="326">
        <f>108.3965*460.95</f>
        <v>49965.366674999997</v>
      </c>
      <c r="F90" s="23">
        <f>((D103-B90)/B90)</f>
        <v>2.6719622832743615</v>
      </c>
      <c r="G90" s="23">
        <f>((E90-C90)/C90)</f>
        <v>2.0490407823286353E-3</v>
      </c>
      <c r="H90" s="326">
        <v>800455327.80999994</v>
      </c>
      <c r="I90" s="326">
        <f>108.0555*461.55</f>
        <v>49873.016024999997</v>
      </c>
      <c r="J90" s="23">
        <f>((H103-D90)/D90)</f>
        <v>2.6648731369509844</v>
      </c>
      <c r="K90" s="23">
        <f t="shared" ref="K90:K99" si="66">((I90-E90)/E90)</f>
        <v>-1.8482932508170234E-3</v>
      </c>
      <c r="L90" s="326">
        <v>792240227.33000004</v>
      </c>
      <c r="M90" s="326">
        <f>108.6188*462.88</f>
        <v>50277.470143999999</v>
      </c>
      <c r="N90" s="23">
        <f>((L103-H90)/H90)</f>
        <v>2.6381530492220659</v>
      </c>
      <c r="O90" s="23">
        <f t="shared" ref="O90:O99" si="67">((M90-I90)/I90)</f>
        <v>8.1096783638924079E-3</v>
      </c>
      <c r="P90" s="326">
        <v>1009385874.39</v>
      </c>
      <c r="Q90" s="326">
        <f>108.7447*588.95</f>
        <v>64045.191064999999</v>
      </c>
      <c r="R90" s="23">
        <f>((P103-L90)/L90)</f>
        <v>3.5477748605717219</v>
      </c>
      <c r="S90" s="23">
        <f t="shared" ref="S90:S99" si="68">((Q90-M90)/M90)</f>
        <v>0.27383479879890116</v>
      </c>
      <c r="T90" s="326">
        <v>1274486249.7</v>
      </c>
      <c r="U90" s="326">
        <f>108.8704*742.77</f>
        <v>80865.667008000004</v>
      </c>
      <c r="V90" s="23">
        <f>((T103-P90)/P90)</f>
        <v>3.6666923188679283</v>
      </c>
      <c r="W90" s="23">
        <f t="shared" ref="W90:W99" si="69">((U90-Q90)/Q90)</f>
        <v>0.26263448766869574</v>
      </c>
      <c r="X90" s="326">
        <v>1327238436.2</v>
      </c>
      <c r="Y90" s="326">
        <f>108.9958*770.38</f>
        <v>83968.184404</v>
      </c>
      <c r="Z90" s="23">
        <f>((X103-T90)/T90)</f>
        <v>2.7793647503647914</v>
      </c>
      <c r="AA90" s="23">
        <f t="shared" ref="AA90:AA99" si="70">((Y90-U90)/U90)</f>
        <v>3.8366311820479573E-2</v>
      </c>
      <c r="AB90" s="326">
        <v>1344517092.97</v>
      </c>
      <c r="AC90" s="326">
        <f>108.2525*786.68</f>
        <v>85160.076699999991</v>
      </c>
      <c r="AD90" s="23">
        <f>((AB103-X90)/X90)</f>
        <v>2.7059028894814343</v>
      </c>
      <c r="AE90" s="23">
        <f t="shared" ref="AE90:AE99" si="71">((AC90-Y90)/Y90)</f>
        <v>1.419457029421268E-2</v>
      </c>
      <c r="AF90" s="326">
        <v>1336163219.55</v>
      </c>
      <c r="AG90" s="326">
        <f>109.1769*775.17</f>
        <v>84630.657573000004</v>
      </c>
      <c r="AH90" s="23">
        <f>((AF103-AB90)/AB90)</f>
        <v>2.6186495328774222</v>
      </c>
      <c r="AI90" s="23">
        <f t="shared" ref="AI90:AI99" si="72">((AG90-AC90)/AC90)</f>
        <v>-6.2167525854281728E-3</v>
      </c>
      <c r="AJ90" s="24">
        <f t="shared" si="60"/>
        <v>2.9116716027013392</v>
      </c>
      <c r="AK90" s="24">
        <f t="shared" si="61"/>
        <v>7.3890480236533121E-2</v>
      </c>
      <c r="AL90" s="25">
        <f t="shared" si="62"/>
        <v>0.66616837020301944</v>
      </c>
      <c r="AM90" s="25">
        <f t="shared" si="63"/>
        <v>0.69378638054395925</v>
      </c>
      <c r="AN90" s="387">
        <f t="shared" si="64"/>
        <v>0.4331898092798751</v>
      </c>
      <c r="AO90" s="388">
        <f t="shared" si="65"/>
        <v>0.12075325251463091</v>
      </c>
      <c r="AP90" s="30"/>
      <c r="AQ90" s="49">
        <v>31507613595.857655</v>
      </c>
      <c r="AR90" s="49">
        <v>11.808257597614354</v>
      </c>
      <c r="AS90" s="29" t="e">
        <f>(#REF!/AQ90)-1</f>
        <v>#REF!</v>
      </c>
      <c r="AT90" s="29" t="e">
        <f>(#REF!/AR90)-1</f>
        <v>#REF!</v>
      </c>
    </row>
    <row r="91" spans="1:46">
      <c r="A91" s="202" t="s">
        <v>146</v>
      </c>
      <c r="B91" s="326">
        <f>11850638.38*460.81</f>
        <v>5460892671.8878002</v>
      </c>
      <c r="C91" s="326">
        <f>1.1486*460.81</f>
        <v>529.28636600000004</v>
      </c>
      <c r="D91" s="326">
        <f>11640485.65*461.06</f>
        <v>5366962313.7890005</v>
      </c>
      <c r="E91" s="326">
        <f>1.1503*461.06</f>
        <v>530.35731800000008</v>
      </c>
      <c r="F91" s="23">
        <f>((D104-B91)/B91)</f>
        <v>3.1122603139066403E-2</v>
      </c>
      <c r="G91" s="23">
        <f>((E91-C91)/C91)</f>
        <v>2.0233886017007922E-3</v>
      </c>
      <c r="H91" s="326">
        <f>11667826.53*461.55</f>
        <v>5385285334.9215002</v>
      </c>
      <c r="I91" s="326">
        <f>1.1521*461.55</f>
        <v>531.751755</v>
      </c>
      <c r="J91" s="23">
        <f>((H104-D91)/D91)</f>
        <v>2.6400661934398263E-2</v>
      </c>
      <c r="K91" s="23">
        <f t="shared" si="66"/>
        <v>2.6292406132122515E-3</v>
      </c>
      <c r="L91" s="326">
        <f>11659795.11*462.88</f>
        <v>5397085960.5167999</v>
      </c>
      <c r="M91" s="326">
        <f>1.1539*462.88</f>
        <v>534.11723199999994</v>
      </c>
      <c r="N91" s="23">
        <f>((L104-H91)/H91)</f>
        <v>-5.1867957820209379E-2</v>
      </c>
      <c r="O91" s="23">
        <f t="shared" si="67"/>
        <v>4.4484611056900825E-3</v>
      </c>
      <c r="P91" s="326">
        <f>11684243.38*589.45</f>
        <v>6887277260.3410006</v>
      </c>
      <c r="Q91" s="326">
        <f>1.1265*589.45</f>
        <v>664.01542500000005</v>
      </c>
      <c r="R91" s="23">
        <f>((P104-L91)/L91)</f>
        <v>0.30236253085673276</v>
      </c>
      <c r="S91" s="23">
        <f t="shared" si="68"/>
        <v>0.24320165165538063</v>
      </c>
      <c r="T91" s="326">
        <f>11794314.09*742.77</f>
        <v>8760462676.6292992</v>
      </c>
      <c r="U91" s="326">
        <f>1.1397*742.77</f>
        <v>846.53496899999993</v>
      </c>
      <c r="V91" s="23">
        <f>((T104-P91)/P91)</f>
        <v>-1.2688112660165207E-2</v>
      </c>
      <c r="W91" s="23">
        <f t="shared" si="69"/>
        <v>0.27487244592247218</v>
      </c>
      <c r="X91" s="326">
        <f>11518943.61*770.38</f>
        <v>8873963778.2717991</v>
      </c>
      <c r="Y91" s="326">
        <f>1.1409*770.38</f>
        <v>878.92654200000004</v>
      </c>
      <c r="Z91" s="23">
        <f>((X104-T91)/T91)</f>
        <v>-7.2866155581283606E-2</v>
      </c>
      <c r="AA91" s="23">
        <f t="shared" si="70"/>
        <v>3.826371524647567E-2</v>
      </c>
      <c r="AB91" s="326">
        <f>11535371.33*786.68</f>
        <v>9074645917.8843994</v>
      </c>
      <c r="AC91" s="326">
        <f>1.1421*786.68</f>
        <v>898.46722799999986</v>
      </c>
      <c r="AD91" s="23">
        <f>((AB104-X91)/X91)</f>
        <v>-7.1573109140579738E-2</v>
      </c>
      <c r="AE91" s="23">
        <f t="shared" si="71"/>
        <v>2.2232444995386E-2</v>
      </c>
      <c r="AF91" s="326">
        <f>10990681.69*775.17</f>
        <v>8519646725.6372995</v>
      </c>
      <c r="AG91" s="326">
        <f>1.1433*775.17</f>
        <v>886.25186099999996</v>
      </c>
      <c r="AH91" s="23">
        <f>((AF104-AB91)/AB91)</f>
        <v>-0.14609167292264674</v>
      </c>
      <c r="AI91" s="23">
        <f t="shared" si="72"/>
        <v>-1.3595784709022134E-2</v>
      </c>
      <c r="AJ91" s="24">
        <f t="shared" si="60"/>
        <v>5.998484756640915E-4</v>
      </c>
      <c r="AK91" s="24">
        <f t="shared" si="61"/>
        <v>7.1759445428911925E-2</v>
      </c>
      <c r="AL91" s="25">
        <f t="shared" si="62"/>
        <v>0.5874243617750593</v>
      </c>
      <c r="AM91" s="25">
        <f t="shared" si="63"/>
        <v>0.67104672816072997</v>
      </c>
      <c r="AN91" s="387">
        <f t="shared" si="64"/>
        <v>0.1350725041424386</v>
      </c>
      <c r="AO91" s="388">
        <f t="shared" si="65"/>
        <v>0.11691302965380623</v>
      </c>
      <c r="AP91" s="30"/>
      <c r="AQ91" s="40">
        <f>SUM(AQ90:AQ90)</f>
        <v>31507613595.857655</v>
      </c>
      <c r="AR91" s="13"/>
      <c r="AS91" s="29" t="e">
        <f>(#REF!/AQ91)-1</f>
        <v>#REF!</v>
      </c>
      <c r="AT91" s="29" t="e">
        <f>(#REF!/AR91)-1</f>
        <v>#REF!</v>
      </c>
    </row>
    <row r="92" spans="1:46">
      <c r="A92" s="202" t="s">
        <v>171</v>
      </c>
      <c r="B92" s="326">
        <v>1114031644.3122001</v>
      </c>
      <c r="C92" s="326">
        <v>47688.382560000005</v>
      </c>
      <c r="D92" s="326">
        <v>1115907348.6300001</v>
      </c>
      <c r="E92" s="326">
        <v>47768.644483999997</v>
      </c>
      <c r="F92" s="23">
        <f>((D92-B92)/B92)</f>
        <v>1.6837082926473776E-3</v>
      </c>
      <c r="G92" s="23">
        <f>((E92-C92)/C92)</f>
        <v>1.6830498266324774E-3</v>
      </c>
      <c r="H92" s="326">
        <v>1118303214.3695002</v>
      </c>
      <c r="I92" s="326">
        <v>47871.244709999999</v>
      </c>
      <c r="J92" s="23">
        <f>((H92-D92)/D92)</f>
        <v>2.1470113468124849E-3</v>
      </c>
      <c r="K92" s="23">
        <f t="shared" si="66"/>
        <v>2.1478571792919103E-3</v>
      </c>
      <c r="L92" s="326">
        <v>1122848825.0646</v>
      </c>
      <c r="M92" s="326">
        <v>48065.805006000002</v>
      </c>
      <c r="N92" s="23">
        <f>((L92-H92)/H92)</f>
        <v>4.0647390052103603E-3</v>
      </c>
      <c r="O92" s="23">
        <f t="shared" si="67"/>
        <v>4.0642414288292131E-3</v>
      </c>
      <c r="P92" s="326">
        <v>1430072390.3730001</v>
      </c>
      <c r="Q92" s="326">
        <v>61217.152914999999</v>
      </c>
      <c r="R92" s="23">
        <f>((P92-L92)/L92)</f>
        <v>0.27361080000304128</v>
      </c>
      <c r="S92" s="23">
        <f t="shared" si="68"/>
        <v>0.27361131073032746</v>
      </c>
      <c r="T92" s="326">
        <v>1805383438.0857</v>
      </c>
      <c r="U92" s="326">
        <v>77283.059116999997</v>
      </c>
      <c r="V92" s="23">
        <f>((T92-P92)/P92)</f>
        <v>0.26244199261465989</v>
      </c>
      <c r="W92" s="23">
        <f t="shared" si="69"/>
        <v>0.26244125113605832</v>
      </c>
      <c r="X92" s="326">
        <v>1874623925.7504001</v>
      </c>
      <c r="Y92" s="326">
        <v>80247.06624</v>
      </c>
      <c r="Z92" s="23">
        <f>((X92-T92)/T92)</f>
        <v>3.8352233771523747E-2</v>
      </c>
      <c r="AA92" s="23">
        <f t="shared" si="70"/>
        <v>3.8352611256145384E-2</v>
      </c>
      <c r="AB92" s="326">
        <v>1912043563.2711997</v>
      </c>
      <c r="AC92" s="326">
        <v>82132.629403999992</v>
      </c>
      <c r="AD92" s="23">
        <f>((AB92-X92)/X92)</f>
        <v>1.9961143676228709E-2</v>
      </c>
      <c r="AE92" s="23">
        <f t="shared" si="71"/>
        <v>2.3496973189782645E-2</v>
      </c>
      <c r="AF92" s="326">
        <v>1945887097.45</v>
      </c>
      <c r="AG92" s="326">
        <v>81017.490000000005</v>
      </c>
      <c r="AH92" s="23">
        <f>((AF92-AB92)/AB92)</f>
        <v>1.770018990618576E-2</v>
      </c>
      <c r="AI92" s="23">
        <f t="shared" si="72"/>
        <v>-1.3577300667128986E-2</v>
      </c>
      <c r="AJ92" s="24">
        <f t="shared" si="60"/>
        <v>7.7495227327038702E-2</v>
      </c>
      <c r="AK92" s="24">
        <f t="shared" si="61"/>
        <v>7.4027499259992302E-2</v>
      </c>
      <c r="AL92" s="25">
        <f t="shared" si="62"/>
        <v>0.74377120093255622</v>
      </c>
      <c r="AM92" s="25">
        <f t="shared" si="63"/>
        <v>0.69603912514487687</v>
      </c>
      <c r="AN92" s="387">
        <f t="shared" si="64"/>
        <v>0.11826193189421548</v>
      </c>
      <c r="AO92" s="388">
        <f t="shared" si="65"/>
        <v>0.12078867740346452</v>
      </c>
      <c r="AP92" s="30"/>
      <c r="AQ92" s="40"/>
      <c r="AR92" s="13"/>
      <c r="AS92" s="29" t="e">
        <f>(#REF!/AQ92)-1</f>
        <v>#REF!</v>
      </c>
      <c r="AT92" s="29" t="e">
        <f>(#REF!/AR92)-1</f>
        <v>#REF!</v>
      </c>
    </row>
    <row r="93" spans="1:46">
      <c r="A93" s="202" t="s">
        <v>239</v>
      </c>
      <c r="B93" s="326">
        <v>13206440467.370001</v>
      </c>
      <c r="C93" s="326">
        <v>57152.72</v>
      </c>
      <c r="D93" s="326">
        <v>13249511147.940001</v>
      </c>
      <c r="E93" s="326">
        <v>57376.28</v>
      </c>
      <c r="F93" s="23">
        <f>((D93-B93)/B93)</f>
        <v>3.2613390925751102E-3</v>
      </c>
      <c r="G93" s="23">
        <f>((E93-C93)/C93)</f>
        <v>3.9116248535502364E-3</v>
      </c>
      <c r="H93" s="326">
        <v>13254074928.66</v>
      </c>
      <c r="I93" s="326">
        <v>57423.92</v>
      </c>
      <c r="J93" s="23">
        <f>((H93-D93)/D93)</f>
        <v>3.4444898902620102E-4</v>
      </c>
      <c r="K93" s="23">
        <f t="shared" si="66"/>
        <v>8.3030827373261945E-4</v>
      </c>
      <c r="L93" s="326">
        <v>13477414947.799999</v>
      </c>
      <c r="M93" s="326">
        <v>58448.25</v>
      </c>
      <c r="N93" s="23">
        <f>((L93-H93)/H93)</f>
        <v>1.6850668216539143E-2</v>
      </c>
      <c r="O93" s="23">
        <f t="shared" si="67"/>
        <v>1.7838036832037968E-2</v>
      </c>
      <c r="P93" s="326">
        <v>18912307316.380001</v>
      </c>
      <c r="Q93" s="326">
        <v>82097.61</v>
      </c>
      <c r="R93" s="23">
        <f>((P93-L93)/L93)</f>
        <v>0.40325925925929679</v>
      </c>
      <c r="S93" s="23">
        <f t="shared" si="68"/>
        <v>0.40462049761968921</v>
      </c>
      <c r="T93" s="326">
        <v>21968043746.759998</v>
      </c>
      <c r="U93" s="326">
        <v>95470.27</v>
      </c>
      <c r="V93" s="23">
        <f>((T93-P93)/P93)</f>
        <v>0.16157396235484264</v>
      </c>
      <c r="W93" s="23">
        <f t="shared" si="69"/>
        <v>0.16288732400370734</v>
      </c>
      <c r="X93" s="326">
        <v>21941802007.599998</v>
      </c>
      <c r="Y93" s="326">
        <v>95356.23</v>
      </c>
      <c r="Z93" s="23">
        <f>((X93-T93)/T93)</f>
        <v>-1.1945414649800197E-3</v>
      </c>
      <c r="AA93" s="23">
        <f t="shared" si="70"/>
        <v>-1.1945079866225177E-3</v>
      </c>
      <c r="AB93" s="326">
        <v>22160007773.43</v>
      </c>
      <c r="AC93" s="326">
        <v>96529.83</v>
      </c>
      <c r="AD93" s="23">
        <f>((AB93-X93)/X93)</f>
        <v>9.9447513816058371E-3</v>
      </c>
      <c r="AE93" s="23">
        <f t="shared" si="71"/>
        <v>1.2307533550770683E-2</v>
      </c>
      <c r="AF93" s="326">
        <v>22930145770.439999</v>
      </c>
      <c r="AG93" s="326">
        <v>96529.83</v>
      </c>
      <c r="AH93" s="23">
        <f>((AF93-AB93)/AB93)</f>
        <v>3.4753507529604703E-2</v>
      </c>
      <c r="AI93" s="23">
        <f t="shared" si="72"/>
        <v>0</v>
      </c>
      <c r="AJ93" s="24">
        <f t="shared" si="60"/>
        <v>7.8599174419813816E-2</v>
      </c>
      <c r="AK93" s="24">
        <f t="shared" si="61"/>
        <v>7.5150102143358183E-2</v>
      </c>
      <c r="AL93" s="25">
        <f t="shared" si="62"/>
        <v>0.73064089040033131</v>
      </c>
      <c r="AM93" s="25">
        <f t="shared" si="63"/>
        <v>0.68239959091108737</v>
      </c>
      <c r="AN93" s="387">
        <f t="shared" si="64"/>
        <v>0.14187739426585436</v>
      </c>
      <c r="AO93" s="388">
        <f t="shared" si="65"/>
        <v>0.14420066009761498</v>
      </c>
      <c r="AP93" s="30"/>
      <c r="AQ93" s="28">
        <v>885354617.76999998</v>
      </c>
      <c r="AR93" s="28">
        <v>1763.14</v>
      </c>
      <c r="AS93" s="29" t="e">
        <f>(#REF!/AQ93)-1</f>
        <v>#REF!</v>
      </c>
      <c r="AT93" s="29" t="e">
        <f>(#REF!/AR93)-1</f>
        <v>#REF!</v>
      </c>
    </row>
    <row r="94" spans="1:46" s="368" customFormat="1">
      <c r="A94" s="202" t="s">
        <v>267</v>
      </c>
      <c r="B94" s="326">
        <v>7852544963.21</v>
      </c>
      <c r="C94" s="326">
        <v>50022.52</v>
      </c>
      <c r="D94" s="326">
        <v>7966051854.75</v>
      </c>
      <c r="E94" s="326">
        <v>50283.21</v>
      </c>
      <c r="F94" s="23">
        <f>((D94-B94)/B94)</f>
        <v>1.4454790398755015E-2</v>
      </c>
      <c r="G94" s="23">
        <f>((E94-C94)/C94)</f>
        <v>5.2114527616761884E-3</v>
      </c>
      <c r="H94" s="326">
        <v>7968795753.2600002</v>
      </c>
      <c r="I94" s="326">
        <v>50398.11</v>
      </c>
      <c r="J94" s="23">
        <f>((H94-D94)/D94)</f>
        <v>3.4444898928998264E-4</v>
      </c>
      <c r="K94" s="23">
        <f t="shared" si="66"/>
        <v>2.2850569802524831E-3</v>
      </c>
      <c r="L94" s="326">
        <v>8220705391.6599998</v>
      </c>
      <c r="M94" s="326">
        <v>51351.3</v>
      </c>
      <c r="N94" s="23">
        <f>((L94-H94)/H94)</f>
        <v>3.1612008413811392E-2</v>
      </c>
      <c r="O94" s="23">
        <f t="shared" si="67"/>
        <v>1.8913209245346747E-2</v>
      </c>
      <c r="P94" s="326">
        <v>11797150548.02</v>
      </c>
      <c r="Q94" s="326">
        <v>72198.429999999993</v>
      </c>
      <c r="R94" s="23">
        <f>((P94-L94)/L94)</f>
        <v>0.43505331792918223</v>
      </c>
      <c r="S94" s="23">
        <f t="shared" si="68"/>
        <v>0.40597083228662156</v>
      </c>
      <c r="T94" s="326">
        <v>13829499913.58</v>
      </c>
      <c r="U94" s="326">
        <v>84025.55</v>
      </c>
      <c r="V94" s="23">
        <f>((T94-P94)/P94)</f>
        <v>0.17227459777574028</v>
      </c>
      <c r="W94" s="23">
        <f t="shared" si="69"/>
        <v>0.16381408847810142</v>
      </c>
      <c r="X94" s="326">
        <v>13801704321.75</v>
      </c>
      <c r="Y94" s="326">
        <v>83925.18</v>
      </c>
      <c r="Z94" s="23">
        <f>((X94-T94)/T94)</f>
        <v>-2.0098768577094966E-3</v>
      </c>
      <c r="AA94" s="23">
        <f t="shared" si="70"/>
        <v>-1.1945176199383389E-3</v>
      </c>
      <c r="AB94" s="326">
        <v>15343617291.120001</v>
      </c>
      <c r="AC94" s="326">
        <v>85086.09</v>
      </c>
      <c r="AD94" s="23">
        <f>((AB94-X94)/X94)</f>
        <v>0.11171902639155311</v>
      </c>
      <c r="AE94" s="23">
        <f t="shared" si="71"/>
        <v>1.383267810685665E-2</v>
      </c>
      <c r="AF94" s="326">
        <v>16593265112.24</v>
      </c>
      <c r="AG94" s="326">
        <v>85086.09</v>
      </c>
      <c r="AH94" s="23">
        <f>((AF94-AB94)/AB94)</f>
        <v>8.1444146931585873E-2</v>
      </c>
      <c r="AI94" s="23">
        <f t="shared" si="72"/>
        <v>0</v>
      </c>
      <c r="AJ94" s="24">
        <f t="shared" si="60"/>
        <v>0.10561155749652604</v>
      </c>
      <c r="AK94" s="24">
        <f t="shared" si="61"/>
        <v>7.6104100029864577E-2</v>
      </c>
      <c r="AL94" s="25">
        <f t="shared" si="62"/>
        <v>1.082997376215391</v>
      </c>
      <c r="AM94" s="25">
        <f t="shared" si="63"/>
        <v>0.69213719649163208</v>
      </c>
      <c r="AN94" s="387">
        <f t="shared" si="64"/>
        <v>0.14640756522415357</v>
      </c>
      <c r="AO94" s="388">
        <f t="shared" si="65"/>
        <v>0.1443683582198968</v>
      </c>
      <c r="AP94" s="30"/>
      <c r="AQ94" s="28"/>
      <c r="AR94" s="28"/>
      <c r="AS94" s="29"/>
      <c r="AT94" s="29"/>
    </row>
    <row r="95" spans="1:46">
      <c r="A95" s="202" t="s">
        <v>236</v>
      </c>
      <c r="B95" s="326">
        <f>84479.3*461.31</f>
        <v>38971145.883000001</v>
      </c>
      <c r="C95" s="326">
        <f>101.84*461.31</f>
        <v>46979.810400000002</v>
      </c>
      <c r="D95" s="326">
        <f>84531.06*461.45</f>
        <v>39006857.636999995</v>
      </c>
      <c r="E95" s="326">
        <f>101.9*461.45</f>
        <v>47021.755000000005</v>
      </c>
      <c r="F95" s="23">
        <f>((D95-B95)/B95)</f>
        <v>9.1636397110846546E-4</v>
      </c>
      <c r="G95" s="23">
        <f>((E95-C95)/C95)</f>
        <v>8.9282182373393601E-4</v>
      </c>
      <c r="H95" s="326">
        <f>84582.8*462.05</f>
        <v>39081482.740000002</v>
      </c>
      <c r="I95" s="326">
        <f>101.97*462.05</f>
        <v>47115.238499999999</v>
      </c>
      <c r="J95" s="23">
        <f>((H95-D95)/D95)</f>
        <v>1.9131277811320502E-3</v>
      </c>
      <c r="K95" s="23">
        <f t="shared" si="66"/>
        <v>1.9880904062384488E-3</v>
      </c>
      <c r="L95" s="326">
        <f>84634.53*462.9</f>
        <v>39177323.936999999</v>
      </c>
      <c r="M95" s="326">
        <f>102.03*462.9</f>
        <v>47229.686999999998</v>
      </c>
      <c r="N95" s="23">
        <f>((L95-H95)/H95)</f>
        <v>2.4523429071922898E-3</v>
      </c>
      <c r="O95" s="23">
        <f t="shared" si="67"/>
        <v>2.4291185536500807E-3</v>
      </c>
      <c r="P95" s="326">
        <f>84686.24*589.45</f>
        <v>49918304.168000005</v>
      </c>
      <c r="Q95" s="326">
        <f>102.09*589.45</f>
        <v>60176.950500000006</v>
      </c>
      <c r="R95" s="23">
        <f>((P95-L95)/L95)</f>
        <v>0.27416319318471799</v>
      </c>
      <c r="S95" s="23">
        <f t="shared" si="68"/>
        <v>0.27413401024656397</v>
      </c>
      <c r="T95" s="326">
        <f>80066.12*743.27</f>
        <v>59510745.012399994</v>
      </c>
      <c r="U95" s="326">
        <f>101.32*743.27</f>
        <v>75308.116399999999</v>
      </c>
      <c r="V95" s="23">
        <f>((T95-P95)/P95)</f>
        <v>0.19216279487613677</v>
      </c>
      <c r="W95" s="23">
        <f t="shared" si="69"/>
        <v>0.25144454436919317</v>
      </c>
      <c r="X95" s="326">
        <f>80095.63*770.88</f>
        <v>61744119.2544</v>
      </c>
      <c r="Y95" s="326">
        <f>101.35*770.88</f>
        <v>78128.687999999995</v>
      </c>
      <c r="Z95" s="23">
        <f>((X95-T95)/T95)</f>
        <v>3.752892425619353E-2</v>
      </c>
      <c r="AA95" s="23">
        <f t="shared" si="70"/>
        <v>3.7453753125605935E-2</v>
      </c>
      <c r="AB95" s="326">
        <f>80125.13*787.18</f>
        <v>63072899.833399996</v>
      </c>
      <c r="AC95" s="326">
        <f>101.39*787.18</f>
        <v>79812.180200000003</v>
      </c>
      <c r="AD95" s="23">
        <f>((AB95-X95)/X95)</f>
        <v>2.1520763354403259E-2</v>
      </c>
      <c r="AE95" s="23">
        <f t="shared" si="71"/>
        <v>2.1547682971458679E-2</v>
      </c>
      <c r="AF95" s="326">
        <f>80125.13*775.67</f>
        <v>62150659.587099999</v>
      </c>
      <c r="AG95" s="326">
        <f>101.39*775.67</f>
        <v>78645.181299999997</v>
      </c>
      <c r="AH95" s="23">
        <f>((AF95-AB95)/AB95)</f>
        <v>-1.4621814578622378E-2</v>
      </c>
      <c r="AI95" s="23">
        <f t="shared" si="72"/>
        <v>-1.4621814578622499E-2</v>
      </c>
      <c r="AJ95" s="24">
        <f t="shared" si="60"/>
        <v>6.4504461969032756E-2</v>
      </c>
      <c r="AK95" s="24">
        <f t="shared" si="61"/>
        <v>7.1908525864727721E-2</v>
      </c>
      <c r="AL95" s="25">
        <f t="shared" si="62"/>
        <v>0.59332649057449138</v>
      </c>
      <c r="AM95" s="25">
        <f t="shared" si="63"/>
        <v>0.6725275630397034</v>
      </c>
      <c r="AN95" s="387">
        <f t="shared" si="64"/>
        <v>0.10750499387726664</v>
      </c>
      <c r="AO95" s="388">
        <f t="shared" si="65"/>
        <v>0.11898298780438718</v>
      </c>
      <c r="AP95" s="30"/>
      <c r="AQ95" s="33">
        <v>113791197</v>
      </c>
      <c r="AR95" s="32">
        <v>81.52</v>
      </c>
      <c r="AS95" s="29" t="e">
        <f>(#REF!/AQ95)-1</f>
        <v>#REF!</v>
      </c>
      <c r="AT95" s="29" t="e">
        <f>(#REF!/AR95)-1</f>
        <v>#REF!</v>
      </c>
    </row>
    <row r="96" spans="1:46">
      <c r="A96" s="202" t="s">
        <v>120</v>
      </c>
      <c r="B96" s="326">
        <v>5904820210.9300003</v>
      </c>
      <c r="C96" s="326">
        <v>460.81</v>
      </c>
      <c r="D96" s="326">
        <v>5911798377.3400002</v>
      </c>
      <c r="E96" s="326">
        <v>461.06</v>
      </c>
      <c r="F96" s="23">
        <f>((D96-B96)/B96)</f>
        <v>1.1817745775024701E-3</v>
      </c>
      <c r="G96" s="23">
        <f>((E96-C96)/C96)</f>
        <v>5.4252294872073092E-4</v>
      </c>
      <c r="H96" s="326">
        <v>5849124867.54</v>
      </c>
      <c r="I96" s="326">
        <v>461.55</v>
      </c>
      <c r="J96" s="23">
        <f t="shared" ref="J96" si="73">((H96-D96)/D96)</f>
        <v>-1.0601428837666143E-2</v>
      </c>
      <c r="K96" s="23">
        <f t="shared" si="66"/>
        <v>1.0627684032447167E-3</v>
      </c>
      <c r="L96" s="326">
        <v>5919393244.4200001</v>
      </c>
      <c r="M96" s="326">
        <v>462.88</v>
      </c>
      <c r="N96" s="23">
        <f t="shared" ref="N96" si="74">((L96-H96)/H96)</f>
        <v>1.201348551643304E-2</v>
      </c>
      <c r="O96" s="23">
        <f t="shared" si="67"/>
        <v>2.8815946268009622E-3</v>
      </c>
      <c r="P96" s="326">
        <v>7169191969.5200005</v>
      </c>
      <c r="Q96" s="326">
        <v>588.95000000000005</v>
      </c>
      <c r="R96" s="23">
        <f t="shared" ref="R96" si="75">((P96-L96)/L96)</f>
        <v>0.21113628939556278</v>
      </c>
      <c r="S96" s="23">
        <f t="shared" si="68"/>
        <v>0.27236000691323897</v>
      </c>
      <c r="T96" s="326">
        <v>9530705087.2399998</v>
      </c>
      <c r="U96" s="326">
        <v>742.77</v>
      </c>
      <c r="V96" s="23">
        <f t="shared" ref="V96" si="76">((T96-P96)/P96)</f>
        <v>0.32939738923996337</v>
      </c>
      <c r="W96" s="23">
        <f t="shared" si="69"/>
        <v>0.26117667034553005</v>
      </c>
      <c r="X96" s="326">
        <v>9918831535.8400002</v>
      </c>
      <c r="Y96" s="326">
        <v>770.38</v>
      </c>
      <c r="Z96" s="23">
        <f t="shared" ref="Z96" si="77">((X96-T96)/T96)</f>
        <v>4.0723791686686009E-2</v>
      </c>
      <c r="AA96" s="23">
        <f t="shared" si="70"/>
        <v>3.7171668214925228E-2</v>
      </c>
      <c r="AB96" s="326">
        <v>10164567268.68</v>
      </c>
      <c r="AC96" s="326">
        <v>786.68</v>
      </c>
      <c r="AD96" s="23">
        <f t="shared" ref="AD96" si="78">((AB96-X96)/X96)</f>
        <v>2.4774665438371056E-2</v>
      </c>
      <c r="AE96" s="23">
        <f t="shared" si="71"/>
        <v>2.1158389366286709E-2</v>
      </c>
      <c r="AF96" s="326">
        <v>10025172428.25</v>
      </c>
      <c r="AG96" s="326">
        <v>775.173</v>
      </c>
      <c r="AH96" s="23">
        <f t="shared" ref="AH96" si="79">((AF96-AB96)/AB96)</f>
        <v>-1.3713799785605878E-2</v>
      </c>
      <c r="AI96" s="23">
        <f t="shared" si="72"/>
        <v>-1.462729445263633E-2</v>
      </c>
      <c r="AJ96" s="24">
        <f t="shared" si="60"/>
        <v>7.4364020903905842E-2</v>
      </c>
      <c r="AK96" s="24">
        <f t="shared" si="61"/>
        <v>7.2715790795763874E-2</v>
      </c>
      <c r="AL96" s="25">
        <f t="shared" si="62"/>
        <v>0.69579065258325046</v>
      </c>
      <c r="AM96" s="25">
        <f t="shared" si="63"/>
        <v>0.68128443152734997</v>
      </c>
      <c r="AN96" s="387">
        <f t="shared" si="64"/>
        <v>0.12624211555473622</v>
      </c>
      <c r="AO96" s="388">
        <f t="shared" si="65"/>
        <v>0.12079831606383834</v>
      </c>
      <c r="AP96" s="30"/>
      <c r="AQ96" s="28">
        <v>1066913090.3099999</v>
      </c>
      <c r="AR96" s="32">
        <v>1.1691</v>
      </c>
      <c r="AS96" s="29" t="e">
        <f>(#REF!/AQ96)-1</f>
        <v>#REF!</v>
      </c>
      <c r="AT96" s="29" t="e">
        <f>(#REF!/AR96)-1</f>
        <v>#REF!</v>
      </c>
    </row>
    <row r="97" spans="1:46" s="302" customFormat="1">
      <c r="A97" s="213" t="s">
        <v>250</v>
      </c>
      <c r="B97" s="326">
        <f>1778343.24*461.31</f>
        <v>820367520.04439998</v>
      </c>
      <c r="C97" s="326">
        <f>101.62*461.31</f>
        <v>46878.322200000002</v>
      </c>
      <c r="D97" s="326">
        <f>1800743.84*461.45</f>
        <v>830953244.96800005</v>
      </c>
      <c r="E97" s="326">
        <f>101.83*461.45</f>
        <v>46989.453499999996</v>
      </c>
      <c r="F97" s="23">
        <f>((D97-B97)/B97)</f>
        <v>1.2903637290548943E-2</v>
      </c>
      <c r="G97" s="23">
        <f>((E97-C97)/C97)</f>
        <v>2.3706330513679017E-3</v>
      </c>
      <c r="H97" s="326">
        <f>1785067.5*462.05</f>
        <v>824790438.375</v>
      </c>
      <c r="I97" s="326">
        <f>102*462.05</f>
        <v>47129.1</v>
      </c>
      <c r="J97" s="23">
        <f>((H97-D97)/D97)</f>
        <v>-7.4165503658841642E-3</v>
      </c>
      <c r="K97" s="23">
        <f t="shared" si="66"/>
        <v>2.9718689960929758E-3</v>
      </c>
      <c r="L97" s="326">
        <f>1871731.68*462.9</f>
        <v>866424594.67199993</v>
      </c>
      <c r="M97" s="326">
        <f>102*462.05</f>
        <v>47129.1</v>
      </c>
      <c r="N97" s="23">
        <f>((L97-H97)/H97)</f>
        <v>5.0478466238075503E-2</v>
      </c>
      <c r="O97" s="23">
        <f t="shared" si="67"/>
        <v>0</v>
      </c>
      <c r="P97" s="326">
        <f>2009282.34*589.45</f>
        <v>1184371475.3130002</v>
      </c>
      <c r="Q97" s="326">
        <f>102.4*589.45</f>
        <v>60359.680000000008</v>
      </c>
      <c r="R97" s="23">
        <f>((P97-L97)/L97)</f>
        <v>0.36696428355818383</v>
      </c>
      <c r="S97" s="23">
        <f t="shared" si="68"/>
        <v>0.28073058895671699</v>
      </c>
      <c r="T97" s="326">
        <f>2020647.39*743.27</f>
        <v>1501886585.5653</v>
      </c>
      <c r="U97" s="326">
        <f>102.61*743.27</f>
        <v>76266.934699999998</v>
      </c>
      <c r="V97" s="23">
        <f>((T97-P97)/P97)</f>
        <v>0.26808743444989536</v>
      </c>
      <c r="W97" s="23">
        <f t="shared" si="69"/>
        <v>0.26354107079427835</v>
      </c>
      <c r="X97" s="326">
        <f>2046075.55*770.88</f>
        <v>1577278719.984</v>
      </c>
      <c r="Y97" s="326">
        <f>102.81*770.88</f>
        <v>79254.1728</v>
      </c>
      <c r="Z97" s="23">
        <f>((X97-T97)/T97)</f>
        <v>5.0198287369563853E-2</v>
      </c>
      <c r="AA97" s="23">
        <f t="shared" si="70"/>
        <v>3.9168194077164119E-2</v>
      </c>
      <c r="AB97" s="326">
        <f>2124436.15*787.18</f>
        <v>1672313648.5569999</v>
      </c>
      <c r="AC97" s="326">
        <f>101.42*787.18</f>
        <v>79835.795599999998</v>
      </c>
      <c r="AD97" s="23">
        <f>((AB97-X97)/X97)</f>
        <v>6.025246354300906E-2</v>
      </c>
      <c r="AE97" s="23">
        <f t="shared" si="71"/>
        <v>7.3387025496782091E-3</v>
      </c>
      <c r="AF97" s="326">
        <f>2177008.55*775.67</f>
        <v>1688640221.9784997</v>
      </c>
      <c r="AG97" s="326">
        <f>101.63*775.67</f>
        <v>78831.342099999994</v>
      </c>
      <c r="AH97" s="23">
        <f>((AF97-AB97)/AB97)</f>
        <v>9.7628656176953071E-3</v>
      </c>
      <c r="AI97" s="23">
        <f t="shared" si="72"/>
        <v>-1.2581492956274908E-2</v>
      </c>
      <c r="AJ97" s="24">
        <f t="shared" si="60"/>
        <v>0.10140386096263597</v>
      </c>
      <c r="AK97" s="24">
        <f t="shared" si="61"/>
        <v>7.2942445683627954E-2</v>
      </c>
      <c r="AL97" s="25">
        <f t="shared" si="62"/>
        <v>1.032172366140202</v>
      </c>
      <c r="AM97" s="25">
        <f t="shared" si="63"/>
        <v>0.67763904936668395</v>
      </c>
      <c r="AN97" s="387">
        <f t="shared" si="64"/>
        <v>0.13798904685495544</v>
      </c>
      <c r="AO97" s="388">
        <f t="shared" si="65"/>
        <v>0.12390059746580835</v>
      </c>
      <c r="AP97" s="30"/>
      <c r="AQ97" s="28"/>
      <c r="AR97" s="32"/>
      <c r="AS97" s="29"/>
      <c r="AT97" s="29"/>
    </row>
    <row r="98" spans="1:46" s="302" customFormat="1">
      <c r="A98" s="213" t="s">
        <v>127</v>
      </c>
      <c r="B98" s="326">
        <f>1711619.73*461.31</f>
        <v>789587297.64629996</v>
      </c>
      <c r="C98" s="326">
        <f>130.84*461.31</f>
        <v>60357.8004</v>
      </c>
      <c r="D98" s="326">
        <f>1671595.37*461.45</f>
        <v>771357683.48650002</v>
      </c>
      <c r="E98" s="326">
        <f>127.9*461.45</f>
        <v>59019.455000000002</v>
      </c>
      <c r="F98" s="23">
        <f>((D110-B98)/B98)</f>
        <v>6.181730458726526</v>
      </c>
      <c r="G98" s="23">
        <f>((E98-C98)/C98)</f>
        <v>-2.2173528377949277E-2</v>
      </c>
      <c r="H98" s="326">
        <f>1681287.76*462.05</f>
        <v>776839009.50800002</v>
      </c>
      <c r="I98" s="326">
        <f>128.66*462.05</f>
        <v>59447.353000000003</v>
      </c>
      <c r="J98" s="23">
        <f>((H110-D98)/D98)</f>
        <v>6.4829774282672581</v>
      </c>
      <c r="K98" s="23">
        <f t="shared" si="66"/>
        <v>7.2501177789595144E-3</v>
      </c>
      <c r="L98" s="326">
        <f>1671501.35*462.9</f>
        <v>773737974.91499996</v>
      </c>
      <c r="M98" s="326">
        <f>127.96*462.9</f>
        <v>59232.683999999994</v>
      </c>
      <c r="N98" s="23">
        <f>((L110-H98)/H98)</f>
        <v>6.7564445457575175</v>
      </c>
      <c r="O98" s="23">
        <f t="shared" si="67"/>
        <v>-3.6110775192969308E-3</v>
      </c>
      <c r="P98" s="326">
        <f>1696598.64*589.45</f>
        <v>1000060068.348</v>
      </c>
      <c r="Q98" s="326">
        <f>126.2*589.45</f>
        <v>74388.590000000011</v>
      </c>
      <c r="R98" s="23">
        <f>((P110-L98)/L98)</f>
        <v>9.1181842619396392</v>
      </c>
      <c r="S98" s="23">
        <f t="shared" si="68"/>
        <v>0.25587066086689603</v>
      </c>
      <c r="T98" s="326">
        <f>1702290.92*743.27</f>
        <v>1265261772.1083999</v>
      </c>
      <c r="U98" s="326">
        <f>130.28*743.27</f>
        <v>96833.215599999996</v>
      </c>
      <c r="V98" s="23">
        <f>((T110-P98)/P98)</f>
        <v>10.042381233331328</v>
      </c>
      <c r="W98" s="23">
        <f t="shared" si="69"/>
        <v>0.30172134731952821</v>
      </c>
      <c r="X98" s="326">
        <f>1703890.93*770.88</f>
        <v>1313495440.1183999</v>
      </c>
      <c r="Y98" s="326">
        <f>126.2*770.88</f>
        <v>97285.055999999997</v>
      </c>
      <c r="Z98" s="23">
        <f>((X110-T98)/T98)</f>
        <v>8.0312891342464496</v>
      </c>
      <c r="AA98" s="23">
        <f t="shared" si="70"/>
        <v>4.6661715941198273E-3</v>
      </c>
      <c r="AB98" s="326">
        <f>1704948.86*787.18</f>
        <v>1342101643.6148</v>
      </c>
      <c r="AC98" s="326">
        <f>129.4*787.18</f>
        <v>101861.092</v>
      </c>
      <c r="AD98" s="23">
        <f>((AB110-X98)/X98)</f>
        <v>7.967563810475232</v>
      </c>
      <c r="AE98" s="23">
        <f t="shared" si="71"/>
        <v>4.7037399043076127E-2</v>
      </c>
      <c r="AF98" s="326">
        <f>1715533.68*775.67</f>
        <v>1330688009.5655999</v>
      </c>
      <c r="AG98" s="326">
        <f>126.48*775.67</f>
        <v>98106.741599999994</v>
      </c>
      <c r="AH98" s="23">
        <f>((AF110-AB98)/AB98)</f>
        <v>8.0127325851943478</v>
      </c>
      <c r="AI98" s="23">
        <f t="shared" si="72"/>
        <v>-3.6857551065720071E-2</v>
      </c>
      <c r="AJ98" s="24">
        <f t="shared" si="60"/>
        <v>7.8241629322422881</v>
      </c>
      <c r="AK98" s="24">
        <f t="shared" si="61"/>
        <v>6.9237942454951684E-2</v>
      </c>
      <c r="AL98" s="25">
        <f t="shared" si="62"/>
        <v>0.72512446307782075</v>
      </c>
      <c r="AM98" s="25">
        <f t="shared" si="63"/>
        <v>0.6622779996867133</v>
      </c>
      <c r="AN98" s="387">
        <f t="shared" si="64"/>
        <v>1.3272093580902637</v>
      </c>
      <c r="AO98" s="388">
        <f t="shared" si="65"/>
        <v>0.13218194371160441</v>
      </c>
      <c r="AP98" s="30"/>
      <c r="AQ98" s="28"/>
      <c r="AR98" s="32"/>
      <c r="AS98" s="29"/>
      <c r="AT98" s="29"/>
    </row>
    <row r="99" spans="1:46">
      <c r="A99" s="213" t="s">
        <v>165</v>
      </c>
      <c r="B99" s="326">
        <v>68183648509.949997</v>
      </c>
      <c r="C99" s="326">
        <v>59234.32</v>
      </c>
      <c r="D99" s="326">
        <v>68538673455.510002</v>
      </c>
      <c r="E99" s="326">
        <v>59645.36</v>
      </c>
      <c r="F99" s="23">
        <f>((D111-B99)/B99)</f>
        <v>3.8678627510029853</v>
      </c>
      <c r="G99" s="23">
        <f>((E99-C99)/C99)</f>
        <v>6.9392203708931047E-3</v>
      </c>
      <c r="H99" s="326">
        <v>68524697698.400002</v>
      </c>
      <c r="I99" s="326">
        <v>59699.360000000001</v>
      </c>
      <c r="J99" s="23">
        <f>((H111-D99)/D99)</f>
        <v>3.8426198466387307</v>
      </c>
      <c r="K99" s="23">
        <f t="shared" si="66"/>
        <v>9.0535122933284328E-4</v>
      </c>
      <c r="L99" s="326">
        <v>70083833814.229996</v>
      </c>
      <c r="M99" s="326">
        <v>60764.87</v>
      </c>
      <c r="N99" s="23">
        <f>((L111-H99)/H99)</f>
        <v>3.9412449190309524</v>
      </c>
      <c r="O99" s="23">
        <f t="shared" si="67"/>
        <v>1.7847930028060635E-2</v>
      </c>
      <c r="P99" s="326">
        <v>100063914841.14</v>
      </c>
      <c r="Q99" s="326">
        <v>85352.41</v>
      </c>
      <c r="R99" s="23">
        <f>((P111-L99)/L99)</f>
        <v>5.7133661102234257</v>
      </c>
      <c r="S99" s="23">
        <f t="shared" si="68"/>
        <v>0.40463412494752315</v>
      </c>
      <c r="T99" s="326">
        <v>115594181627.23</v>
      </c>
      <c r="U99" s="326">
        <v>92516.67</v>
      </c>
      <c r="V99" s="23">
        <f>((T111-P99)/P99)</f>
        <v>4.5016793932661558</v>
      </c>
      <c r="W99" s="23">
        <f t="shared" si="69"/>
        <v>8.3937407274147197E-2</v>
      </c>
      <c r="X99" s="326">
        <v>115362369025.59</v>
      </c>
      <c r="Y99" s="326">
        <v>93090.25</v>
      </c>
      <c r="Z99" s="23">
        <f>((X111-T99)/T99)</f>
        <v>3.7893685179320142</v>
      </c>
      <c r="AA99" s="23">
        <f t="shared" si="70"/>
        <v>6.1997475698163558E-3</v>
      </c>
      <c r="AB99" s="326">
        <v>115362369025.59</v>
      </c>
      <c r="AC99" s="326">
        <v>93090.25</v>
      </c>
      <c r="AD99" s="23">
        <f>((AB111-X99)/X99)</f>
        <v>3.8680805198543577</v>
      </c>
      <c r="AE99" s="23">
        <f t="shared" si="71"/>
        <v>0</v>
      </c>
      <c r="AF99" s="326">
        <v>120462231205.64999</v>
      </c>
      <c r="AG99" s="326">
        <v>97485.98</v>
      </c>
      <c r="AH99" s="23">
        <f>((AF111-AB99)/AB99)</f>
        <v>4.0537515958371069</v>
      </c>
      <c r="AI99" s="23">
        <f t="shared" si="72"/>
        <v>4.7220090181302507E-2</v>
      </c>
      <c r="AJ99" s="24">
        <f t="shared" si="60"/>
        <v>4.1972467067232158</v>
      </c>
      <c r="AK99" s="24">
        <f t="shared" si="61"/>
        <v>7.0960483950134462E-2</v>
      </c>
      <c r="AL99" s="25">
        <f t="shared" si="62"/>
        <v>0.75758043061403491</v>
      </c>
      <c r="AM99" s="25">
        <f t="shared" si="63"/>
        <v>0.63442688584661067</v>
      </c>
      <c r="AN99" s="387">
        <f t="shared" si="64"/>
        <v>0.65316745436636947</v>
      </c>
      <c r="AO99" s="388">
        <f t="shared" si="65"/>
        <v>0.13790619792639908</v>
      </c>
      <c r="AP99" s="30"/>
      <c r="AQ99" s="28">
        <v>4173976375.3699999</v>
      </c>
      <c r="AR99" s="32">
        <v>299.53579999999999</v>
      </c>
      <c r="AS99" s="29" t="e">
        <f>(#REF!/AQ99)-1</f>
        <v>#REF!</v>
      </c>
      <c r="AT99" s="29" t="e">
        <f>(#REF!/AR99)-1</f>
        <v>#REF!</v>
      </c>
    </row>
    <row r="100" spans="1:46" ht="6.75" customHeight="1">
      <c r="A100" s="204"/>
      <c r="B100" s="85"/>
      <c r="C100" s="85"/>
      <c r="D100" s="85"/>
      <c r="E100" s="85"/>
      <c r="F100" s="23"/>
      <c r="G100" s="23"/>
      <c r="H100" s="85"/>
      <c r="I100" s="85"/>
      <c r="J100" s="23"/>
      <c r="K100" s="23"/>
      <c r="L100" s="85"/>
      <c r="M100" s="326"/>
      <c r="N100" s="23"/>
      <c r="O100" s="23"/>
      <c r="P100" s="85"/>
      <c r="Q100" s="85"/>
      <c r="R100" s="23"/>
      <c r="S100" s="23"/>
      <c r="T100" s="85"/>
      <c r="U100" s="85"/>
      <c r="V100" s="23"/>
      <c r="W100" s="23"/>
      <c r="X100" s="85"/>
      <c r="Y100" s="85"/>
      <c r="Z100" s="23"/>
      <c r="AA100" s="23"/>
      <c r="AB100" s="85"/>
      <c r="AC100" s="85"/>
      <c r="AD100" s="23"/>
      <c r="AE100" s="23"/>
      <c r="AF100" s="85"/>
      <c r="AG100" s="85"/>
      <c r="AH100" s="23"/>
      <c r="AI100" s="23"/>
      <c r="AJ100" s="24"/>
      <c r="AK100" s="24"/>
      <c r="AL100" s="25"/>
      <c r="AM100" s="25"/>
      <c r="AN100" s="387"/>
      <c r="AO100" s="388"/>
      <c r="AP100" s="30"/>
      <c r="AQ100" s="50">
        <v>4131236617.7600002</v>
      </c>
      <c r="AR100" s="48">
        <v>103.24</v>
      </c>
      <c r="AS100" s="29" t="e">
        <f>(#REF!/AQ100)-1</f>
        <v>#REF!</v>
      </c>
      <c r="AT100" s="29" t="e">
        <f>(#REF!/AR100)-1</f>
        <v>#REF!</v>
      </c>
    </row>
    <row r="101" spans="1:46">
      <c r="A101" s="200" t="s">
        <v>197</v>
      </c>
      <c r="B101" s="85"/>
      <c r="C101" s="85"/>
      <c r="D101" s="85"/>
      <c r="E101" s="85"/>
      <c r="F101" s="23"/>
      <c r="G101" s="23"/>
      <c r="H101" s="85"/>
      <c r="I101" s="85"/>
      <c r="J101" s="23"/>
      <c r="K101" s="23"/>
      <c r="L101" s="85"/>
      <c r="M101" s="85"/>
      <c r="N101" s="23"/>
      <c r="O101" s="23"/>
      <c r="P101" s="85"/>
      <c r="Q101" s="85"/>
      <c r="R101" s="23"/>
      <c r="S101" s="23"/>
      <c r="T101" s="85"/>
      <c r="U101" s="85"/>
      <c r="V101" s="23"/>
      <c r="W101" s="23"/>
      <c r="X101" s="85"/>
      <c r="Y101" s="85"/>
      <c r="Z101" s="23"/>
      <c r="AA101" s="23"/>
      <c r="AB101" s="85"/>
      <c r="AC101" s="85"/>
      <c r="AD101" s="23"/>
      <c r="AE101" s="23"/>
      <c r="AF101" s="85"/>
      <c r="AG101" s="85"/>
      <c r="AH101" s="23"/>
      <c r="AI101" s="23"/>
      <c r="AJ101" s="24"/>
      <c r="AK101" s="24"/>
      <c r="AL101" s="25"/>
      <c r="AM101" s="25"/>
      <c r="AN101" s="387"/>
      <c r="AO101" s="388"/>
      <c r="AP101" s="30"/>
      <c r="AQ101" s="45">
        <v>2931134847.0043802</v>
      </c>
      <c r="AR101" s="49">
        <v>2254.1853324818899</v>
      </c>
      <c r="AS101" s="29" t="e">
        <f>(#REF!/AQ101)-1</f>
        <v>#REF!</v>
      </c>
      <c r="AT101" s="29" t="e">
        <f>(#REF!/AR101)-1</f>
        <v>#REF!</v>
      </c>
    </row>
    <row r="102" spans="1:46">
      <c r="A102" s="202" t="s">
        <v>148</v>
      </c>
      <c r="B102" s="325">
        <v>392500040.07999998</v>
      </c>
      <c r="C102" s="326">
        <v>42333.79</v>
      </c>
      <c r="D102" s="325">
        <v>396647568.00999999</v>
      </c>
      <c r="E102" s="326">
        <v>42757.31</v>
      </c>
      <c r="F102" s="23">
        <f>((D102-B102)/B102)</f>
        <v>1.0566949061087105E-2</v>
      </c>
      <c r="G102" s="23">
        <f>((E102-C102)/C102)</f>
        <v>1.0004301528400759E-2</v>
      </c>
      <c r="H102" s="325">
        <v>407587039.99000001</v>
      </c>
      <c r="I102" s="326">
        <v>43935.8</v>
      </c>
      <c r="J102" s="23">
        <f t="shared" ref="J102:J109" si="80">((H102-D102)/D102)</f>
        <v>2.7579828700031814E-2</v>
      </c>
      <c r="K102" s="23">
        <f t="shared" ref="K102:K109" si="81">((I102-E102)/E102)</f>
        <v>2.7562304550964627E-2</v>
      </c>
      <c r="L102" s="325">
        <v>405114500.13999999</v>
      </c>
      <c r="M102" s="326">
        <v>43668.800000000003</v>
      </c>
      <c r="N102" s="23">
        <f t="shared" ref="N102:N109" si="82">((L102-H102)/H102)</f>
        <v>-6.0662867250653668E-3</v>
      </c>
      <c r="O102" s="23">
        <f t="shared" ref="O102:O109" si="83">((M102-I102)/I102)</f>
        <v>-6.0770487848178477E-3</v>
      </c>
      <c r="P102" s="325">
        <v>419170905.30000001</v>
      </c>
      <c r="Q102" s="326">
        <v>45183.35</v>
      </c>
      <c r="R102" s="23">
        <f t="shared" ref="R102:R109" si="84">((P102-L102)/L102)</f>
        <v>3.4697363720978626E-2</v>
      </c>
      <c r="S102" s="23">
        <f t="shared" ref="S102:S109" si="85">((Q102-M102)/M102)</f>
        <v>3.4682656725167522E-2</v>
      </c>
      <c r="T102" s="325">
        <v>404929163.23000002</v>
      </c>
      <c r="U102" s="326">
        <v>44879.519999999997</v>
      </c>
      <c r="V102" s="23">
        <f t="shared" ref="V102:V109" si="86">((T102-P102)/P102)</f>
        <v>-3.3975979463095607E-2</v>
      </c>
      <c r="W102" s="23">
        <f t="shared" ref="W102:W109" si="87">((U102-Q102)/Q102)</f>
        <v>-6.724379666403703E-3</v>
      </c>
      <c r="X102" s="325">
        <v>672003049.42999995</v>
      </c>
      <c r="Y102" s="326">
        <v>74477.78</v>
      </c>
      <c r="Z102" s="23">
        <f t="shared" ref="Z102:Z109" si="88">((X102-T102)/T102)</f>
        <v>0.65955705454660418</v>
      </c>
      <c r="AA102" s="23">
        <f t="shared" ref="AA102:AA109" si="89">((Y102-U102)/U102)</f>
        <v>0.65950482536355126</v>
      </c>
      <c r="AB102" s="325">
        <v>661952778.97000003</v>
      </c>
      <c r="AC102" s="326">
        <v>73361.63</v>
      </c>
      <c r="AD102" s="23">
        <f t="shared" ref="AD102:AD109" si="90">((AB102-X102)/X102)</f>
        <v>-1.4955691746525055E-2</v>
      </c>
      <c r="AE102" s="23">
        <f t="shared" ref="AE102:AE109" si="91">((AC102-Y102)/Y102)</f>
        <v>-1.4986348948639368E-2</v>
      </c>
      <c r="AF102" s="325">
        <v>683317247.75</v>
      </c>
      <c r="AG102" s="326">
        <v>75730.59</v>
      </c>
      <c r="AH102" s="23">
        <f t="shared" ref="AH102:AH109" si="92">((AF102-AB102)/AB102)</f>
        <v>3.2274913647531073E-2</v>
      </c>
      <c r="AI102" s="23">
        <f t="shared" ref="AI102:AI109" si="93">((AG102-AC102)/AC102)</f>
        <v>3.2291539869002253E-2</v>
      </c>
      <c r="AJ102" s="24">
        <f t="shared" si="60"/>
        <v>8.8709768967693364E-2</v>
      </c>
      <c r="AK102" s="24">
        <f t="shared" si="61"/>
        <v>9.2032231329653186E-2</v>
      </c>
      <c r="AL102" s="25">
        <f t="shared" si="62"/>
        <v>0.72273146959714296</v>
      </c>
      <c r="AM102" s="25">
        <f t="shared" si="63"/>
        <v>0.77117292926051706</v>
      </c>
      <c r="AN102" s="387">
        <f t="shared" si="64"/>
        <v>0.23194606747327787</v>
      </c>
      <c r="AO102" s="388">
        <f t="shared" si="65"/>
        <v>0.23009293067124911</v>
      </c>
      <c r="AP102" s="30"/>
      <c r="AQ102" s="51">
        <v>1131224777.76</v>
      </c>
      <c r="AR102" s="52">
        <v>0.6573</v>
      </c>
      <c r="AS102" s="29" t="e">
        <f>(#REF!/AQ102)-1</f>
        <v>#REF!</v>
      </c>
      <c r="AT102" s="29" t="e">
        <f>(#REF!/AR102)-1</f>
        <v>#REF!</v>
      </c>
    </row>
    <row r="103" spans="1:46">
      <c r="A103" s="202" t="s">
        <v>227</v>
      </c>
      <c r="B103" s="326">
        <f>6247220.02 *461.31</f>
        <v>2881905067.4261999</v>
      </c>
      <c r="C103" s="325">
        <f>126.96*461.31</f>
        <v>58567.917600000001</v>
      </c>
      <c r="D103" s="326">
        <f>6364661.44*461.45</f>
        <v>2936973021.4879999</v>
      </c>
      <c r="E103" s="325">
        <f>124.33*461.45</f>
        <v>57372.078499999996</v>
      </c>
      <c r="F103" s="23">
        <f>((D103-B103)/B103)</f>
        <v>1.9108177671855315E-2</v>
      </c>
      <c r="G103" s="23">
        <f>((E103-C103)/C103)</f>
        <v>-2.0417989045934674E-2</v>
      </c>
      <c r="H103" s="326">
        <f>6360783.27 *462.05</f>
        <v>2938999909.9035001</v>
      </c>
      <c r="I103" s="325">
        <f>127.16*462.05</f>
        <v>58754.277999999998</v>
      </c>
      <c r="J103" s="23">
        <f t="shared" si="80"/>
        <v>6.9012837389743984E-4</v>
      </c>
      <c r="K103" s="23">
        <f t="shared" si="81"/>
        <v>2.4091849835979055E-2</v>
      </c>
      <c r="L103" s="326">
        <f>6291162.22*462.9</f>
        <v>2912178991.6379995</v>
      </c>
      <c r="M103" s="325">
        <f>127.26*462.9</f>
        <v>58908.654000000002</v>
      </c>
      <c r="N103" s="23">
        <f t="shared" si="82"/>
        <v>-9.1258656303875793E-3</v>
      </c>
      <c r="O103" s="23">
        <f t="shared" si="83"/>
        <v>2.62748527009393E-3</v>
      </c>
      <c r="P103" s="326">
        <f>6112359.3*589.45</f>
        <v>3602930189.3850002</v>
      </c>
      <c r="Q103" s="325">
        <f>127.37*589.45</f>
        <v>75078.246500000008</v>
      </c>
      <c r="R103" s="23">
        <f t="shared" si="84"/>
        <v>0.23719393613181625</v>
      </c>
      <c r="S103" s="23">
        <f t="shared" si="85"/>
        <v>0.27448585907259071</v>
      </c>
      <c r="T103" s="326">
        <f>6337526.48 *743.27</f>
        <v>4710493306.7896004</v>
      </c>
      <c r="U103" s="325">
        <f>127.47*743.27</f>
        <v>94744.626900000003</v>
      </c>
      <c r="V103" s="23">
        <f t="shared" si="86"/>
        <v>0.30740621083020619</v>
      </c>
      <c r="W103" s="23">
        <f t="shared" si="87"/>
        <v>0.26194512148069404</v>
      </c>
      <c r="X103" s="326">
        <f>6248376.41*770.88</f>
        <v>4816748406.9407997</v>
      </c>
      <c r="Y103" s="325">
        <f>127.57*770.88</f>
        <v>98341.161599999992</v>
      </c>
      <c r="Z103" s="23">
        <f t="shared" si="88"/>
        <v>2.2557106704311755E-2</v>
      </c>
      <c r="AA103" s="23">
        <f t="shared" si="89"/>
        <v>3.7960302527720327E-2</v>
      </c>
      <c r="AB103" s="326">
        <f>6248401.58*787.18</f>
        <v>4918616755.7444</v>
      </c>
      <c r="AC103" s="325">
        <f>127.68*787.18</f>
        <v>100507.1424</v>
      </c>
      <c r="AD103" s="23">
        <f t="shared" si="90"/>
        <v>2.1148779258806805E-2</v>
      </c>
      <c r="AE103" s="23">
        <f t="shared" si="91"/>
        <v>2.2025169977247908E-2</v>
      </c>
      <c r="AF103" s="326">
        <f>6272430.48*775.67</f>
        <v>4865336150.4216003</v>
      </c>
      <c r="AG103" s="325">
        <f>127.77*775.67</f>
        <v>99107.355899999995</v>
      </c>
      <c r="AH103" s="23">
        <f t="shared" si="92"/>
        <v>-1.0832436835127241E-2</v>
      </c>
      <c r="AI103" s="23">
        <f t="shared" si="93"/>
        <v>-1.3927234090778428E-2</v>
      </c>
      <c r="AJ103" s="24">
        <f t="shared" si="60"/>
        <v>7.3518254563172361E-2</v>
      </c>
      <c r="AK103" s="24">
        <f t="shared" si="61"/>
        <v>7.3598820628451606E-2</v>
      </c>
      <c r="AL103" s="25">
        <f t="shared" si="62"/>
        <v>0.65658183266409664</v>
      </c>
      <c r="AM103" s="25">
        <f t="shared" si="63"/>
        <v>0.72744928353955318</v>
      </c>
      <c r="AN103" s="387">
        <f t="shared" si="64"/>
        <v>0.12480979101472539</v>
      </c>
      <c r="AO103" s="388">
        <f t="shared" si="65"/>
        <v>0.12174195076304847</v>
      </c>
      <c r="AP103" s="30"/>
      <c r="AQ103" s="28">
        <v>318569106.36000001</v>
      </c>
      <c r="AR103" s="35">
        <v>123.8</v>
      </c>
      <c r="AS103" s="29" t="e">
        <f>(#REF!/AQ103)-1</f>
        <v>#REF!</v>
      </c>
      <c r="AT103" s="29" t="e">
        <f>(#REF!/AR103)-1</f>
        <v>#REF!</v>
      </c>
    </row>
    <row r="104" spans="1:46">
      <c r="A104" s="202" t="s">
        <v>142</v>
      </c>
      <c r="B104" s="325">
        <v>5680666365.0200005</v>
      </c>
      <c r="C104" s="325">
        <v>51067.06</v>
      </c>
      <c r="D104" s="325">
        <v>5630849867.3000002</v>
      </c>
      <c r="E104" s="325">
        <v>51103.9</v>
      </c>
      <c r="F104" s="23">
        <f>((D104-B104)/B104)</f>
        <v>-8.7694813458429315E-3</v>
      </c>
      <c r="G104" s="23">
        <f>((E104-C104)/C104)</f>
        <v>7.2140436516227458E-4</v>
      </c>
      <c r="H104" s="325">
        <v>5508653671.4499998</v>
      </c>
      <c r="I104" s="325">
        <v>51163.77</v>
      </c>
      <c r="J104" s="23">
        <f t="shared" si="80"/>
        <v>-2.1701199415674284E-2</v>
      </c>
      <c r="K104" s="23">
        <f t="shared" si="81"/>
        <v>1.1715348535042403E-3</v>
      </c>
      <c r="L104" s="325">
        <v>5105961582.3199997</v>
      </c>
      <c r="M104" s="325">
        <v>51251.27</v>
      </c>
      <c r="N104" s="23">
        <f t="shared" si="82"/>
        <v>-7.3101725602583142E-2</v>
      </c>
      <c r="O104" s="23">
        <f t="shared" si="83"/>
        <v>1.7101945380490922E-3</v>
      </c>
      <c r="P104" s="325">
        <v>7028962530.79</v>
      </c>
      <c r="Q104" s="325">
        <v>70541.2</v>
      </c>
      <c r="R104" s="23">
        <f t="shared" si="84"/>
        <v>0.37661876562656094</v>
      </c>
      <c r="S104" s="23">
        <f t="shared" si="85"/>
        <v>0.37637955117990252</v>
      </c>
      <c r="T104" s="325">
        <v>6799890710.54</v>
      </c>
      <c r="U104" s="325">
        <v>70718.38</v>
      </c>
      <c r="V104" s="23">
        <f t="shared" si="86"/>
        <v>-3.258970569932091E-2</v>
      </c>
      <c r="W104" s="23">
        <f t="shared" si="87"/>
        <v>2.5117236451890181E-3</v>
      </c>
      <c r="X104" s="325">
        <v>8122121440.2700005</v>
      </c>
      <c r="Y104" s="325">
        <v>86063.69</v>
      </c>
      <c r="Z104" s="23">
        <f t="shared" si="88"/>
        <v>0.19444882072597283</v>
      </c>
      <c r="AA104" s="23">
        <f t="shared" si="89"/>
        <v>0.21699182023117605</v>
      </c>
      <c r="AB104" s="325">
        <v>8238826600.2600002</v>
      </c>
      <c r="AC104" s="325">
        <v>87005.03</v>
      </c>
      <c r="AD104" s="23">
        <f t="shared" si="90"/>
        <v>1.4368802639587249E-2</v>
      </c>
      <c r="AE104" s="23">
        <f t="shared" si="91"/>
        <v>1.093771368622466E-2</v>
      </c>
      <c r="AF104" s="325">
        <v>7748915714.5600004</v>
      </c>
      <c r="AG104" s="325">
        <v>83687.839999999997</v>
      </c>
      <c r="AH104" s="23">
        <f t="shared" si="92"/>
        <v>-5.946367237350756E-2</v>
      </c>
      <c r="AI104" s="23">
        <f t="shared" si="93"/>
        <v>-3.8126416369260514E-2</v>
      </c>
      <c r="AJ104" s="24">
        <f t="shared" si="60"/>
        <v>4.8726325569399022E-2</v>
      </c>
      <c r="AK104" s="24">
        <f t="shared" si="61"/>
        <v>7.1537190766243416E-2</v>
      </c>
      <c r="AL104" s="25">
        <f t="shared" si="62"/>
        <v>0.37615384838445631</v>
      </c>
      <c r="AM104" s="25">
        <f t="shared" si="63"/>
        <v>0.63760182686644251</v>
      </c>
      <c r="AN104" s="387">
        <f t="shared" si="64"/>
        <v>0.15645820435049659</v>
      </c>
      <c r="AO104" s="388">
        <f t="shared" si="65"/>
        <v>0.14608747034218894</v>
      </c>
      <c r="AP104" s="30"/>
      <c r="AQ104" s="28">
        <v>1812522091.8199999</v>
      </c>
      <c r="AR104" s="32">
        <v>1.6227</v>
      </c>
      <c r="AS104" s="29" t="e">
        <f>(#REF!/AQ104)-1</f>
        <v>#REF!</v>
      </c>
      <c r="AT104" s="29" t="e">
        <f>(#REF!/AR104)-1</f>
        <v>#REF!</v>
      </c>
    </row>
    <row r="105" spans="1:46">
      <c r="A105" s="202" t="s">
        <v>153</v>
      </c>
      <c r="B105" s="325">
        <v>1667048332.0026059</v>
      </c>
      <c r="C105" s="325">
        <v>536.88120254257319</v>
      </c>
      <c r="D105" s="325">
        <v>1679775201.5772746</v>
      </c>
      <c r="E105" s="325">
        <v>537.82385352887957</v>
      </c>
      <c r="F105" s="23">
        <f>((D105-B105)/B105)</f>
        <v>7.6343734793699741E-3</v>
      </c>
      <c r="G105" s="23">
        <f>((E105-C105)/C105)</f>
        <v>1.755790632717535E-3</v>
      </c>
      <c r="H105" s="325">
        <v>1696703799.5463614</v>
      </c>
      <c r="I105" s="325">
        <v>538.62257519871946</v>
      </c>
      <c r="J105" s="23">
        <f t="shared" si="80"/>
        <v>1.0077894919029213E-2</v>
      </c>
      <c r="K105" s="23">
        <f t="shared" si="81"/>
        <v>1.4850990051838663E-3</v>
      </c>
      <c r="L105" s="325">
        <v>1684147832.5176737</v>
      </c>
      <c r="M105" s="325">
        <v>546.13064474249904</v>
      </c>
      <c r="N105" s="23">
        <f t="shared" si="82"/>
        <v>-7.4002115348858989E-3</v>
      </c>
      <c r="O105" s="23">
        <f t="shared" si="83"/>
        <v>1.3939388895850785E-2</v>
      </c>
      <c r="P105" s="325">
        <v>2365369091.164094</v>
      </c>
      <c r="Q105" s="325">
        <v>761.1109190492383</v>
      </c>
      <c r="R105" s="23">
        <f t="shared" si="84"/>
        <v>0.40449017924278413</v>
      </c>
      <c r="S105" s="23">
        <f t="shared" si="85"/>
        <v>0.39364257687481097</v>
      </c>
      <c r="T105" s="325">
        <v>2696126232.9686165</v>
      </c>
      <c r="U105" s="325">
        <v>878.07767162177015</v>
      </c>
      <c r="V105" s="23">
        <f t="shared" si="86"/>
        <v>0.13983320532938204</v>
      </c>
      <c r="W105" s="23">
        <f t="shared" si="87"/>
        <v>0.15367898376578795</v>
      </c>
      <c r="X105" s="325">
        <v>2706177805.1107197</v>
      </c>
      <c r="Y105" s="325">
        <v>878.88684938200913</v>
      </c>
      <c r="Z105" s="23">
        <f t="shared" si="88"/>
        <v>3.7281533851016083E-3</v>
      </c>
      <c r="AA105" s="23">
        <f t="shared" si="89"/>
        <v>9.215332383346749E-4</v>
      </c>
      <c r="AB105" s="325">
        <v>2835056692.0191488</v>
      </c>
      <c r="AC105" s="325">
        <v>921.13522898361782</v>
      </c>
      <c r="AD105" s="23">
        <f t="shared" si="90"/>
        <v>4.762395385293474E-2</v>
      </c>
      <c r="AE105" s="23">
        <f t="shared" si="91"/>
        <v>4.80703285426511E-2</v>
      </c>
      <c r="AF105" s="325">
        <v>2805838252.3345246</v>
      </c>
      <c r="AG105" s="325">
        <v>899.3648870078307</v>
      </c>
      <c r="AH105" s="23">
        <f t="shared" si="92"/>
        <v>-1.0306121837660538E-2</v>
      </c>
      <c r="AI105" s="23">
        <f t="shared" si="93"/>
        <v>-2.3634251834889163E-2</v>
      </c>
      <c r="AJ105" s="24">
        <f t="shared" si="60"/>
        <v>7.4460178354506898E-2</v>
      </c>
      <c r="AK105" s="24">
        <f t="shared" si="61"/>
        <v>7.3732431140055968E-2</v>
      </c>
      <c r="AL105" s="25">
        <f t="shared" si="62"/>
        <v>0.67036532608643107</v>
      </c>
      <c r="AM105" s="25">
        <f t="shared" si="63"/>
        <v>0.67222945041714743</v>
      </c>
      <c r="AN105" s="387">
        <f t="shared" si="64"/>
        <v>0.14213366553184739</v>
      </c>
      <c r="AO105" s="388">
        <f t="shared" si="65"/>
        <v>0.14048371314723165</v>
      </c>
      <c r="AP105" s="30"/>
      <c r="AQ105" s="28"/>
      <c r="AR105" s="32"/>
      <c r="AS105" s="29"/>
      <c r="AT105" s="29"/>
    </row>
    <row r="106" spans="1:46" ht="16.5" customHeight="1">
      <c r="A106" s="202" t="s">
        <v>192</v>
      </c>
      <c r="B106" s="326">
        <v>4757962328.3800001</v>
      </c>
      <c r="C106" s="325">
        <f>1.0125*461.31</f>
        <v>467.07637499999998</v>
      </c>
      <c r="D106" s="326">
        <v>4745836182.4099998</v>
      </c>
      <c r="E106" s="325">
        <f>1.0144*461.45</f>
        <v>468.09487999999999</v>
      </c>
      <c r="F106" s="23">
        <f>((D106-B106)/B106)</f>
        <v>-2.5486006683304277E-3</v>
      </c>
      <c r="G106" s="23">
        <f>((E106-C106)/C106)</f>
        <v>2.180596267580446E-3</v>
      </c>
      <c r="H106" s="326">
        <v>4759205411.4399996</v>
      </c>
      <c r="I106" s="325">
        <f>1.0158*462.05</f>
        <v>469.35039</v>
      </c>
      <c r="J106" s="23">
        <f t="shared" si="80"/>
        <v>2.8170439341230393E-3</v>
      </c>
      <c r="K106" s="23">
        <f t="shared" si="81"/>
        <v>2.6821699053833172E-3</v>
      </c>
      <c r="L106" s="326">
        <v>4741638507.7799997</v>
      </c>
      <c r="M106" s="325">
        <f>1.0177*462.9</f>
        <v>471.09332999999998</v>
      </c>
      <c r="N106" s="23">
        <f t="shared" si="82"/>
        <v>-3.6911421427142403E-3</v>
      </c>
      <c r="O106" s="23">
        <f t="shared" si="83"/>
        <v>3.7135156103736827E-3</v>
      </c>
      <c r="P106" s="326">
        <v>6059403446.3500004</v>
      </c>
      <c r="Q106" s="325">
        <f>1.0196*589.45</f>
        <v>601.00322000000006</v>
      </c>
      <c r="R106" s="23">
        <f t="shared" si="84"/>
        <v>0.27791341250663337</v>
      </c>
      <c r="S106" s="23">
        <f t="shared" si="85"/>
        <v>0.27576253308447413</v>
      </c>
      <c r="T106" s="326">
        <v>7796972792.04</v>
      </c>
      <c r="U106" s="325">
        <f>1.0122*743.27</f>
        <v>752.33789400000001</v>
      </c>
      <c r="V106" s="23">
        <f t="shared" si="86"/>
        <v>0.28675584338861909</v>
      </c>
      <c r="W106" s="23">
        <f t="shared" si="87"/>
        <v>0.25180343293335422</v>
      </c>
      <c r="X106" s="326">
        <v>7886932022.4499998</v>
      </c>
      <c r="Y106" s="325">
        <f>1.0124*770.88</f>
        <v>780.43891199999996</v>
      </c>
      <c r="Z106" s="23">
        <f t="shared" si="88"/>
        <v>1.1537712495526474E-2</v>
      </c>
      <c r="AA106" s="23">
        <f t="shared" si="89"/>
        <v>3.7351591916490588E-2</v>
      </c>
      <c r="AB106" s="326">
        <v>7899646733.8199997</v>
      </c>
      <c r="AC106" s="325">
        <f>1.0235*787.18</f>
        <v>805.67872999999997</v>
      </c>
      <c r="AD106" s="23">
        <f t="shared" si="90"/>
        <v>1.6121238694346172E-3</v>
      </c>
      <c r="AE106" s="23">
        <f t="shared" si="91"/>
        <v>3.2340542753460266E-2</v>
      </c>
      <c r="AF106" s="326">
        <v>8010751415.9200001</v>
      </c>
      <c r="AG106" s="325">
        <f>1.0235*775.67</f>
        <v>793.89824499999997</v>
      </c>
      <c r="AH106" s="23">
        <f t="shared" si="92"/>
        <v>1.4064512736289657E-2</v>
      </c>
      <c r="AI106" s="23">
        <f t="shared" si="93"/>
        <v>-1.4621814578622423E-2</v>
      </c>
      <c r="AJ106" s="24">
        <f t="shared" si="60"/>
        <v>7.3557613264947697E-2</v>
      </c>
      <c r="AK106" s="24">
        <f t="shared" si="61"/>
        <v>7.390157098656179E-2</v>
      </c>
      <c r="AL106" s="25">
        <f t="shared" si="62"/>
        <v>0.68795363093465056</v>
      </c>
      <c r="AM106" s="25">
        <f t="shared" si="63"/>
        <v>0.6960199286947979</v>
      </c>
      <c r="AN106" s="387">
        <f t="shared" si="64"/>
        <v>0.12902966586821127</v>
      </c>
      <c r="AO106" s="388">
        <f t="shared" si="65"/>
        <v>0.11858631260181116</v>
      </c>
      <c r="AP106" s="30"/>
      <c r="AQ106" s="28"/>
      <c r="AR106" s="32"/>
      <c r="AS106" s="29"/>
      <c r="AT106" s="29"/>
    </row>
    <row r="107" spans="1:46">
      <c r="A107" s="202" t="s">
        <v>161</v>
      </c>
      <c r="B107" s="325">
        <v>104206974.76000001</v>
      </c>
      <c r="C107" s="325">
        <v>409.024</v>
      </c>
      <c r="D107" s="325">
        <v>106046770.15000001</v>
      </c>
      <c r="E107" s="325">
        <v>413.97</v>
      </c>
      <c r="F107" s="23">
        <f>((D107-B107)/B107)</f>
        <v>1.7655203926966016E-2</v>
      </c>
      <c r="G107" s="23">
        <f>((E107-C107)/C107)</f>
        <v>1.2092199968706058E-2</v>
      </c>
      <c r="H107" s="325">
        <v>108310671.33</v>
      </c>
      <c r="I107" s="325">
        <v>423.55</v>
      </c>
      <c r="J107" s="23">
        <f t="shared" si="80"/>
        <v>2.1348138908877389E-2</v>
      </c>
      <c r="K107" s="23">
        <f t="shared" si="81"/>
        <v>2.3141773558470382E-2</v>
      </c>
      <c r="L107" s="325">
        <v>110531331.15000001</v>
      </c>
      <c r="M107" s="325">
        <v>433.69</v>
      </c>
      <c r="N107" s="23">
        <f t="shared" si="82"/>
        <v>2.0502687248924172E-2</v>
      </c>
      <c r="O107" s="23">
        <f t="shared" si="83"/>
        <v>2.3940502892220484E-2</v>
      </c>
      <c r="P107" s="325">
        <v>160963794.09999999</v>
      </c>
      <c r="Q107" s="325">
        <v>663.04</v>
      </c>
      <c r="R107" s="23">
        <f t="shared" si="84"/>
        <v>0.45627300807188359</v>
      </c>
      <c r="S107" s="23">
        <f t="shared" si="85"/>
        <v>0.52883395974082859</v>
      </c>
      <c r="T107" s="325">
        <v>183968364.40000001</v>
      </c>
      <c r="U107" s="325">
        <v>756.35</v>
      </c>
      <c r="V107" s="23">
        <f t="shared" si="86"/>
        <v>0.14291766933443584</v>
      </c>
      <c r="W107" s="23">
        <f t="shared" si="87"/>
        <v>0.14073057432432443</v>
      </c>
      <c r="X107" s="325">
        <v>184445181.5</v>
      </c>
      <c r="Y107" s="325">
        <v>756.24</v>
      </c>
      <c r="Z107" s="23">
        <f t="shared" si="88"/>
        <v>2.5918429049206354E-3</v>
      </c>
      <c r="AA107" s="23">
        <f t="shared" si="89"/>
        <v>-1.454353143386179E-4</v>
      </c>
      <c r="AB107" s="325">
        <v>189520017.80000001</v>
      </c>
      <c r="AC107" s="325">
        <v>791.75</v>
      </c>
      <c r="AD107" s="23">
        <f t="shared" si="90"/>
        <v>2.7514062762328175E-2</v>
      </c>
      <c r="AE107" s="23">
        <f t="shared" si="91"/>
        <v>4.6955992806516439E-2</v>
      </c>
      <c r="AF107" s="325">
        <v>199956032.59999999</v>
      </c>
      <c r="AG107" s="325">
        <v>803.9</v>
      </c>
      <c r="AH107" s="23">
        <f t="shared" si="92"/>
        <v>5.5065501371011273E-2</v>
      </c>
      <c r="AI107" s="23">
        <f t="shared" si="93"/>
        <v>1.5345753078623275E-2</v>
      </c>
      <c r="AJ107" s="24">
        <f t="shared" si="60"/>
        <v>9.2983514316168386E-2</v>
      </c>
      <c r="AK107" s="24">
        <f t="shared" si="61"/>
        <v>9.8861915131918873E-2</v>
      </c>
      <c r="AL107" s="25">
        <f t="shared" si="62"/>
        <v>0.88554571079504008</v>
      </c>
      <c r="AM107" s="25">
        <f t="shared" si="63"/>
        <v>0.94192815904534122</v>
      </c>
      <c r="AN107" s="387">
        <f t="shared" si="64"/>
        <v>0.15326298910782091</v>
      </c>
      <c r="AO107" s="388">
        <f t="shared" si="65"/>
        <v>0.17927485467376067</v>
      </c>
      <c r="AP107" s="30"/>
      <c r="AQ107" s="28"/>
      <c r="AR107" s="32"/>
      <c r="AS107" s="29"/>
      <c r="AT107" s="29"/>
    </row>
    <row r="108" spans="1:46" s="288" customFormat="1">
      <c r="A108" s="202" t="s">
        <v>93</v>
      </c>
      <c r="B108" s="326">
        <v>199657203553.20999</v>
      </c>
      <c r="C108" s="325">
        <v>648.48</v>
      </c>
      <c r="D108" s="326">
        <v>200832600288.13</v>
      </c>
      <c r="E108" s="325">
        <v>651.48</v>
      </c>
      <c r="F108" s="23">
        <f>((D108-B108)/B108)</f>
        <v>5.8870740148715059E-3</v>
      </c>
      <c r="G108" s="23">
        <f>((E108-C108)/C108)</f>
        <v>4.6262028127313096E-3</v>
      </c>
      <c r="H108" s="326">
        <v>200832600288.13</v>
      </c>
      <c r="I108" s="325">
        <v>652.58000000000004</v>
      </c>
      <c r="J108" s="23">
        <f t="shared" si="80"/>
        <v>0</v>
      </c>
      <c r="K108" s="23">
        <f t="shared" si="81"/>
        <v>1.68846319150246E-3</v>
      </c>
      <c r="L108" s="326">
        <v>205252526400.07999</v>
      </c>
      <c r="M108" s="325">
        <v>664.48</v>
      </c>
      <c r="N108" s="23">
        <f t="shared" si="82"/>
        <v>2.2008011177512082E-2</v>
      </c>
      <c r="O108" s="23">
        <f t="shared" si="83"/>
        <v>1.823531214563728E-2</v>
      </c>
      <c r="P108" s="326">
        <v>285263219285.98999</v>
      </c>
      <c r="Q108" s="325">
        <v>933.69</v>
      </c>
      <c r="R108" s="23">
        <f t="shared" si="84"/>
        <v>0.38981587359345082</v>
      </c>
      <c r="S108" s="23">
        <f t="shared" si="85"/>
        <v>0.40514387189983148</v>
      </c>
      <c r="T108" s="326">
        <v>331639905466.70001</v>
      </c>
      <c r="U108" s="325">
        <v>1086.17</v>
      </c>
      <c r="V108" s="23">
        <f t="shared" si="86"/>
        <v>0.16257506416982268</v>
      </c>
      <c r="W108" s="23">
        <f t="shared" si="87"/>
        <v>0.16330902119547175</v>
      </c>
      <c r="X108" s="326">
        <v>332095652853</v>
      </c>
      <c r="Y108" s="325">
        <v>1086.4100000000001</v>
      </c>
      <c r="Z108" s="23">
        <f t="shared" si="88"/>
        <v>1.3742236045407069E-3</v>
      </c>
      <c r="AA108" s="23">
        <f t="shared" si="89"/>
        <v>2.2095988657393326E-4</v>
      </c>
      <c r="AB108" s="326">
        <v>336866413574.47998</v>
      </c>
      <c r="AC108" s="325">
        <v>1098.69</v>
      </c>
      <c r="AD108" s="23">
        <f t="shared" si="90"/>
        <v>1.4365622315422861E-2</v>
      </c>
      <c r="AE108" s="23">
        <f t="shared" si="91"/>
        <v>1.1303283290838607E-2</v>
      </c>
      <c r="AF108" s="326">
        <v>351547105020.04999</v>
      </c>
      <c r="AG108" s="325">
        <v>1612.0921909189999</v>
      </c>
      <c r="AH108" s="23">
        <f t="shared" si="92"/>
        <v>4.3580157753910831E-2</v>
      </c>
      <c r="AI108" s="23">
        <f t="shared" si="93"/>
        <v>0.46728575933065725</v>
      </c>
      <c r="AJ108" s="24">
        <f t="shared" si="60"/>
        <v>7.9950753328691448E-2</v>
      </c>
      <c r="AK108" s="24">
        <f t="shared" si="61"/>
        <v>0.1339766092191555</v>
      </c>
      <c r="AL108" s="25">
        <f t="shared" si="62"/>
        <v>0.75044840586485106</v>
      </c>
      <c r="AM108" s="25">
        <f t="shared" si="63"/>
        <v>1.474507568795665</v>
      </c>
      <c r="AN108" s="387">
        <f t="shared" si="64"/>
        <v>0.13621232536740546</v>
      </c>
      <c r="AO108" s="388">
        <f t="shared" si="65"/>
        <v>0.19495571364434372</v>
      </c>
      <c r="AP108" s="30"/>
      <c r="AQ108" s="28"/>
      <c r="AR108" s="32"/>
      <c r="AS108" s="29"/>
      <c r="AT108" s="29"/>
    </row>
    <row r="109" spans="1:46" s="356" customFormat="1">
      <c r="A109" s="202" t="s">
        <v>253</v>
      </c>
      <c r="B109" s="326">
        <v>4797721501.9499998</v>
      </c>
      <c r="C109" s="326">
        <v>475.55</v>
      </c>
      <c r="D109" s="326">
        <v>5317150787.2600002</v>
      </c>
      <c r="E109" s="326">
        <v>479.23</v>
      </c>
      <c r="F109" s="23">
        <f>((D109-B109)/B109)</f>
        <v>0.10826582683027393</v>
      </c>
      <c r="G109" s="23">
        <f>((E109-C109)/C109)</f>
        <v>7.7384081589738337E-3</v>
      </c>
      <c r="H109" s="326">
        <v>5341179355.9200001</v>
      </c>
      <c r="I109" s="326">
        <v>480.14</v>
      </c>
      <c r="J109" s="23">
        <f t="shared" si="80"/>
        <v>4.5190685051800256E-3</v>
      </c>
      <c r="K109" s="23">
        <f t="shared" si="81"/>
        <v>1.8988794524549134E-3</v>
      </c>
      <c r="L109" s="326">
        <v>5666844181.9499998</v>
      </c>
      <c r="M109" s="326">
        <v>489.79</v>
      </c>
      <c r="N109" s="23">
        <f t="shared" si="82"/>
        <v>6.0972456517312562E-2</v>
      </c>
      <c r="O109" s="23">
        <f t="shared" si="83"/>
        <v>2.0098304661140574E-2</v>
      </c>
      <c r="P109" s="326">
        <v>8265942111.2600002</v>
      </c>
      <c r="Q109" s="326">
        <v>688.43</v>
      </c>
      <c r="R109" s="23">
        <f t="shared" si="84"/>
        <v>0.45864997269355534</v>
      </c>
      <c r="S109" s="23">
        <f t="shared" si="85"/>
        <v>0.40556156720227021</v>
      </c>
      <c r="T109" s="326">
        <v>9654825881.5300007</v>
      </c>
      <c r="U109" s="326">
        <v>800.9</v>
      </c>
      <c r="V109" s="23">
        <f t="shared" si="86"/>
        <v>0.16802486051505738</v>
      </c>
      <c r="W109" s="23">
        <f t="shared" si="87"/>
        <v>0.16337172987812854</v>
      </c>
      <c r="X109" s="326">
        <v>9659057378.0900002</v>
      </c>
      <c r="Y109" s="326">
        <v>801.25</v>
      </c>
      <c r="Z109" s="23">
        <f t="shared" si="88"/>
        <v>4.3827787387595027E-4</v>
      </c>
      <c r="AA109" s="23">
        <f t="shared" si="89"/>
        <v>4.370083655887411E-4</v>
      </c>
      <c r="AB109" s="326">
        <v>9765157925.6499996</v>
      </c>
      <c r="AC109" s="326">
        <v>810.46</v>
      </c>
      <c r="AD109" s="23">
        <f t="shared" si="90"/>
        <v>1.0984565409112414E-2</v>
      </c>
      <c r="AE109" s="23">
        <f t="shared" si="91"/>
        <v>1.1494539781591309E-2</v>
      </c>
      <c r="AF109" s="326">
        <v>10161543062.59</v>
      </c>
      <c r="AG109" s="326">
        <v>840.08</v>
      </c>
      <c r="AH109" s="23">
        <f t="shared" si="92"/>
        <v>4.0591779463066482E-2</v>
      </c>
      <c r="AI109" s="23">
        <f t="shared" si="93"/>
        <v>3.6547146065197544E-2</v>
      </c>
      <c r="AJ109" s="24">
        <f t="shared" si="60"/>
        <v>0.10655585097592926</v>
      </c>
      <c r="AK109" s="24">
        <f t="shared" si="61"/>
        <v>8.0893447945668218E-2</v>
      </c>
      <c r="AL109" s="25">
        <f t="shared" si="62"/>
        <v>0.91108799978688981</v>
      </c>
      <c r="AM109" s="25">
        <f t="shared" si="63"/>
        <v>0.75297873672349391</v>
      </c>
      <c r="AN109" s="387">
        <f t="shared" si="64"/>
        <v>0.15352387120255037</v>
      </c>
      <c r="AO109" s="388">
        <f t="shared" si="65"/>
        <v>0.14180265331564568</v>
      </c>
      <c r="AP109" s="30"/>
      <c r="AQ109" s="28"/>
      <c r="AR109" s="32"/>
      <c r="AS109" s="29"/>
      <c r="AT109" s="29"/>
    </row>
    <row r="110" spans="1:46" s="86" customFormat="1">
      <c r="A110" s="202" t="s">
        <v>123</v>
      </c>
      <c r="B110" s="325">
        <v>5537273782.9099998</v>
      </c>
      <c r="C110" s="325">
        <v>460.84</v>
      </c>
      <c r="D110" s="325">
        <v>5670603145.3299999</v>
      </c>
      <c r="E110" s="325">
        <v>460.95</v>
      </c>
      <c r="F110" s="23">
        <f>((D110-B110)/B110)</f>
        <v>2.4078520883598353E-2</v>
      </c>
      <c r="G110" s="23">
        <f>((E110-C110)/C110)</f>
        <v>2.3869455776411261E-4</v>
      </c>
      <c r="H110" s="325">
        <v>5772052134.6499996</v>
      </c>
      <c r="I110" s="325">
        <v>461.55</v>
      </c>
      <c r="J110" s="23">
        <f>((H110-D110)/D110)</f>
        <v>1.7890334893837099E-2</v>
      </c>
      <c r="K110" s="23">
        <f>((I110-E110)/E110)</f>
        <v>1.3016596160104626E-3</v>
      </c>
      <c r="L110" s="325">
        <v>6025508698.2299995</v>
      </c>
      <c r="M110" s="325">
        <v>462.88</v>
      </c>
      <c r="N110" s="23">
        <f>((L110-H110)/H110)</f>
        <v>4.3910996932699876E-2</v>
      </c>
      <c r="O110" s="23">
        <f>((M110-I110)/I110)</f>
        <v>2.8815946268009622E-3</v>
      </c>
      <c r="P110" s="325">
        <v>7828823400.6499996</v>
      </c>
      <c r="Q110" s="325">
        <v>588.95000000000005</v>
      </c>
      <c r="R110" s="23">
        <f>((P110-L110)/L110)</f>
        <v>0.29928007621161112</v>
      </c>
      <c r="S110" s="23">
        <f>((Q110-M110)/M110)</f>
        <v>0.27236000691323897</v>
      </c>
      <c r="T110" s="325">
        <v>11043044530.93</v>
      </c>
      <c r="U110" s="325">
        <v>742.77</v>
      </c>
      <c r="V110" s="23">
        <f>((T110-P110)/P110)</f>
        <v>0.41056247737215978</v>
      </c>
      <c r="W110" s="23">
        <f>((U110-Q110)/Q110)</f>
        <v>0.26117667034553005</v>
      </c>
      <c r="X110" s="325">
        <v>11426944894.42</v>
      </c>
      <c r="Y110" s="325">
        <v>759.28</v>
      </c>
      <c r="Z110" s="23">
        <f>((X110-T110)/T110)</f>
        <v>3.4763996687213326E-2</v>
      </c>
      <c r="AA110" s="23">
        <f>((Y110-U110)/U110)</f>
        <v>2.2227607469337739E-2</v>
      </c>
      <c r="AB110" s="325">
        <v>11778854174.030001</v>
      </c>
      <c r="AC110" s="325">
        <v>776.9</v>
      </c>
      <c r="AD110" s="23">
        <f>((AB110-X110)/X110)</f>
        <v>3.0796444969455026E-2</v>
      </c>
      <c r="AE110" s="23">
        <f>((AC110-Y110)/Y110)</f>
        <v>2.3206195342956492E-2</v>
      </c>
      <c r="AF110" s="325">
        <v>12096003216.049999</v>
      </c>
      <c r="AG110" s="325">
        <v>776.9</v>
      </c>
      <c r="AH110" s="23">
        <f>((AF110-AB110)/AB110)</f>
        <v>2.6925288091200608E-2</v>
      </c>
      <c r="AI110" s="23">
        <f>((AG110-AC110)/AC110)</f>
        <v>0</v>
      </c>
      <c r="AJ110" s="24">
        <f t="shared" si="60"/>
        <v>0.1110260170052219</v>
      </c>
      <c r="AK110" s="24">
        <f t="shared" si="61"/>
        <v>7.2924053608954847E-2</v>
      </c>
      <c r="AL110" s="25">
        <f t="shared" si="62"/>
        <v>1.1331069916277969</v>
      </c>
      <c r="AM110" s="25">
        <f t="shared" si="63"/>
        <v>0.6854322594641501</v>
      </c>
      <c r="AN110" s="387">
        <f t="shared" si="64"/>
        <v>0.1536349303456741</v>
      </c>
      <c r="AO110" s="388">
        <f t="shared" si="65"/>
        <v>0.12005506751785139</v>
      </c>
      <c r="AP110" s="30"/>
      <c r="AQ110" s="28"/>
      <c r="AR110" s="32"/>
      <c r="AS110" s="29"/>
      <c r="AT110" s="29"/>
    </row>
    <row r="111" spans="1:46" s="103" customFormat="1">
      <c r="A111" s="204" t="s">
        <v>42</v>
      </c>
      <c r="B111" s="76">
        <f>SUM(B90:B110)</f>
        <v>329647629846.67249</v>
      </c>
      <c r="C111" s="85"/>
      <c r="D111" s="76">
        <f>SUM(D90:D110)</f>
        <v>331908642809.0658</v>
      </c>
      <c r="E111" s="85"/>
      <c r="F111" s="23"/>
      <c r="G111" s="23"/>
      <c r="H111" s="76">
        <f>SUM(H90:H110)</f>
        <v>331906740337.94391</v>
      </c>
      <c r="I111" s="85"/>
      <c r="J111" s="23"/>
      <c r="K111" s="23"/>
      <c r="L111" s="76">
        <f>SUM(L90:L110)</f>
        <v>338597314330.35101</v>
      </c>
      <c r="M111" s="85"/>
      <c r="N111" s="23"/>
      <c r="O111" s="23"/>
      <c r="P111" s="76">
        <f>SUM(P90:P110)</f>
        <v>470498434802.98218</v>
      </c>
      <c r="Q111" s="85"/>
      <c r="R111" s="23"/>
      <c r="S111" s="23"/>
      <c r="T111" s="76">
        <f>SUM(T90:T110)</f>
        <v>550519578291.03943</v>
      </c>
      <c r="U111" s="85"/>
      <c r="V111" s="23"/>
      <c r="W111" s="23"/>
      <c r="X111" s="76">
        <f>SUM(X90:X110)</f>
        <v>553623134341.57056</v>
      </c>
      <c r="Y111" s="85"/>
      <c r="Z111" s="23"/>
      <c r="AA111" s="23"/>
      <c r="AB111" s="76">
        <f>SUM(AB90:AB110)</f>
        <v>561593301377.72437</v>
      </c>
      <c r="AC111" s="85"/>
      <c r="AD111" s="23"/>
      <c r="AE111" s="23"/>
      <c r="AF111" s="76">
        <f>SUM(AF90:AF110)</f>
        <v>583012756562.62463</v>
      </c>
      <c r="AG111" s="85"/>
      <c r="AH111" s="23"/>
      <c r="AI111" s="23"/>
      <c r="AJ111" s="24" t="e">
        <f t="shared" si="60"/>
        <v>#DIV/0!</v>
      </c>
      <c r="AK111" s="24"/>
      <c r="AL111" s="25">
        <f t="shared" si="62"/>
        <v>0.75654587246771188</v>
      </c>
      <c r="AM111" s="25"/>
      <c r="AN111" s="387" t="e">
        <f t="shared" si="64"/>
        <v>#DIV/0!</v>
      </c>
      <c r="AO111" s="388"/>
      <c r="AP111" s="30"/>
      <c r="AQ111" s="28"/>
      <c r="AR111" s="32"/>
      <c r="AS111" s="29"/>
      <c r="AT111" s="29"/>
    </row>
    <row r="112" spans="1:46" s="103" customFormat="1" ht="8.25" customHeight="1">
      <c r="A112" s="204"/>
      <c r="B112" s="85"/>
      <c r="C112" s="85"/>
      <c r="D112" s="85"/>
      <c r="E112" s="85"/>
      <c r="F112" s="23"/>
      <c r="G112" s="23"/>
      <c r="H112" s="85"/>
      <c r="I112" s="85"/>
      <c r="J112" s="23"/>
      <c r="K112" s="23"/>
      <c r="L112" s="85"/>
      <c r="M112" s="85"/>
      <c r="N112" s="23"/>
      <c r="O112" s="23"/>
      <c r="P112" s="85"/>
      <c r="Q112" s="85"/>
      <c r="R112" s="23"/>
      <c r="S112" s="23"/>
      <c r="T112" s="85"/>
      <c r="U112" s="85"/>
      <c r="V112" s="23"/>
      <c r="W112" s="23"/>
      <c r="X112" s="85"/>
      <c r="Y112" s="85"/>
      <c r="Z112" s="23"/>
      <c r="AA112" s="23"/>
      <c r="AB112" s="85"/>
      <c r="AC112" s="85"/>
      <c r="AD112" s="23"/>
      <c r="AE112" s="23"/>
      <c r="AF112" s="85"/>
      <c r="AG112" s="85"/>
      <c r="AH112" s="23"/>
      <c r="AI112" s="23"/>
      <c r="AJ112" s="24"/>
      <c r="AK112" s="24"/>
      <c r="AL112" s="25"/>
      <c r="AM112" s="25"/>
      <c r="AN112" s="387"/>
      <c r="AO112" s="388"/>
      <c r="AP112" s="30"/>
      <c r="AQ112" s="28"/>
      <c r="AR112" s="32"/>
      <c r="AS112" s="29"/>
      <c r="AT112" s="29"/>
    </row>
    <row r="113" spans="1:46">
      <c r="A113" s="206" t="s">
        <v>212</v>
      </c>
      <c r="B113" s="85"/>
      <c r="C113" s="85"/>
      <c r="D113" s="85"/>
      <c r="E113" s="85"/>
      <c r="F113" s="23"/>
      <c r="G113" s="23"/>
      <c r="H113" s="85"/>
      <c r="I113" s="85"/>
      <c r="J113" s="23"/>
      <c r="K113" s="23"/>
      <c r="L113" s="85"/>
      <c r="M113" s="85"/>
      <c r="N113" s="23"/>
      <c r="O113" s="23"/>
      <c r="P113" s="85"/>
      <c r="Q113" s="85"/>
      <c r="R113" s="23"/>
      <c r="S113" s="23"/>
      <c r="T113" s="85"/>
      <c r="U113" s="85"/>
      <c r="V113" s="23"/>
      <c r="W113" s="23"/>
      <c r="X113" s="85"/>
      <c r="Y113" s="85"/>
      <c r="Z113" s="23"/>
      <c r="AA113" s="23"/>
      <c r="AB113" s="85"/>
      <c r="AC113" s="85"/>
      <c r="AD113" s="23"/>
      <c r="AE113" s="23"/>
      <c r="AF113" s="85"/>
      <c r="AG113" s="85"/>
      <c r="AH113" s="23"/>
      <c r="AI113" s="23"/>
      <c r="AJ113" s="24"/>
      <c r="AK113" s="24"/>
      <c r="AL113" s="25"/>
      <c r="AM113" s="25"/>
      <c r="AN113" s="387"/>
      <c r="AO113" s="388"/>
      <c r="AP113" s="30"/>
      <c r="AQ113" s="54">
        <f>SUM(AQ93:AQ104)</f>
        <v>16564722721.154379</v>
      </c>
      <c r="AR113" s="55"/>
      <c r="AS113" s="29" t="e">
        <f>(#REF!/AQ113)-1</f>
        <v>#REF!</v>
      </c>
      <c r="AT113" s="29" t="e">
        <f>(#REF!/AR113)-1</f>
        <v>#REF!</v>
      </c>
    </row>
    <row r="114" spans="1:46">
      <c r="A114" s="202" t="s">
        <v>163</v>
      </c>
      <c r="B114" s="326">
        <v>54330953714</v>
      </c>
      <c r="C114" s="327">
        <v>101.54</v>
      </c>
      <c r="D114" s="326">
        <v>54330953714</v>
      </c>
      <c r="E114" s="327">
        <v>101.54</v>
      </c>
      <c r="F114" s="23">
        <f>((D114-B114)/B114)</f>
        <v>0</v>
      </c>
      <c r="G114" s="23">
        <f>((E114-C114)/C114)</f>
        <v>0</v>
      </c>
      <c r="H114" s="326">
        <v>54330953714</v>
      </c>
      <c r="I114" s="327">
        <v>101.54</v>
      </c>
      <c r="J114" s="23">
        <f t="shared" ref="J114:J117" si="94">((H114-D114)/D114)</f>
        <v>0</v>
      </c>
      <c r="K114" s="23">
        <f t="shared" ref="K114:K117" si="95">((I114-E114)/E114)</f>
        <v>0</v>
      </c>
      <c r="L114" s="326">
        <v>54330953714</v>
      </c>
      <c r="M114" s="327">
        <v>101.54</v>
      </c>
      <c r="N114" s="23">
        <f t="shared" ref="N114:N117" si="96">((L114-H114)/H114)</f>
        <v>0</v>
      </c>
      <c r="O114" s="23">
        <f t="shared" ref="O114:O117" si="97">((M114-I114)/I114)</f>
        <v>0</v>
      </c>
      <c r="P114" s="326">
        <v>54330953714</v>
      </c>
      <c r="Q114" s="327">
        <v>101.54</v>
      </c>
      <c r="R114" s="23">
        <f t="shared" ref="R114:R117" si="98">((P114-L114)/L114)</f>
        <v>0</v>
      </c>
      <c r="S114" s="23">
        <f t="shared" ref="S114:S117" si="99">((Q114-M114)/M114)</f>
        <v>0</v>
      </c>
      <c r="T114" s="326">
        <v>54330953714</v>
      </c>
      <c r="U114" s="327">
        <v>101.72</v>
      </c>
      <c r="V114" s="23">
        <f t="shared" ref="V114:V117" si="100">((T114-P114)/P114)</f>
        <v>0</v>
      </c>
      <c r="W114" s="23">
        <f t="shared" ref="W114:W117" si="101">((U114-Q114)/Q114)</f>
        <v>1.7727004136300236E-3</v>
      </c>
      <c r="X114" s="326">
        <v>54330953714</v>
      </c>
      <c r="Y114" s="327">
        <v>101.72</v>
      </c>
      <c r="Z114" s="23">
        <f t="shared" ref="Z114:Z117" si="102">((X114-T114)/T114)</f>
        <v>0</v>
      </c>
      <c r="AA114" s="23">
        <f t="shared" ref="AA114:AA117" si="103">((Y114-U114)/U114)</f>
        <v>0</v>
      </c>
      <c r="AB114" s="326">
        <v>54330953714</v>
      </c>
      <c r="AC114" s="327">
        <v>101.72</v>
      </c>
      <c r="AD114" s="23">
        <f t="shared" ref="AD114:AD117" si="104">((AB114-X114)/X114)</f>
        <v>0</v>
      </c>
      <c r="AE114" s="23">
        <f t="shared" ref="AE114:AE117" si="105">((AC114-Y114)/Y114)</f>
        <v>0</v>
      </c>
      <c r="AF114" s="326">
        <v>54330953714</v>
      </c>
      <c r="AG114" s="327">
        <v>101.72</v>
      </c>
      <c r="AH114" s="23">
        <f t="shared" ref="AH114:AH117" si="106">((AF114-AB114)/AB114)</f>
        <v>0</v>
      </c>
      <c r="AI114" s="23">
        <f t="shared" ref="AI114:AI117" si="107">((AG114-AC114)/AC114)</f>
        <v>0</v>
      </c>
      <c r="AJ114" s="24">
        <f t="shared" si="60"/>
        <v>0</v>
      </c>
      <c r="AK114" s="24">
        <f t="shared" si="61"/>
        <v>2.2158755170375295E-4</v>
      </c>
      <c r="AL114" s="25">
        <f t="shared" si="62"/>
        <v>0</v>
      </c>
      <c r="AM114" s="25">
        <f t="shared" si="63"/>
        <v>1.7727004136300236E-3</v>
      </c>
      <c r="AN114" s="387">
        <f t="shared" si="64"/>
        <v>0</v>
      </c>
      <c r="AO114" s="388">
        <f t="shared" si="65"/>
        <v>6.2674424174499364E-4</v>
      </c>
      <c r="AP114" s="30"/>
      <c r="AQ114" s="40"/>
      <c r="AR114" s="13"/>
      <c r="AS114" s="29" t="e">
        <f>(#REF!/AQ114)-1</f>
        <v>#REF!</v>
      </c>
      <c r="AT114" s="29" t="e">
        <f>(#REF!/AR114)-1</f>
        <v>#REF!</v>
      </c>
    </row>
    <row r="115" spans="1:46">
      <c r="A115" s="202" t="s">
        <v>140</v>
      </c>
      <c r="B115" s="326">
        <v>2369507527.9499998</v>
      </c>
      <c r="C115" s="327">
        <v>77</v>
      </c>
      <c r="D115" s="326">
        <v>2373943045.9400001</v>
      </c>
      <c r="E115" s="327">
        <v>77</v>
      </c>
      <c r="F115" s="23">
        <f>((D115-B115)/B115)</f>
        <v>1.8719155510924564E-3</v>
      </c>
      <c r="G115" s="23">
        <f>((E115-C115)/C115)</f>
        <v>0</v>
      </c>
      <c r="H115" s="326">
        <v>2381147156.7399998</v>
      </c>
      <c r="I115" s="327">
        <v>77</v>
      </c>
      <c r="J115" s="23">
        <f t="shared" si="94"/>
        <v>3.0346603353944967E-3</v>
      </c>
      <c r="K115" s="23">
        <f t="shared" si="95"/>
        <v>0</v>
      </c>
      <c r="L115" s="326">
        <v>2384096753.52</v>
      </c>
      <c r="M115" s="327">
        <v>77</v>
      </c>
      <c r="N115" s="23">
        <f t="shared" si="96"/>
        <v>1.2387293123195576E-3</v>
      </c>
      <c r="O115" s="23">
        <f t="shared" si="97"/>
        <v>0</v>
      </c>
      <c r="P115" s="326">
        <v>2388045303.77</v>
      </c>
      <c r="Q115" s="327">
        <v>77</v>
      </c>
      <c r="R115" s="23">
        <f t="shared" si="98"/>
        <v>1.6562038617644868E-3</v>
      </c>
      <c r="S115" s="23">
        <f t="shared" si="99"/>
        <v>0</v>
      </c>
      <c r="T115" s="326">
        <v>2392753042.1500001</v>
      </c>
      <c r="U115" s="327">
        <v>77</v>
      </c>
      <c r="V115" s="23">
        <f t="shared" si="100"/>
        <v>1.9713773321502828E-3</v>
      </c>
      <c r="W115" s="23">
        <f t="shared" si="101"/>
        <v>0</v>
      </c>
      <c r="X115" s="326">
        <v>2401381024.9099998</v>
      </c>
      <c r="Y115" s="327">
        <v>77</v>
      </c>
      <c r="Z115" s="23">
        <f t="shared" si="102"/>
        <v>3.6058810115427156E-3</v>
      </c>
      <c r="AA115" s="23">
        <f t="shared" si="103"/>
        <v>0</v>
      </c>
      <c r="AB115" s="326">
        <v>2404526331.1199999</v>
      </c>
      <c r="AC115" s="327">
        <v>77</v>
      </c>
      <c r="AD115" s="23">
        <f t="shared" si="104"/>
        <v>1.3097905652510598E-3</v>
      </c>
      <c r="AE115" s="23">
        <f t="shared" si="105"/>
        <v>0</v>
      </c>
      <c r="AF115" s="326">
        <v>2408317241.54</v>
      </c>
      <c r="AG115" s="327">
        <v>77</v>
      </c>
      <c r="AH115" s="23">
        <f t="shared" si="106"/>
        <v>1.5765726375865118E-3</v>
      </c>
      <c r="AI115" s="23">
        <f t="shared" si="107"/>
        <v>0</v>
      </c>
      <c r="AJ115" s="24">
        <f t="shared" si="60"/>
        <v>2.0331413258876962E-3</v>
      </c>
      <c r="AK115" s="24">
        <f t="shared" si="61"/>
        <v>0</v>
      </c>
      <c r="AL115" s="25">
        <f t="shared" si="62"/>
        <v>1.44797895041281E-2</v>
      </c>
      <c r="AM115" s="25">
        <f t="shared" si="63"/>
        <v>0</v>
      </c>
      <c r="AN115" s="387">
        <f t="shared" si="64"/>
        <v>8.4610220387628418E-4</v>
      </c>
      <c r="AO115" s="388">
        <f t="shared" si="65"/>
        <v>0</v>
      </c>
      <c r="AP115" s="30"/>
      <c r="AQ115" s="28">
        <v>640873657.65999997</v>
      </c>
      <c r="AR115" s="32">
        <v>11.5358</v>
      </c>
      <c r="AS115" s="29" t="e">
        <f>(#REF!/AQ115)-1</f>
        <v>#REF!</v>
      </c>
      <c r="AT115" s="29" t="e">
        <f>(#REF!/AR115)-1</f>
        <v>#REF!</v>
      </c>
    </row>
    <row r="116" spans="1:46">
      <c r="A116" s="202" t="s">
        <v>21</v>
      </c>
      <c r="B116" s="326">
        <v>10229848237.83</v>
      </c>
      <c r="C116" s="327">
        <v>36.6</v>
      </c>
      <c r="D116" s="326">
        <v>10233092077.66</v>
      </c>
      <c r="E116" s="327">
        <v>36.6</v>
      </c>
      <c r="F116" s="23">
        <f>((D116-B116)/B116)</f>
        <v>3.1709559659000584E-4</v>
      </c>
      <c r="G116" s="23">
        <f>((E116-C116)/C116)</f>
        <v>0</v>
      </c>
      <c r="H116" s="326">
        <v>9852861991.4799995</v>
      </c>
      <c r="I116" s="327">
        <v>36.6</v>
      </c>
      <c r="J116" s="23">
        <f t="shared" si="94"/>
        <v>-3.7156910471868587E-2</v>
      </c>
      <c r="K116" s="23">
        <f t="shared" si="95"/>
        <v>0</v>
      </c>
      <c r="L116" s="326">
        <v>9858731069.2900009</v>
      </c>
      <c r="M116" s="327">
        <v>36.6</v>
      </c>
      <c r="N116" s="23">
        <f t="shared" si="96"/>
        <v>5.9567238585869796E-4</v>
      </c>
      <c r="O116" s="23">
        <f t="shared" si="97"/>
        <v>0</v>
      </c>
      <c r="P116" s="326">
        <v>9873020532.8299999</v>
      </c>
      <c r="Q116" s="327">
        <v>36.6</v>
      </c>
      <c r="R116" s="23">
        <f t="shared" si="98"/>
        <v>1.4494221862396432E-3</v>
      </c>
      <c r="S116" s="23">
        <f t="shared" si="99"/>
        <v>0</v>
      </c>
      <c r="T116" s="326">
        <v>9875245071.0699997</v>
      </c>
      <c r="U116" s="327">
        <v>36.6</v>
      </c>
      <c r="V116" s="23">
        <f t="shared" si="100"/>
        <v>2.2531486008792187E-4</v>
      </c>
      <c r="W116" s="23">
        <f t="shared" si="101"/>
        <v>0</v>
      </c>
      <c r="X116" s="326">
        <v>9892265952</v>
      </c>
      <c r="Y116" s="327">
        <v>36.6</v>
      </c>
      <c r="Z116" s="23">
        <f t="shared" si="102"/>
        <v>1.7235907369897872E-3</v>
      </c>
      <c r="AA116" s="23">
        <f t="shared" si="103"/>
        <v>0</v>
      </c>
      <c r="AB116" s="326">
        <v>9896905856.8899994</v>
      </c>
      <c r="AC116" s="327">
        <v>36.6</v>
      </c>
      <c r="AD116" s="23">
        <f t="shared" si="104"/>
        <v>4.6904368650352573E-4</v>
      </c>
      <c r="AE116" s="23">
        <f t="shared" si="105"/>
        <v>0</v>
      </c>
      <c r="AF116" s="326">
        <v>9901646027.9500008</v>
      </c>
      <c r="AG116" s="327">
        <v>36.6</v>
      </c>
      <c r="AH116" s="23">
        <f t="shared" si="106"/>
        <v>4.789548499848945E-4</v>
      </c>
      <c r="AI116" s="23">
        <f t="shared" si="107"/>
        <v>0</v>
      </c>
      <c r="AJ116" s="24">
        <f t="shared" si="60"/>
        <v>-3.9872270212017655E-3</v>
      </c>
      <c r="AK116" s="24">
        <f t="shared" si="61"/>
        <v>0</v>
      </c>
      <c r="AL116" s="25">
        <f t="shared" si="62"/>
        <v>-3.2389628393316564E-2</v>
      </c>
      <c r="AM116" s="25">
        <f t="shared" si="63"/>
        <v>0</v>
      </c>
      <c r="AN116" s="387">
        <f t="shared" si="64"/>
        <v>1.341363534772012E-2</v>
      </c>
      <c r="AO116" s="388">
        <f t="shared" si="65"/>
        <v>0</v>
      </c>
      <c r="AP116" s="30"/>
      <c r="AQ116" s="28">
        <v>2128320668.46</v>
      </c>
      <c r="AR116" s="35">
        <v>1.04</v>
      </c>
      <c r="AS116" s="29" t="e">
        <f>(#REF!/AQ116)-1</f>
        <v>#REF!</v>
      </c>
      <c r="AT116" s="29" t="e">
        <f>(#REF!/AR116)-1</f>
        <v>#REF!</v>
      </c>
    </row>
    <row r="117" spans="1:46">
      <c r="A117" s="202" t="s">
        <v>182</v>
      </c>
      <c r="B117" s="326">
        <v>27272188865.650002</v>
      </c>
      <c r="C117" s="327">
        <v>3.35</v>
      </c>
      <c r="D117" s="326">
        <v>27292225435.630001</v>
      </c>
      <c r="E117" s="327">
        <v>3.2</v>
      </c>
      <c r="F117" s="23">
        <f>((D117-B117)/B117)</f>
        <v>7.3468873652587886E-4</v>
      </c>
      <c r="G117" s="23">
        <f>((E117-C117)/C117)</f>
        <v>-4.4776119402985044E-2</v>
      </c>
      <c r="H117" s="326">
        <v>26786172175.610001</v>
      </c>
      <c r="I117" s="327">
        <v>3.35</v>
      </c>
      <c r="J117" s="23">
        <f t="shared" si="94"/>
        <v>-1.8542029898351488E-2</v>
      </c>
      <c r="K117" s="23">
        <f t="shared" si="95"/>
        <v>4.6874999999999972E-2</v>
      </c>
      <c r="L117" s="326">
        <v>26854922970.27</v>
      </c>
      <c r="M117" s="327">
        <v>3.35</v>
      </c>
      <c r="N117" s="23">
        <f t="shared" si="96"/>
        <v>2.5666524581888749E-3</v>
      </c>
      <c r="O117" s="23">
        <f t="shared" si="97"/>
        <v>0</v>
      </c>
      <c r="P117" s="326">
        <v>26857877014.560001</v>
      </c>
      <c r="Q117" s="327">
        <v>3.6</v>
      </c>
      <c r="R117" s="23">
        <f t="shared" si="98"/>
        <v>1.1000010289626295E-4</v>
      </c>
      <c r="S117" s="23">
        <f t="shared" si="99"/>
        <v>7.4626865671641784E-2</v>
      </c>
      <c r="T117" s="326">
        <v>26864270591.25</v>
      </c>
      <c r="U117" s="327">
        <v>3.6</v>
      </c>
      <c r="V117" s="23">
        <f t="shared" si="100"/>
        <v>2.3805219923125667E-4</v>
      </c>
      <c r="W117" s="23">
        <f t="shared" si="101"/>
        <v>0</v>
      </c>
      <c r="X117" s="326">
        <v>26866958723.619999</v>
      </c>
      <c r="Y117" s="327">
        <v>3.75</v>
      </c>
      <c r="Z117" s="23">
        <f t="shared" si="102"/>
        <v>1.0006347877073898E-4</v>
      </c>
      <c r="AA117" s="23">
        <f t="shared" si="103"/>
        <v>4.1666666666666644E-2</v>
      </c>
      <c r="AB117" s="326">
        <v>26899569071.439999</v>
      </c>
      <c r="AC117" s="327">
        <v>3.7</v>
      </c>
      <c r="AD117" s="23">
        <f t="shared" si="104"/>
        <v>1.2137714638810388E-3</v>
      </c>
      <c r="AE117" s="23">
        <f t="shared" si="105"/>
        <v>-1.3333333333333286E-2</v>
      </c>
      <c r="AF117" s="326">
        <v>26931489339.299999</v>
      </c>
      <c r="AG117" s="327">
        <v>3.7</v>
      </c>
      <c r="AH117" s="23">
        <f t="shared" si="106"/>
        <v>1.1866460676461625E-3</v>
      </c>
      <c r="AI117" s="23">
        <f t="shared" si="107"/>
        <v>0</v>
      </c>
      <c r="AJ117" s="24">
        <f t="shared" si="60"/>
        <v>-1.5490194239014092E-3</v>
      </c>
      <c r="AK117" s="24">
        <f t="shared" si="61"/>
        <v>1.313238495024876E-2</v>
      </c>
      <c r="AL117" s="25">
        <f t="shared" si="62"/>
        <v>-1.3217540547611806E-2</v>
      </c>
      <c r="AM117" s="25">
        <f t="shared" si="63"/>
        <v>0.15625</v>
      </c>
      <c r="AN117" s="387">
        <f t="shared" si="64"/>
        <v>6.914775147211393E-3</v>
      </c>
      <c r="AO117" s="388">
        <f t="shared" si="65"/>
        <v>3.8369534393095116E-2</v>
      </c>
      <c r="AP117" s="30"/>
      <c r="AQ117" s="28">
        <v>1789192828.73</v>
      </c>
      <c r="AR117" s="32">
        <v>0.79</v>
      </c>
      <c r="AS117" s="29" t="e">
        <f>(#REF!/AQ117)-1</f>
        <v>#REF!</v>
      </c>
      <c r="AT117" s="29" t="e">
        <f>(#REF!/AR117)-1</f>
        <v>#REF!</v>
      </c>
    </row>
    <row r="118" spans="1:46">
      <c r="A118" s="204" t="s">
        <v>42</v>
      </c>
      <c r="B118" s="70">
        <f>SUM(B114:B117)</f>
        <v>94202498345.429993</v>
      </c>
      <c r="C118" s="85"/>
      <c r="D118" s="70">
        <f>SUM(D114:D117)</f>
        <v>94230214273.230011</v>
      </c>
      <c r="E118" s="85"/>
      <c r="F118" s="23">
        <f>((D118-B118)/B118)</f>
        <v>2.9421648349905875E-4</v>
      </c>
      <c r="G118" s="23"/>
      <c r="H118" s="70">
        <f>SUM(H114:H117)</f>
        <v>93351135037.830002</v>
      </c>
      <c r="I118" s="85"/>
      <c r="J118" s="23">
        <f>((H118-D118)/D118)</f>
        <v>-9.3290590728259438E-3</v>
      </c>
      <c r="K118" s="23"/>
      <c r="L118" s="70">
        <f>SUM(L114:L117)</f>
        <v>93428704507.080002</v>
      </c>
      <c r="M118" s="85"/>
      <c r="N118" s="23">
        <f>((L118-H118)/H118)</f>
        <v>8.3094296838024978E-4</v>
      </c>
      <c r="O118" s="23"/>
      <c r="P118" s="70">
        <f>SUM(P114:P117)</f>
        <v>93449896565.160004</v>
      </c>
      <c r="Q118" s="85"/>
      <c r="R118" s="23">
        <f>((P118-L118)/L118)</f>
        <v>2.2682598663664337E-4</v>
      </c>
      <c r="S118" s="23"/>
      <c r="T118" s="70">
        <f>SUM(T114:T117)</f>
        <v>93463222418.470001</v>
      </c>
      <c r="U118" s="85"/>
      <c r="V118" s="23">
        <f>((T118-P118)/P118)</f>
        <v>1.4259890914599156E-4</v>
      </c>
      <c r="W118" s="23"/>
      <c r="X118" s="70">
        <f>SUM(X114:X117)</f>
        <v>93491559414.529999</v>
      </c>
      <c r="Y118" s="85"/>
      <c r="Z118" s="23">
        <f>((X118-T118)/T118)</f>
        <v>3.0318873377939149E-4</v>
      </c>
      <c r="AA118" s="23"/>
      <c r="AB118" s="70">
        <f>SUM(AB114:AB117)</f>
        <v>93531954973.449997</v>
      </c>
      <c r="AC118" s="85"/>
      <c r="AD118" s="23">
        <f>((AB118-X118)/X118)</f>
        <v>4.3207706848582194E-4</v>
      </c>
      <c r="AE118" s="23"/>
      <c r="AF118" s="70">
        <f>SUM(AF114:AF117)</f>
        <v>93572406322.790009</v>
      </c>
      <c r="AG118" s="85"/>
      <c r="AH118" s="23">
        <f>((AF118-AB118)/AB118)</f>
        <v>4.3248694364930279E-4</v>
      </c>
      <c r="AI118" s="23"/>
      <c r="AJ118" s="24">
        <f t="shared" si="60"/>
        <v>-8.333402474061854E-4</v>
      </c>
      <c r="AK118" s="24"/>
      <c r="AL118" s="25">
        <f t="shared" si="62"/>
        <v>-6.9808601785900848E-3</v>
      </c>
      <c r="AM118" s="25"/>
      <c r="AN118" s="387">
        <f t="shared" si="64"/>
        <v>3.4390648320124892E-3</v>
      </c>
      <c r="AO118" s="388"/>
      <c r="AP118" s="30"/>
      <c r="AQ118" s="28">
        <v>204378030.47999999</v>
      </c>
      <c r="AR118" s="32">
        <v>22.9087</v>
      </c>
      <c r="AS118" s="29" t="e">
        <f>(#REF!/AQ118)-1</f>
        <v>#REF!</v>
      </c>
      <c r="AT118" s="29" t="e">
        <f>(#REF!/AR118)-1</f>
        <v>#REF!</v>
      </c>
    </row>
    <row r="119" spans="1:46" s="368" customFormat="1" ht="7.5" customHeight="1">
      <c r="A119" s="204"/>
      <c r="B119" s="85"/>
      <c r="C119" s="85"/>
      <c r="D119" s="85"/>
      <c r="E119" s="85"/>
      <c r="F119" s="23"/>
      <c r="G119" s="23"/>
      <c r="H119" s="85"/>
      <c r="I119" s="85"/>
      <c r="J119" s="23"/>
      <c r="K119" s="23"/>
      <c r="L119" s="85"/>
      <c r="M119" s="85"/>
      <c r="N119" s="23"/>
      <c r="O119" s="23"/>
      <c r="P119" s="85"/>
      <c r="Q119" s="85"/>
      <c r="R119" s="23"/>
      <c r="S119" s="23"/>
      <c r="T119" s="85"/>
      <c r="U119" s="85"/>
      <c r="V119" s="23"/>
      <c r="W119" s="23"/>
      <c r="X119" s="85"/>
      <c r="Y119" s="85"/>
      <c r="Z119" s="23"/>
      <c r="AA119" s="23"/>
      <c r="AB119" s="85"/>
      <c r="AC119" s="85"/>
      <c r="AD119" s="23"/>
      <c r="AE119" s="23"/>
      <c r="AF119" s="85"/>
      <c r="AG119" s="85"/>
      <c r="AH119" s="23"/>
      <c r="AI119" s="23"/>
      <c r="AJ119" s="24"/>
      <c r="AK119" s="24"/>
      <c r="AL119" s="25"/>
      <c r="AM119" s="25"/>
      <c r="AN119" s="387"/>
      <c r="AO119" s="388"/>
      <c r="AP119" s="30"/>
      <c r="AQ119" s="28"/>
      <c r="AR119" s="32"/>
      <c r="AS119" s="29"/>
      <c r="AT119" s="29"/>
    </row>
    <row r="120" spans="1:46">
      <c r="A120" s="206" t="s">
        <v>221</v>
      </c>
      <c r="B120" s="85"/>
      <c r="C120" s="85"/>
      <c r="D120" s="85"/>
      <c r="E120" s="85"/>
      <c r="F120" s="23"/>
      <c r="G120" s="23"/>
      <c r="H120" s="85"/>
      <c r="I120" s="85"/>
      <c r="J120" s="23"/>
      <c r="K120" s="23"/>
      <c r="L120" s="85"/>
      <c r="M120" s="85"/>
      <c r="N120" s="23"/>
      <c r="O120" s="23"/>
      <c r="P120" s="85"/>
      <c r="Q120" s="85"/>
      <c r="R120" s="23"/>
      <c r="S120" s="23"/>
      <c r="T120" s="85"/>
      <c r="U120" s="85"/>
      <c r="V120" s="23"/>
      <c r="W120" s="23"/>
      <c r="X120" s="85"/>
      <c r="Y120" s="85"/>
      <c r="Z120" s="23"/>
      <c r="AA120" s="23"/>
      <c r="AB120" s="85"/>
      <c r="AC120" s="85"/>
      <c r="AD120" s="23"/>
      <c r="AE120" s="23"/>
      <c r="AF120" s="85"/>
      <c r="AG120" s="85"/>
      <c r="AH120" s="23"/>
      <c r="AI120" s="23"/>
      <c r="AJ120" s="24"/>
      <c r="AK120" s="24"/>
      <c r="AL120" s="25"/>
      <c r="AM120" s="25"/>
      <c r="AN120" s="387"/>
      <c r="AO120" s="388"/>
      <c r="AP120" s="30"/>
      <c r="AQ120" s="28">
        <v>160273731.87</v>
      </c>
      <c r="AR120" s="32">
        <v>133.94</v>
      </c>
      <c r="AS120" s="29" t="e">
        <f>(#REF!/AQ120)-1</f>
        <v>#REF!</v>
      </c>
      <c r="AT120" s="29" t="e">
        <f>(#REF!/AR120)-1</f>
        <v>#REF!</v>
      </c>
    </row>
    <row r="121" spans="1:46" s="93" customFormat="1">
      <c r="A121" s="202" t="s">
        <v>116</v>
      </c>
      <c r="B121" s="325">
        <v>173805872.94</v>
      </c>
      <c r="C121" s="325">
        <v>3.96</v>
      </c>
      <c r="D121" s="325">
        <v>175841799.91999999</v>
      </c>
      <c r="E121" s="325">
        <v>4.01</v>
      </c>
      <c r="F121" s="23">
        <f>((D121-B121)/B121)</f>
        <v>1.1713798536041514E-2</v>
      </c>
      <c r="G121" s="23">
        <f>((E121-C121)/C121)</f>
        <v>1.2626262626262581E-2</v>
      </c>
      <c r="H121" s="325">
        <v>180051411.02000001</v>
      </c>
      <c r="I121" s="325">
        <v>4.09</v>
      </c>
      <c r="J121" s="23">
        <f t="shared" ref="J121:J131" si="108">((H121-D121)/D121)</f>
        <v>2.3939763480100892E-2</v>
      </c>
      <c r="K121" s="23">
        <f t="shared" ref="K121:K131" si="109">((I121-E121)/E121)</f>
        <v>1.9950124688279322E-2</v>
      </c>
      <c r="L121" s="325">
        <v>180314220.96000001</v>
      </c>
      <c r="M121" s="325">
        <v>4.0999999999999996</v>
      </c>
      <c r="N121" s="23">
        <f t="shared" ref="N121:N131" si="110">((L121-H121)/H121)</f>
        <v>1.4596383250270936E-3</v>
      </c>
      <c r="O121" s="23">
        <f t="shared" ref="O121:O131" si="111">((M121-I121)/I121)</f>
        <v>2.4449877750610726E-3</v>
      </c>
      <c r="P121" s="325">
        <v>186288631.78999999</v>
      </c>
      <c r="Q121" s="325">
        <v>4.24</v>
      </c>
      <c r="R121" s="23">
        <f t="shared" ref="R121:R131" si="112">((P121-L121)/L121)</f>
        <v>3.3133331348975052E-2</v>
      </c>
      <c r="S121" s="23">
        <f t="shared" ref="S121:S131" si="113">((Q121-M121)/M121)</f>
        <v>3.4146341463414775E-2</v>
      </c>
      <c r="T121" s="325">
        <v>187052986.65000001</v>
      </c>
      <c r="U121" s="325">
        <v>4.25</v>
      </c>
      <c r="V121" s="23">
        <f t="shared" ref="V121:V131" si="114">((T121-P121)/P121)</f>
        <v>4.1030676571915487E-3</v>
      </c>
      <c r="W121" s="23">
        <f t="shared" ref="W121:W131" si="115">((U121-Q121)/Q121)</f>
        <v>2.3584905660376855E-3</v>
      </c>
      <c r="X121" s="325">
        <v>191306054.06</v>
      </c>
      <c r="Y121" s="325">
        <v>4.3499999999999996</v>
      </c>
      <c r="Z121" s="23">
        <f t="shared" ref="Z121:Z131" si="116">((X121-T121)/T121)</f>
        <v>2.2737233369911531E-2</v>
      </c>
      <c r="AA121" s="23">
        <f t="shared" ref="AA121:AA131" si="117">((Y121-U121)/U121)</f>
        <v>2.3529411764705799E-2</v>
      </c>
      <c r="AB121" s="325">
        <v>194310726.47999999</v>
      </c>
      <c r="AC121" s="325">
        <v>4.42</v>
      </c>
      <c r="AD121" s="23">
        <f t="shared" ref="AD121:AD131" si="118">((AB121-X121)/X121)</f>
        <v>1.570610211351503E-2</v>
      </c>
      <c r="AE121" s="23">
        <f t="shared" ref="AE121:AE131" si="119">((AC121-Y121)/Y121)</f>
        <v>1.6091954022988571E-2</v>
      </c>
      <c r="AF121" s="325">
        <v>191624538.55000001</v>
      </c>
      <c r="AG121" s="325">
        <v>4.3600000000000003</v>
      </c>
      <c r="AH121" s="23">
        <f t="shared" ref="AH121:AH131" si="120">((AF121-AB121)/AB121)</f>
        <v>-1.3824187571428082E-2</v>
      </c>
      <c r="AI121" s="23">
        <f t="shared" ref="AI121:AI131" si="121">((AG121-AC121)/AC121)</f>
        <v>-1.3574660633484075E-2</v>
      </c>
      <c r="AJ121" s="24">
        <f t="shared" si="60"/>
        <v>1.2371093407416822E-2</v>
      </c>
      <c r="AK121" s="24">
        <f t="shared" si="61"/>
        <v>1.2196614034158218E-2</v>
      </c>
      <c r="AL121" s="25">
        <f t="shared" si="62"/>
        <v>8.9755329149158236E-2</v>
      </c>
      <c r="AM121" s="25">
        <f t="shared" si="63"/>
        <v>8.7281795511222088E-2</v>
      </c>
      <c r="AN121" s="387">
        <f t="shared" si="64"/>
        <v>1.4916571208435286E-2</v>
      </c>
      <c r="AO121" s="388">
        <f t="shared" si="65"/>
        <v>1.4840771657311239E-2</v>
      </c>
      <c r="AP121" s="30"/>
      <c r="AQ121" s="28"/>
      <c r="AR121" s="32"/>
      <c r="AS121" s="29"/>
      <c r="AT121" s="29"/>
    </row>
    <row r="122" spans="1:46" s="103" customFormat="1">
      <c r="A122" s="202" t="s">
        <v>155</v>
      </c>
      <c r="B122" s="325">
        <v>4941603561.1999998</v>
      </c>
      <c r="C122" s="325">
        <v>560.7441</v>
      </c>
      <c r="D122" s="325">
        <v>5047198471.25</v>
      </c>
      <c r="E122" s="325">
        <v>570.83989999999994</v>
      </c>
      <c r="F122" s="23">
        <f>((D122-B122)/B122)</f>
        <v>2.1368551471651832E-2</v>
      </c>
      <c r="G122" s="23">
        <f>((E122-C122)/C122)</f>
        <v>1.8004291083936398E-2</v>
      </c>
      <c r="H122" s="325">
        <v>5215056273.8800001</v>
      </c>
      <c r="I122" s="325">
        <v>589.41840000000002</v>
      </c>
      <c r="J122" s="23">
        <f t="shared" si="108"/>
        <v>3.325761877329704E-2</v>
      </c>
      <c r="K122" s="23">
        <f t="shared" si="109"/>
        <v>3.2545902975598021E-2</v>
      </c>
      <c r="L122" s="325">
        <v>5218857777.5299997</v>
      </c>
      <c r="M122" s="325">
        <v>589.77639999999997</v>
      </c>
      <c r="N122" s="23">
        <f t="shared" si="110"/>
        <v>7.2894777167405351E-4</v>
      </c>
      <c r="O122" s="23">
        <f t="shared" si="111"/>
        <v>6.0737839198767333E-4</v>
      </c>
      <c r="P122" s="325">
        <v>5423260890.4499998</v>
      </c>
      <c r="Q122" s="325">
        <v>613.34460000000001</v>
      </c>
      <c r="R122" s="23">
        <f t="shared" si="112"/>
        <v>3.9166254692754005E-2</v>
      </c>
      <c r="S122" s="23">
        <f t="shared" si="113"/>
        <v>3.996124632996513E-2</v>
      </c>
      <c r="T122" s="325">
        <v>5379490467.0699997</v>
      </c>
      <c r="U122" s="325">
        <v>608.30999999999995</v>
      </c>
      <c r="V122" s="23">
        <f t="shared" si="114"/>
        <v>-8.0708681113012479E-3</v>
      </c>
      <c r="W122" s="23">
        <f t="shared" si="115"/>
        <v>-8.2084361711182718E-3</v>
      </c>
      <c r="X122" s="325">
        <v>5467902900.1800003</v>
      </c>
      <c r="Y122" s="325">
        <v>618.33630000000005</v>
      </c>
      <c r="Z122" s="23">
        <f t="shared" si="116"/>
        <v>1.6435094299582512E-2</v>
      </c>
      <c r="AA122" s="23">
        <f t="shared" si="117"/>
        <v>1.6482221235883197E-2</v>
      </c>
      <c r="AB122" s="325">
        <v>5792189942.3299999</v>
      </c>
      <c r="AC122" s="325">
        <v>636.30070000000001</v>
      </c>
      <c r="AD122" s="23">
        <f t="shared" si="118"/>
        <v>5.9307388604015673E-2</v>
      </c>
      <c r="AE122" s="23">
        <f t="shared" si="119"/>
        <v>2.9052798614604955E-2</v>
      </c>
      <c r="AF122" s="325">
        <v>5709659958.8299999</v>
      </c>
      <c r="AG122" s="325">
        <v>626.8922</v>
      </c>
      <c r="AH122" s="23">
        <f t="shared" si="120"/>
        <v>-1.4248493975803737E-2</v>
      </c>
      <c r="AI122" s="23">
        <f t="shared" si="121"/>
        <v>-1.478624807422026E-2</v>
      </c>
      <c r="AJ122" s="24">
        <f t="shared" si="60"/>
        <v>1.8493061690733767E-2</v>
      </c>
      <c r="AK122" s="24">
        <f t="shared" si="61"/>
        <v>1.4207394298329607E-2</v>
      </c>
      <c r="AL122" s="25">
        <f t="shared" si="62"/>
        <v>0.13125330643396182</v>
      </c>
      <c r="AM122" s="25">
        <f t="shared" si="63"/>
        <v>9.8192680644783356E-2</v>
      </c>
      <c r="AN122" s="387">
        <f t="shared" si="64"/>
        <v>2.5119433526120345E-2</v>
      </c>
      <c r="AO122" s="388">
        <f t="shared" si="65"/>
        <v>1.988395000065122E-2</v>
      </c>
      <c r="AP122" s="30"/>
      <c r="AQ122" s="28"/>
      <c r="AR122" s="32"/>
      <c r="AS122" s="29"/>
      <c r="AT122" s="29"/>
    </row>
    <row r="123" spans="1:46" s="368" customFormat="1">
      <c r="A123" s="202" t="s">
        <v>241</v>
      </c>
      <c r="B123" s="325">
        <v>2718917482.6599998</v>
      </c>
      <c r="C123" s="325">
        <v>15.014799999999999</v>
      </c>
      <c r="D123" s="325">
        <v>2722075524.23</v>
      </c>
      <c r="E123" s="325">
        <v>15.203900000000001</v>
      </c>
      <c r="F123" s="23">
        <f>((D123-B123)/B123)</f>
        <v>1.1615069564047834E-3</v>
      </c>
      <c r="G123" s="23">
        <f>((E123-C123)/C123)</f>
        <v>1.2594240349521913E-2</v>
      </c>
      <c r="H123" s="325">
        <v>2808501820.6199999</v>
      </c>
      <c r="I123" s="325">
        <v>15.6739</v>
      </c>
      <c r="J123" s="23">
        <f t="shared" si="108"/>
        <v>3.175014639406358E-2</v>
      </c>
      <c r="K123" s="23">
        <f t="shared" si="109"/>
        <v>3.0913120975539093E-2</v>
      </c>
      <c r="L123" s="325">
        <v>2806863067.3200002</v>
      </c>
      <c r="M123" s="325">
        <v>15.6533</v>
      </c>
      <c r="N123" s="23">
        <f t="shared" si="110"/>
        <v>-5.8349732514609721E-4</v>
      </c>
      <c r="O123" s="23">
        <f t="shared" si="111"/>
        <v>-1.3142868080056624E-3</v>
      </c>
      <c r="P123" s="325">
        <v>2912210240.25</v>
      </c>
      <c r="Q123" s="325">
        <v>16.3429</v>
      </c>
      <c r="R123" s="23">
        <f t="shared" si="112"/>
        <v>3.7531995827137218E-2</v>
      </c>
      <c r="S123" s="23">
        <f t="shared" si="113"/>
        <v>4.4054608293458919E-2</v>
      </c>
      <c r="T123" s="325">
        <v>2916603768.6599998</v>
      </c>
      <c r="U123" s="325">
        <v>16.128499999999999</v>
      </c>
      <c r="V123" s="23">
        <f t="shared" si="114"/>
        <v>1.5086577024132307E-3</v>
      </c>
      <c r="W123" s="23">
        <f t="shared" si="115"/>
        <v>-1.3118846716311135E-2</v>
      </c>
      <c r="X123" s="325">
        <v>2975758332.46</v>
      </c>
      <c r="Y123" s="325">
        <v>16.280799999999999</v>
      </c>
      <c r="Z123" s="23">
        <f t="shared" si="116"/>
        <v>2.0282002113430057E-2</v>
      </c>
      <c r="AA123" s="23">
        <f t="shared" si="117"/>
        <v>9.442911616083351E-3</v>
      </c>
      <c r="AB123" s="325">
        <v>3056206260.1500001</v>
      </c>
      <c r="AC123" s="325">
        <v>16.414899999999999</v>
      </c>
      <c r="AD123" s="23">
        <f t="shared" si="118"/>
        <v>2.7034429110879901E-2</v>
      </c>
      <c r="AE123" s="23">
        <f t="shared" si="119"/>
        <v>8.2366959854552665E-3</v>
      </c>
      <c r="AF123" s="325">
        <v>3043063454.27</v>
      </c>
      <c r="AG123" s="325">
        <v>16.714200000000002</v>
      </c>
      <c r="AH123" s="23">
        <f t="shared" si="120"/>
        <v>-4.3003661275646558E-3</v>
      </c>
      <c r="AI123" s="23">
        <f t="shared" si="121"/>
        <v>1.8233434257899979E-2</v>
      </c>
      <c r="AJ123" s="24">
        <f t="shared" si="60"/>
        <v>1.4298109331452253E-2</v>
      </c>
      <c r="AK123" s="24">
        <f t="shared" si="61"/>
        <v>1.3630234744205213E-2</v>
      </c>
      <c r="AL123" s="25">
        <f t="shared" si="62"/>
        <v>0.1179202880973696</v>
      </c>
      <c r="AM123" s="25">
        <f t="shared" si="63"/>
        <v>9.9336354487993259E-2</v>
      </c>
      <c r="AN123" s="387">
        <f t="shared" si="64"/>
        <v>1.6672962692815728E-2</v>
      </c>
      <c r="AO123" s="388">
        <f t="shared" si="65"/>
        <v>1.7856889071670955E-2</v>
      </c>
      <c r="AP123" s="30"/>
      <c r="AQ123" s="28"/>
      <c r="AR123" s="32"/>
      <c r="AS123" s="29"/>
      <c r="AT123" s="29"/>
    </row>
    <row r="124" spans="1:46">
      <c r="A124" s="202" t="s">
        <v>143</v>
      </c>
      <c r="B124" s="326">
        <v>1072807293.22</v>
      </c>
      <c r="C124" s="325">
        <v>2.5520999999999998</v>
      </c>
      <c r="D124" s="326">
        <v>1082077115.4200001</v>
      </c>
      <c r="E124" s="325">
        <v>2.5746000000000002</v>
      </c>
      <c r="F124" s="23">
        <f>((D124-B124)/B124)</f>
        <v>8.6407151205851185E-3</v>
      </c>
      <c r="G124" s="23">
        <f>((E124-C124)/C124)</f>
        <v>8.8162689549784144E-3</v>
      </c>
      <c r="H124" s="326">
        <v>1099121728.96</v>
      </c>
      <c r="I124" s="325">
        <v>2.6156999999999999</v>
      </c>
      <c r="J124" s="23">
        <f t="shared" si="108"/>
        <v>1.5751754932349923E-2</v>
      </c>
      <c r="K124" s="23">
        <f t="shared" si="109"/>
        <v>1.5963644838032972E-2</v>
      </c>
      <c r="L124" s="326">
        <v>1101968822.7</v>
      </c>
      <c r="M124" s="325">
        <v>2.6223999999999998</v>
      </c>
      <c r="N124" s="23">
        <f t="shared" si="110"/>
        <v>2.5903352331083092E-3</v>
      </c>
      <c r="O124" s="23">
        <f t="shared" si="111"/>
        <v>2.5614558244446721E-3</v>
      </c>
      <c r="P124" s="326">
        <v>1142804967.6199999</v>
      </c>
      <c r="Q124" s="325">
        <v>2.7210000000000001</v>
      </c>
      <c r="R124" s="23">
        <f t="shared" si="112"/>
        <v>3.7057441262217154E-2</v>
      </c>
      <c r="S124" s="23">
        <f t="shared" si="113"/>
        <v>3.7599145820622425E-2</v>
      </c>
      <c r="T124" s="326">
        <v>1152185540.3800001</v>
      </c>
      <c r="U124" s="325">
        <v>2.7435</v>
      </c>
      <c r="V124" s="23">
        <f t="shared" si="114"/>
        <v>8.2083759047146647E-3</v>
      </c>
      <c r="W124" s="23">
        <f t="shared" si="115"/>
        <v>8.269018743109138E-3</v>
      </c>
      <c r="X124" s="326">
        <v>1172321788.9300001</v>
      </c>
      <c r="Y124" s="325">
        <v>2.7984</v>
      </c>
      <c r="Z124" s="23">
        <f t="shared" si="116"/>
        <v>1.7476567657114368E-2</v>
      </c>
      <c r="AA124" s="23">
        <f t="shared" si="117"/>
        <v>2.0010934937124091E-2</v>
      </c>
      <c r="AB124" s="326">
        <v>1203861925.8699999</v>
      </c>
      <c r="AC124" s="325">
        <v>2.8744999999999998</v>
      </c>
      <c r="AD124" s="23">
        <f t="shared" si="118"/>
        <v>2.690399277555618E-2</v>
      </c>
      <c r="AE124" s="23">
        <f t="shared" si="119"/>
        <v>2.7194110920525955E-2</v>
      </c>
      <c r="AF124" s="326">
        <v>1161707215.78</v>
      </c>
      <c r="AG124" s="325">
        <v>2.7728999999999999</v>
      </c>
      <c r="AH124" s="23">
        <f t="shared" si="120"/>
        <v>-3.5016233327203029E-2</v>
      </c>
      <c r="AI124" s="23">
        <f t="shared" si="121"/>
        <v>-3.5345277439554679E-2</v>
      </c>
      <c r="AJ124" s="24">
        <f t="shared" si="60"/>
        <v>1.0201618694805334E-2</v>
      </c>
      <c r="AK124" s="24">
        <f t="shared" si="61"/>
        <v>1.0633662824910373E-2</v>
      </c>
      <c r="AL124" s="25">
        <f t="shared" si="62"/>
        <v>7.359004198983736E-2</v>
      </c>
      <c r="AM124" s="25">
        <f t="shared" si="63"/>
        <v>7.7021673269633995E-2</v>
      </c>
      <c r="AN124" s="387">
        <f t="shared" si="64"/>
        <v>2.135726244687193E-2</v>
      </c>
      <c r="AO124" s="388">
        <f t="shared" si="65"/>
        <v>2.1731628006400525E-2</v>
      </c>
      <c r="AP124" s="30"/>
      <c r="AQ124" s="56">
        <f>SUM(AQ115:AQ120)</f>
        <v>4923038917.1999998</v>
      </c>
      <c r="AR124" s="13"/>
      <c r="AS124" s="29" t="e">
        <f>(#REF!/AQ124)-1</f>
        <v>#REF!</v>
      </c>
      <c r="AT124" s="29" t="e">
        <f>(#REF!/AR124)-1</f>
        <v>#REF!</v>
      </c>
    </row>
    <row r="125" spans="1:46">
      <c r="A125" s="202" t="s">
        <v>266</v>
      </c>
      <c r="B125" s="326">
        <v>2386581991.5784502</v>
      </c>
      <c r="C125" s="325">
        <v>4504.8489558523297</v>
      </c>
      <c r="D125" s="326">
        <v>2430174060.5251298</v>
      </c>
      <c r="E125" s="325">
        <v>4587.3988998184304</v>
      </c>
      <c r="F125" s="23">
        <f>((D125-B125)/B125)</f>
        <v>1.8265481387399744E-2</v>
      </c>
      <c r="G125" s="23">
        <f>((E125-C125)/C125)</f>
        <v>1.8324686304711419E-2</v>
      </c>
      <c r="H125" s="326">
        <v>2487244601.2964201</v>
      </c>
      <c r="I125" s="325">
        <v>4695.8647294641996</v>
      </c>
      <c r="J125" s="23">
        <f t="shared" si="108"/>
        <v>2.3484137082328202E-2</v>
      </c>
      <c r="K125" s="23">
        <f t="shared" si="109"/>
        <v>2.3644298656927847E-2</v>
      </c>
      <c r="L125" s="326">
        <v>2510565113.12186</v>
      </c>
      <c r="M125" s="325">
        <v>4723.0348347712297</v>
      </c>
      <c r="N125" s="23">
        <f t="shared" si="110"/>
        <v>9.3760427958250025E-3</v>
      </c>
      <c r="O125" s="23">
        <f t="shared" si="111"/>
        <v>5.7859642200831073E-3</v>
      </c>
      <c r="P125" s="326">
        <v>2615945343.5957499</v>
      </c>
      <c r="Q125" s="325">
        <v>4919.8318449966901</v>
      </c>
      <c r="R125" s="23">
        <f t="shared" si="112"/>
        <v>4.1974705186136628E-2</v>
      </c>
      <c r="S125" s="23">
        <f t="shared" si="113"/>
        <v>4.1667490736386363E-2</v>
      </c>
      <c r="T125" s="326">
        <v>2631605616.6355901</v>
      </c>
      <c r="U125" s="325">
        <v>4939.3351779398099</v>
      </c>
      <c r="V125" s="23">
        <f t="shared" si="114"/>
        <v>5.9864679811369378E-3</v>
      </c>
      <c r="W125" s="23">
        <f t="shared" si="115"/>
        <v>3.96422755036925E-3</v>
      </c>
      <c r="X125" s="326">
        <v>2688150136.8913798</v>
      </c>
      <c r="Y125" s="325">
        <v>5041.1136242656403</v>
      </c>
      <c r="Z125" s="23">
        <f t="shared" si="116"/>
        <v>2.1486699944074379E-2</v>
      </c>
      <c r="AA125" s="23">
        <f t="shared" si="117"/>
        <v>2.0605697459122833E-2</v>
      </c>
      <c r="AB125" s="326">
        <v>2764360428.6714602</v>
      </c>
      <c r="AC125" s="325">
        <v>5169.3236497398502</v>
      </c>
      <c r="AD125" s="23">
        <f t="shared" si="118"/>
        <v>2.8350459572251099E-2</v>
      </c>
      <c r="AE125" s="23">
        <f t="shared" si="119"/>
        <v>2.5432877540602316E-2</v>
      </c>
      <c r="AF125" s="326">
        <v>2715821490.1807799</v>
      </c>
      <c r="AG125" s="325">
        <v>5080.8382942378103</v>
      </c>
      <c r="AH125" s="23">
        <f t="shared" si="120"/>
        <v>-1.7558831325771736E-2</v>
      </c>
      <c r="AI125" s="23">
        <f t="shared" si="121"/>
        <v>-1.7117395136691249E-2</v>
      </c>
      <c r="AJ125" s="24">
        <f t="shared" si="60"/>
        <v>1.642064532792253E-2</v>
      </c>
      <c r="AK125" s="24">
        <f t="shared" si="61"/>
        <v>1.5288480916438987E-2</v>
      </c>
      <c r="AL125" s="25">
        <f t="shared" si="62"/>
        <v>0.11754196306166043</v>
      </c>
      <c r="AM125" s="25">
        <f t="shared" si="63"/>
        <v>0.10756409137189055</v>
      </c>
      <c r="AN125" s="387">
        <f t="shared" si="64"/>
        <v>1.7677245275714824E-2</v>
      </c>
      <c r="AO125" s="388">
        <f t="shared" si="65"/>
        <v>1.7626073655717112E-2</v>
      </c>
      <c r="AP125" s="30"/>
      <c r="AQ125" s="12" t="e">
        <f>SUM(AQ21,AQ53,#REF!,#REF!,AQ91,AQ113,AQ124)</f>
        <v>#REF!</v>
      </c>
      <c r="AR125" s="13"/>
      <c r="AS125" s="29" t="e">
        <f>(#REF!/AQ125)-1</f>
        <v>#REF!</v>
      </c>
      <c r="AT125" s="29" t="e">
        <f>(#REF!/AR125)-1</f>
        <v>#REF!</v>
      </c>
    </row>
    <row r="126" spans="1:46" ht="15" customHeight="1">
      <c r="A126" s="202" t="s">
        <v>156</v>
      </c>
      <c r="B126" s="325">
        <v>354647768.31999999</v>
      </c>
      <c r="C126" s="325">
        <v>134.91</v>
      </c>
      <c r="D126" s="325">
        <v>359886928.88999999</v>
      </c>
      <c r="E126" s="325">
        <v>136.91999999999999</v>
      </c>
      <c r="F126" s="23">
        <f>((D126-B126)/B126)</f>
        <v>1.4772856445194599E-2</v>
      </c>
      <c r="G126" s="23">
        <f>((E126-C126)/C126)</f>
        <v>1.4898821436513164E-2</v>
      </c>
      <c r="H126" s="325">
        <v>371021554.06</v>
      </c>
      <c r="I126" s="325">
        <v>141.03</v>
      </c>
      <c r="J126" s="23">
        <f t="shared" si="108"/>
        <v>3.0939231953609887E-2</v>
      </c>
      <c r="K126" s="23">
        <f t="shared" si="109"/>
        <v>3.0017528483786256E-2</v>
      </c>
      <c r="L126" s="325">
        <v>385471981.02999997</v>
      </c>
      <c r="M126" s="325">
        <v>140.94999999999999</v>
      </c>
      <c r="N126" s="23">
        <f t="shared" si="110"/>
        <v>3.8947675173780089E-2</v>
      </c>
      <c r="O126" s="23">
        <f t="shared" si="111"/>
        <v>-5.6725519393045808E-4</v>
      </c>
      <c r="P126" s="325">
        <v>407139017.07999998</v>
      </c>
      <c r="Q126" s="325">
        <v>149.12</v>
      </c>
      <c r="R126" s="23">
        <f t="shared" si="112"/>
        <v>5.6209107577948031E-2</v>
      </c>
      <c r="S126" s="23">
        <f t="shared" si="113"/>
        <v>5.7963816956367625E-2</v>
      </c>
      <c r="T126" s="325">
        <v>408833544.89999998</v>
      </c>
      <c r="U126" s="325">
        <v>149.69999999999999</v>
      </c>
      <c r="V126" s="23">
        <f t="shared" si="114"/>
        <v>4.1620374096129186E-3</v>
      </c>
      <c r="W126" s="23">
        <f t="shared" si="115"/>
        <v>3.8894849785406655E-3</v>
      </c>
      <c r="X126" s="325">
        <v>418454762.29000002</v>
      </c>
      <c r="Y126" s="325">
        <v>153.03</v>
      </c>
      <c r="Z126" s="23">
        <f t="shared" si="116"/>
        <v>2.3533336513160582E-2</v>
      </c>
      <c r="AA126" s="23">
        <f t="shared" si="117"/>
        <v>2.2244488977955997E-2</v>
      </c>
      <c r="AB126" s="325">
        <v>428243627.06</v>
      </c>
      <c r="AC126" s="325">
        <v>156.41999999999999</v>
      </c>
      <c r="AD126" s="23">
        <f t="shared" si="118"/>
        <v>2.3392886524770971E-2</v>
      </c>
      <c r="AE126" s="23">
        <f t="shared" si="119"/>
        <v>2.2152519113899146E-2</v>
      </c>
      <c r="AF126" s="325">
        <v>427510269.10000002</v>
      </c>
      <c r="AG126" s="325">
        <v>153.44999999999999</v>
      </c>
      <c r="AH126" s="23">
        <f t="shared" si="120"/>
        <v>-1.712478397015888E-3</v>
      </c>
      <c r="AI126" s="23">
        <f t="shared" si="121"/>
        <v>-1.8987341772151892E-2</v>
      </c>
      <c r="AJ126" s="24">
        <f t="shared" si="60"/>
        <v>2.3780581650132648E-2</v>
      </c>
      <c r="AK126" s="24">
        <f t="shared" si="61"/>
        <v>1.6451507872622565E-2</v>
      </c>
      <c r="AL126" s="25">
        <f t="shared" si="62"/>
        <v>0.18790162904379676</v>
      </c>
      <c r="AM126" s="25">
        <f t="shared" si="63"/>
        <v>0.12072743207712534</v>
      </c>
      <c r="AN126" s="387">
        <f t="shared" si="64"/>
        <v>1.8704583982443415E-2</v>
      </c>
      <c r="AO126" s="388">
        <f t="shared" si="65"/>
        <v>2.2925763719223113E-2</v>
      </c>
      <c r="AP126" s="30"/>
      <c r="AQ126" s="57"/>
      <c r="AR126" s="58"/>
      <c r="AS126" s="29" t="e">
        <f>(#REF!/AQ126)-1</f>
        <v>#REF!</v>
      </c>
      <c r="AT126" s="29" t="e">
        <f>(#REF!/AR126)-1</f>
        <v>#REF!</v>
      </c>
    </row>
    <row r="127" spans="1:46" ht="17.25" customHeight="1">
      <c r="A127" s="202" t="s">
        <v>180</v>
      </c>
      <c r="B127" s="325">
        <v>3734808.11</v>
      </c>
      <c r="C127" s="325">
        <v>102.99</v>
      </c>
      <c r="D127" s="325">
        <v>3734808.11</v>
      </c>
      <c r="E127" s="325">
        <v>102.99</v>
      </c>
      <c r="F127" s="23">
        <f>((D127-B127)/B127)</f>
        <v>0</v>
      </c>
      <c r="G127" s="23">
        <f>((E127-C127)/C127)</f>
        <v>0</v>
      </c>
      <c r="H127" s="325">
        <v>3734808.11</v>
      </c>
      <c r="I127" s="325">
        <v>102.99</v>
      </c>
      <c r="J127" s="23">
        <f t="shared" si="108"/>
        <v>0</v>
      </c>
      <c r="K127" s="23">
        <f t="shared" si="109"/>
        <v>0</v>
      </c>
      <c r="L127" s="325">
        <v>3734808.11</v>
      </c>
      <c r="M127" s="325">
        <v>102.99</v>
      </c>
      <c r="N127" s="23">
        <f t="shared" si="110"/>
        <v>0</v>
      </c>
      <c r="O127" s="23">
        <f t="shared" si="111"/>
        <v>0</v>
      </c>
      <c r="P127" s="325">
        <v>3734808.11</v>
      </c>
      <c r="Q127" s="325">
        <v>102.99</v>
      </c>
      <c r="R127" s="23">
        <f t="shared" si="112"/>
        <v>0</v>
      </c>
      <c r="S127" s="23">
        <f t="shared" si="113"/>
        <v>0</v>
      </c>
      <c r="T127" s="325">
        <v>3734808.11</v>
      </c>
      <c r="U127" s="325">
        <v>102.99</v>
      </c>
      <c r="V127" s="23">
        <f t="shared" si="114"/>
        <v>0</v>
      </c>
      <c r="W127" s="23">
        <f t="shared" si="115"/>
        <v>0</v>
      </c>
      <c r="X127" s="325">
        <v>3734808.11</v>
      </c>
      <c r="Y127" s="325">
        <v>102.99</v>
      </c>
      <c r="Z127" s="23">
        <f t="shared" si="116"/>
        <v>0</v>
      </c>
      <c r="AA127" s="23">
        <f t="shared" si="117"/>
        <v>0</v>
      </c>
      <c r="AB127" s="325">
        <v>3734808.11</v>
      </c>
      <c r="AC127" s="325">
        <v>102.99</v>
      </c>
      <c r="AD127" s="23">
        <f t="shared" si="118"/>
        <v>0</v>
      </c>
      <c r="AE127" s="23">
        <f t="shared" si="119"/>
        <v>0</v>
      </c>
      <c r="AF127" s="325">
        <v>3734808.11</v>
      </c>
      <c r="AG127" s="325">
        <v>102.99</v>
      </c>
      <c r="AH127" s="23">
        <f t="shared" si="120"/>
        <v>0</v>
      </c>
      <c r="AI127" s="23">
        <f t="shared" si="121"/>
        <v>0</v>
      </c>
      <c r="AJ127" s="24">
        <f t="shared" si="60"/>
        <v>0</v>
      </c>
      <c r="AK127" s="24">
        <f t="shared" si="61"/>
        <v>0</v>
      </c>
      <c r="AL127" s="25">
        <f t="shared" si="62"/>
        <v>0</v>
      </c>
      <c r="AM127" s="25">
        <f t="shared" si="63"/>
        <v>0</v>
      </c>
      <c r="AN127" s="387">
        <f t="shared" si="64"/>
        <v>0</v>
      </c>
      <c r="AO127" s="388">
        <f t="shared" si="65"/>
        <v>0</v>
      </c>
      <c r="AP127" s="30"/>
      <c r="AQ127" s="460" t="s">
        <v>84</v>
      </c>
      <c r="AR127" s="460"/>
      <c r="AS127" s="29" t="e">
        <f>(#REF!/AQ127)-1</f>
        <v>#REF!</v>
      </c>
      <c r="AT127" s="29" t="e">
        <f>(#REF!/AR127)-1</f>
        <v>#REF!</v>
      </c>
    </row>
    <row r="128" spans="1:46" ht="16.5" customHeight="1">
      <c r="A128" s="202" t="s">
        <v>109</v>
      </c>
      <c r="B128" s="325">
        <v>129271344.36</v>
      </c>
      <c r="C128" s="325">
        <v>1.2055</v>
      </c>
      <c r="D128" s="325">
        <v>131862240.18000001</v>
      </c>
      <c r="E128" s="325">
        <v>1.2297</v>
      </c>
      <c r="F128" s="23">
        <f>((D128-B128)/B128)</f>
        <v>2.0042305839914357E-2</v>
      </c>
      <c r="G128" s="23">
        <f>((E128-C128)/C128)</f>
        <v>2.007465781833264E-2</v>
      </c>
      <c r="H128" s="325">
        <v>136169184.94</v>
      </c>
      <c r="I128" s="325">
        <v>1.2698</v>
      </c>
      <c r="J128" s="23">
        <f t="shared" si="108"/>
        <v>3.2662457077331224E-2</v>
      </c>
      <c r="K128" s="23">
        <f t="shared" si="109"/>
        <v>3.2609579572253418E-2</v>
      </c>
      <c r="L128" s="325">
        <v>136434892.22999999</v>
      </c>
      <c r="M128" s="325">
        <v>1.2724</v>
      </c>
      <c r="N128" s="23">
        <f t="shared" si="110"/>
        <v>1.9513026395587946E-3</v>
      </c>
      <c r="O128" s="23">
        <f t="shared" si="111"/>
        <v>2.0475665459126916E-3</v>
      </c>
      <c r="P128" s="325">
        <v>142270957.31999999</v>
      </c>
      <c r="Q128" s="325">
        <v>1.3270999999999999</v>
      </c>
      <c r="R128" s="23">
        <f t="shared" si="112"/>
        <v>4.2775458642659012E-2</v>
      </c>
      <c r="S128" s="23">
        <f t="shared" si="113"/>
        <v>4.2989625903803813E-2</v>
      </c>
      <c r="T128" s="325">
        <v>143228293.69</v>
      </c>
      <c r="U128" s="325">
        <v>1.3361000000000001</v>
      </c>
      <c r="V128" s="23">
        <f t="shared" si="114"/>
        <v>6.7289655459809401E-3</v>
      </c>
      <c r="W128" s="23">
        <f t="shared" si="115"/>
        <v>6.7817044683898117E-3</v>
      </c>
      <c r="X128" s="325">
        <v>143228293.69</v>
      </c>
      <c r="Y128" s="325">
        <v>1.3361000000000001</v>
      </c>
      <c r="Z128" s="23">
        <f t="shared" si="116"/>
        <v>0</v>
      </c>
      <c r="AA128" s="23">
        <f t="shared" si="117"/>
        <v>0</v>
      </c>
      <c r="AB128" s="325">
        <v>159468620.40000001</v>
      </c>
      <c r="AC128" s="325">
        <v>1.4308000000000001</v>
      </c>
      <c r="AD128" s="23">
        <f t="shared" si="118"/>
        <v>0.11338769939653261</v>
      </c>
      <c r="AE128" s="23">
        <f t="shared" si="119"/>
        <v>7.0877928298780035E-2</v>
      </c>
      <c r="AF128" s="325">
        <v>155920388.96000001</v>
      </c>
      <c r="AG128" s="325">
        <v>1.3987000000000001</v>
      </c>
      <c r="AH128" s="23">
        <f t="shared" si="120"/>
        <v>-2.2250342613486341E-2</v>
      </c>
      <c r="AI128" s="23">
        <f t="shared" si="121"/>
        <v>-2.2435001397819412E-2</v>
      </c>
      <c r="AJ128" s="24">
        <f t="shared" si="60"/>
        <v>2.4412230816061323E-2</v>
      </c>
      <c r="AK128" s="24">
        <f t="shared" si="61"/>
        <v>1.9118257651206623E-2</v>
      </c>
      <c r="AL128" s="25">
        <f t="shared" si="62"/>
        <v>0.18244911315899956</v>
      </c>
      <c r="AM128" s="25">
        <f t="shared" si="63"/>
        <v>0.13743189395787594</v>
      </c>
      <c r="AN128" s="387">
        <f t="shared" si="64"/>
        <v>4.1285674721786077E-2</v>
      </c>
      <c r="AO128" s="388">
        <f t="shared" si="65"/>
        <v>2.9197887273645546E-2</v>
      </c>
      <c r="AP128" s="30"/>
      <c r="AQ128" s="59" t="s">
        <v>72</v>
      </c>
      <c r="AR128" s="60" t="s">
        <v>73</v>
      </c>
      <c r="AS128" s="29" t="e">
        <f>(#REF!/AQ128)-1</f>
        <v>#REF!</v>
      </c>
      <c r="AT128" s="29" t="e">
        <f>(#REF!/AR128)-1</f>
        <v>#REF!</v>
      </c>
    </row>
    <row r="129" spans="1:46" ht="14.25" customHeight="1">
      <c r="A129" s="202" t="s">
        <v>234</v>
      </c>
      <c r="B129" s="321">
        <v>168041733.13999999</v>
      </c>
      <c r="C129" s="325">
        <v>108.8</v>
      </c>
      <c r="D129" s="321">
        <v>169748497.41999999</v>
      </c>
      <c r="E129" s="325">
        <v>108.51</v>
      </c>
      <c r="F129" s="23">
        <f>((D129-B129)/B129)</f>
        <v>1.0156788127018727E-2</v>
      </c>
      <c r="G129" s="23">
        <f>((E129-C129)/C129)</f>
        <v>-2.665441176470515E-3</v>
      </c>
      <c r="H129" s="321">
        <v>171050273.27000001</v>
      </c>
      <c r="I129" s="325">
        <v>109.39</v>
      </c>
      <c r="J129" s="23">
        <f t="shared" si="108"/>
        <v>7.6688505040436779E-3</v>
      </c>
      <c r="K129" s="23">
        <f t="shared" si="109"/>
        <v>8.1098516265781535E-3</v>
      </c>
      <c r="L129" s="321">
        <v>171702088.84999999</v>
      </c>
      <c r="M129" s="325">
        <v>109.64</v>
      </c>
      <c r="N129" s="23">
        <f t="shared" si="110"/>
        <v>3.8106666978023666E-3</v>
      </c>
      <c r="O129" s="23">
        <f t="shared" si="111"/>
        <v>2.2854008593107232E-3</v>
      </c>
      <c r="P129" s="321">
        <v>173351861.15000001</v>
      </c>
      <c r="Q129" s="325">
        <v>110.74</v>
      </c>
      <c r="R129" s="23">
        <f t="shared" si="112"/>
        <v>9.6083414654393826E-3</v>
      </c>
      <c r="S129" s="23">
        <f t="shared" si="113"/>
        <v>1.0032834731849637E-2</v>
      </c>
      <c r="T129" s="321">
        <v>174004703.66999999</v>
      </c>
      <c r="U129" s="325">
        <v>111.04</v>
      </c>
      <c r="V129" s="23">
        <f t="shared" si="114"/>
        <v>3.7659966017617856E-3</v>
      </c>
      <c r="W129" s="23">
        <f t="shared" si="115"/>
        <v>2.7090482210584375E-3</v>
      </c>
      <c r="X129" s="321">
        <v>174893840.34</v>
      </c>
      <c r="Y129" s="325">
        <v>111.67</v>
      </c>
      <c r="Z129" s="23">
        <f t="shared" si="116"/>
        <v>5.1098427298049646E-3</v>
      </c>
      <c r="AA129" s="23">
        <f t="shared" si="117"/>
        <v>5.6736311239192674E-3</v>
      </c>
      <c r="AB129" s="321">
        <v>176140774.58000001</v>
      </c>
      <c r="AC129" s="325">
        <v>111.67</v>
      </c>
      <c r="AD129" s="23">
        <f t="shared" si="118"/>
        <v>7.1296635580528388E-3</v>
      </c>
      <c r="AE129" s="23">
        <f t="shared" si="119"/>
        <v>0</v>
      </c>
      <c r="AF129" s="321">
        <v>175803269.84999999</v>
      </c>
      <c r="AG129" s="325">
        <v>112.38</v>
      </c>
      <c r="AH129" s="23">
        <f t="shared" si="120"/>
        <v>-1.9161079017892613E-3</v>
      </c>
      <c r="AI129" s="23">
        <f t="shared" si="121"/>
        <v>6.3580191636070007E-3</v>
      </c>
      <c r="AJ129" s="24">
        <f t="shared" si="60"/>
        <v>5.6667552227668101E-3</v>
      </c>
      <c r="AK129" s="24">
        <f t="shared" si="61"/>
        <v>4.0629180687315886E-3</v>
      </c>
      <c r="AL129" s="25">
        <f t="shared" si="62"/>
        <v>3.5669078207031163E-2</v>
      </c>
      <c r="AM129" s="25">
        <f t="shared" si="63"/>
        <v>3.5664915675974476E-2</v>
      </c>
      <c r="AN129" s="387">
        <f t="shared" si="64"/>
        <v>3.9044461202372488E-3</v>
      </c>
      <c r="AO129" s="388">
        <f t="shared" si="65"/>
        <v>4.253571845738215E-3</v>
      </c>
      <c r="AP129" s="30"/>
      <c r="AQ129" s="53">
        <v>1901056000</v>
      </c>
      <c r="AR129" s="47">
        <v>12.64</v>
      </c>
      <c r="AS129" s="29" t="e">
        <f>(#REF!/AQ129)-1</f>
        <v>#REF!</v>
      </c>
      <c r="AT129" s="29" t="e">
        <f>(#REF!/AR129)-1</f>
        <v>#REF!</v>
      </c>
    </row>
    <row r="130" spans="1:46">
      <c r="A130" s="202" t="s">
        <v>264</v>
      </c>
      <c r="B130" s="326">
        <v>246046830.84</v>
      </c>
      <c r="C130" s="325">
        <v>1.1779000000000002</v>
      </c>
      <c r="D130" s="326">
        <v>253312714.22999999</v>
      </c>
      <c r="E130" s="325">
        <v>1.1336999999999999</v>
      </c>
      <c r="F130" s="23">
        <f>((D130-B130)/B130)</f>
        <v>2.9530489643757551E-2</v>
      </c>
      <c r="G130" s="23">
        <f>((E130-C130)/C130)</f>
        <v>-3.7524407844469171E-2</v>
      </c>
      <c r="H130" s="326">
        <v>281646845.86000001</v>
      </c>
      <c r="I130" s="325">
        <v>1.1623000000000001</v>
      </c>
      <c r="J130" s="23">
        <f t="shared" si="108"/>
        <v>0.11185436039453402</v>
      </c>
      <c r="K130" s="23">
        <f t="shared" si="109"/>
        <v>2.5227132398341873E-2</v>
      </c>
      <c r="L130" s="326">
        <v>290493064.36000001</v>
      </c>
      <c r="M130" s="325">
        <v>1.1649</v>
      </c>
      <c r="N130" s="23">
        <f t="shared" si="110"/>
        <v>3.140890313537275E-2</v>
      </c>
      <c r="O130" s="23">
        <f t="shared" si="111"/>
        <v>2.2369439903638781E-3</v>
      </c>
      <c r="P130" s="326">
        <v>299758685.69</v>
      </c>
      <c r="Q130" s="325">
        <v>1.2028000000000001</v>
      </c>
      <c r="R130" s="23">
        <f t="shared" si="112"/>
        <v>3.1896187781328078E-2</v>
      </c>
      <c r="S130" s="23">
        <f t="shared" si="113"/>
        <v>3.2534981543480161E-2</v>
      </c>
      <c r="T130" s="326">
        <v>357832515.00999999</v>
      </c>
      <c r="U130" s="325">
        <v>1.2020999999999999</v>
      </c>
      <c r="V130" s="23">
        <f t="shared" si="114"/>
        <v>0.19373526804176719</v>
      </c>
      <c r="W130" s="23">
        <f t="shared" si="115"/>
        <v>-5.8197539075502565E-4</v>
      </c>
      <c r="X130" s="326">
        <v>366328056.30000001</v>
      </c>
      <c r="Y130" s="325">
        <v>1.22</v>
      </c>
      <c r="Z130" s="23">
        <f t="shared" si="116"/>
        <v>2.3741669450476309E-2</v>
      </c>
      <c r="AA130" s="23">
        <f t="shared" si="117"/>
        <v>1.4890608102487338E-2</v>
      </c>
      <c r="AB130" s="326">
        <v>385946263.39999998</v>
      </c>
      <c r="AC130" s="325">
        <v>1.2461</v>
      </c>
      <c r="AD130" s="23">
        <f t="shared" si="118"/>
        <v>5.3553657063967461E-2</v>
      </c>
      <c r="AE130" s="23">
        <f t="shared" si="119"/>
        <v>2.1393442622950828E-2</v>
      </c>
      <c r="AF130" s="326">
        <v>386228069.60000002</v>
      </c>
      <c r="AG130" s="325">
        <v>1.2254</v>
      </c>
      <c r="AH130" s="23">
        <f t="shared" si="120"/>
        <v>7.3016952546054294E-4</v>
      </c>
      <c r="AI130" s="23">
        <f t="shared" si="121"/>
        <v>-1.6611828906187256E-2</v>
      </c>
      <c r="AJ130" s="24">
        <f t="shared" si="60"/>
        <v>5.9556338129582991E-2</v>
      </c>
      <c r="AK130" s="24">
        <f t="shared" si="61"/>
        <v>5.195612064526579E-3</v>
      </c>
      <c r="AL130" s="25">
        <f t="shared" si="62"/>
        <v>0.52470858312037616</v>
      </c>
      <c r="AM130" s="25">
        <f t="shared" si="63"/>
        <v>8.0885595836641191E-2</v>
      </c>
      <c r="AN130" s="387">
        <f t="shared" si="64"/>
        <v>6.3219823678686615E-2</v>
      </c>
      <c r="AO130" s="388">
        <f t="shared" si="65"/>
        <v>2.3445268818063882E-2</v>
      </c>
      <c r="AP130" s="30"/>
      <c r="AQ130" s="53">
        <v>106884243.56</v>
      </c>
      <c r="AR130" s="47">
        <v>2.92</v>
      </c>
      <c r="AS130" s="29" t="e">
        <f>(#REF!/AQ130)-1</f>
        <v>#REF!</v>
      </c>
      <c r="AT130" s="29" t="e">
        <f>(#REF!/AR130)-1</f>
        <v>#REF!</v>
      </c>
    </row>
    <row r="131" spans="1:46">
      <c r="A131" s="203" t="s">
        <v>126</v>
      </c>
      <c r="B131" s="325">
        <v>5224725272.5</v>
      </c>
      <c r="C131" s="325">
        <v>215.92</v>
      </c>
      <c r="D131" s="325">
        <v>5308343464.6800003</v>
      </c>
      <c r="E131" s="325">
        <v>219.39</v>
      </c>
      <c r="F131" s="23">
        <f>((D131-B131)/B131)</f>
        <v>1.6004323255065525E-2</v>
      </c>
      <c r="G131" s="23">
        <f>((E131-C131)/C131)</f>
        <v>1.6070766950722487E-2</v>
      </c>
      <c r="H131" s="325">
        <v>5419986571.1000004</v>
      </c>
      <c r="I131" s="325">
        <v>224.1</v>
      </c>
      <c r="J131" s="23">
        <f t="shared" si="108"/>
        <v>2.1031628258954452E-2</v>
      </c>
      <c r="K131" s="23">
        <f t="shared" si="109"/>
        <v>2.1468617530425307E-2</v>
      </c>
      <c r="L131" s="325">
        <v>5474830147.6899996</v>
      </c>
      <c r="M131" s="325">
        <v>226.32</v>
      </c>
      <c r="N131" s="23">
        <f t="shared" si="110"/>
        <v>1.0118766139095535E-2</v>
      </c>
      <c r="O131" s="23">
        <f t="shared" si="111"/>
        <v>9.9062918340026718E-3</v>
      </c>
      <c r="P131" s="325">
        <v>5728613100.7399998</v>
      </c>
      <c r="Q131" s="325">
        <v>236.85</v>
      </c>
      <c r="R131" s="23">
        <f t="shared" si="112"/>
        <v>4.6354488852422042E-2</v>
      </c>
      <c r="S131" s="23">
        <f t="shared" si="113"/>
        <v>4.6527041357370104E-2</v>
      </c>
      <c r="T131" s="325">
        <v>5742781290.2600002</v>
      </c>
      <c r="U131" s="325">
        <v>237.45</v>
      </c>
      <c r="V131" s="23">
        <f t="shared" si="114"/>
        <v>2.4732320495112975E-3</v>
      </c>
      <c r="W131" s="23">
        <f t="shared" si="115"/>
        <v>2.5332488917035861E-3</v>
      </c>
      <c r="X131" s="325">
        <v>5846289120.8199997</v>
      </c>
      <c r="Y131" s="325">
        <v>241.67</v>
      </c>
      <c r="Z131" s="23">
        <f t="shared" si="116"/>
        <v>1.80239896538552E-2</v>
      </c>
      <c r="AA131" s="23">
        <f t="shared" si="117"/>
        <v>1.7772162560539057E-2</v>
      </c>
      <c r="AB131" s="325">
        <v>6082610356.5200005</v>
      </c>
      <c r="AC131" s="325">
        <v>251.81</v>
      </c>
      <c r="AD131" s="23">
        <f t="shared" si="118"/>
        <v>4.0422433926232917E-2</v>
      </c>
      <c r="AE131" s="23">
        <f t="shared" si="119"/>
        <v>4.1958041958042022E-2</v>
      </c>
      <c r="AF131" s="325">
        <v>5930545895.3599997</v>
      </c>
      <c r="AG131" s="325">
        <v>245.37</v>
      </c>
      <c r="AH131" s="23">
        <f t="shared" si="120"/>
        <v>-2.4999868846933726E-2</v>
      </c>
      <c r="AI131" s="23">
        <f t="shared" si="121"/>
        <v>-2.5574838171637335E-2</v>
      </c>
      <c r="AJ131" s="24">
        <f t="shared" si="60"/>
        <v>1.6178624161025404E-2</v>
      </c>
      <c r="AK131" s="24">
        <f t="shared" si="61"/>
        <v>1.6332666613895989E-2</v>
      </c>
      <c r="AL131" s="25">
        <f t="shared" si="62"/>
        <v>0.11721216511703378</v>
      </c>
      <c r="AM131" s="25">
        <f t="shared" si="63"/>
        <v>0.11841925338438407</v>
      </c>
      <c r="AN131" s="387">
        <f t="shared" si="64"/>
        <v>2.2186097525156705E-2</v>
      </c>
      <c r="AO131" s="388">
        <f t="shared" si="65"/>
        <v>2.2630068616591226E-2</v>
      </c>
      <c r="AP131" s="30"/>
      <c r="AQ131" s="53">
        <v>84059843.040000007</v>
      </c>
      <c r="AR131" s="47">
        <v>7.19</v>
      </c>
      <c r="AS131" s="29" t="e">
        <f>(#REF!/AQ131)-1</f>
        <v>#REF!</v>
      </c>
      <c r="AT131" s="29" t="e">
        <f>(#REF!/AR131)-1</f>
        <v>#REF!</v>
      </c>
    </row>
    <row r="132" spans="1:46" s="368" customFormat="1">
      <c r="A132" s="202" t="s">
        <v>265</v>
      </c>
      <c r="B132" s="325">
        <v>2010814602.6300001</v>
      </c>
      <c r="C132" s="325">
        <v>1.4098999999999999</v>
      </c>
      <c r="D132" s="325">
        <v>2053624244.6700001</v>
      </c>
      <c r="E132" s="325">
        <v>1.4401999999999999</v>
      </c>
      <c r="F132" s="23">
        <f>((D132-B132)/B132)</f>
        <v>2.1289701190755253E-2</v>
      </c>
      <c r="G132" s="23">
        <f>((E132-C132)/C132)</f>
        <v>2.149088587843109E-2</v>
      </c>
      <c r="H132" s="325">
        <v>2132448431.23</v>
      </c>
      <c r="I132" s="325">
        <v>1.496</v>
      </c>
      <c r="J132" s="23">
        <f>((H132-D132)/D132)</f>
        <v>3.8382964539195104E-2</v>
      </c>
      <c r="K132" s="23">
        <f>((I132-E132)/E132)</f>
        <v>3.8744618802944088E-2</v>
      </c>
      <c r="L132" s="325">
        <v>2031609807.0799999</v>
      </c>
      <c r="M132" s="325">
        <v>1.4977</v>
      </c>
      <c r="N132" s="23">
        <f>((L132-H132)/H132)</f>
        <v>-4.7287719915382054E-2</v>
      </c>
      <c r="O132" s="23">
        <f>((M132-I132)/I132)</f>
        <v>1.1363636363636597E-3</v>
      </c>
      <c r="P132" s="325">
        <v>2212901834.29</v>
      </c>
      <c r="Q132" s="325">
        <v>1.5541</v>
      </c>
      <c r="R132" s="23">
        <f>((P132-L132)/L132)</f>
        <v>8.9235652721409209E-2</v>
      </c>
      <c r="S132" s="23">
        <f>((Q132-M132)/M132)</f>
        <v>3.765774187086867E-2</v>
      </c>
      <c r="T132" s="325">
        <v>2223045608.6399999</v>
      </c>
      <c r="U132" s="325">
        <v>1.5613999999999999</v>
      </c>
      <c r="V132" s="23">
        <f>((T132-P132)/P132)</f>
        <v>4.5839242359589309E-3</v>
      </c>
      <c r="W132" s="23">
        <f>((U132-Q132)/Q132)</f>
        <v>4.6972524290585307E-3</v>
      </c>
      <c r="X132" s="325">
        <v>2276133824.9699998</v>
      </c>
      <c r="Y132" s="325">
        <v>1.599</v>
      </c>
      <c r="Z132" s="23">
        <f>((X132-T132)/T132)</f>
        <v>2.3880848923508089E-2</v>
      </c>
      <c r="AA132" s="23">
        <f>((Y132-U132)/U132)</f>
        <v>2.4080952990905648E-2</v>
      </c>
      <c r="AB132" s="325">
        <v>2318917518.6300001</v>
      </c>
      <c r="AC132" s="325">
        <v>1.6293</v>
      </c>
      <c r="AD132" s="23">
        <f>((AB132-X132)/X132)</f>
        <v>1.8796651229663189E-2</v>
      </c>
      <c r="AE132" s="23">
        <f>((AC132-Y132)/Y132)</f>
        <v>1.8949343339587237E-2</v>
      </c>
      <c r="AF132" s="325">
        <v>2229780457.5700002</v>
      </c>
      <c r="AG132" s="325">
        <v>1.5694999999999999</v>
      </c>
      <c r="AH132" s="23">
        <f>((AF132-AB132)/AB132)</f>
        <v>-3.8439082176869095E-2</v>
      </c>
      <c r="AI132" s="23">
        <f>((AG132-AC132)/AC132)</f>
        <v>-3.6702878536794992E-2</v>
      </c>
      <c r="AJ132" s="24">
        <f t="shared" si="60"/>
        <v>1.3805367593529828E-2</v>
      </c>
      <c r="AK132" s="24">
        <f t="shared" si="61"/>
        <v>1.375678505142049E-2</v>
      </c>
      <c r="AL132" s="25">
        <f t="shared" si="62"/>
        <v>8.5778210574401798E-2</v>
      </c>
      <c r="AM132" s="25">
        <f t="shared" si="63"/>
        <v>8.9779197333703639E-2</v>
      </c>
      <c r="AN132" s="387">
        <f t="shared" si="64"/>
        <v>4.3132872056072399E-2</v>
      </c>
      <c r="AO132" s="388">
        <f t="shared" si="65"/>
        <v>2.4426399099467075E-2</v>
      </c>
      <c r="AP132" s="30"/>
      <c r="AQ132" s="53"/>
      <c r="AR132" s="47"/>
      <c r="AS132" s="29"/>
      <c r="AT132" s="29"/>
    </row>
    <row r="133" spans="1:46" s="368" customFormat="1">
      <c r="A133" s="202" t="s">
        <v>256</v>
      </c>
      <c r="B133" s="325">
        <v>144623718.08643621</v>
      </c>
      <c r="C133" s="325">
        <v>94.47</v>
      </c>
      <c r="D133" s="325">
        <v>147209821.27539378</v>
      </c>
      <c r="E133" s="325">
        <v>96.163372862178392</v>
      </c>
      <c r="F133" s="23">
        <f>((D133-B133)/B133)</f>
        <v>1.7881598006019694E-2</v>
      </c>
      <c r="G133" s="23">
        <f>((E133-C133)/C133)</f>
        <v>1.7924980016707875E-2</v>
      </c>
      <c r="H133" s="325">
        <v>142720743.82588279</v>
      </c>
      <c r="I133" s="325">
        <v>97.603224205715847</v>
      </c>
      <c r="J133" s="23">
        <f>((H133-D133)/D133)</f>
        <v>-3.0494415458279914E-2</v>
      </c>
      <c r="K133" s="23">
        <f>((I133-E133)/E133)</f>
        <v>1.4972970484313754E-2</v>
      </c>
      <c r="L133" s="325">
        <v>142386973.00004962</v>
      </c>
      <c r="M133" s="325">
        <v>97.42</v>
      </c>
      <c r="N133" s="23">
        <f>((L133-H133)/H133)</f>
        <v>-2.3386286876445031E-3</v>
      </c>
      <c r="O133" s="23">
        <f>((M133-I133)/I133)</f>
        <v>-1.877235175445314E-3</v>
      </c>
      <c r="P133" s="325">
        <v>147775495.79803234</v>
      </c>
      <c r="Q133" s="325">
        <v>100.98</v>
      </c>
      <c r="R133" s="23">
        <f>((P133-L133)/L133)</f>
        <v>3.784421204024644E-2</v>
      </c>
      <c r="S133" s="23">
        <f>((Q133-M133)/M133)</f>
        <v>3.6542804352289078E-2</v>
      </c>
      <c r="T133" s="325">
        <v>150219813.0785183</v>
      </c>
      <c r="U133" s="325">
        <v>102.6188722056816</v>
      </c>
      <c r="V133" s="23">
        <f>((T133-P133)/P133)</f>
        <v>1.6540748297178134E-2</v>
      </c>
      <c r="W133" s="23">
        <f>((U133-Q133)/Q133)</f>
        <v>1.6229671278288706E-2</v>
      </c>
      <c r="X133" s="325">
        <v>151153237.87724182</v>
      </c>
      <c r="Y133" s="325">
        <v>103.26813547352647</v>
      </c>
      <c r="Z133" s="23">
        <f>((X133-T133)/T133)</f>
        <v>6.2137262694876849E-3</v>
      </c>
      <c r="AA133" s="23">
        <f>((Y133-U133)/U133)</f>
        <v>6.3269382511195226E-3</v>
      </c>
      <c r="AB133" s="325">
        <v>195345782.74260604</v>
      </c>
      <c r="AC133" s="325">
        <v>132.24</v>
      </c>
      <c r="AD133" s="23">
        <f>((AB133-X133)/X133)</f>
        <v>0.29236915785591661</v>
      </c>
      <c r="AE133" s="23">
        <f>((AC133-Y133)/Y133)</f>
        <v>0.28054989463715729</v>
      </c>
      <c r="AF133" s="325">
        <v>148091442.25760648</v>
      </c>
      <c r="AG133" s="325">
        <v>101.35</v>
      </c>
      <c r="AH133" s="23">
        <f>((AF133-AB133)/AB133)</f>
        <v>-0.24190100150389948</v>
      </c>
      <c r="AI133" s="23">
        <f>((AG133-AC133)/AC133)</f>
        <v>-0.23359044162129472</v>
      </c>
      <c r="AJ133" s="24">
        <f t="shared" si="60"/>
        <v>1.2014424602378081E-2</v>
      </c>
      <c r="AK133" s="24">
        <f t="shared" si="61"/>
        <v>1.7134947777892026E-2</v>
      </c>
      <c r="AL133" s="25">
        <f t="shared" si="62"/>
        <v>5.9888733956370618E-3</v>
      </c>
      <c r="AM133" s="25">
        <f t="shared" si="63"/>
        <v>5.393557841669188E-2</v>
      </c>
      <c r="AN133" s="387">
        <f t="shared" si="64"/>
        <v>0.14434114800144099</v>
      </c>
      <c r="AO133" s="388">
        <f t="shared" si="65"/>
        <v>0.13789836526946458</v>
      </c>
      <c r="AP133" s="30"/>
      <c r="AQ133" s="53"/>
      <c r="AR133" s="47"/>
      <c r="AS133" s="29"/>
      <c r="AT133" s="29"/>
    </row>
    <row r="134" spans="1:46" s="368" customFormat="1">
      <c r="A134" s="202" t="s">
        <v>276</v>
      </c>
      <c r="B134" s="326">
        <v>2290635751.6900001</v>
      </c>
      <c r="C134" s="325">
        <v>3.29</v>
      </c>
      <c r="D134" s="326">
        <v>2342468422.2600002</v>
      </c>
      <c r="E134" s="325">
        <v>3.36</v>
      </c>
      <c r="F134" s="23">
        <f>((D134-B134)/B134)</f>
        <v>2.262807193669213E-2</v>
      </c>
      <c r="G134" s="23">
        <f>((E134-C134)/C134)</f>
        <v>2.1276595744680802E-2</v>
      </c>
      <c r="H134" s="326">
        <v>2432351801.9099998</v>
      </c>
      <c r="I134" s="325">
        <v>3.49</v>
      </c>
      <c r="J134" s="23">
        <f t="shared" ref="J134" si="122">((H134-D134)/D134)</f>
        <v>3.8371223618579517E-2</v>
      </c>
      <c r="K134" s="23">
        <f t="shared" ref="K134" si="123">((I134-E134)/E134)</f>
        <v>3.8690476190476289E-2</v>
      </c>
      <c r="L134" s="326">
        <v>2424447525.5799999</v>
      </c>
      <c r="M134" s="325">
        <v>3.5</v>
      </c>
      <c r="N134" s="23">
        <f t="shared" ref="N134" si="124">((L134-H134)/H134)</f>
        <v>-3.2496435440766032E-3</v>
      </c>
      <c r="O134" s="23">
        <f t="shared" ref="O134" si="125">((M134-I134)/I134)</f>
        <v>2.8653295128939216E-3</v>
      </c>
      <c r="P134" s="326">
        <v>2539942714.96</v>
      </c>
      <c r="Q134" s="325">
        <v>3.66</v>
      </c>
      <c r="R134" s="23">
        <f t="shared" ref="R134" si="126">((P134-L134)/L134)</f>
        <v>4.7637735261921263E-2</v>
      </c>
      <c r="S134" s="23">
        <f t="shared" ref="S134" si="127">((Q134-M134)/M134)</f>
        <v>4.5714285714285756E-2</v>
      </c>
      <c r="T134" s="326">
        <v>2532068548.21</v>
      </c>
      <c r="U134" s="325">
        <v>3.65</v>
      </c>
      <c r="V134" s="23">
        <f t="shared" ref="V134:V144" si="128">((T134-P134)/P134)</f>
        <v>-3.1001355674763731E-3</v>
      </c>
      <c r="W134" s="23">
        <f t="shared" ref="W134:W144" si="129">((U134-Q134)/Q134)</f>
        <v>-2.7322404371585328E-3</v>
      </c>
      <c r="X134" s="326">
        <v>2511585152.25</v>
      </c>
      <c r="Y134" s="325">
        <v>3.62</v>
      </c>
      <c r="Z134" s="23">
        <f t="shared" ref="Z134:Z144" si="130">((X134-T134)/T134)</f>
        <v>-8.0895898234984217E-3</v>
      </c>
      <c r="AA134" s="23">
        <f t="shared" ref="AA134:AA144" si="131">((Y134-U134)/U134)</f>
        <v>-8.219178082191728E-3</v>
      </c>
      <c r="AB134" s="326">
        <v>2589758591.8699999</v>
      </c>
      <c r="AC134" s="325">
        <v>3.73</v>
      </c>
      <c r="AD134" s="23">
        <f t="shared" ref="AD134:AD144" si="132">((AB134-X134)/X134)</f>
        <v>3.112514005347114E-2</v>
      </c>
      <c r="AE134" s="23">
        <f t="shared" ref="AE134:AE144" si="133">((AC134-Y134)/Y134)</f>
        <v>3.0386740331491677E-2</v>
      </c>
      <c r="AF134" s="326">
        <v>2573525991.5100002</v>
      </c>
      <c r="AG134" s="325">
        <v>3.7</v>
      </c>
      <c r="AH134" s="23">
        <f t="shared" ref="AH134:AH144" si="134">((AF134-AB134)/AB134)</f>
        <v>-6.2679974924915692E-3</v>
      </c>
      <c r="AI134" s="23">
        <f t="shared" ref="AI134:AI144" si="135">((AG134-AC134)/AC134)</f>
        <v>-8.0428954423591974E-3</v>
      </c>
      <c r="AJ134" s="24">
        <f t="shared" ref="AJ134:AJ171" si="136">AVERAGE(F134,J134,N134,R134,V134,Z134,AD134,AH134)</f>
        <v>1.4881850555390135E-2</v>
      </c>
      <c r="AK134" s="24">
        <f t="shared" ref="AK134:AK171" si="137">AVERAGE(G134,K134,O134,S134,W134,AA134,AE134,AI134)</f>
        <v>1.4992389191514872E-2</v>
      </c>
      <c r="AL134" s="25">
        <f t="shared" ref="AL134:AL171" si="138">((AF134-D134)/D134)</f>
        <v>9.8638499052668971E-2</v>
      </c>
      <c r="AM134" s="25">
        <f t="shared" ref="AM134:AM171" si="139">((AG134-E134)/E134)</f>
        <v>0.10119047619047629</v>
      </c>
      <c r="AN134" s="387">
        <f t="shared" ref="AN134:AN171" si="140">STDEV(F134,J134,N134,R134,V134,Z134,AD134,AH134)</f>
        <v>2.2601052687073585E-2</v>
      </c>
      <c r="AO134" s="388">
        <f t="shared" ref="AO134:AO171" si="141">STDEV(G134,K134,O134,S134,W134,AA134,AE134,AI134)</f>
        <v>2.17536230735343E-2</v>
      </c>
      <c r="AP134" s="30"/>
      <c r="AQ134" s="53"/>
      <c r="AR134" s="47"/>
      <c r="AS134" s="29"/>
      <c r="AT134" s="29"/>
    </row>
    <row r="135" spans="1:46">
      <c r="A135" s="202" t="s">
        <v>129</v>
      </c>
      <c r="B135" s="326">
        <v>164855421.06</v>
      </c>
      <c r="C135" s="325">
        <v>153.811879</v>
      </c>
      <c r="D135" s="326">
        <v>168316120.13</v>
      </c>
      <c r="E135" s="325">
        <v>156.96600599999999</v>
      </c>
      <c r="F135" s="23">
        <f>((D135-B135)/B135)</f>
        <v>2.0992327991085309E-2</v>
      </c>
      <c r="G135" s="23">
        <f>((E135-C135)/C135)</f>
        <v>2.0506394047757445E-2</v>
      </c>
      <c r="H135" s="326">
        <v>172780267.41999999</v>
      </c>
      <c r="I135" s="325">
        <v>160.43005500000001</v>
      </c>
      <c r="J135" s="23">
        <f t="shared" ref="J135:J144" si="142">((H135-D135)/D135)</f>
        <v>2.6522398963046912E-2</v>
      </c>
      <c r="K135" s="23">
        <f t="shared" ref="K135:K144" si="143">((I135-E135)/E135)</f>
        <v>2.2068784753305228E-2</v>
      </c>
      <c r="L135" s="326">
        <v>172913596.40000001</v>
      </c>
      <c r="M135" s="325">
        <v>160.64320000000001</v>
      </c>
      <c r="N135" s="23">
        <f t="shared" ref="N135:N144" si="144">((L135-H135)/H135)</f>
        <v>7.7166786457112365E-4</v>
      </c>
      <c r="O135" s="23">
        <f t="shared" ref="O135:O144" si="145">((M135-I135)/I135)</f>
        <v>1.3285852205186693E-3</v>
      </c>
      <c r="P135" s="326">
        <v>177488889.27000001</v>
      </c>
      <c r="Q135" s="325">
        <v>164.869553</v>
      </c>
      <c r="R135" s="23">
        <f t="shared" ref="R135:R144" si="146">((P135-L135)/L135)</f>
        <v>2.6459994848617958E-2</v>
      </c>
      <c r="S135" s="23">
        <f t="shared" ref="S135:S144" si="147">((Q135-M135)/M135)</f>
        <v>2.6308944293938298E-2</v>
      </c>
      <c r="T135" s="326">
        <v>177516001.75</v>
      </c>
      <c r="U135" s="325">
        <v>164.988911</v>
      </c>
      <c r="V135" s="23">
        <f t="shared" si="128"/>
        <v>1.527559280555594E-4</v>
      </c>
      <c r="W135" s="23">
        <f t="shared" si="129"/>
        <v>7.2395416757153094E-4</v>
      </c>
      <c r="X135" s="326">
        <v>180186804.28999999</v>
      </c>
      <c r="Y135" s="325">
        <v>167.496566</v>
      </c>
      <c r="Z135" s="23">
        <f t="shared" si="130"/>
        <v>1.5045418518164612E-2</v>
      </c>
      <c r="AA135" s="23">
        <f t="shared" si="131"/>
        <v>1.5198930551156857E-2</v>
      </c>
      <c r="AB135" s="326">
        <v>175904632.83000001</v>
      </c>
      <c r="AC135" s="325">
        <v>161.906632</v>
      </c>
      <c r="AD135" s="23">
        <f t="shared" si="132"/>
        <v>-2.3765177904526667E-2</v>
      </c>
      <c r="AE135" s="23">
        <f t="shared" si="133"/>
        <v>-3.3373424503520863E-2</v>
      </c>
      <c r="AF135" s="326">
        <v>175830110.49000001</v>
      </c>
      <c r="AG135" s="325">
        <v>163.17549700000001</v>
      </c>
      <c r="AH135" s="23">
        <f t="shared" si="134"/>
        <v>-4.2365194594973742E-4</v>
      </c>
      <c r="AI135" s="23">
        <f t="shared" si="135"/>
        <v>7.8370168307868027E-3</v>
      </c>
      <c r="AJ135" s="24">
        <f t="shared" si="136"/>
        <v>8.219466782883135E-3</v>
      </c>
      <c r="AK135" s="24">
        <f t="shared" si="137"/>
        <v>7.5748981701892447E-3</v>
      </c>
      <c r="AL135" s="25">
        <f t="shared" si="138"/>
        <v>4.4642131450015228E-2</v>
      </c>
      <c r="AM135" s="25">
        <f t="shared" si="139"/>
        <v>3.955946359493924E-2</v>
      </c>
      <c r="AN135" s="387">
        <f t="shared" si="140"/>
        <v>1.7302833462959917E-2</v>
      </c>
      <c r="AO135" s="388">
        <f t="shared" si="141"/>
        <v>1.9083172778293196E-2</v>
      </c>
      <c r="AP135" s="30"/>
      <c r="AQ135" s="53">
        <v>82672021.189999998</v>
      </c>
      <c r="AR135" s="47">
        <v>18.53</v>
      </c>
      <c r="AS135" s="29" t="e">
        <f>(#REF!/AQ135)-1</f>
        <v>#REF!</v>
      </c>
      <c r="AT135" s="29" t="e">
        <f>(#REF!/AR135)-1</f>
        <v>#REF!</v>
      </c>
    </row>
    <row r="136" spans="1:46">
      <c r="A136" s="202" t="s">
        <v>27</v>
      </c>
      <c r="B136" s="326">
        <v>1224031404.8800001</v>
      </c>
      <c r="C136" s="325">
        <v>552.20000000000005</v>
      </c>
      <c r="D136" s="326">
        <v>1230963453</v>
      </c>
      <c r="E136" s="325">
        <v>552.20000000000005</v>
      </c>
      <c r="F136" s="23">
        <f>((D136-B136)/B136)</f>
        <v>5.6632927001407122E-3</v>
      </c>
      <c r="G136" s="23">
        <f>((E136-C136)/C136)</f>
        <v>0</v>
      </c>
      <c r="H136" s="326">
        <v>1276995744</v>
      </c>
      <c r="I136" s="325">
        <v>552.20000000000005</v>
      </c>
      <c r="J136" s="23">
        <f t="shared" si="142"/>
        <v>3.7395335245586692E-2</v>
      </c>
      <c r="K136" s="23">
        <f t="shared" si="143"/>
        <v>0</v>
      </c>
      <c r="L136" s="326">
        <v>1312850544</v>
      </c>
      <c r="M136" s="325">
        <v>552.20000000000005</v>
      </c>
      <c r="N136" s="23">
        <f t="shared" si="144"/>
        <v>2.8077462410086153E-2</v>
      </c>
      <c r="O136" s="23">
        <f t="shared" si="145"/>
        <v>0</v>
      </c>
      <c r="P136" s="326">
        <v>1337078750</v>
      </c>
      <c r="Q136" s="325">
        <v>552.20000000000005</v>
      </c>
      <c r="R136" s="23">
        <f t="shared" si="146"/>
        <v>1.8454656633024938E-2</v>
      </c>
      <c r="S136" s="23">
        <f t="shared" si="147"/>
        <v>0</v>
      </c>
      <c r="T136" s="326">
        <v>1337078750</v>
      </c>
      <c r="U136" s="325">
        <v>552.20000000000005</v>
      </c>
      <c r="V136" s="23">
        <f t="shared" si="128"/>
        <v>0</v>
      </c>
      <c r="W136" s="23">
        <f t="shared" si="129"/>
        <v>0</v>
      </c>
      <c r="X136" s="326">
        <v>1434795580</v>
      </c>
      <c r="Y136" s="325">
        <v>552.20000000000005</v>
      </c>
      <c r="Z136" s="23">
        <f t="shared" si="130"/>
        <v>7.3082329668316098E-2</v>
      </c>
      <c r="AA136" s="23">
        <f t="shared" si="131"/>
        <v>0</v>
      </c>
      <c r="AB136" s="326">
        <v>1485644348</v>
      </c>
      <c r="AC136" s="325">
        <v>552.20000000000005</v>
      </c>
      <c r="AD136" s="23">
        <f t="shared" si="132"/>
        <v>3.5439730027604352E-2</v>
      </c>
      <c r="AE136" s="23">
        <f t="shared" si="133"/>
        <v>0</v>
      </c>
      <c r="AF136" s="326">
        <v>1471050259</v>
      </c>
      <c r="AG136" s="325">
        <v>552.20000000000005</v>
      </c>
      <c r="AH136" s="23">
        <f t="shared" si="134"/>
        <v>-9.8234069409995836E-3</v>
      </c>
      <c r="AI136" s="23">
        <f t="shared" si="135"/>
        <v>0</v>
      </c>
      <c r="AJ136" s="24">
        <f t="shared" si="136"/>
        <v>2.3536174967969919E-2</v>
      </c>
      <c r="AK136" s="24">
        <f t="shared" si="137"/>
        <v>0</v>
      </c>
      <c r="AL136" s="25">
        <f t="shared" si="138"/>
        <v>0.19503975151730196</v>
      </c>
      <c r="AM136" s="25">
        <f t="shared" si="139"/>
        <v>0</v>
      </c>
      <c r="AN136" s="387">
        <f t="shared" si="140"/>
        <v>2.6244157636355629E-2</v>
      </c>
      <c r="AO136" s="388">
        <f t="shared" si="141"/>
        <v>0</v>
      </c>
      <c r="AP136" s="30"/>
      <c r="AQ136" s="53">
        <v>541500000</v>
      </c>
      <c r="AR136" s="47">
        <v>3610</v>
      </c>
      <c r="AS136" s="29" t="e">
        <f>(#REF!/AQ136)-1</f>
        <v>#REF!</v>
      </c>
      <c r="AT136" s="29" t="e">
        <f>(#REF!/AR136)-1</f>
        <v>#REF!</v>
      </c>
    </row>
    <row r="137" spans="1:46">
      <c r="A137" s="202" t="s">
        <v>187</v>
      </c>
      <c r="B137" s="326">
        <v>20648687.989999998</v>
      </c>
      <c r="C137" s="325">
        <v>1.29</v>
      </c>
      <c r="D137" s="326">
        <v>21145404.879999999</v>
      </c>
      <c r="E137" s="325">
        <v>1.31</v>
      </c>
      <c r="F137" s="23">
        <f>((D137-B137)/B137)</f>
        <v>2.4055615070582539E-2</v>
      </c>
      <c r="G137" s="23">
        <f>((E137-C137)/C137)</f>
        <v>1.5503875968992262E-2</v>
      </c>
      <c r="H137" s="326">
        <v>21695894.5</v>
      </c>
      <c r="I137" s="325">
        <v>1.34</v>
      </c>
      <c r="J137" s="23">
        <f t="shared" si="142"/>
        <v>2.6033534147207167E-2</v>
      </c>
      <c r="K137" s="23">
        <f t="shared" si="143"/>
        <v>2.2900763358778647E-2</v>
      </c>
      <c r="L137" s="326">
        <v>21711853.800000001</v>
      </c>
      <c r="M137" s="325">
        <v>1.34</v>
      </c>
      <c r="N137" s="23">
        <f t="shared" si="144"/>
        <v>7.3559078193345499E-4</v>
      </c>
      <c r="O137" s="23">
        <f t="shared" si="145"/>
        <v>0</v>
      </c>
      <c r="P137" s="326">
        <v>22579800.219999999</v>
      </c>
      <c r="Q137" s="325">
        <v>1.39</v>
      </c>
      <c r="R137" s="23">
        <f t="shared" si="146"/>
        <v>3.9975693830436441E-2</v>
      </c>
      <c r="S137" s="23">
        <f t="shared" si="147"/>
        <v>3.731343283582076E-2</v>
      </c>
      <c r="T137" s="326">
        <v>22672982.620000001</v>
      </c>
      <c r="U137" s="325">
        <v>1.4</v>
      </c>
      <c r="V137" s="23">
        <f t="shared" si="128"/>
        <v>4.1268035630123148E-3</v>
      </c>
      <c r="W137" s="23">
        <f t="shared" si="129"/>
        <v>7.1942446043165541E-3</v>
      </c>
      <c r="X137" s="326">
        <v>23142714.84</v>
      </c>
      <c r="Y137" s="325">
        <v>1.43</v>
      </c>
      <c r="Z137" s="23">
        <f t="shared" si="130"/>
        <v>2.0717707408536741E-2</v>
      </c>
      <c r="AA137" s="23">
        <f t="shared" si="131"/>
        <v>2.142857142857145E-2</v>
      </c>
      <c r="AB137" s="326">
        <v>23676755.789999999</v>
      </c>
      <c r="AC137" s="325">
        <v>1.47</v>
      </c>
      <c r="AD137" s="23">
        <f t="shared" si="132"/>
        <v>2.3075985410188776E-2</v>
      </c>
      <c r="AE137" s="23">
        <f t="shared" si="133"/>
        <v>2.7972027972028E-2</v>
      </c>
      <c r="AF137" s="326">
        <v>22095331.98</v>
      </c>
      <c r="AG137" s="325">
        <v>1.47</v>
      </c>
      <c r="AH137" s="23">
        <f t="shared" si="134"/>
        <v>-6.6792250763844985E-2</v>
      </c>
      <c r="AI137" s="23">
        <f t="shared" si="135"/>
        <v>0</v>
      </c>
      <c r="AJ137" s="24">
        <f t="shared" si="136"/>
        <v>8.991084931006553E-3</v>
      </c>
      <c r="AK137" s="24">
        <f t="shared" si="137"/>
        <v>1.653911452106346E-2</v>
      </c>
      <c r="AL137" s="25">
        <f t="shared" si="138"/>
        <v>4.4923571120573477E-2</v>
      </c>
      <c r="AM137" s="25">
        <f t="shared" si="139"/>
        <v>0.12213740458015261</v>
      </c>
      <c r="AN137" s="387">
        <f t="shared" si="140"/>
        <v>3.3054624950685882E-2</v>
      </c>
      <c r="AO137" s="388">
        <f t="shared" si="141"/>
        <v>1.3427818177772412E-2</v>
      </c>
      <c r="AP137" s="30"/>
      <c r="AQ137" s="28">
        <v>913647681</v>
      </c>
      <c r="AR137" s="32">
        <v>81</v>
      </c>
      <c r="AS137" s="29" t="e">
        <f>(#REF!/AQ137)-1</f>
        <v>#REF!</v>
      </c>
      <c r="AT137" s="29" t="e">
        <f>(#REF!/AR137)-1</f>
        <v>#REF!</v>
      </c>
    </row>
    <row r="138" spans="1:46">
      <c r="A138" s="203" t="s">
        <v>48</v>
      </c>
      <c r="B138" s="325">
        <v>198997979.69</v>
      </c>
      <c r="C138" s="325">
        <v>2.0679259999999999</v>
      </c>
      <c r="D138" s="325">
        <v>171767441.30000001</v>
      </c>
      <c r="E138" s="325">
        <v>1.7920469999999999</v>
      </c>
      <c r="F138" s="23">
        <f>((D138-B138)/B138)</f>
        <v>-0.13683826555636316</v>
      </c>
      <c r="G138" s="23">
        <f>((E138-C138)/C138)</f>
        <v>-0.13340854556691101</v>
      </c>
      <c r="H138" s="325">
        <v>176430075.44999999</v>
      </c>
      <c r="I138" s="325">
        <v>1.84</v>
      </c>
      <c r="J138" s="23">
        <f t="shared" si="142"/>
        <v>2.7145040496099979E-2</v>
      </c>
      <c r="K138" s="23">
        <f t="shared" si="143"/>
        <v>2.6758784786336594E-2</v>
      </c>
      <c r="L138" s="325">
        <v>176865661.78</v>
      </c>
      <c r="M138" s="325">
        <v>1.85</v>
      </c>
      <c r="N138" s="23">
        <f t="shared" si="144"/>
        <v>2.4688893256380067E-3</v>
      </c>
      <c r="O138" s="23">
        <f t="shared" si="145"/>
        <v>5.4347826086956564E-3</v>
      </c>
      <c r="P138" s="325">
        <v>183803993.02000001</v>
      </c>
      <c r="Q138" s="325">
        <v>1.9093869999999999</v>
      </c>
      <c r="R138" s="23">
        <f t="shared" si="146"/>
        <v>3.9229385569656106E-2</v>
      </c>
      <c r="S138" s="23">
        <f t="shared" si="147"/>
        <v>3.2101081081081E-2</v>
      </c>
      <c r="T138" s="325">
        <v>185802207.03</v>
      </c>
      <c r="U138" s="325">
        <v>1.94</v>
      </c>
      <c r="V138" s="23">
        <f t="shared" si="128"/>
        <v>1.0871439608945609E-2</v>
      </c>
      <c r="W138" s="23">
        <f t="shared" si="129"/>
        <v>1.6032894326817981E-2</v>
      </c>
      <c r="X138" s="325">
        <v>191251886.52000001</v>
      </c>
      <c r="Y138" s="325">
        <v>1.992318</v>
      </c>
      <c r="Z138" s="23">
        <f t="shared" si="130"/>
        <v>2.933054228532438E-2</v>
      </c>
      <c r="AA138" s="23">
        <f t="shared" si="131"/>
        <v>2.6968041237113449E-2</v>
      </c>
      <c r="AB138" s="325">
        <v>196352170.12</v>
      </c>
      <c r="AC138" s="325">
        <v>2.04</v>
      </c>
      <c r="AD138" s="23">
        <f t="shared" si="132"/>
        <v>2.6667886486268128E-2</v>
      </c>
      <c r="AE138" s="23">
        <f t="shared" si="133"/>
        <v>2.3932926370187891E-2</v>
      </c>
      <c r="AF138" s="325">
        <v>189969925.71000001</v>
      </c>
      <c r="AG138" s="325">
        <v>2.04</v>
      </c>
      <c r="AH138" s="23">
        <f t="shared" si="134"/>
        <v>-3.2504068613550374E-2</v>
      </c>
      <c r="AI138" s="23">
        <f t="shared" si="135"/>
        <v>0</v>
      </c>
      <c r="AJ138" s="24">
        <f t="shared" si="136"/>
        <v>-4.2036437997476665E-3</v>
      </c>
      <c r="AK138" s="24">
        <f t="shared" si="137"/>
        <v>-2.725043945848056E-4</v>
      </c>
      <c r="AL138" s="25">
        <f t="shared" si="138"/>
        <v>0.10597168050147811</v>
      </c>
      <c r="AM138" s="25">
        <f t="shared" si="139"/>
        <v>0.13836300052398184</v>
      </c>
      <c r="AN138" s="387">
        <f t="shared" si="140"/>
        <v>5.8078024903847413E-2</v>
      </c>
      <c r="AO138" s="388">
        <f t="shared" si="141"/>
        <v>5.494205870894462E-2</v>
      </c>
      <c r="AP138" s="30"/>
      <c r="AQ138" s="61">
        <f>SUM(AQ129:AQ137)</f>
        <v>3629819788.79</v>
      </c>
      <c r="AR138" s="62"/>
      <c r="AS138" s="29" t="e">
        <f>(#REF!/AQ138)-1</f>
        <v>#REF!</v>
      </c>
      <c r="AT138" s="29" t="e">
        <f>(#REF!/AR138)-1</f>
        <v>#REF!</v>
      </c>
    </row>
    <row r="139" spans="1:46">
      <c r="A139" s="202" t="s">
        <v>22</v>
      </c>
      <c r="B139" s="326">
        <v>1751839197.8299999</v>
      </c>
      <c r="C139" s="325">
        <v>3977.15</v>
      </c>
      <c r="D139" s="326">
        <v>1776451327.9200001</v>
      </c>
      <c r="E139" s="325">
        <v>4025.82</v>
      </c>
      <c r="F139" s="23">
        <f>((D139-B139)/B139)</f>
        <v>1.4049308932285082E-2</v>
      </c>
      <c r="G139" s="23">
        <f>((E139-C139)/C139)</f>
        <v>1.2237406182819374E-2</v>
      </c>
      <c r="H139" s="326">
        <v>1817510323.21</v>
      </c>
      <c r="I139" s="325">
        <v>4111.67</v>
      </c>
      <c r="J139" s="23">
        <f t="shared" si="142"/>
        <v>2.3112930055941838E-2</v>
      </c>
      <c r="K139" s="23">
        <f t="shared" si="143"/>
        <v>2.1324848105479109E-2</v>
      </c>
      <c r="L139" s="326">
        <v>1819324567.46</v>
      </c>
      <c r="M139" s="325">
        <v>4115.17</v>
      </c>
      <c r="N139" s="23">
        <f t="shared" si="144"/>
        <v>9.9820299606098988E-4</v>
      </c>
      <c r="O139" s="23">
        <f t="shared" si="145"/>
        <v>8.5123562931850073E-4</v>
      </c>
      <c r="P139" s="326">
        <v>1873804276.25</v>
      </c>
      <c r="Q139" s="325">
        <v>4252.3500000000004</v>
      </c>
      <c r="R139" s="23">
        <f t="shared" si="146"/>
        <v>2.9945019027616555E-2</v>
      </c>
      <c r="S139" s="23">
        <f t="shared" si="147"/>
        <v>3.3335196358838221E-2</v>
      </c>
      <c r="T139" s="326">
        <v>1891175524.28</v>
      </c>
      <c r="U139" s="325">
        <v>4288.38</v>
      </c>
      <c r="V139" s="23">
        <f t="shared" si="128"/>
        <v>9.2705776425938344E-3</v>
      </c>
      <c r="W139" s="23">
        <f t="shared" si="129"/>
        <v>8.4729620092418873E-3</v>
      </c>
      <c r="X139" s="326">
        <v>1953404536.6199999</v>
      </c>
      <c r="Y139" s="325">
        <v>4408.6400000000003</v>
      </c>
      <c r="Z139" s="23">
        <f t="shared" si="130"/>
        <v>3.2904937453487541E-2</v>
      </c>
      <c r="AA139" s="23">
        <f t="shared" si="131"/>
        <v>2.8043223781474641E-2</v>
      </c>
      <c r="AB139" s="326">
        <v>2012077007.03</v>
      </c>
      <c r="AC139" s="325">
        <v>4494.57</v>
      </c>
      <c r="AD139" s="23">
        <f t="shared" si="132"/>
        <v>3.0036006014157103E-2</v>
      </c>
      <c r="AE139" s="23">
        <f t="shared" si="133"/>
        <v>1.9491271684691735E-2</v>
      </c>
      <c r="AF139" s="326">
        <v>2006417954.49</v>
      </c>
      <c r="AG139" s="325">
        <v>4468.29</v>
      </c>
      <c r="AH139" s="23">
        <f t="shared" si="134"/>
        <v>-2.8125427208937764E-3</v>
      </c>
      <c r="AI139" s="23">
        <f t="shared" si="135"/>
        <v>-5.8470554469058772E-3</v>
      </c>
      <c r="AJ139" s="24">
        <f t="shared" si="136"/>
        <v>1.7188054925156147E-2</v>
      </c>
      <c r="AK139" s="24">
        <f t="shared" si="137"/>
        <v>1.4738636038119698E-2</v>
      </c>
      <c r="AL139" s="25">
        <f t="shared" si="138"/>
        <v>0.12945281582201398</v>
      </c>
      <c r="AM139" s="25">
        <f t="shared" si="139"/>
        <v>0.10990804357869945</v>
      </c>
      <c r="AN139" s="387">
        <f t="shared" si="140"/>
        <v>1.3859539812162668E-2</v>
      </c>
      <c r="AO139" s="388">
        <f t="shared" si="141"/>
        <v>1.3368167155193058E-2</v>
      </c>
      <c r="AP139" s="30"/>
      <c r="AQ139" s="79"/>
      <c r="AR139" s="80"/>
      <c r="AS139" s="29"/>
      <c r="AT139" s="29"/>
    </row>
    <row r="140" spans="1:46" s="86" customFormat="1">
      <c r="A140" s="202" t="s">
        <v>248</v>
      </c>
      <c r="B140" s="321">
        <v>59941821.270000003</v>
      </c>
      <c r="C140" s="325">
        <v>110.8775</v>
      </c>
      <c r="D140" s="321">
        <v>69707629.760000005</v>
      </c>
      <c r="E140" s="325">
        <v>111.9246</v>
      </c>
      <c r="F140" s="23">
        <f>((D140-B140)/B140)</f>
        <v>0.16292145088503751</v>
      </c>
      <c r="G140" s="23">
        <f>((E140-C140)/C140)</f>
        <v>9.4437554959301961E-3</v>
      </c>
      <c r="H140" s="321">
        <v>71124198.609999999</v>
      </c>
      <c r="I140" s="325">
        <v>114.1909</v>
      </c>
      <c r="J140" s="23">
        <f t="shared" si="142"/>
        <v>2.0321575340851095E-2</v>
      </c>
      <c r="K140" s="23">
        <f t="shared" si="143"/>
        <v>2.0248452976378752E-2</v>
      </c>
      <c r="L140" s="321">
        <v>71591997.810000002</v>
      </c>
      <c r="M140" s="325">
        <v>114.0872</v>
      </c>
      <c r="N140" s="23">
        <f t="shared" si="144"/>
        <v>6.5772157597882705E-3</v>
      </c>
      <c r="O140" s="23">
        <f t="shared" si="145"/>
        <v>-9.0812840602888197E-4</v>
      </c>
      <c r="P140" s="321">
        <v>76234019.920000002</v>
      </c>
      <c r="Q140" s="325">
        <v>118.3126</v>
      </c>
      <c r="R140" s="23">
        <f t="shared" si="146"/>
        <v>6.4839957704764598E-2</v>
      </c>
      <c r="S140" s="23">
        <f t="shared" si="147"/>
        <v>3.7036582543878788E-2</v>
      </c>
      <c r="T140" s="321">
        <v>76175476.219999999</v>
      </c>
      <c r="U140" s="325">
        <v>118.0415</v>
      </c>
      <c r="V140" s="23">
        <f t="shared" si="128"/>
        <v>-7.6794717189830413E-4</v>
      </c>
      <c r="W140" s="23">
        <f t="shared" si="129"/>
        <v>-2.2913873923825876E-3</v>
      </c>
      <c r="X140" s="321">
        <v>82607982.299999997</v>
      </c>
      <c r="Y140" s="325">
        <v>120.2045</v>
      </c>
      <c r="Z140" s="23">
        <f t="shared" si="130"/>
        <v>8.4443267035475819E-2</v>
      </c>
      <c r="AA140" s="23">
        <f t="shared" si="131"/>
        <v>1.8324063994442606E-2</v>
      </c>
      <c r="AB140" s="321">
        <v>83674162.739999995</v>
      </c>
      <c r="AC140" s="325">
        <v>121.6142</v>
      </c>
      <c r="AD140" s="23">
        <f t="shared" si="132"/>
        <v>1.2906506251757195E-2</v>
      </c>
      <c r="AE140" s="23">
        <f t="shared" si="133"/>
        <v>1.1727514360943233E-2</v>
      </c>
      <c r="AF140" s="321">
        <v>82131148.260000005</v>
      </c>
      <c r="AG140" s="325">
        <v>119.3642</v>
      </c>
      <c r="AH140" s="23">
        <f t="shared" si="134"/>
        <v>-1.8440751953438542E-2</v>
      </c>
      <c r="AI140" s="23">
        <f t="shared" si="135"/>
        <v>-1.8501128980003979E-2</v>
      </c>
      <c r="AJ140" s="24">
        <f t="shared" si="136"/>
        <v>4.1600159231542207E-2</v>
      </c>
      <c r="AK140" s="24">
        <f t="shared" si="137"/>
        <v>9.384965574144765E-3</v>
      </c>
      <c r="AL140" s="25">
        <f t="shared" si="138"/>
        <v>0.17822322381027117</v>
      </c>
      <c r="AM140" s="25">
        <f t="shared" si="139"/>
        <v>6.6469748384180058E-2</v>
      </c>
      <c r="AN140" s="387">
        <f t="shared" si="140"/>
        <v>5.9758028518741568E-2</v>
      </c>
      <c r="AO140" s="388">
        <f t="shared" si="141"/>
        <v>1.6852066524347047E-2</v>
      </c>
      <c r="AP140" s="30"/>
      <c r="AQ140" s="79"/>
      <c r="AR140" s="80"/>
      <c r="AS140" s="29"/>
      <c r="AT140" s="29"/>
    </row>
    <row r="141" spans="1:46" s="105" customFormat="1">
      <c r="A141" s="202" t="s">
        <v>74</v>
      </c>
      <c r="B141" s="325">
        <v>1225013501.0599999</v>
      </c>
      <c r="C141" s="325">
        <v>1.5728</v>
      </c>
      <c r="D141" s="325">
        <v>1254401350.8599999</v>
      </c>
      <c r="E141" s="325">
        <v>1.5933999999999999</v>
      </c>
      <c r="F141" s="23">
        <f>((D141-B141)/B141)</f>
        <v>2.3989817071053295E-2</v>
      </c>
      <c r="G141" s="23">
        <f>((E141-C141)/C141)</f>
        <v>1.3097660223804649E-2</v>
      </c>
      <c r="H141" s="325">
        <v>1290041374.21</v>
      </c>
      <c r="I141" s="325">
        <v>1.6355999999999999</v>
      </c>
      <c r="J141" s="23">
        <f t="shared" si="142"/>
        <v>2.841197781361272E-2</v>
      </c>
      <c r="K141" s="23">
        <f t="shared" si="143"/>
        <v>2.6484247521024237E-2</v>
      </c>
      <c r="L141" s="325">
        <v>1301591854.51</v>
      </c>
      <c r="M141" s="325">
        <v>1.6366000000000001</v>
      </c>
      <c r="N141" s="23">
        <f t="shared" si="144"/>
        <v>8.9535735294329413E-3</v>
      </c>
      <c r="O141" s="23">
        <f t="shared" si="145"/>
        <v>6.1139642944492043E-4</v>
      </c>
      <c r="P141" s="325">
        <v>1376838813.76</v>
      </c>
      <c r="Q141" s="325">
        <v>1.7182999999999999</v>
      </c>
      <c r="R141" s="23">
        <f t="shared" si="146"/>
        <v>5.7811485981008714E-2</v>
      </c>
      <c r="S141" s="23">
        <f t="shared" si="147"/>
        <v>4.9920567029206817E-2</v>
      </c>
      <c r="T141" s="325">
        <v>1452708336.0799999</v>
      </c>
      <c r="U141" s="325">
        <v>1.6106</v>
      </c>
      <c r="V141" s="23">
        <f t="shared" si="128"/>
        <v>5.5104142592267834E-2</v>
      </c>
      <c r="W141" s="23">
        <f t="shared" si="129"/>
        <v>-6.2678228481638773E-2</v>
      </c>
      <c r="X141" s="325">
        <v>1406129443.8900001</v>
      </c>
      <c r="Y141" s="325">
        <v>1.6357999999999999</v>
      </c>
      <c r="Z141" s="23">
        <f t="shared" si="130"/>
        <v>-3.2063485169837105E-2</v>
      </c>
      <c r="AA141" s="23">
        <f t="shared" si="131"/>
        <v>1.564634297777219E-2</v>
      </c>
      <c r="AB141" s="325">
        <v>1468915817.79</v>
      </c>
      <c r="AC141" s="325">
        <v>1.6918</v>
      </c>
      <c r="AD141" s="23">
        <f t="shared" si="132"/>
        <v>4.4651916061371914E-2</v>
      </c>
      <c r="AE141" s="23">
        <f t="shared" si="133"/>
        <v>3.4234013938134279E-2</v>
      </c>
      <c r="AF141" s="325">
        <v>1456131764.45</v>
      </c>
      <c r="AG141" s="325">
        <v>1.6752</v>
      </c>
      <c r="AH141" s="23">
        <f t="shared" si="134"/>
        <v>-8.7030537660311019E-3</v>
      </c>
      <c r="AI141" s="23">
        <f t="shared" si="135"/>
        <v>-9.8120345194467121E-3</v>
      </c>
      <c r="AJ141" s="24">
        <f t="shared" si="136"/>
        <v>2.2269546764109902E-2</v>
      </c>
      <c r="AK141" s="24">
        <f t="shared" si="137"/>
        <v>8.4379956397877022E-3</v>
      </c>
      <c r="AL141" s="25">
        <f t="shared" si="138"/>
        <v>0.16081807744522647</v>
      </c>
      <c r="AM141" s="25">
        <f t="shared" si="139"/>
        <v>5.1336764152127588E-2</v>
      </c>
      <c r="AN141" s="387">
        <f t="shared" si="140"/>
        <v>3.1558777037919282E-2</v>
      </c>
      <c r="AO141" s="388">
        <f t="shared" si="141"/>
        <v>3.4304133092862461E-2</v>
      </c>
      <c r="AP141" s="30"/>
      <c r="AQ141" s="79"/>
      <c r="AR141" s="80"/>
      <c r="AS141" s="29"/>
      <c r="AT141" s="29"/>
    </row>
    <row r="142" spans="1:46" s="105" customFormat="1">
      <c r="A142" s="202" t="s">
        <v>240</v>
      </c>
      <c r="B142" s="325">
        <v>692553026.64999998</v>
      </c>
      <c r="C142" s="325">
        <v>1.26</v>
      </c>
      <c r="D142" s="325">
        <v>695348996.87</v>
      </c>
      <c r="E142" s="325">
        <v>1.2639</v>
      </c>
      <c r="F142" s="23">
        <f>((D142-B142)/B142)</f>
        <v>4.0371929836544437E-3</v>
      </c>
      <c r="G142" s="23">
        <f>((E142-C142)/C142)</f>
        <v>3.0952380952381066E-3</v>
      </c>
      <c r="H142" s="325">
        <v>724437265.99000001</v>
      </c>
      <c r="I142" s="325">
        <v>1.3163</v>
      </c>
      <c r="J142" s="23">
        <f t="shared" si="142"/>
        <v>4.1832618226151329E-2</v>
      </c>
      <c r="K142" s="23">
        <f t="shared" si="143"/>
        <v>4.1458976184824747E-2</v>
      </c>
      <c r="L142" s="325">
        <v>725087860.13</v>
      </c>
      <c r="M142" s="325">
        <v>1.3177000000000001</v>
      </c>
      <c r="N142" s="23">
        <f t="shared" si="144"/>
        <v>8.9806829458296579E-4</v>
      </c>
      <c r="O142" s="23">
        <f t="shared" si="145"/>
        <v>1.0635873281167423E-3</v>
      </c>
      <c r="P142" s="325">
        <v>751680875.74000001</v>
      </c>
      <c r="Q142" s="325">
        <v>1.3664000000000001</v>
      </c>
      <c r="R142" s="23">
        <f t="shared" si="146"/>
        <v>3.6675576950401828E-2</v>
      </c>
      <c r="S142" s="23">
        <f t="shared" si="147"/>
        <v>3.6958336495408639E-2</v>
      </c>
      <c r="T142" s="325">
        <v>809746131.21000004</v>
      </c>
      <c r="U142" s="325">
        <v>1.25</v>
      </c>
      <c r="V142" s="23">
        <f t="shared" si="128"/>
        <v>7.7247216663370727E-2</v>
      </c>
      <c r="W142" s="23">
        <f t="shared" si="129"/>
        <v>-8.518735362997662E-2</v>
      </c>
      <c r="X142" s="325">
        <v>758100664.39999998</v>
      </c>
      <c r="Y142" s="325">
        <v>1.2664</v>
      </c>
      <c r="Z142" s="23">
        <f t="shared" si="130"/>
        <v>-6.3779825329732018E-2</v>
      </c>
      <c r="AA142" s="23">
        <f t="shared" si="131"/>
        <v>1.3119999999999975E-2</v>
      </c>
      <c r="AB142" s="325">
        <v>790796341.29999995</v>
      </c>
      <c r="AC142" s="325">
        <v>1.3205</v>
      </c>
      <c r="AD142" s="23">
        <f t="shared" si="132"/>
        <v>4.3128410823748617E-2</v>
      </c>
      <c r="AE142" s="23">
        <f t="shared" si="133"/>
        <v>4.2719519898926119E-2</v>
      </c>
      <c r="AF142" s="325">
        <v>780261919.25999999</v>
      </c>
      <c r="AG142" s="325">
        <v>1.3035000000000001</v>
      </c>
      <c r="AH142" s="23">
        <f t="shared" si="134"/>
        <v>-1.3321283230372936E-2</v>
      </c>
      <c r="AI142" s="23">
        <f t="shared" si="135"/>
        <v>-1.2873911397197959E-2</v>
      </c>
      <c r="AJ142" s="24">
        <f t="shared" si="136"/>
        <v>1.583974692272562E-2</v>
      </c>
      <c r="AK142" s="24">
        <f t="shared" si="137"/>
        <v>5.0442991219174695E-3</v>
      </c>
      <c r="AL142" s="25">
        <f t="shared" si="138"/>
        <v>0.12211554596644511</v>
      </c>
      <c r="AM142" s="25">
        <f t="shared" si="139"/>
        <v>3.1331592689295099E-2</v>
      </c>
      <c r="AN142" s="387">
        <f t="shared" si="140"/>
        <v>4.3387795673693989E-2</v>
      </c>
      <c r="AO142" s="388">
        <f t="shared" si="141"/>
        <v>4.1938104092575326E-2</v>
      </c>
      <c r="AP142" s="30"/>
      <c r="AQ142" s="79"/>
      <c r="AR142" s="80"/>
      <c r="AS142" s="29"/>
      <c r="AT142" s="29"/>
    </row>
    <row r="143" spans="1:46" ht="15.75" customHeight="1" thickBot="1">
      <c r="A143" s="202" t="s">
        <v>124</v>
      </c>
      <c r="B143" s="325">
        <v>4611211944.9399996</v>
      </c>
      <c r="C143" s="325">
        <v>208.43921888664573</v>
      </c>
      <c r="D143" s="325">
        <v>4764895532.46</v>
      </c>
      <c r="E143" s="325">
        <v>214.95</v>
      </c>
      <c r="F143" s="23">
        <f>((D143-B143)/B143)</f>
        <v>3.3328241979560573E-2</v>
      </c>
      <c r="G143" s="23">
        <f>((E143-C143)/C143)</f>
        <v>3.1235873690809476E-2</v>
      </c>
      <c r="H143" s="325">
        <v>4985499253.8599997</v>
      </c>
      <c r="I143" s="325">
        <v>224.93469999999999</v>
      </c>
      <c r="J143" s="23">
        <f t="shared" si="142"/>
        <v>4.6297703674125938E-2</v>
      </c>
      <c r="K143" s="23">
        <f t="shared" si="143"/>
        <v>4.6451267736682969E-2</v>
      </c>
      <c r="L143" s="325">
        <v>5015003260.6491985</v>
      </c>
      <c r="M143" s="325">
        <v>226.12626900868591</v>
      </c>
      <c r="N143" s="23">
        <f t="shared" si="144"/>
        <v>5.9179643375446367E-3</v>
      </c>
      <c r="O143" s="23">
        <f t="shared" si="145"/>
        <v>5.2973996839345699E-3</v>
      </c>
      <c r="P143" s="325">
        <v>5768695636.8900003</v>
      </c>
      <c r="Q143" s="325">
        <v>259.8587</v>
      </c>
      <c r="R143" s="23">
        <f t="shared" si="146"/>
        <v>0.1502875146970962</v>
      </c>
      <c r="S143" s="23">
        <f t="shared" si="147"/>
        <v>0.14917519817221397</v>
      </c>
      <c r="T143" s="325">
        <v>6035042270.3100004</v>
      </c>
      <c r="U143" s="325">
        <v>271.95999999999998</v>
      </c>
      <c r="V143" s="23">
        <f t="shared" si="128"/>
        <v>4.6171032445662528E-2</v>
      </c>
      <c r="W143" s="23">
        <f t="shared" si="129"/>
        <v>4.6568769873781328E-2</v>
      </c>
      <c r="X143" s="325">
        <v>6195349084.6000004</v>
      </c>
      <c r="Y143" s="325">
        <v>279.22000000000003</v>
      </c>
      <c r="Z143" s="23">
        <f t="shared" si="130"/>
        <v>2.6562666359214337E-2</v>
      </c>
      <c r="AA143" s="23">
        <f t="shared" si="131"/>
        <v>2.6695102220915017E-2</v>
      </c>
      <c r="AB143" s="325">
        <v>6558331118.0200005</v>
      </c>
      <c r="AC143" s="325">
        <v>295.64999999999998</v>
      </c>
      <c r="AD143" s="23">
        <f t="shared" si="132"/>
        <v>5.8589439991731447E-2</v>
      </c>
      <c r="AE143" s="23">
        <f t="shared" si="133"/>
        <v>5.8842489792994584E-2</v>
      </c>
      <c r="AF143" s="325">
        <v>6375096584.0699997</v>
      </c>
      <c r="AG143" s="325">
        <v>287.31</v>
      </c>
      <c r="AH143" s="23">
        <f t="shared" si="134"/>
        <v>-2.7939201399352395E-2</v>
      </c>
      <c r="AI143" s="23">
        <f t="shared" si="135"/>
        <v>-2.8209030948756892E-2</v>
      </c>
      <c r="AJ143" s="24">
        <f t="shared" si="136"/>
        <v>4.2401920260697903E-2</v>
      </c>
      <c r="AK143" s="24">
        <f t="shared" si="137"/>
        <v>4.2007133777821885E-2</v>
      </c>
      <c r="AL143" s="25">
        <f t="shared" si="138"/>
        <v>0.33792997992102713</v>
      </c>
      <c r="AM143" s="25">
        <f t="shared" si="139"/>
        <v>0.33663642707606428</v>
      </c>
      <c r="AN143" s="387">
        <f t="shared" si="140"/>
        <v>5.14682796277844E-2</v>
      </c>
      <c r="AO143" s="388">
        <f t="shared" si="141"/>
        <v>5.1321639558948196E-2</v>
      </c>
      <c r="AP143" s="30"/>
      <c r="AQ143" s="64" t="e">
        <f>SUM(AQ125,AQ138)</f>
        <v>#REF!</v>
      </c>
      <c r="AR143" s="65"/>
      <c r="AS143" s="29" t="e">
        <f>(#REF!/AQ143)-1</f>
        <v>#REF!</v>
      </c>
      <c r="AT143" s="29" t="e">
        <f>(#REF!/AR143)-1</f>
        <v>#REF!</v>
      </c>
    </row>
    <row r="144" spans="1:46" s="302" customFormat="1" ht="15.75" customHeight="1">
      <c r="A144" s="202" t="s">
        <v>233</v>
      </c>
      <c r="B144" s="326">
        <v>201903777.02000001</v>
      </c>
      <c r="C144" s="325">
        <v>154.97999999999999</v>
      </c>
      <c r="D144" s="326">
        <v>206789179.93000001</v>
      </c>
      <c r="E144" s="325">
        <v>160.56</v>
      </c>
      <c r="F144" s="23">
        <f>((D144-B144)/B144)</f>
        <v>2.4196689047159641E-2</v>
      </c>
      <c r="G144" s="23">
        <f>((E144-C144)/C144)</f>
        <v>3.6004645760743408E-2</v>
      </c>
      <c r="H144" s="326">
        <v>216870029.99000001</v>
      </c>
      <c r="I144" s="325">
        <v>160.56</v>
      </c>
      <c r="J144" s="23">
        <f t="shared" si="142"/>
        <v>4.8749407794994211E-2</v>
      </c>
      <c r="K144" s="23">
        <f t="shared" si="143"/>
        <v>0</v>
      </c>
      <c r="L144" s="326">
        <v>222458699.93000001</v>
      </c>
      <c r="M144" s="325">
        <v>172.81</v>
      </c>
      <c r="N144" s="23">
        <f t="shared" si="144"/>
        <v>2.5769673846855162E-2</v>
      </c>
      <c r="O144" s="23">
        <f t="shared" si="145"/>
        <v>7.6295465869456902E-2</v>
      </c>
      <c r="P144" s="326">
        <v>239911918.06999999</v>
      </c>
      <c r="Q144" s="325">
        <v>186.42</v>
      </c>
      <c r="R144" s="23">
        <f t="shared" si="146"/>
        <v>7.8455992710071143E-2</v>
      </c>
      <c r="S144" s="23">
        <f t="shared" si="147"/>
        <v>7.875701637636702E-2</v>
      </c>
      <c r="T144" s="326">
        <v>237496891</v>
      </c>
      <c r="U144" s="325">
        <v>183.89</v>
      </c>
      <c r="V144" s="23">
        <f t="shared" si="128"/>
        <v>-1.0066307207361626E-2</v>
      </c>
      <c r="W144" s="23">
        <f t="shared" si="129"/>
        <v>-1.3571505203304373E-2</v>
      </c>
      <c r="X144" s="326">
        <v>239665313.34</v>
      </c>
      <c r="Y144" s="325">
        <v>185.58</v>
      </c>
      <c r="Z144" s="23">
        <f t="shared" si="130"/>
        <v>9.130318846994943E-3</v>
      </c>
      <c r="AA144" s="23">
        <f t="shared" si="131"/>
        <v>9.1902767959107408E-3</v>
      </c>
      <c r="AB144" s="326">
        <v>241534979.09</v>
      </c>
      <c r="AC144" s="325">
        <v>185.65</v>
      </c>
      <c r="AD144" s="23">
        <f t="shared" si="132"/>
        <v>7.8011528825099857E-3</v>
      </c>
      <c r="AE144" s="23">
        <f t="shared" si="133"/>
        <v>3.7719581851488942E-4</v>
      </c>
      <c r="AF144" s="326">
        <v>252853655.27000001</v>
      </c>
      <c r="AG144" s="325">
        <v>196.73</v>
      </c>
      <c r="AH144" s="23">
        <f t="shared" si="134"/>
        <v>4.686143689267664E-2</v>
      </c>
      <c r="AI144" s="23">
        <f t="shared" si="135"/>
        <v>5.968219768381354E-2</v>
      </c>
      <c r="AJ144" s="24">
        <f t="shared" si="136"/>
        <v>2.886229560173751E-2</v>
      </c>
      <c r="AK144" s="24">
        <f t="shared" si="137"/>
        <v>3.0841911637687763E-2</v>
      </c>
      <c r="AL144" s="25">
        <f t="shared" si="138"/>
        <v>0.22276056878601308</v>
      </c>
      <c r="AM144" s="25">
        <f t="shared" si="139"/>
        <v>0.22527404085700042</v>
      </c>
      <c r="AN144" s="387">
        <f t="shared" si="140"/>
        <v>2.8179759862280013E-2</v>
      </c>
      <c r="AO144" s="388">
        <f t="shared" si="141"/>
        <v>3.6918764271786128E-2</v>
      </c>
      <c r="AP144" s="30"/>
      <c r="AQ144" s="336"/>
      <c r="AR144" s="337"/>
      <c r="AS144" s="29"/>
      <c r="AT144" s="29"/>
    </row>
    <row r="145" spans="1:41">
      <c r="A145" s="204" t="s">
        <v>42</v>
      </c>
      <c r="B145" s="216">
        <f>SUM(B121:B144)</f>
        <v>32017254793.664894</v>
      </c>
      <c r="C145" s="85"/>
      <c r="D145" s="216">
        <f>SUM(D121:D144)</f>
        <v>32587344550.170525</v>
      </c>
      <c r="E145" s="85"/>
      <c r="F145" s="23">
        <f>((D145-B145)/B145)</f>
        <v>1.7805703836246183E-2</v>
      </c>
      <c r="G145" s="23"/>
      <c r="H145" s="216">
        <f>SUM(H121:H144)</f>
        <v>33634490477.322308</v>
      </c>
      <c r="I145" s="85"/>
      <c r="J145" s="23">
        <f>((H145-D145)/D145)</f>
        <v>3.2133515068698763E-2</v>
      </c>
      <c r="K145" s="23"/>
      <c r="L145" s="216">
        <f>SUM(L121:L144)</f>
        <v>33719080186.031113</v>
      </c>
      <c r="M145" s="85"/>
      <c r="N145" s="23">
        <f>((L145-H145)/H145)</f>
        <v>2.5149692327237358E-3</v>
      </c>
      <c r="O145" s="23"/>
      <c r="P145" s="216">
        <f>SUM(P121:P144)</f>
        <v>35744115521.98378</v>
      </c>
      <c r="Q145" s="85"/>
      <c r="R145" s="23">
        <f>((P145-L145)/L145)</f>
        <v>6.0056066914648036E-2</v>
      </c>
      <c r="S145" s="23"/>
      <c r="T145" s="216">
        <f>SUM(T121:T144)</f>
        <v>36228102075.464104</v>
      </c>
      <c r="U145" s="85"/>
      <c r="V145" s="23">
        <f>((T145-P145)/P145)</f>
        <v>1.354031415835864E-2</v>
      </c>
      <c r="W145" s="23"/>
      <c r="X145" s="216">
        <f>SUM(X121:X144)</f>
        <v>36851874319.96862</v>
      </c>
      <c r="Y145" s="85"/>
      <c r="Z145" s="23">
        <f>((X145-T145)/T145)</f>
        <v>1.7217911200680135E-2</v>
      </c>
      <c r="AA145" s="23"/>
      <c r="AB145" s="216">
        <f>SUM(AB121:AB144)</f>
        <v>38388002959.524063</v>
      </c>
      <c r="AC145" s="85"/>
      <c r="AD145" s="23">
        <f>((AB145-X145)/X145)</f>
        <v>4.1683867317518594E-2</v>
      </c>
      <c r="AE145" s="23"/>
      <c r="AF145" s="216">
        <f>SUM(AF121:AF144)</f>
        <v>37664855902.908386</v>
      </c>
      <c r="AG145" s="85"/>
      <c r="AH145" s="23">
        <f>((AF145-AB145)/AB145)</f>
        <v>-1.8837839972507976E-2</v>
      </c>
      <c r="AI145" s="23"/>
      <c r="AJ145" s="24">
        <f t="shared" si="136"/>
        <v>2.0764313469545763E-2</v>
      </c>
      <c r="AK145" s="24"/>
      <c r="AL145" s="25">
        <f t="shared" si="138"/>
        <v>0.15581236896797998</v>
      </c>
      <c r="AM145" s="25"/>
      <c r="AN145" s="387">
        <f t="shared" si="140"/>
        <v>2.4159038519704686E-2</v>
      </c>
      <c r="AO145" s="388"/>
    </row>
    <row r="146" spans="1:41" s="108" customFormat="1" ht="8.25" customHeight="1">
      <c r="A146" s="204"/>
      <c r="B146" s="85"/>
      <c r="C146" s="85"/>
      <c r="D146" s="85"/>
      <c r="E146" s="85"/>
      <c r="F146" s="23"/>
      <c r="G146" s="23"/>
      <c r="H146" s="85"/>
      <c r="I146" s="85"/>
      <c r="J146" s="23"/>
      <c r="K146" s="23"/>
      <c r="L146" s="85"/>
      <c r="M146" s="85"/>
      <c r="N146" s="23"/>
      <c r="O146" s="23"/>
      <c r="P146" s="85"/>
      <c r="Q146" s="85"/>
      <c r="R146" s="23"/>
      <c r="S146" s="23"/>
      <c r="T146" s="85"/>
      <c r="U146" s="85"/>
      <c r="V146" s="23"/>
      <c r="W146" s="23"/>
      <c r="X146" s="85"/>
      <c r="Y146" s="85"/>
      <c r="Z146" s="23"/>
      <c r="AA146" s="23"/>
      <c r="AB146" s="85"/>
      <c r="AC146" s="85"/>
      <c r="AD146" s="23"/>
      <c r="AE146" s="23"/>
      <c r="AF146" s="85"/>
      <c r="AG146" s="85"/>
      <c r="AH146" s="23"/>
      <c r="AI146" s="23"/>
      <c r="AJ146" s="24"/>
      <c r="AK146" s="24"/>
      <c r="AL146" s="25"/>
      <c r="AM146" s="25"/>
      <c r="AN146" s="387"/>
      <c r="AO146" s="388"/>
    </row>
    <row r="147" spans="1:41" s="108" customFormat="1">
      <c r="A147" s="206" t="s">
        <v>66</v>
      </c>
      <c r="B147" s="85"/>
      <c r="C147" s="85"/>
      <c r="D147" s="85"/>
      <c r="E147" s="85"/>
      <c r="F147" s="23"/>
      <c r="G147" s="23"/>
      <c r="H147" s="85"/>
      <c r="I147" s="85"/>
      <c r="J147" s="23"/>
      <c r="K147" s="23"/>
      <c r="L147" s="85"/>
      <c r="M147" s="85"/>
      <c r="N147" s="23"/>
      <c r="O147" s="23"/>
      <c r="P147" s="85"/>
      <c r="Q147" s="85"/>
      <c r="R147" s="23"/>
      <c r="S147" s="23"/>
      <c r="T147" s="85"/>
      <c r="U147" s="85"/>
      <c r="V147" s="23"/>
      <c r="W147" s="23"/>
      <c r="X147" s="85"/>
      <c r="Y147" s="85"/>
      <c r="Z147" s="23"/>
      <c r="AA147" s="23"/>
      <c r="AB147" s="85"/>
      <c r="AC147" s="85"/>
      <c r="AD147" s="23"/>
      <c r="AE147" s="23"/>
      <c r="AF147" s="85"/>
      <c r="AG147" s="85"/>
      <c r="AH147" s="23"/>
      <c r="AI147" s="23"/>
      <c r="AJ147" s="24"/>
      <c r="AK147" s="24"/>
      <c r="AL147" s="25"/>
      <c r="AM147" s="25"/>
      <c r="AN147" s="387"/>
      <c r="AO147" s="388"/>
    </row>
    <row r="148" spans="1:41" s="108" customFormat="1">
      <c r="A148" s="203" t="s">
        <v>26</v>
      </c>
      <c r="B148" s="322">
        <v>527732117.74000001</v>
      </c>
      <c r="C148" s="322">
        <v>47.036000000000001</v>
      </c>
      <c r="D148" s="322">
        <v>530584831.11000001</v>
      </c>
      <c r="E148" s="322">
        <v>47.287999999999997</v>
      </c>
      <c r="F148" s="23">
        <f>((D148-B148)/B148)</f>
        <v>5.4056087816232992E-3</v>
      </c>
      <c r="G148" s="23">
        <f>((E148-C148)/C148)</f>
        <v>5.3575984352409924E-3</v>
      </c>
      <c r="H148" s="322">
        <v>552739546.01999998</v>
      </c>
      <c r="I148" s="322">
        <v>49.226199999999999</v>
      </c>
      <c r="J148" s="23">
        <f t="shared" ref="J148:J150" si="148">((H148-D148)/D148)</f>
        <v>4.1755273824265977E-2</v>
      </c>
      <c r="K148" s="23">
        <f t="shared" ref="K148:K150" si="149">((I148-E148)/E148)</f>
        <v>4.0987142615462741E-2</v>
      </c>
      <c r="L148" s="322">
        <v>553697096.74000001</v>
      </c>
      <c r="M148" s="322">
        <v>49.293700000000001</v>
      </c>
      <c r="N148" s="23">
        <f t="shared" ref="N148:N150" si="150">((L148-H148)/H148)</f>
        <v>1.7323723748280194E-3</v>
      </c>
      <c r="O148" s="23">
        <f t="shared" ref="O148:O150" si="151">((M148-I148)/I148)</f>
        <v>1.3712210164506414E-3</v>
      </c>
      <c r="P148" s="322">
        <v>570051962.25</v>
      </c>
      <c r="Q148" s="322">
        <v>50.7348</v>
      </c>
      <c r="R148" s="23">
        <f t="shared" ref="R148:R150" si="152">((P148-L148)/L148)</f>
        <v>2.9537567753727553E-2</v>
      </c>
      <c r="S148" s="23">
        <f t="shared" ref="S148:S150" si="153">((Q148-M148)/M148)</f>
        <v>2.9234973231873417E-2</v>
      </c>
      <c r="T148" s="322">
        <v>560142407.38999999</v>
      </c>
      <c r="U148" s="322">
        <v>49.010100000000001</v>
      </c>
      <c r="V148" s="23">
        <f t="shared" ref="V148:V150" si="154">((T148-P148)/P148)</f>
        <v>-1.7383599243982806E-2</v>
      </c>
      <c r="W148" s="23">
        <f t="shared" ref="W148:W150" si="155">((U148-Q148)/Q148)</f>
        <v>-3.3994418032592982E-2</v>
      </c>
      <c r="X148" s="322">
        <v>564012366.02999997</v>
      </c>
      <c r="Y148" s="322">
        <v>49.540300000000002</v>
      </c>
      <c r="Z148" s="23">
        <f t="shared" ref="Z148:Z150" si="156">((X148-T148)/T148)</f>
        <v>6.9088835070213158E-3</v>
      </c>
      <c r="AA148" s="23">
        <f t="shared" ref="AA148:AA150" si="157">((Y148-U148)/U148)</f>
        <v>1.0818178293861891E-2</v>
      </c>
      <c r="AB148" s="322">
        <v>633499516.47000003</v>
      </c>
      <c r="AC148" s="322">
        <v>49.963999999999999</v>
      </c>
      <c r="AD148" s="23">
        <f t="shared" ref="AD148:AD150" si="158">((AB148-X148)/X148)</f>
        <v>0.1232014661825766</v>
      </c>
      <c r="AE148" s="23">
        <f t="shared" ref="AE148:AE150" si="159">((AC148-Y148)/Y148)</f>
        <v>8.5526329069463974E-3</v>
      </c>
      <c r="AF148" s="322">
        <v>672688341.98000002</v>
      </c>
      <c r="AG148" s="322">
        <v>49.786200000000001</v>
      </c>
      <c r="AH148" s="23">
        <f t="shared" ref="AH148:AH150" si="160">((AF148-AB148)/AB148)</f>
        <v>6.186086096540188E-2</v>
      </c>
      <c r="AI148" s="23">
        <f t="shared" ref="AI148:AI150" si="161">((AG148-AC148)/AC148)</f>
        <v>-3.5585621647585808E-3</v>
      </c>
      <c r="AJ148" s="24">
        <f t="shared" si="136"/>
        <v>3.1627304268182728E-2</v>
      </c>
      <c r="AK148" s="24">
        <f t="shared" si="137"/>
        <v>7.3460957878105637E-3</v>
      </c>
      <c r="AL148" s="25">
        <f t="shared" si="138"/>
        <v>0.26782429978767963</v>
      </c>
      <c r="AM148" s="25">
        <f t="shared" si="139"/>
        <v>5.2829470478768494E-2</v>
      </c>
      <c r="AN148" s="387">
        <f t="shared" si="140"/>
        <v>4.4723261927450131E-2</v>
      </c>
      <c r="AO148" s="388">
        <f t="shared" si="141"/>
        <v>2.2334972494857493E-2</v>
      </c>
    </row>
    <row r="149" spans="1:41">
      <c r="A149" s="203" t="s">
        <v>189</v>
      </c>
      <c r="B149" s="321">
        <v>615246797.87</v>
      </c>
      <c r="C149" s="322">
        <v>17.235700000000001</v>
      </c>
      <c r="D149" s="321">
        <v>626073062.55999994</v>
      </c>
      <c r="E149" s="322">
        <v>17.503299999999999</v>
      </c>
      <c r="F149" s="23">
        <f>((D149-B149)/B149)</f>
        <v>1.7596620945416929E-2</v>
      </c>
      <c r="G149" s="23">
        <f>((E149-C149)/C149)</f>
        <v>1.5525914236149274E-2</v>
      </c>
      <c r="H149" s="321">
        <v>642802512.97000003</v>
      </c>
      <c r="I149" s="322">
        <v>17.9407</v>
      </c>
      <c r="J149" s="23">
        <f t="shared" si="148"/>
        <v>2.6721242951411622E-2</v>
      </c>
      <c r="K149" s="23">
        <f t="shared" si="149"/>
        <v>2.4989573394731294E-2</v>
      </c>
      <c r="L149" s="321">
        <v>644464660.75</v>
      </c>
      <c r="M149" s="322">
        <v>18.047000000000001</v>
      </c>
      <c r="N149" s="23">
        <f t="shared" si="150"/>
        <v>2.5857829527146619E-3</v>
      </c>
      <c r="O149" s="23">
        <f t="shared" si="151"/>
        <v>5.9250753872480419E-3</v>
      </c>
      <c r="P149" s="321">
        <v>666894621.00999999</v>
      </c>
      <c r="Q149" s="322">
        <v>18.789100000000001</v>
      </c>
      <c r="R149" s="23">
        <f t="shared" si="152"/>
        <v>3.4804018941701126E-2</v>
      </c>
      <c r="S149" s="23">
        <f t="shared" si="153"/>
        <v>4.1120407824015104E-2</v>
      </c>
      <c r="T149" s="321">
        <v>670148774.55999994</v>
      </c>
      <c r="U149" s="322">
        <v>18.596599999999999</v>
      </c>
      <c r="V149" s="23">
        <f t="shared" si="154"/>
        <v>4.8795618490243553E-3</v>
      </c>
      <c r="W149" s="23">
        <f t="shared" si="155"/>
        <v>-1.0245301797318794E-2</v>
      </c>
      <c r="X149" s="321">
        <v>700102294.53999996</v>
      </c>
      <c r="Y149" s="322">
        <v>18.632400000000001</v>
      </c>
      <c r="Z149" s="23">
        <f t="shared" si="156"/>
        <v>4.4696821238935522E-2</v>
      </c>
      <c r="AA149" s="23">
        <f t="shared" si="157"/>
        <v>1.92508307970284E-3</v>
      </c>
      <c r="AB149" s="321">
        <v>734771784.5</v>
      </c>
      <c r="AC149" s="322">
        <v>18.632400000000001</v>
      </c>
      <c r="AD149" s="23">
        <f t="shared" si="158"/>
        <v>4.952060610339739E-2</v>
      </c>
      <c r="AE149" s="23">
        <f t="shared" si="159"/>
        <v>0</v>
      </c>
      <c r="AF149" s="321">
        <v>733076612.84000003</v>
      </c>
      <c r="AG149" s="322">
        <v>20.182600000000001</v>
      </c>
      <c r="AH149" s="23">
        <f t="shared" si="160"/>
        <v>-2.3070723396836786E-3</v>
      </c>
      <c r="AI149" s="23">
        <f t="shared" si="161"/>
        <v>8.3199158455164138E-2</v>
      </c>
      <c r="AJ149" s="24">
        <f t="shared" si="136"/>
        <v>2.2312197830364738E-2</v>
      </c>
      <c r="AK149" s="24">
        <f t="shared" si="137"/>
        <v>2.0304988822461484E-2</v>
      </c>
      <c r="AL149" s="25">
        <f t="shared" si="138"/>
        <v>0.1709122412046683</v>
      </c>
      <c r="AM149" s="25">
        <f t="shared" si="139"/>
        <v>0.15307399176155362</v>
      </c>
      <c r="AN149" s="387">
        <f t="shared" si="140"/>
        <v>1.9778153494988973E-2</v>
      </c>
      <c r="AO149" s="388">
        <f t="shared" si="141"/>
        <v>3.0056990634611695E-2</v>
      </c>
    </row>
    <row r="150" spans="1:41">
      <c r="A150" s="203" t="s">
        <v>25</v>
      </c>
      <c r="B150" s="321">
        <v>1942372554.4100001</v>
      </c>
      <c r="C150" s="322">
        <v>1.56</v>
      </c>
      <c r="D150" s="321">
        <v>1949046823.76</v>
      </c>
      <c r="E150" s="322">
        <v>1.59</v>
      </c>
      <c r="F150" s="23">
        <f>((D150-B150)/B150)</f>
        <v>3.4361427393763957E-3</v>
      </c>
      <c r="G150" s="23">
        <f>((E150-C150)/C150)</f>
        <v>1.9230769230769246E-2</v>
      </c>
      <c r="H150" s="321">
        <v>2029359733.5899999</v>
      </c>
      <c r="I150" s="322">
        <v>1.65</v>
      </c>
      <c r="J150" s="23">
        <f t="shared" si="148"/>
        <v>4.1206249563088701E-2</v>
      </c>
      <c r="K150" s="23">
        <f t="shared" si="149"/>
        <v>3.7735849056603668E-2</v>
      </c>
      <c r="L150" s="321">
        <v>2028082306.55</v>
      </c>
      <c r="M150" s="322">
        <v>1.65</v>
      </c>
      <c r="N150" s="23">
        <f t="shared" si="150"/>
        <v>-6.294729410739584E-4</v>
      </c>
      <c r="O150" s="23">
        <f t="shared" si="151"/>
        <v>0</v>
      </c>
      <c r="P150" s="321">
        <v>2157448391.9299998</v>
      </c>
      <c r="Q150" s="322">
        <v>1.75</v>
      </c>
      <c r="R150" s="23">
        <f t="shared" si="152"/>
        <v>6.3787394112256909E-2</v>
      </c>
      <c r="S150" s="23">
        <f t="shared" si="153"/>
        <v>6.0606060606060663E-2</v>
      </c>
      <c r="T150" s="321">
        <v>2148127307.8800001</v>
      </c>
      <c r="U150" s="322">
        <v>1.76</v>
      </c>
      <c r="V150" s="23">
        <f t="shared" si="154"/>
        <v>-4.3204204025762598E-3</v>
      </c>
      <c r="W150" s="23">
        <f t="shared" si="155"/>
        <v>5.7142857142857195E-3</v>
      </c>
      <c r="X150" s="321">
        <v>2217566508.8699999</v>
      </c>
      <c r="Y150" s="322">
        <v>1.82</v>
      </c>
      <c r="Z150" s="23">
        <f t="shared" si="156"/>
        <v>3.2325458894021386E-2</v>
      </c>
      <c r="AA150" s="23">
        <f t="shared" si="157"/>
        <v>3.4090909090909123E-2</v>
      </c>
      <c r="AB150" s="321">
        <v>2316194969.7800002</v>
      </c>
      <c r="AC150" s="322">
        <v>1.89</v>
      </c>
      <c r="AD150" s="23">
        <f t="shared" si="158"/>
        <v>4.4475987762034791E-2</v>
      </c>
      <c r="AE150" s="23">
        <f t="shared" si="159"/>
        <v>3.8461538461538373E-2</v>
      </c>
      <c r="AF150" s="321">
        <v>2293789056.5500002</v>
      </c>
      <c r="AG150" s="322">
        <v>1.84</v>
      </c>
      <c r="AH150" s="23">
        <f t="shared" si="160"/>
        <v>-9.6735868622183415E-3</v>
      </c>
      <c r="AI150" s="23">
        <f t="shared" si="161"/>
        <v>-2.6455026455026363E-2</v>
      </c>
      <c r="AJ150" s="24">
        <f t="shared" si="136"/>
        <v>2.1325969108113706E-2</v>
      </c>
      <c r="AK150" s="24">
        <f t="shared" si="137"/>
        <v>2.1173048213142552E-2</v>
      </c>
      <c r="AL150" s="25">
        <f t="shared" si="138"/>
        <v>0.17687734773089822</v>
      </c>
      <c r="AM150" s="25">
        <f t="shared" si="139"/>
        <v>0.15723270440251572</v>
      </c>
      <c r="AN150" s="387">
        <f t="shared" si="140"/>
        <v>2.7453616446520699E-2</v>
      </c>
      <c r="AO150" s="388">
        <f t="shared" si="141"/>
        <v>2.7397938180403709E-2</v>
      </c>
    </row>
    <row r="151" spans="1:41">
      <c r="A151" s="204" t="s">
        <v>42</v>
      </c>
      <c r="B151" s="216">
        <f>SUM(B148:B150)</f>
        <v>3085351470.0200005</v>
      </c>
      <c r="C151" s="85"/>
      <c r="D151" s="216">
        <f>SUM(D148:D150)</f>
        <v>3105704717.4300003</v>
      </c>
      <c r="E151" s="85"/>
      <c r="F151" s="23">
        <f>((D151-B151)/B151)</f>
        <v>6.5967354474101162E-3</v>
      </c>
      <c r="G151" s="23"/>
      <c r="H151" s="216">
        <f>SUM(H148:H150)</f>
        <v>3224901792.5799999</v>
      </c>
      <c r="I151" s="85"/>
      <c r="J151" s="23">
        <f>((H151-D151)/D151)</f>
        <v>3.8380041245078933E-2</v>
      </c>
      <c r="K151" s="23"/>
      <c r="L151" s="216">
        <f>SUM(L148:L150)</f>
        <v>3226244064.04</v>
      </c>
      <c r="M151" s="85"/>
      <c r="N151" s="23">
        <f>((L151-H151)/H151)</f>
        <v>4.1622087937325631E-4</v>
      </c>
      <c r="O151" s="23"/>
      <c r="P151" s="216">
        <f>SUM(P148:P150)</f>
        <v>3394394975.1899996</v>
      </c>
      <c r="Q151" s="85"/>
      <c r="R151" s="23">
        <f>((P151-L151)/L151)</f>
        <v>5.2119711904075848E-2</v>
      </c>
      <c r="S151" s="23"/>
      <c r="T151" s="216">
        <f>SUM(T148:T150)</f>
        <v>3378418489.8299999</v>
      </c>
      <c r="U151" s="85"/>
      <c r="V151" s="23">
        <f>((T151-P151)/P151)</f>
        <v>-4.7067254921049316E-3</v>
      </c>
      <c r="W151" s="23"/>
      <c r="X151" s="216">
        <f>SUM(X148:X150)</f>
        <v>3481681169.4399996</v>
      </c>
      <c r="Y151" s="85"/>
      <c r="Z151" s="23">
        <f>((X151-T151)/T151)</f>
        <v>3.0565390261996752E-2</v>
      </c>
      <c r="AA151" s="23"/>
      <c r="AB151" s="216">
        <f>SUM(AB148:AB150)</f>
        <v>3684466270.75</v>
      </c>
      <c r="AC151" s="85"/>
      <c r="AD151" s="23">
        <f>((AB151-X151)/X151)</f>
        <v>5.824344373916833E-2</v>
      </c>
      <c r="AE151" s="23"/>
      <c r="AF151" s="216">
        <f>SUM(AF148:AF150)</f>
        <v>3699554011.3700004</v>
      </c>
      <c r="AG151" s="85"/>
      <c r="AH151" s="23">
        <f>((AF151-AB151)/AB151)</f>
        <v>4.0949596254355571E-3</v>
      </c>
      <c r="AI151" s="23"/>
      <c r="AJ151" s="24">
        <f t="shared" si="136"/>
        <v>2.3213722201304229E-2</v>
      </c>
      <c r="AK151" s="24"/>
      <c r="AL151" s="25">
        <f t="shared" si="138"/>
        <v>0.1912124132752118</v>
      </c>
      <c r="AM151" s="25"/>
      <c r="AN151" s="387">
        <f t="shared" si="140"/>
        <v>2.4749114516525283E-2</v>
      </c>
      <c r="AO151" s="388"/>
    </row>
    <row r="152" spans="1:41" ht="8.25" customHeight="1">
      <c r="A152" s="204"/>
      <c r="B152" s="85"/>
      <c r="C152" s="85"/>
      <c r="D152" s="85"/>
      <c r="E152" s="85"/>
      <c r="F152" s="23"/>
      <c r="G152" s="23"/>
      <c r="H152" s="85"/>
      <c r="I152" s="85"/>
      <c r="J152" s="23"/>
      <c r="K152" s="23"/>
      <c r="L152" s="85"/>
      <c r="M152" s="85"/>
      <c r="N152" s="23"/>
      <c r="O152" s="23"/>
      <c r="P152" s="85"/>
      <c r="Q152" s="85"/>
      <c r="R152" s="23"/>
      <c r="S152" s="23"/>
      <c r="T152" s="85"/>
      <c r="U152" s="85"/>
      <c r="V152" s="23"/>
      <c r="W152" s="23"/>
      <c r="X152" s="85"/>
      <c r="Y152" s="85"/>
      <c r="Z152" s="23"/>
      <c r="AA152" s="23"/>
      <c r="AB152" s="85"/>
      <c r="AC152" s="85"/>
      <c r="AD152" s="23"/>
      <c r="AE152" s="23"/>
      <c r="AF152" s="85"/>
      <c r="AG152" s="85"/>
      <c r="AH152" s="23"/>
      <c r="AI152" s="23"/>
      <c r="AJ152" s="24"/>
      <c r="AK152" s="24"/>
      <c r="AL152" s="25"/>
      <c r="AM152" s="25"/>
      <c r="AN152" s="387"/>
      <c r="AO152" s="388"/>
    </row>
    <row r="153" spans="1:41">
      <c r="A153" s="207" t="s">
        <v>198</v>
      </c>
      <c r="B153" s="85"/>
      <c r="C153" s="85"/>
      <c r="D153" s="85"/>
      <c r="E153" s="85"/>
      <c r="F153" s="23"/>
      <c r="G153" s="23"/>
      <c r="H153" s="85"/>
      <c r="I153" s="85"/>
      <c r="J153" s="23"/>
      <c r="K153" s="23"/>
      <c r="L153" s="85"/>
      <c r="M153" s="85"/>
      <c r="N153" s="23"/>
      <c r="O153" s="23"/>
      <c r="P153" s="85"/>
      <c r="Q153" s="85"/>
      <c r="R153" s="23"/>
      <c r="S153" s="23"/>
      <c r="T153" s="85"/>
      <c r="U153" s="85"/>
      <c r="V153" s="23"/>
      <c r="W153" s="23"/>
      <c r="X153" s="85"/>
      <c r="Y153" s="85"/>
      <c r="Z153" s="23"/>
      <c r="AA153" s="23"/>
      <c r="AB153" s="85"/>
      <c r="AC153" s="85"/>
      <c r="AD153" s="23"/>
      <c r="AE153" s="23"/>
      <c r="AF153" s="85"/>
      <c r="AG153" s="85"/>
      <c r="AH153" s="23"/>
      <c r="AI153" s="23"/>
      <c r="AJ153" s="24"/>
      <c r="AK153" s="24"/>
      <c r="AL153" s="25"/>
      <c r="AM153" s="25"/>
      <c r="AN153" s="387"/>
      <c r="AO153" s="388"/>
    </row>
    <row r="154" spans="1:41">
      <c r="A154" s="208" t="s">
        <v>199</v>
      </c>
      <c r="B154" s="85"/>
      <c r="C154" s="85"/>
      <c r="D154" s="85"/>
      <c r="E154" s="85"/>
      <c r="F154" s="23"/>
      <c r="G154" s="23"/>
      <c r="H154" s="85"/>
      <c r="I154" s="85"/>
      <c r="J154" s="23"/>
      <c r="K154" s="23"/>
      <c r="L154" s="85"/>
      <c r="M154" s="85"/>
      <c r="N154" s="23"/>
      <c r="O154" s="23"/>
      <c r="P154" s="85"/>
      <c r="Q154" s="85"/>
      <c r="R154" s="23"/>
      <c r="S154" s="23"/>
      <c r="T154" s="85"/>
      <c r="U154" s="85"/>
      <c r="V154" s="23"/>
      <c r="W154" s="23"/>
      <c r="X154" s="85"/>
      <c r="Y154" s="85"/>
      <c r="Z154" s="23"/>
      <c r="AA154" s="23"/>
      <c r="AB154" s="85"/>
      <c r="AC154" s="85"/>
      <c r="AD154" s="23"/>
      <c r="AE154" s="23"/>
      <c r="AF154" s="85"/>
      <c r="AG154" s="85"/>
      <c r="AH154" s="23"/>
      <c r="AI154" s="23"/>
      <c r="AJ154" s="24"/>
      <c r="AK154" s="24"/>
      <c r="AL154" s="25"/>
      <c r="AM154" s="25"/>
      <c r="AN154" s="387"/>
      <c r="AO154" s="388"/>
    </row>
    <row r="155" spans="1:41">
      <c r="A155" s="203" t="s">
        <v>24</v>
      </c>
      <c r="B155" s="316">
        <v>3493586160.0500002</v>
      </c>
      <c r="C155" s="317">
        <v>1.74</v>
      </c>
      <c r="D155" s="316">
        <v>3508106505.0599999</v>
      </c>
      <c r="E155" s="317">
        <v>1.74</v>
      </c>
      <c r="F155" s="23">
        <f>((D148-B155)/B155)</f>
        <v>-0.84812602099889056</v>
      </c>
      <c r="G155" s="23">
        <f>((E155-C155)/C155)</f>
        <v>0</v>
      </c>
      <c r="H155" s="316">
        <v>3538739093.1399999</v>
      </c>
      <c r="I155" s="317">
        <v>1.76</v>
      </c>
      <c r="J155" s="23">
        <f>((H148-D155)/D155)</f>
        <v>-0.84243934862788716</v>
      </c>
      <c r="K155" s="23">
        <f>((I155-E155)/E155)</f>
        <v>1.1494252873563229E-2</v>
      </c>
      <c r="L155" s="316">
        <v>3541879598.8800001</v>
      </c>
      <c r="M155" s="317">
        <v>1.76</v>
      </c>
      <c r="N155" s="23">
        <f>((L148-H155)/H155)</f>
        <v>-0.84353265890289386</v>
      </c>
      <c r="O155" s="23">
        <f>((M155-I155)/I155)</f>
        <v>0</v>
      </c>
      <c r="P155" s="316">
        <v>3589462168.4200001</v>
      </c>
      <c r="Q155" s="317">
        <v>1.79</v>
      </c>
      <c r="R155" s="23">
        <f>((P148-L155)/L155)</f>
        <v>-0.83905382824693997</v>
      </c>
      <c r="S155" s="23">
        <f>((Q155-M155)/M155)</f>
        <v>1.7045454545454562E-2</v>
      </c>
      <c r="T155" s="316">
        <v>3568165804.0900002</v>
      </c>
      <c r="U155" s="317">
        <v>1.78</v>
      </c>
      <c r="V155" s="23">
        <f>((T148-P155)/P155)</f>
        <v>-0.84394809553416694</v>
      </c>
      <c r="W155" s="23">
        <f>((U155-Q155)/Q155)</f>
        <v>-5.5865921787709542E-3</v>
      </c>
      <c r="X155" s="316">
        <v>3601471717.8099999</v>
      </c>
      <c r="Y155" s="317">
        <v>1.8</v>
      </c>
      <c r="Z155" s="23">
        <f>((X148-T155)/T155)</f>
        <v>-0.84193213068083828</v>
      </c>
      <c r="AA155" s="23">
        <f>((Y155-U155)/U155)</f>
        <v>1.1235955056179785E-2</v>
      </c>
      <c r="AB155" s="316">
        <v>3571567897.8600001</v>
      </c>
      <c r="AC155" s="317">
        <v>1.78</v>
      </c>
      <c r="AD155" s="23">
        <f>((AB148-X155)/X155)</f>
        <v>-0.82409982193190146</v>
      </c>
      <c r="AE155" s="23">
        <f>((AC155-Y155)/Y155)</f>
        <v>-1.111111111111112E-2</v>
      </c>
      <c r="AF155" s="316">
        <v>3597174843.0900002</v>
      </c>
      <c r="AG155" s="317">
        <v>1.8</v>
      </c>
      <c r="AH155" s="23">
        <f>((AF148-AB155)/AB155)</f>
        <v>-0.81165461186302545</v>
      </c>
      <c r="AI155" s="23">
        <f>((AG155-AC155)/AC155)</f>
        <v>1.1235955056179785E-2</v>
      </c>
      <c r="AJ155" s="24">
        <f t="shared" si="136"/>
        <v>-0.8368483145983181</v>
      </c>
      <c r="AK155" s="24">
        <f t="shared" si="137"/>
        <v>4.2892392801869104E-3</v>
      </c>
      <c r="AL155" s="25">
        <f t="shared" si="138"/>
        <v>2.5389291317561312E-2</v>
      </c>
      <c r="AM155" s="25">
        <f t="shared" si="139"/>
        <v>3.4482758620689689E-2</v>
      </c>
      <c r="AN155" s="387">
        <f t="shared" si="140"/>
        <v>1.2429744684721798E-2</v>
      </c>
      <c r="AO155" s="388">
        <f t="shared" si="141"/>
        <v>9.8752573587102994E-3</v>
      </c>
    </row>
    <row r="156" spans="1:41">
      <c r="A156" s="202" t="s">
        <v>65</v>
      </c>
      <c r="B156" s="316">
        <v>327594257.86000001</v>
      </c>
      <c r="C156" s="317">
        <v>284.87</v>
      </c>
      <c r="D156" s="316">
        <v>331894601.49000001</v>
      </c>
      <c r="E156" s="317">
        <v>287.95999999999998</v>
      </c>
      <c r="F156" s="23">
        <f>((D149-B156)/B156)</f>
        <v>0.91112343253451411</v>
      </c>
      <c r="G156" s="23">
        <f>((E156-C156)/C156)</f>
        <v>1.0847053041738249E-2</v>
      </c>
      <c r="H156" s="316">
        <v>347783495.20999998</v>
      </c>
      <c r="I156" s="317">
        <v>301.31</v>
      </c>
      <c r="J156" s="23">
        <f>((H149-D156)/D156)</f>
        <v>0.936767003995296</v>
      </c>
      <c r="K156" s="23">
        <f>((I156-E156)/E156)</f>
        <v>4.6360605639672259E-2</v>
      </c>
      <c r="L156" s="316">
        <v>360997946.67000002</v>
      </c>
      <c r="M156" s="317">
        <v>301.24</v>
      </c>
      <c r="N156" s="23">
        <f>((L149-H156)/H156)</f>
        <v>0.85306280955298597</v>
      </c>
      <c r="O156" s="23">
        <f>((M156-I156)/I156)</f>
        <v>-2.3231887424908957E-4</v>
      </c>
      <c r="P156" s="316">
        <v>378637696.44</v>
      </c>
      <c r="Q156" s="317">
        <v>315.91000000000003</v>
      </c>
      <c r="R156" s="23">
        <f>((P149-L156)/L156)</f>
        <v>0.84736402841545821</v>
      </c>
      <c r="S156" s="23">
        <f>((Q156-M156)/M156)</f>
        <v>4.8698711990439569E-2</v>
      </c>
      <c r="T156" s="316">
        <v>371936594.10000002</v>
      </c>
      <c r="U156" s="317">
        <v>315.75</v>
      </c>
      <c r="V156" s="23">
        <f>((T149-P156)/P156)</f>
        <v>0.76989449508283081</v>
      </c>
      <c r="W156" s="23">
        <f>((U156-Q156)/Q156)</f>
        <v>-5.0647336266666136E-4</v>
      </c>
      <c r="X156" s="316">
        <v>378617686.86000001</v>
      </c>
      <c r="Y156" s="317">
        <v>321.64999999999998</v>
      </c>
      <c r="Z156" s="23">
        <f>((X149-T156)/T156)</f>
        <v>0.88231624864470393</v>
      </c>
      <c r="AA156" s="23">
        <f>((Y156-U156)/U156)</f>
        <v>1.8685669041963508E-2</v>
      </c>
      <c r="AB156" s="316">
        <v>404814304.69999999</v>
      </c>
      <c r="AC156" s="317">
        <v>331.03</v>
      </c>
      <c r="AD156" s="23">
        <f>((AB149-X156)/X156)</f>
        <v>0.94066946685375974</v>
      </c>
      <c r="AE156" s="23">
        <f>((AC156-Y156)/Y156)</f>
        <v>2.916213275299237E-2</v>
      </c>
      <c r="AF156" s="316">
        <v>418305013.39999998</v>
      </c>
      <c r="AG156" s="317">
        <v>335.29</v>
      </c>
      <c r="AH156" s="23">
        <f>((AF149-AB156)/AB156)</f>
        <v>0.81089601906056374</v>
      </c>
      <c r="AI156" s="23">
        <f>((AG156-AC156)/AC156)</f>
        <v>1.2868924266682923E-2</v>
      </c>
      <c r="AJ156" s="24">
        <f t="shared" si="136"/>
        <v>0.86901168801751405</v>
      </c>
      <c r="AK156" s="24">
        <f t="shared" si="137"/>
        <v>2.0735538062071641E-2</v>
      </c>
      <c r="AL156" s="25">
        <f t="shared" si="138"/>
        <v>0.26035497872538765</v>
      </c>
      <c r="AM156" s="25">
        <f t="shared" si="139"/>
        <v>0.16436310598694279</v>
      </c>
      <c r="AN156" s="387">
        <f t="shared" si="140"/>
        <v>6.0475103820650099E-2</v>
      </c>
      <c r="AO156" s="388">
        <f t="shared" si="141"/>
        <v>1.9139833064144716E-2</v>
      </c>
    </row>
    <row r="157" spans="1:41" ht="8.25" customHeight="1">
      <c r="A157" s="204"/>
      <c r="B157" s="85"/>
      <c r="C157" s="85"/>
      <c r="D157" s="85"/>
      <c r="E157" s="85"/>
      <c r="F157" s="23"/>
      <c r="G157" s="23"/>
      <c r="H157" s="85"/>
      <c r="I157" s="85"/>
      <c r="J157" s="23"/>
      <c r="K157" s="23"/>
      <c r="L157" s="85"/>
      <c r="M157" s="85"/>
      <c r="N157" s="23"/>
      <c r="O157" s="23"/>
      <c r="P157" s="85"/>
      <c r="Q157" s="85"/>
      <c r="R157" s="23"/>
      <c r="S157" s="23"/>
      <c r="T157" s="85"/>
      <c r="U157" s="85"/>
      <c r="V157" s="23"/>
      <c r="W157" s="23"/>
      <c r="X157" s="85"/>
      <c r="Y157" s="85"/>
      <c r="Z157" s="23"/>
      <c r="AA157" s="23"/>
      <c r="AB157" s="85"/>
      <c r="AC157" s="85"/>
      <c r="AD157" s="23"/>
      <c r="AE157" s="23"/>
      <c r="AF157" s="85"/>
      <c r="AG157" s="85"/>
      <c r="AH157" s="23"/>
      <c r="AI157" s="23"/>
      <c r="AJ157" s="24"/>
      <c r="AK157" s="24"/>
      <c r="AL157" s="25"/>
      <c r="AM157" s="25"/>
      <c r="AN157" s="387"/>
      <c r="AO157" s="388"/>
    </row>
    <row r="158" spans="1:41">
      <c r="A158" s="208" t="s">
        <v>200</v>
      </c>
      <c r="B158" s="85"/>
      <c r="C158" s="85"/>
      <c r="D158" s="85"/>
      <c r="E158" s="85"/>
      <c r="F158" s="23"/>
      <c r="G158" s="23"/>
      <c r="H158" s="85"/>
      <c r="I158" s="85"/>
      <c r="J158" s="23"/>
      <c r="K158" s="23"/>
      <c r="L158" s="85"/>
      <c r="M158" s="85"/>
      <c r="N158" s="23"/>
      <c r="O158" s="23"/>
      <c r="P158" s="85"/>
      <c r="Q158" s="85"/>
      <c r="R158" s="23"/>
      <c r="S158" s="23"/>
      <c r="T158" s="85"/>
      <c r="U158" s="85"/>
      <c r="V158" s="23"/>
      <c r="W158" s="23"/>
      <c r="X158" s="85"/>
      <c r="Y158" s="85"/>
      <c r="Z158" s="23"/>
      <c r="AA158" s="23"/>
      <c r="AB158" s="85"/>
      <c r="AC158" s="85"/>
      <c r="AD158" s="23"/>
      <c r="AE158" s="23"/>
      <c r="AF158" s="85"/>
      <c r="AG158" s="85"/>
      <c r="AH158" s="23"/>
      <c r="AI158" s="23"/>
      <c r="AJ158" s="24"/>
      <c r="AK158" s="24"/>
      <c r="AL158" s="25"/>
      <c r="AM158" s="25"/>
      <c r="AN158" s="387"/>
      <c r="AO158" s="388"/>
    </row>
    <row r="159" spans="1:41">
      <c r="A159" s="202" t="s">
        <v>228</v>
      </c>
      <c r="B159" s="326">
        <v>506418656.02999997</v>
      </c>
      <c r="C159" s="326">
        <v>1042.8900000000001</v>
      </c>
      <c r="D159" s="326">
        <v>505028265.47000003</v>
      </c>
      <c r="E159" s="326">
        <v>1040.03</v>
      </c>
      <c r="F159" s="23">
        <f>((D159-B159)/B159)</f>
        <v>-2.7455358199078212E-3</v>
      </c>
      <c r="G159" s="23">
        <f>((E159-C159)/C159)</f>
        <v>-2.7423793496918437E-3</v>
      </c>
      <c r="H159" s="326">
        <v>506015795.07999998</v>
      </c>
      <c r="I159" s="326">
        <v>1046.97</v>
      </c>
      <c r="J159" s="23">
        <f t="shared" ref="J159:J167" si="162">((H159-D159)/D159)</f>
        <v>1.9553947323738782E-3</v>
      </c>
      <c r="K159" s="23">
        <f t="shared" ref="K159:K161" si="163">((I159-E159)/E159)</f>
        <v>6.6728844360259363E-3</v>
      </c>
      <c r="L159" s="326">
        <v>482005458.32999998</v>
      </c>
      <c r="M159" s="326">
        <v>1049.06</v>
      </c>
      <c r="N159" s="23">
        <f t="shared" ref="N159:N167" si="164">((L159-H159)/H159)</f>
        <v>-4.7449777227218805E-2</v>
      </c>
      <c r="O159" s="23">
        <f t="shared" ref="O159:O161" si="165">((M159-I159)/I159)</f>
        <v>1.996236759410411E-3</v>
      </c>
      <c r="P159" s="326">
        <v>483001369.13</v>
      </c>
      <c r="Q159" s="326">
        <v>1051.23</v>
      </c>
      <c r="R159" s="23">
        <f t="shared" ref="R159:R167" si="166">((P159-L159)/L159)</f>
        <v>2.0661815811184696E-3</v>
      </c>
      <c r="S159" s="23">
        <f t="shared" ref="S159:S161" si="167">((Q159-M159)/M159)</f>
        <v>2.0685184832136129E-3</v>
      </c>
      <c r="T159" s="326">
        <v>481327602.69</v>
      </c>
      <c r="U159" s="326">
        <v>1047.54</v>
      </c>
      <c r="V159" s="23">
        <f t="shared" ref="V159:V167" si="168">((T159-P159)/P159)</f>
        <v>-3.4653451252422904E-3</v>
      </c>
      <c r="W159" s="23">
        <f t="shared" ref="W159:W161" si="169">((U159-Q159)/Q159)</f>
        <v>-3.5101737964099715E-3</v>
      </c>
      <c r="X159" s="326">
        <v>475808601.37</v>
      </c>
      <c r="Y159" s="326">
        <v>1046.3900000000001</v>
      </c>
      <c r="Z159" s="23">
        <f t="shared" ref="Z159:Z167" si="170">((X159-T159)/T159)</f>
        <v>-1.1466205738370082E-2</v>
      </c>
      <c r="AA159" s="23">
        <f t="shared" ref="AA159:AA161" si="171">((Y159-U159)/U159)</f>
        <v>-1.0978101074897986E-3</v>
      </c>
      <c r="AB159" s="326">
        <v>472322105.30000001</v>
      </c>
      <c r="AC159" s="326">
        <v>1035.0899999999999</v>
      </c>
      <c r="AD159" s="23">
        <f t="shared" ref="AD159:AD167" si="172">((AB159-X159)/X159)</f>
        <v>-7.3275179556680841E-3</v>
      </c>
      <c r="AE159" s="23">
        <f t="shared" ref="AE159:AE161" si="173">((AC159-Y159)/Y159)</f>
        <v>-1.0799032865375415E-2</v>
      </c>
      <c r="AF159" s="326">
        <v>473314335.79000002</v>
      </c>
      <c r="AG159" s="326">
        <v>1040.9100000000001</v>
      </c>
      <c r="AH159" s="23">
        <f t="shared" ref="AH159:AH167" si="174">((AF159-AB159)/AB159)</f>
        <v>2.1007496343407104E-3</v>
      </c>
      <c r="AI159" s="23">
        <f t="shared" ref="AI159:AI161" si="175">((AG159-AC159)/AC159)</f>
        <v>5.6226994754080941E-3</v>
      </c>
      <c r="AJ159" s="24">
        <f t="shared" si="136"/>
        <v>-8.2915069898217529E-3</v>
      </c>
      <c r="AK159" s="24">
        <f t="shared" si="137"/>
        <v>-2.2363212061362182E-4</v>
      </c>
      <c r="AL159" s="25">
        <f t="shared" si="138"/>
        <v>-6.2796345963895162E-2</v>
      </c>
      <c r="AM159" s="25">
        <f t="shared" si="139"/>
        <v>8.4612943857399227E-4</v>
      </c>
      <c r="AN159" s="387">
        <f t="shared" si="140"/>
        <v>1.6555997854584417E-2</v>
      </c>
      <c r="AO159" s="388">
        <f t="shared" si="141"/>
        <v>5.6273825155922401E-3</v>
      </c>
    </row>
    <row r="160" spans="1:41">
      <c r="A160" s="202" t="s">
        <v>231</v>
      </c>
      <c r="B160" s="326">
        <v>62170128.969999999</v>
      </c>
      <c r="C160" s="326">
        <v>103.28</v>
      </c>
      <c r="D160" s="326">
        <v>62668088.18</v>
      </c>
      <c r="E160" s="326">
        <v>103.4</v>
      </c>
      <c r="F160" s="23">
        <f>((D160-B160)/B160)</f>
        <v>8.0096216342142312E-3</v>
      </c>
      <c r="G160" s="23">
        <f>((E160-C160)/C160)</f>
        <v>1.1618900077459773E-3</v>
      </c>
      <c r="H160" s="326">
        <v>63874587.5</v>
      </c>
      <c r="I160" s="326">
        <v>103.56</v>
      </c>
      <c r="J160" s="23">
        <f t="shared" si="162"/>
        <v>1.925221201155207E-2</v>
      </c>
      <c r="K160" s="23">
        <f t="shared" si="163"/>
        <v>1.5473887814313016E-3</v>
      </c>
      <c r="L160" s="326">
        <v>61998775.670000002</v>
      </c>
      <c r="M160" s="326">
        <v>103.67</v>
      </c>
      <c r="N160" s="23">
        <f t="shared" si="164"/>
        <v>-2.9367106754309737E-2</v>
      </c>
      <c r="O160" s="23">
        <f t="shared" si="165"/>
        <v>1.0621861722672791E-3</v>
      </c>
      <c r="P160" s="326">
        <v>62119720.93</v>
      </c>
      <c r="Q160" s="326">
        <v>103.78</v>
      </c>
      <c r="R160" s="23">
        <f t="shared" si="166"/>
        <v>1.9507685223294009E-3</v>
      </c>
      <c r="S160" s="23">
        <f t="shared" si="167"/>
        <v>1.0610591299315079E-3</v>
      </c>
      <c r="T160" s="326">
        <v>61962424.829999998</v>
      </c>
      <c r="U160" s="326">
        <v>103.78</v>
      </c>
      <c r="V160" s="23">
        <f t="shared" si="168"/>
        <v>-2.5321443439395293E-3</v>
      </c>
      <c r="W160" s="23">
        <f t="shared" si="169"/>
        <v>0</v>
      </c>
      <c r="X160" s="326">
        <v>62083981.990000002</v>
      </c>
      <c r="Y160" s="326">
        <v>103.89</v>
      </c>
      <c r="Z160" s="23">
        <f t="shared" si="170"/>
        <v>1.9617882988522137E-3</v>
      </c>
      <c r="AA160" s="23">
        <f t="shared" si="171"/>
        <v>1.0599344767777937E-3</v>
      </c>
      <c r="AB160" s="326">
        <v>62216341.759999998</v>
      </c>
      <c r="AC160" s="326">
        <v>103.99</v>
      </c>
      <c r="AD160" s="23">
        <f t="shared" si="172"/>
        <v>2.1319471747368798E-3</v>
      </c>
      <c r="AE160" s="23">
        <f t="shared" si="173"/>
        <v>9.6255655019726941E-4</v>
      </c>
      <c r="AF160" s="326">
        <v>55587448.630000003</v>
      </c>
      <c r="AG160" s="326">
        <v>104.09</v>
      </c>
      <c r="AH160" s="23">
        <f t="shared" si="174"/>
        <v>-0.10654585182090905</v>
      </c>
      <c r="AI160" s="23">
        <f t="shared" si="175"/>
        <v>9.6163092605066388E-4</v>
      </c>
      <c r="AJ160" s="24">
        <f t="shared" si="136"/>
        <v>-1.3142345659684189E-2</v>
      </c>
      <c r="AK160" s="24">
        <f t="shared" si="137"/>
        <v>9.7708075555022413E-4</v>
      </c>
      <c r="AL160" s="25">
        <f t="shared" si="138"/>
        <v>-0.112986366037886</v>
      </c>
      <c r="AM160" s="25">
        <f t="shared" si="139"/>
        <v>6.6731141199226083E-3</v>
      </c>
      <c r="AN160" s="387">
        <f t="shared" si="140"/>
        <v>4.0153434784240591E-2</v>
      </c>
      <c r="AO160" s="388">
        <f t="shared" si="141"/>
        <v>4.3682330444772102E-4</v>
      </c>
    </row>
    <row r="161" spans="1:41">
      <c r="A161" s="202" t="s">
        <v>235</v>
      </c>
      <c r="B161" s="321">
        <v>52092258.890000001</v>
      </c>
      <c r="C161" s="322">
        <v>104.29</v>
      </c>
      <c r="D161" s="321">
        <v>52228214.920000002</v>
      </c>
      <c r="E161" s="322">
        <v>104.54</v>
      </c>
      <c r="F161" s="23">
        <f>((D161-B161)/B161)</f>
        <v>2.6099085141823306E-3</v>
      </c>
      <c r="G161" s="23">
        <f>((E161-C161)/C161)</f>
        <v>2.3971617604755966E-3</v>
      </c>
      <c r="H161" s="321">
        <v>52287491.479999997</v>
      </c>
      <c r="I161" s="322">
        <v>104.75</v>
      </c>
      <c r="J161" s="23">
        <f t="shared" si="162"/>
        <v>1.1349528236948392E-3</v>
      </c>
      <c r="K161" s="23">
        <f t="shared" si="163"/>
        <v>2.0088004591543307E-3</v>
      </c>
      <c r="L161" s="321">
        <v>52366482.539999999</v>
      </c>
      <c r="M161" s="322">
        <v>105.04</v>
      </c>
      <c r="N161" s="23">
        <f t="shared" si="164"/>
        <v>1.5107066291412455E-3</v>
      </c>
      <c r="O161" s="23">
        <f t="shared" si="165"/>
        <v>2.7684964200477922E-3</v>
      </c>
      <c r="P161" s="321">
        <v>52435558.130000003</v>
      </c>
      <c r="Q161" s="322">
        <v>105.29</v>
      </c>
      <c r="R161" s="23">
        <f t="shared" si="166"/>
        <v>1.3190801949938182E-3</v>
      </c>
      <c r="S161" s="23">
        <f t="shared" si="167"/>
        <v>2.3800456968773799E-3</v>
      </c>
      <c r="T161" s="321">
        <v>52504594.890000001</v>
      </c>
      <c r="U161" s="322">
        <v>105.55</v>
      </c>
      <c r="V161" s="23">
        <f t="shared" si="168"/>
        <v>1.3166019865534691E-3</v>
      </c>
      <c r="W161" s="23">
        <f t="shared" si="169"/>
        <v>2.4693703105707178E-3</v>
      </c>
      <c r="X161" s="321">
        <v>52573938.920000002</v>
      </c>
      <c r="Y161" s="322">
        <v>105.8</v>
      </c>
      <c r="Z161" s="23">
        <f t="shared" si="170"/>
        <v>1.3207230747190933E-3</v>
      </c>
      <c r="AA161" s="23">
        <f t="shared" si="171"/>
        <v>2.3685457129322598E-3</v>
      </c>
      <c r="AB161" s="321">
        <v>52643503.560000002</v>
      </c>
      <c r="AC161" s="322">
        <v>105.8</v>
      </c>
      <c r="AD161" s="23">
        <f t="shared" si="172"/>
        <v>1.3231772514868017E-3</v>
      </c>
      <c r="AE161" s="23">
        <f t="shared" si="173"/>
        <v>0</v>
      </c>
      <c r="AF161" s="321">
        <v>52753022.439999998</v>
      </c>
      <c r="AG161" s="322">
        <v>106.3</v>
      </c>
      <c r="AH161" s="23">
        <f t="shared" si="174"/>
        <v>2.0803873715428529E-3</v>
      </c>
      <c r="AI161" s="23">
        <f t="shared" si="175"/>
        <v>4.725897920604915E-3</v>
      </c>
      <c r="AJ161" s="24">
        <f t="shared" si="136"/>
        <v>1.5769422307893063E-3</v>
      </c>
      <c r="AK161" s="24">
        <f t="shared" si="137"/>
        <v>2.3897897850828744E-3</v>
      </c>
      <c r="AL161" s="25">
        <f t="shared" si="138"/>
        <v>1.0048352615609475E-2</v>
      </c>
      <c r="AM161" s="25">
        <f t="shared" si="139"/>
        <v>1.6835660991008139E-2</v>
      </c>
      <c r="AN161" s="387">
        <f t="shared" si="140"/>
        <v>5.049091765874698E-4</v>
      </c>
      <c r="AO161" s="388">
        <f t="shared" si="141"/>
        <v>1.2797322087894161E-3</v>
      </c>
    </row>
    <row r="162" spans="1:41" s="288" customFormat="1">
      <c r="A162" s="202" t="s">
        <v>186</v>
      </c>
      <c r="B162" s="326">
        <v>9440015780.9500008</v>
      </c>
      <c r="C162" s="326">
        <v>128.59</v>
      </c>
      <c r="D162" s="326">
        <v>9385200748.5</v>
      </c>
      <c r="E162" s="326">
        <v>128.86000000000001</v>
      </c>
      <c r="F162" s="23">
        <f>((D162-B162)/B162)</f>
        <v>-5.8066674592449066E-3</v>
      </c>
      <c r="G162" s="23">
        <f>((E162-C162)/C162)</f>
        <v>2.0996967104752332E-3</v>
      </c>
      <c r="H162" s="326">
        <v>9141103160.3999996</v>
      </c>
      <c r="I162" s="326">
        <v>129.11000000000001</v>
      </c>
      <c r="J162" s="23">
        <f t="shared" si="162"/>
        <v>-2.600877643869403E-2</v>
      </c>
      <c r="K162" s="23">
        <f>((I162-E162)/E162)</f>
        <v>1.9400900201769361E-3</v>
      </c>
      <c r="L162" s="326">
        <v>9175697526.1100006</v>
      </c>
      <c r="M162" s="322">
        <v>129.4</v>
      </c>
      <c r="N162" s="23">
        <f t="shared" si="164"/>
        <v>3.7844847720203607E-3</v>
      </c>
      <c r="O162" s="23">
        <f>((M162-I162)/I162)</f>
        <v>2.2461466966152274E-3</v>
      </c>
      <c r="P162" s="326">
        <v>9137554462.4300003</v>
      </c>
      <c r="Q162" s="322">
        <v>129.30000000000001</v>
      </c>
      <c r="R162" s="23">
        <f t="shared" si="166"/>
        <v>-4.1569661130897041E-3</v>
      </c>
      <c r="S162" s="23">
        <f>((Q162-M162)/M162)</f>
        <v>-7.7279752704786952E-4</v>
      </c>
      <c r="T162" s="326">
        <v>9193583412.5200005</v>
      </c>
      <c r="U162" s="322">
        <v>130</v>
      </c>
      <c r="V162" s="23">
        <f t="shared" si="168"/>
        <v>6.131722696742216E-3</v>
      </c>
      <c r="W162" s="23">
        <f>((U162-Q162)/Q162)</f>
        <v>5.4137664346480168E-3</v>
      </c>
      <c r="X162" s="326">
        <v>9208704373.3500004</v>
      </c>
      <c r="Y162" s="322">
        <v>130.29</v>
      </c>
      <c r="Z162" s="23">
        <f t="shared" si="170"/>
        <v>1.6447298242171714E-3</v>
      </c>
      <c r="AA162" s="23">
        <f>((Y162-U162)/U162)</f>
        <v>2.2307692307691695E-3</v>
      </c>
      <c r="AB162" s="326">
        <v>9267051719.9599991</v>
      </c>
      <c r="AC162" s="322">
        <v>130.59</v>
      </c>
      <c r="AD162" s="23">
        <f t="shared" si="172"/>
        <v>6.336108126009125E-3</v>
      </c>
      <c r="AE162" s="23">
        <f>((AC162-Y162)/Y162)</f>
        <v>2.302555836979134E-3</v>
      </c>
      <c r="AF162" s="326">
        <v>9886200568.7700005</v>
      </c>
      <c r="AG162" s="322">
        <v>130.9</v>
      </c>
      <c r="AH162" s="23">
        <f t="shared" si="174"/>
        <v>6.6811847772084515E-2</v>
      </c>
      <c r="AI162" s="23">
        <f>((AG162-AC162)/AC162)</f>
        <v>2.3738417949307165E-3</v>
      </c>
      <c r="AJ162" s="24">
        <f t="shared" si="136"/>
        <v>6.0920603975055934E-3</v>
      </c>
      <c r="AK162" s="24">
        <f t="shared" si="137"/>
        <v>2.2292586496933204E-3</v>
      </c>
      <c r="AL162" s="25">
        <f t="shared" si="138"/>
        <v>5.338189706278508E-2</v>
      </c>
      <c r="AM162" s="25">
        <f t="shared" si="139"/>
        <v>1.5831134564643735E-2</v>
      </c>
      <c r="AN162" s="387">
        <f t="shared" si="140"/>
        <v>2.669709283346219E-2</v>
      </c>
      <c r="AO162" s="388">
        <f t="shared" si="141"/>
        <v>1.6596213064031938E-3</v>
      </c>
    </row>
    <row r="163" spans="1:41" s="302" customFormat="1">
      <c r="A163" s="202" t="s">
        <v>173</v>
      </c>
      <c r="B163" s="326">
        <v>451166384.73000002</v>
      </c>
      <c r="C163" s="327">
        <v>102.31</v>
      </c>
      <c r="D163" s="326">
        <v>471435419.63</v>
      </c>
      <c r="E163" s="327">
        <v>102.5</v>
      </c>
      <c r="F163" s="23">
        <f>((D163-B163)/B163)</f>
        <v>4.4925853490015565E-2</v>
      </c>
      <c r="G163" s="23">
        <f>((E163-C163)/C163)</f>
        <v>1.857100967647324E-3</v>
      </c>
      <c r="H163" s="326">
        <v>482674208.85000002</v>
      </c>
      <c r="I163" s="327">
        <v>102.86</v>
      </c>
      <c r="J163" s="23">
        <f t="shared" si="162"/>
        <v>2.3839509616864697E-2</v>
      </c>
      <c r="K163" s="23">
        <f>((I163-E163)/E163)</f>
        <v>3.512195121951214E-3</v>
      </c>
      <c r="L163" s="326">
        <v>485865024.06</v>
      </c>
      <c r="M163" s="327">
        <v>103.057169968998</v>
      </c>
      <c r="N163" s="23">
        <f t="shared" si="164"/>
        <v>6.6107016938035399E-3</v>
      </c>
      <c r="O163" s="23">
        <f>((M163-I163)/I163)</f>
        <v>1.9168770075636507E-3</v>
      </c>
      <c r="P163" s="326">
        <v>485543074.88999999</v>
      </c>
      <c r="Q163" s="327">
        <v>103.02</v>
      </c>
      <c r="R163" s="23">
        <f t="shared" si="166"/>
        <v>-6.6263088318178431E-4</v>
      </c>
      <c r="S163" s="23">
        <f>((Q163-M163)/M163)</f>
        <v>-3.6067329433926926E-4</v>
      </c>
      <c r="T163" s="326">
        <v>500101506.67000002</v>
      </c>
      <c r="U163" s="327">
        <v>103.54</v>
      </c>
      <c r="V163" s="23">
        <f t="shared" si="168"/>
        <v>2.9983810979691657E-2</v>
      </c>
      <c r="W163" s="23">
        <f>((U163-Q163)/Q163)</f>
        <v>5.0475635798874997E-3</v>
      </c>
      <c r="X163" s="326">
        <v>513138395.72000003</v>
      </c>
      <c r="Y163" s="327">
        <v>103.66</v>
      </c>
      <c r="Z163" s="23">
        <f t="shared" si="170"/>
        <v>2.606848584961895E-2</v>
      </c>
      <c r="AA163" s="23">
        <f>((Y163-U163)/U163)</f>
        <v>1.1589723778249019E-3</v>
      </c>
      <c r="AB163" s="326">
        <v>526813156.19999999</v>
      </c>
      <c r="AC163" s="327">
        <v>101.73</v>
      </c>
      <c r="AD163" s="23">
        <f t="shared" si="172"/>
        <v>2.6649263812762419E-2</v>
      </c>
      <c r="AE163" s="23">
        <f>((AC163-Y163)/Y163)</f>
        <v>-1.8618560679143283E-2</v>
      </c>
      <c r="AF163" s="326">
        <v>570372899.35000002</v>
      </c>
      <c r="AG163" s="327">
        <v>101.92</v>
      </c>
      <c r="AH163" s="23">
        <f t="shared" si="174"/>
        <v>8.2685374572276177E-2</v>
      </c>
      <c r="AI163" s="23">
        <f>((AG163-AC163)/AC163)</f>
        <v>1.8676889806349918E-3</v>
      </c>
      <c r="AJ163" s="24">
        <f t="shared" si="136"/>
        <v>3.0012546141481404E-2</v>
      </c>
      <c r="AK163" s="24">
        <f t="shared" si="137"/>
        <v>-4.5235449224662147E-4</v>
      </c>
      <c r="AL163" s="25">
        <f t="shared" si="138"/>
        <v>0.2098643326325583</v>
      </c>
      <c r="AM163" s="25">
        <f t="shared" si="139"/>
        <v>-5.658536585365837E-3</v>
      </c>
      <c r="AN163" s="387">
        <f t="shared" si="140"/>
        <v>2.5496276717736698E-2</v>
      </c>
      <c r="AO163" s="388">
        <f t="shared" si="141"/>
        <v>7.5110587377138988E-3</v>
      </c>
    </row>
    <row r="164" spans="1:41" s="302" customFormat="1">
      <c r="A164" s="202" t="s">
        <v>130</v>
      </c>
      <c r="B164" s="326">
        <v>8420680757.3199997</v>
      </c>
      <c r="C164" s="327">
        <v>123.77</v>
      </c>
      <c r="D164" s="326">
        <v>8438697526.0600004</v>
      </c>
      <c r="E164" s="327">
        <v>123.91</v>
      </c>
      <c r="F164" s="23">
        <f>((D164-B164)/B164)</f>
        <v>2.1395857721288099E-3</v>
      </c>
      <c r="G164" s="23">
        <f>((E164-C164)/C164)</f>
        <v>1.1311303223721465E-3</v>
      </c>
      <c r="H164" s="326">
        <v>8426296075.5699997</v>
      </c>
      <c r="I164" s="327">
        <v>124.06</v>
      </c>
      <c r="J164" s="23">
        <f t="shared" si="162"/>
        <v>-1.4695929616748474E-3</v>
      </c>
      <c r="K164" s="23">
        <f>((I164-E164)/E164)</f>
        <v>1.2105560487451028E-3</v>
      </c>
      <c r="L164" s="326">
        <v>8389248771.9499998</v>
      </c>
      <c r="M164" s="327">
        <v>124.21</v>
      </c>
      <c r="N164" s="23">
        <f t="shared" si="164"/>
        <v>-4.3966297039347516E-3</v>
      </c>
      <c r="O164" s="23">
        <f>((M164-I164)/I164)</f>
        <v>1.209092374657355E-3</v>
      </c>
      <c r="P164" s="326">
        <v>8383714282.5500002</v>
      </c>
      <c r="Q164" s="327">
        <v>124.35</v>
      </c>
      <c r="R164" s="23">
        <f t="shared" si="166"/>
        <v>-6.5971215664798789E-4</v>
      </c>
      <c r="S164" s="23">
        <f>((Q164-M164)/M164)</f>
        <v>1.1271234200144961E-3</v>
      </c>
      <c r="T164" s="326">
        <v>8384285564.25</v>
      </c>
      <c r="U164" s="327">
        <v>124.47</v>
      </c>
      <c r="V164" s="23">
        <f t="shared" si="168"/>
        <v>6.8141837942746247E-5</v>
      </c>
      <c r="W164" s="23">
        <f>((U164-Q164)/Q164)</f>
        <v>9.650180940893008E-4</v>
      </c>
      <c r="X164" s="326">
        <v>8375626518.8999996</v>
      </c>
      <c r="Y164" s="327">
        <v>124.58</v>
      </c>
      <c r="Z164" s="23">
        <f t="shared" si="170"/>
        <v>-1.0327708048163266E-3</v>
      </c>
      <c r="AA164" s="23">
        <f>((Y164-U164)/U164)</f>
        <v>8.8374708765163838E-4</v>
      </c>
      <c r="AB164" s="326">
        <v>8371419868.3999996</v>
      </c>
      <c r="AC164" s="327">
        <v>124.68</v>
      </c>
      <c r="AD164" s="23">
        <f t="shared" si="172"/>
        <v>-5.0224905450445918E-4</v>
      </c>
      <c r="AE164" s="23">
        <f>((AC164-Y164)/Y164)</f>
        <v>8.0269706212882108E-4</v>
      </c>
      <c r="AF164" s="326">
        <v>8371419868.3999996</v>
      </c>
      <c r="AG164" s="327">
        <v>124.68</v>
      </c>
      <c r="AH164" s="23">
        <f t="shared" si="174"/>
        <v>0</v>
      </c>
      <c r="AI164" s="23">
        <f>((AG164-AC164)/AC164)</f>
        <v>0</v>
      </c>
      <c r="AJ164" s="24">
        <f t="shared" si="136"/>
        <v>-7.31653383938352E-4</v>
      </c>
      <c r="AK164" s="24">
        <f t="shared" si="137"/>
        <v>9.1617055120735754E-4</v>
      </c>
      <c r="AL164" s="25">
        <f t="shared" si="138"/>
        <v>-7.9725167838089958E-3</v>
      </c>
      <c r="AM164" s="25">
        <f t="shared" si="139"/>
        <v>6.2141877168913747E-3</v>
      </c>
      <c r="AN164" s="387">
        <f t="shared" si="140"/>
        <v>1.8339684993685561E-3</v>
      </c>
      <c r="AO164" s="388">
        <f t="shared" si="141"/>
        <v>3.9979582413112531E-4</v>
      </c>
    </row>
    <row r="165" spans="1:41">
      <c r="A165" s="202" t="s">
        <v>164</v>
      </c>
      <c r="B165" s="326">
        <v>2756036312.1100001</v>
      </c>
      <c r="C165" s="327">
        <v>1.1564000000000001</v>
      </c>
      <c r="D165" s="326">
        <v>2984749726.0799999</v>
      </c>
      <c r="E165" s="327">
        <v>1.1592</v>
      </c>
      <c r="F165" s="23">
        <f>((D165-B165)/B165)</f>
        <v>8.2986357242477174E-2</v>
      </c>
      <c r="G165" s="23">
        <f>((E165-C165)/C165)</f>
        <v>2.4213075060531939E-3</v>
      </c>
      <c r="H165" s="326">
        <v>3142835684.8000002</v>
      </c>
      <c r="I165" s="327">
        <v>1.1619999999999999</v>
      </c>
      <c r="J165" s="23">
        <f t="shared" si="162"/>
        <v>5.2964560927398541E-2</v>
      </c>
      <c r="K165" s="23">
        <f>((I165-E165)/E165)</f>
        <v>2.4154589371979929E-3</v>
      </c>
      <c r="L165" s="326">
        <v>3226329725.4699998</v>
      </c>
      <c r="M165" s="327">
        <v>1.1648000000000001</v>
      </c>
      <c r="N165" s="23">
        <f t="shared" si="164"/>
        <v>2.6566467051971535E-2</v>
      </c>
      <c r="O165" s="23">
        <f>((M165-I165)/I165)</f>
        <v>2.4096385542169843E-3</v>
      </c>
      <c r="P165" s="326">
        <v>3238342114.6500001</v>
      </c>
      <c r="Q165" s="327">
        <v>1.1676</v>
      </c>
      <c r="R165" s="23">
        <f t="shared" si="166"/>
        <v>3.7232366813501633E-3</v>
      </c>
      <c r="S165" s="23">
        <f>((Q165-M165)/M165)</f>
        <v>2.4038461538460798E-3</v>
      </c>
      <c r="T165" s="326">
        <v>3468443330.0799999</v>
      </c>
      <c r="U165" s="327">
        <v>1.1212</v>
      </c>
      <c r="V165" s="23">
        <f t="shared" si="168"/>
        <v>7.1055252127019061E-2</v>
      </c>
      <c r="W165" s="23">
        <f>((U165-Q165)/Q165)</f>
        <v>-3.9739636861939015E-2</v>
      </c>
      <c r="X165" s="326">
        <v>3342276402.1599998</v>
      </c>
      <c r="Y165" s="327">
        <v>1.1232</v>
      </c>
      <c r="Z165" s="23">
        <f t="shared" si="170"/>
        <v>-3.6375663637292305E-2</v>
      </c>
      <c r="AA165" s="23">
        <f>((Y165-U165)/U165)</f>
        <v>1.7838030681412789E-3</v>
      </c>
      <c r="AB165" s="326">
        <v>3606710096.7399998</v>
      </c>
      <c r="AC165" s="327">
        <v>1.1251</v>
      </c>
      <c r="AD165" s="23">
        <f t="shared" si="172"/>
        <v>7.9117841483458823E-2</v>
      </c>
      <c r="AE165" s="23">
        <f>((AC165-Y165)/Y165)</f>
        <v>1.6915954415954531E-3</v>
      </c>
      <c r="AF165" s="326">
        <v>3744387243.9099998</v>
      </c>
      <c r="AG165" s="327">
        <v>1.1268</v>
      </c>
      <c r="AH165" s="23">
        <f t="shared" si="174"/>
        <v>3.8172501664173797E-2</v>
      </c>
      <c r="AI165" s="23">
        <f>((AG165-AC165)/AC165)</f>
        <v>1.5109768020620698E-3</v>
      </c>
      <c r="AJ165" s="24">
        <f t="shared" si="136"/>
        <v>3.9776319192569597E-2</v>
      </c>
      <c r="AK165" s="24">
        <f t="shared" si="137"/>
        <v>-3.1378762998532455E-3</v>
      </c>
      <c r="AL165" s="25">
        <f t="shared" si="138"/>
        <v>0.25450626938415521</v>
      </c>
      <c r="AM165" s="25">
        <f t="shared" si="139"/>
        <v>-2.7950310559006198E-2</v>
      </c>
      <c r="AN165" s="387">
        <f t="shared" si="140"/>
        <v>4.1132513732594106E-2</v>
      </c>
      <c r="AO165" s="388">
        <f t="shared" si="141"/>
        <v>1.4794193369422884E-2</v>
      </c>
    </row>
    <row r="166" spans="1:41">
      <c r="A166" s="204" t="s">
        <v>42</v>
      </c>
      <c r="B166" s="76">
        <f>SUM(B155:B165)</f>
        <v>25509760696.910004</v>
      </c>
      <c r="C166" s="85"/>
      <c r="D166" s="76">
        <f>SUM(D155:D165)</f>
        <v>25740009095.389999</v>
      </c>
      <c r="E166" s="85"/>
      <c r="F166" s="23">
        <f>((D166-B166)/B166)</f>
        <v>9.0258940966030186E-3</v>
      </c>
      <c r="G166" s="23"/>
      <c r="H166" s="76">
        <f>SUM(H155:H165)</f>
        <v>25701609592.029999</v>
      </c>
      <c r="I166" s="85"/>
      <c r="J166" s="23">
        <f t="shared" si="162"/>
        <v>-1.4918216702137028E-3</v>
      </c>
      <c r="K166" s="23"/>
      <c r="L166" s="76">
        <f>SUM(L155:L165)</f>
        <v>25776389309.68</v>
      </c>
      <c r="M166" s="85"/>
      <c r="N166" s="23">
        <f t="shared" si="164"/>
        <v>2.9095344158208097E-3</v>
      </c>
      <c r="O166" s="23"/>
      <c r="P166" s="76">
        <f>SUM(P155:P165)</f>
        <v>25810810447.57</v>
      </c>
      <c r="Q166" s="85"/>
      <c r="R166" s="23">
        <f t="shared" si="166"/>
        <v>1.3353746902430963E-3</v>
      </c>
      <c r="S166" s="23"/>
      <c r="T166" s="76">
        <f>SUM(T155:T165)</f>
        <v>26082310834.120003</v>
      </c>
      <c r="U166" s="85"/>
      <c r="V166" s="23">
        <f t="shared" si="168"/>
        <v>1.051886329185622E-2</v>
      </c>
      <c r="W166" s="23"/>
      <c r="X166" s="76">
        <f>SUM(X155:X165)</f>
        <v>26010301617.079998</v>
      </c>
      <c r="Y166" s="85"/>
      <c r="Z166" s="23">
        <f t="shared" si="170"/>
        <v>-2.760844984095684E-3</v>
      </c>
      <c r="AA166" s="23"/>
      <c r="AB166" s="76">
        <f>SUM(AB155:AB165)</f>
        <v>26335558994.479996</v>
      </c>
      <c r="AC166" s="85"/>
      <c r="AD166" s="23">
        <f t="shared" si="172"/>
        <v>1.2504944471171118E-2</v>
      </c>
      <c r="AE166" s="23"/>
      <c r="AF166" s="76">
        <f>SUM(AF155:AF165)</f>
        <v>27169515243.780003</v>
      </c>
      <c r="AG166" s="85"/>
      <c r="AH166" s="23">
        <f t="shared" si="174"/>
        <v>3.1666548239010474E-2</v>
      </c>
      <c r="AI166" s="23"/>
      <c r="AJ166" s="24">
        <f t="shared" si="136"/>
        <v>7.9635615687994182E-3</v>
      </c>
      <c r="AK166" s="24"/>
      <c r="AL166" s="25">
        <f t="shared" si="138"/>
        <v>5.5536349777204459E-2</v>
      </c>
      <c r="AM166" s="25"/>
      <c r="AN166" s="387">
        <f t="shared" si="140"/>
        <v>1.1109886671134373E-2</v>
      </c>
      <c r="AO166" s="388"/>
    </row>
    <row r="167" spans="1:41">
      <c r="A167" s="204" t="s">
        <v>28</v>
      </c>
      <c r="B167" s="303">
        <f>SUM(B21,B53,B86,B111,B118,B145,B151,B166)</f>
        <v>1634067029203.7332</v>
      </c>
      <c r="C167" s="85"/>
      <c r="D167" s="303">
        <f>SUM(D21,D53,D86,D111,D118,D145,D151,D166)</f>
        <v>1627489359351.6582</v>
      </c>
      <c r="E167" s="85"/>
      <c r="F167" s="23">
        <f>((D167-B167)/B167)</f>
        <v>-4.0253366199305748E-3</v>
      </c>
      <c r="G167" s="23"/>
      <c r="H167" s="303">
        <f>SUM(H21,H53,H86,H111,H118,H145,H151,H166)</f>
        <v>1637094592546.9585</v>
      </c>
      <c r="I167" s="85"/>
      <c r="J167" s="23">
        <f t="shared" si="162"/>
        <v>5.9018715791338402E-3</v>
      </c>
      <c r="K167" s="23"/>
      <c r="L167" s="303">
        <f>SUM(L21,L53,L86,L111,L118,L145,L151,L166)</f>
        <v>1644224849788.0632</v>
      </c>
      <c r="M167" s="85"/>
      <c r="N167" s="23">
        <f t="shared" si="164"/>
        <v>4.355433872646068E-3</v>
      </c>
      <c r="O167" s="23"/>
      <c r="P167" s="303">
        <f>SUM(P21,P53,P86,P111,P118,P145,P151,P166)</f>
        <v>1783352855386.8538</v>
      </c>
      <c r="Q167" s="85"/>
      <c r="R167" s="23">
        <f t="shared" si="166"/>
        <v>8.4616167683345622E-2</v>
      </c>
      <c r="S167" s="23"/>
      <c r="T167" s="303">
        <f>SUM(T21,T53,T86,T111,T118,T145,T151,T166)</f>
        <v>1875033373373.3662</v>
      </c>
      <c r="U167" s="85"/>
      <c r="V167" s="23">
        <f t="shared" si="168"/>
        <v>5.1409073481772996E-2</v>
      </c>
      <c r="W167" s="23"/>
      <c r="X167" s="303">
        <f>SUM(X21,X53,X86,X111,X118,X145,X151,X166)</f>
        <v>1877975298694.9844</v>
      </c>
      <c r="Y167" s="85"/>
      <c r="Z167" s="23">
        <f t="shared" si="170"/>
        <v>1.5689989113768978E-3</v>
      </c>
      <c r="AA167" s="23"/>
      <c r="AB167" s="303">
        <f>SUM(AB21,AB53,AB86,AB111,AB118,AB145,AB151,AB166)</f>
        <v>1901850384231.1636</v>
      </c>
      <c r="AC167" s="85"/>
      <c r="AD167" s="23">
        <f t="shared" si="172"/>
        <v>1.2713205308275424E-2</v>
      </c>
      <c r="AE167" s="23"/>
      <c r="AF167" s="303">
        <f>SUM(AF21,AF53,AF86,AF111,AF118,AF145,AF151,AF166)</f>
        <v>1922447870685.2349</v>
      </c>
      <c r="AG167" s="85"/>
      <c r="AH167" s="23">
        <f t="shared" si="174"/>
        <v>1.0830234925339813E-2</v>
      </c>
      <c r="AI167" s="23"/>
      <c r="AJ167" s="24">
        <f t="shared" si="136"/>
        <v>2.0921206142745008E-2</v>
      </c>
      <c r="AK167" s="24"/>
      <c r="AL167" s="25">
        <f t="shared" si="138"/>
        <v>0.1812352932685711</v>
      </c>
      <c r="AM167" s="25"/>
      <c r="AN167" s="387">
        <f t="shared" si="140"/>
        <v>3.0828095489398251E-2</v>
      </c>
      <c r="AO167" s="388"/>
    </row>
    <row r="168" spans="1:41" s="108" customFormat="1" ht="6" customHeight="1">
      <c r="A168" s="204"/>
      <c r="B168" s="85"/>
      <c r="C168" s="85"/>
      <c r="D168" s="85"/>
      <c r="E168" s="85"/>
      <c r="F168" s="23"/>
      <c r="G168" s="23"/>
      <c r="H168" s="85"/>
      <c r="I168" s="85"/>
      <c r="J168" s="23"/>
      <c r="K168" s="23"/>
      <c r="L168" s="85"/>
      <c r="M168" s="85"/>
      <c r="N168" s="23"/>
      <c r="O168" s="23"/>
      <c r="P168" s="85"/>
      <c r="Q168" s="85"/>
      <c r="R168" s="23"/>
      <c r="S168" s="23"/>
      <c r="T168" s="85"/>
      <c r="U168" s="85"/>
      <c r="V168" s="23"/>
      <c r="W168" s="23"/>
      <c r="X168" s="85"/>
      <c r="Y168" s="85"/>
      <c r="Z168" s="23"/>
      <c r="AA168" s="23"/>
      <c r="AB168" s="85"/>
      <c r="AC168" s="85"/>
      <c r="AD168" s="23"/>
      <c r="AE168" s="23"/>
      <c r="AF168" s="85"/>
      <c r="AG168" s="85"/>
      <c r="AH168" s="23"/>
      <c r="AI168" s="23"/>
      <c r="AJ168" s="24"/>
      <c r="AK168" s="24"/>
      <c r="AL168" s="25"/>
      <c r="AM168" s="25"/>
      <c r="AN168" s="387"/>
      <c r="AO168" s="388"/>
    </row>
    <row r="169" spans="1:41" s="108" customFormat="1">
      <c r="A169" s="208" t="s">
        <v>201</v>
      </c>
      <c r="B169" s="85"/>
      <c r="C169" s="85"/>
      <c r="D169" s="85"/>
      <c r="E169" s="85"/>
      <c r="F169" s="23"/>
      <c r="G169" s="23"/>
      <c r="H169" s="85"/>
      <c r="I169" s="85"/>
      <c r="J169" s="23"/>
      <c r="K169" s="23"/>
      <c r="L169" s="85"/>
      <c r="M169" s="85"/>
      <c r="N169" s="23"/>
      <c r="O169" s="23"/>
      <c r="P169" s="85"/>
      <c r="Q169" s="85"/>
      <c r="R169" s="23"/>
      <c r="S169" s="23"/>
      <c r="T169" s="85"/>
      <c r="U169" s="85"/>
      <c r="V169" s="23"/>
      <c r="W169" s="23"/>
      <c r="X169" s="85"/>
      <c r="Y169" s="85"/>
      <c r="Z169" s="23"/>
      <c r="AA169" s="23"/>
      <c r="AB169" s="85"/>
      <c r="AC169" s="85"/>
      <c r="AD169" s="23"/>
      <c r="AE169" s="23"/>
      <c r="AF169" s="85"/>
      <c r="AG169" s="85"/>
      <c r="AH169" s="23"/>
      <c r="AI169" s="23"/>
      <c r="AJ169" s="24"/>
      <c r="AK169" s="24"/>
      <c r="AL169" s="25"/>
      <c r="AM169" s="25"/>
      <c r="AN169" s="387"/>
      <c r="AO169" s="388"/>
    </row>
    <row r="170" spans="1:41" s="108" customFormat="1">
      <c r="A170" s="209" t="s">
        <v>118</v>
      </c>
      <c r="B170" s="326">
        <v>91842597312</v>
      </c>
      <c r="C170" s="327">
        <v>107.58</v>
      </c>
      <c r="D170" s="326">
        <v>91842597312</v>
      </c>
      <c r="E170" s="327">
        <v>107.58</v>
      </c>
      <c r="F170" s="23">
        <f>((D170-B170)/B170)</f>
        <v>0</v>
      </c>
      <c r="G170" s="23">
        <f>((E170-C170)/C170)</f>
        <v>0</v>
      </c>
      <c r="H170" s="326">
        <v>91842597312</v>
      </c>
      <c r="I170" s="327">
        <v>107.58</v>
      </c>
      <c r="J170" s="23">
        <f>((H170-D170)/D170)</f>
        <v>0</v>
      </c>
      <c r="K170" s="23">
        <f>((I170-E170)/E170)</f>
        <v>0</v>
      </c>
      <c r="L170" s="326">
        <v>91842597312</v>
      </c>
      <c r="M170" s="327">
        <v>107.58</v>
      </c>
      <c r="N170" s="23">
        <f>((L170-H170)/H170)</f>
        <v>0</v>
      </c>
      <c r="O170" s="23">
        <f>((M170-I170)/I170)</f>
        <v>0</v>
      </c>
      <c r="P170" s="326">
        <v>91842597312</v>
      </c>
      <c r="Q170" s="327">
        <v>107.58</v>
      </c>
      <c r="R170" s="23">
        <f>((P170-L170)/L170)</f>
        <v>0</v>
      </c>
      <c r="S170" s="23">
        <f>((Q170-M170)/M170)</f>
        <v>0</v>
      </c>
      <c r="T170" s="326">
        <v>91842597312</v>
      </c>
      <c r="U170" s="327">
        <v>107.58</v>
      </c>
      <c r="V170" s="23">
        <f>((T170-P170)/P170)</f>
        <v>0</v>
      </c>
      <c r="W170" s="23">
        <f>((U170-Q170)/Q170)</f>
        <v>0</v>
      </c>
      <c r="X170" s="326">
        <v>91842597312</v>
      </c>
      <c r="Y170" s="327">
        <v>107.58</v>
      </c>
      <c r="Z170" s="23">
        <f>((X170-T170)/T170)</f>
        <v>0</v>
      </c>
      <c r="AA170" s="23">
        <f>((Y170-U170)/U170)</f>
        <v>0</v>
      </c>
      <c r="AB170" s="326">
        <v>91842597312</v>
      </c>
      <c r="AC170" s="327">
        <v>107.58</v>
      </c>
      <c r="AD170" s="23">
        <f>((AB170-X170)/X170)</f>
        <v>0</v>
      </c>
      <c r="AE170" s="23">
        <f>((AC170-Y170)/Y170)</f>
        <v>0</v>
      </c>
      <c r="AF170" s="326">
        <v>91842597312</v>
      </c>
      <c r="AG170" s="327">
        <v>107.58</v>
      </c>
      <c r="AH170" s="23">
        <f>((AF170-AB170)/AB170)</f>
        <v>0</v>
      </c>
      <c r="AI170" s="23">
        <f>((AG170-AC170)/AC170)</f>
        <v>0</v>
      </c>
      <c r="AJ170" s="24">
        <f t="shared" si="136"/>
        <v>0</v>
      </c>
      <c r="AK170" s="24">
        <f t="shared" si="137"/>
        <v>0</v>
      </c>
      <c r="AL170" s="25">
        <f t="shared" si="138"/>
        <v>0</v>
      </c>
      <c r="AM170" s="25">
        <f t="shared" si="139"/>
        <v>0</v>
      </c>
      <c r="AN170" s="387">
        <f t="shared" si="140"/>
        <v>0</v>
      </c>
      <c r="AO170" s="388">
        <f t="shared" si="141"/>
        <v>0</v>
      </c>
    </row>
    <row r="171" spans="1:41" s="108" customFormat="1">
      <c r="A171" s="209" t="s">
        <v>244</v>
      </c>
      <c r="B171" s="326">
        <v>2244832843.7199998</v>
      </c>
      <c r="C171" s="328">
        <v>1000000</v>
      </c>
      <c r="D171" s="326">
        <v>2251636013.6500001</v>
      </c>
      <c r="E171" s="328">
        <v>1000000</v>
      </c>
      <c r="F171" s="23">
        <f>((D171-B171)/B171)</f>
        <v>3.0305908740743954E-3</v>
      </c>
      <c r="G171" s="23">
        <f>((E171-C171)/C171)</f>
        <v>0</v>
      </c>
      <c r="H171" s="326">
        <v>2256738391.0900002</v>
      </c>
      <c r="I171" s="328">
        <v>1000000</v>
      </c>
      <c r="J171" s="23">
        <f>((H171-D171)/D171)</f>
        <v>2.2660756041687578E-3</v>
      </c>
      <c r="K171" s="23">
        <f>((I171-E171)/E171)</f>
        <v>0</v>
      </c>
      <c r="L171" s="326">
        <v>2263541561.02</v>
      </c>
      <c r="M171" s="328">
        <v>1000000</v>
      </c>
      <c r="N171" s="23">
        <f>((L171-H171)/H171)</f>
        <v>3.0146028254138535E-3</v>
      </c>
      <c r="O171" s="23">
        <f>((M171-I171)/I171)</f>
        <v>0</v>
      </c>
      <c r="P171" s="326">
        <v>2268643938.46</v>
      </c>
      <c r="Q171" s="328">
        <v>1000000</v>
      </c>
      <c r="R171" s="23">
        <f>((P171-L171)/L171)</f>
        <v>2.2541567284944473E-3</v>
      </c>
      <c r="S171" s="23">
        <f>((Q171-M171)/M171)</f>
        <v>0</v>
      </c>
      <c r="T171" s="326">
        <v>2274596712.1500001</v>
      </c>
      <c r="U171" s="328">
        <v>1000000</v>
      </c>
      <c r="V171" s="23">
        <f>((T171-P171)/P171)</f>
        <v>2.6239347607985219E-3</v>
      </c>
      <c r="W171" s="23">
        <f>((U171-Q171)/Q171)</f>
        <v>0</v>
      </c>
      <c r="X171" s="326">
        <v>2280549485.8299999</v>
      </c>
      <c r="Y171" s="328">
        <v>1000000</v>
      </c>
      <c r="Z171" s="23">
        <f>((X171-T171)/T171)</f>
        <v>2.6170677413725496E-3</v>
      </c>
      <c r="AA171" s="23">
        <f>((Y171-U171)/U171)</f>
        <v>0</v>
      </c>
      <c r="AB171" s="326">
        <v>2286502259.52</v>
      </c>
      <c r="AC171" s="328">
        <v>1000000</v>
      </c>
      <c r="AD171" s="23">
        <f>((AB171-X171)/X171)</f>
        <v>2.6102365798186403E-3</v>
      </c>
      <c r="AE171" s="23">
        <f>((AC171-Y171)/Y171)</f>
        <v>0</v>
      </c>
      <c r="AF171" s="326">
        <v>2292455033.1999998</v>
      </c>
      <c r="AG171" s="328">
        <v>1000000</v>
      </c>
      <c r="AH171" s="23">
        <f>((AF171-AB171)/AB171)</f>
        <v>2.6034409785580005E-3</v>
      </c>
      <c r="AI171" s="23">
        <f>((AG171-AC171)/AC171)</f>
        <v>0</v>
      </c>
      <c r="AJ171" s="24">
        <f t="shared" si="136"/>
        <v>2.627513261587396E-3</v>
      </c>
      <c r="AK171" s="24">
        <f t="shared" si="137"/>
        <v>0</v>
      </c>
      <c r="AL171" s="25">
        <f t="shared" si="138"/>
        <v>1.8128604846673377E-2</v>
      </c>
      <c r="AM171" s="25">
        <f t="shared" si="139"/>
        <v>0</v>
      </c>
      <c r="AN171" s="387">
        <f t="shared" si="140"/>
        <v>2.8867729046677627E-4</v>
      </c>
      <c r="AO171" s="388">
        <f t="shared" si="141"/>
        <v>0</v>
      </c>
    </row>
    <row r="172" spans="1:41" s="108" customFormat="1">
      <c r="A172" s="204" t="s">
        <v>42</v>
      </c>
      <c r="B172" s="77">
        <f>SUM(B170:B171)</f>
        <v>94087430155.720001</v>
      </c>
      <c r="C172" s="85"/>
      <c r="D172" s="77">
        <f>SUM(D170:D171)</f>
        <v>94094233325.649994</v>
      </c>
      <c r="E172" s="85"/>
      <c r="F172" s="23"/>
      <c r="G172" s="23"/>
      <c r="H172" s="70">
        <f>SUM(H170:H171)</f>
        <v>94099335703.089996</v>
      </c>
      <c r="I172" s="85"/>
      <c r="J172" s="23"/>
      <c r="K172" s="23"/>
      <c r="L172" s="70">
        <f>SUM(L170:L171)</f>
        <v>94106138873.020004</v>
      </c>
      <c r="M172" s="85"/>
      <c r="N172" s="23"/>
      <c r="O172" s="23"/>
      <c r="P172" s="70">
        <f>SUM(P170:P171)</f>
        <v>94111241250.460007</v>
      </c>
      <c r="Q172" s="85"/>
      <c r="R172" s="23"/>
      <c r="S172" s="23"/>
      <c r="T172" s="77">
        <f>SUM(T170:T171)</f>
        <v>94117194024.149994</v>
      </c>
      <c r="U172" s="85"/>
      <c r="V172" s="23"/>
      <c r="W172" s="23"/>
      <c r="X172" s="77">
        <f>SUM(X170:X171)</f>
        <v>94123146797.830002</v>
      </c>
      <c r="Y172" s="85"/>
      <c r="Z172" s="23"/>
      <c r="AA172" s="23"/>
      <c r="AB172" s="77">
        <f>SUM(AB170:AB171)</f>
        <v>94129099571.520004</v>
      </c>
      <c r="AC172" s="85"/>
      <c r="AD172" s="23"/>
      <c r="AE172" s="23"/>
      <c r="AF172" s="77">
        <f>SUM(AF170:AF171)</f>
        <v>94135052345.199997</v>
      </c>
      <c r="AG172" s="85"/>
      <c r="AH172" s="23"/>
      <c r="AI172" s="23"/>
      <c r="AJ172" s="24"/>
      <c r="AK172" s="24"/>
      <c r="AL172" s="25"/>
      <c r="AM172" s="25"/>
      <c r="AN172" s="387"/>
      <c r="AO172" s="388"/>
    </row>
    <row r="173" spans="1:41" ht="6" customHeight="1">
      <c r="A173" s="203"/>
      <c r="B173" s="85"/>
      <c r="C173" s="85"/>
      <c r="D173" s="85"/>
      <c r="E173" s="85"/>
      <c r="F173" s="23"/>
      <c r="G173" s="23"/>
      <c r="H173" s="85"/>
      <c r="I173" s="85"/>
      <c r="J173" s="23"/>
      <c r="K173" s="23"/>
      <c r="L173" s="85"/>
      <c r="M173" s="85"/>
      <c r="N173" s="23"/>
      <c r="O173" s="23"/>
      <c r="P173" s="85"/>
      <c r="Q173" s="85"/>
      <c r="R173" s="23"/>
      <c r="S173" s="23"/>
      <c r="T173" s="85"/>
      <c r="U173" s="85"/>
      <c r="V173" s="23"/>
      <c r="W173" s="23"/>
      <c r="X173" s="85"/>
      <c r="Y173" s="85"/>
      <c r="Z173" s="23"/>
      <c r="AA173" s="23"/>
      <c r="AB173" s="85"/>
      <c r="AC173" s="85"/>
      <c r="AD173" s="23"/>
      <c r="AE173" s="23"/>
      <c r="AF173" s="85"/>
      <c r="AG173" s="85"/>
      <c r="AH173" s="23"/>
      <c r="AI173" s="23"/>
      <c r="AJ173" s="24"/>
      <c r="AK173" s="24"/>
      <c r="AL173" s="25"/>
      <c r="AM173" s="25"/>
      <c r="AN173" s="26"/>
      <c r="AO173" s="78"/>
    </row>
    <row r="174" spans="1:41" ht="26.25" customHeight="1">
      <c r="A174" s="199" t="s">
        <v>46</v>
      </c>
      <c r="B174" s="457" t="s">
        <v>268</v>
      </c>
      <c r="C174" s="457"/>
      <c r="D174" s="457" t="s">
        <v>269</v>
      </c>
      <c r="E174" s="457"/>
      <c r="F174" s="379" t="s">
        <v>58</v>
      </c>
      <c r="G174" s="379" t="s">
        <v>3</v>
      </c>
      <c r="H174" s="457" t="s">
        <v>270</v>
      </c>
      <c r="I174" s="457"/>
      <c r="J174" s="380" t="s">
        <v>58</v>
      </c>
      <c r="K174" s="380" t="s">
        <v>3</v>
      </c>
      <c r="L174" s="457" t="s">
        <v>271</v>
      </c>
      <c r="M174" s="457"/>
      <c r="N174" s="381" t="s">
        <v>58</v>
      </c>
      <c r="O174" s="381" t="s">
        <v>3</v>
      </c>
      <c r="P174" s="457" t="s">
        <v>277</v>
      </c>
      <c r="Q174" s="457"/>
      <c r="R174" s="383" t="s">
        <v>58</v>
      </c>
      <c r="S174" s="383" t="s">
        <v>3</v>
      </c>
      <c r="T174" s="457" t="s">
        <v>278</v>
      </c>
      <c r="U174" s="457"/>
      <c r="V174" s="386" t="s">
        <v>58</v>
      </c>
      <c r="W174" s="386" t="s">
        <v>3</v>
      </c>
      <c r="X174" s="457" t="s">
        <v>279</v>
      </c>
      <c r="Y174" s="457"/>
      <c r="Z174" s="389" t="s">
        <v>58</v>
      </c>
      <c r="AA174" s="389" t="s">
        <v>3</v>
      </c>
      <c r="AB174" s="457" t="s">
        <v>282</v>
      </c>
      <c r="AC174" s="457"/>
      <c r="AD174" s="390" t="s">
        <v>58</v>
      </c>
      <c r="AE174" s="390" t="s">
        <v>3</v>
      </c>
      <c r="AF174" s="457" t="s">
        <v>286</v>
      </c>
      <c r="AG174" s="457"/>
      <c r="AH174" s="403" t="s">
        <v>58</v>
      </c>
      <c r="AI174" s="403" t="s">
        <v>3</v>
      </c>
      <c r="AJ174" s="305" t="s">
        <v>77</v>
      </c>
      <c r="AK174" s="305" t="s">
        <v>77</v>
      </c>
      <c r="AL174" s="305" t="s">
        <v>77</v>
      </c>
      <c r="AM174" s="305" t="s">
        <v>77</v>
      </c>
      <c r="AN174" s="15" t="s">
        <v>77</v>
      </c>
      <c r="AO174" s="16" t="s">
        <v>77</v>
      </c>
    </row>
    <row r="175" spans="1:41">
      <c r="A175" s="203" t="s">
        <v>141</v>
      </c>
      <c r="B175" s="324">
        <v>544522719.61999989</v>
      </c>
      <c r="C175" s="328">
        <v>125.36</v>
      </c>
      <c r="D175" s="324">
        <v>553691893.61000001</v>
      </c>
      <c r="E175" s="328">
        <v>127.48</v>
      </c>
      <c r="F175" s="23">
        <f>((D175-B175)/B175)</f>
        <v>1.6838919037940089E-2</v>
      </c>
      <c r="G175" s="23">
        <f>((E175-C175)/C175)</f>
        <v>1.6911295469049174E-2</v>
      </c>
      <c r="H175" s="324">
        <v>568549482.71652043</v>
      </c>
      <c r="I175" s="328">
        <v>133.87</v>
      </c>
      <c r="J175" s="23">
        <f t="shared" ref="J175:J186" si="176">((H175-D175)/D175)</f>
        <v>2.6833676414604594E-2</v>
      </c>
      <c r="K175" s="23">
        <f t="shared" ref="K175:K186" si="177">((I175-E175)/E175)</f>
        <v>5.0125509883903359E-2</v>
      </c>
      <c r="L175" s="324">
        <v>569226791.08032751</v>
      </c>
      <c r="M175" s="328">
        <v>133.87</v>
      </c>
      <c r="N175" s="23">
        <f t="shared" ref="N175:N186" si="178">((L175-H175)/H175)</f>
        <v>1.19129184775776E-3</v>
      </c>
      <c r="O175" s="23">
        <f t="shared" ref="O175:O186" si="179">((M175-I175)/I175)</f>
        <v>0</v>
      </c>
      <c r="P175" s="324">
        <v>600047009.96603644</v>
      </c>
      <c r="Q175" s="328">
        <v>141.12</v>
      </c>
      <c r="R175" s="23">
        <f t="shared" ref="R175:R186" si="180">((P175-L175)/L175)</f>
        <v>5.4144006165303057E-2</v>
      </c>
      <c r="S175" s="23">
        <f t="shared" ref="S175:S186" si="181">((Q175-M175)/M175)</f>
        <v>5.4157018002539775E-2</v>
      </c>
      <c r="T175" s="324">
        <v>601039980.77340233</v>
      </c>
      <c r="U175" s="328">
        <v>141.34869580983082</v>
      </c>
      <c r="V175" s="23">
        <f t="shared" ref="V175:V186" si="182">((T175-P175)/P175)</f>
        <v>1.6548216904240518E-3</v>
      </c>
      <c r="W175" s="23">
        <f t="shared" ref="W175:W186" si="183">((U175-Q175)/Q175)</f>
        <v>1.6205768837217298E-3</v>
      </c>
      <c r="X175" s="324">
        <v>617211849.94737208</v>
      </c>
      <c r="Y175" s="328">
        <v>145.07259860020719</v>
      </c>
      <c r="Z175" s="23">
        <f t="shared" ref="Z175:Z186" si="184">((X175-T175)/T175)</f>
        <v>2.690647825650502E-2</v>
      </c>
      <c r="AA175" s="23">
        <f t="shared" ref="AA175:AA186" si="185">((Y175-U175)/U175)</f>
        <v>2.6345505128582684E-2</v>
      </c>
      <c r="AB175" s="324">
        <v>649885509.48000002</v>
      </c>
      <c r="AC175" s="328">
        <v>149.62254160930124</v>
      </c>
      <c r="AD175" s="23">
        <f t="shared" ref="AD175:AD186" si="186">((AB175-X175)/X175)</f>
        <v>5.2937511707550546E-2</v>
      </c>
      <c r="AE175" s="23">
        <f t="shared" ref="AE175:AE186" si="187">((AC175-Y175)/Y175)</f>
        <v>3.1363214369881376E-2</v>
      </c>
      <c r="AF175" s="324">
        <v>645539221.20000291</v>
      </c>
      <c r="AG175" s="328">
        <v>151.6</v>
      </c>
      <c r="AH175" s="23">
        <f t="shared" ref="AH175:AH186" si="188">((AF175-AB175)/AB175)</f>
        <v>-6.6877753336503122E-3</v>
      </c>
      <c r="AI175" s="23">
        <f t="shared" ref="AI175:AI186" si="189">((AG175-AC175)/AC175)</f>
        <v>1.3216313327054386E-2</v>
      </c>
      <c r="AJ175" s="24">
        <f t="shared" ref="AJ175" si="190">AVERAGE(F175,J175,N175,R175,V175,Z175,AD175,AH175)</f>
        <v>2.1727366223304349E-2</v>
      </c>
      <c r="AK175" s="24">
        <f t="shared" ref="AK175" si="191">AVERAGE(G175,K175,O175,S175,W175,AA175,AE175,AI175)</f>
        <v>2.4217429133091561E-2</v>
      </c>
      <c r="AL175" s="25">
        <f t="shared" ref="AL175" si="192">((AF175-D175)/D175)</f>
        <v>0.16588165485170844</v>
      </c>
      <c r="AM175" s="25">
        <f t="shared" ref="AM175" si="193">((AG175-E175)/E175)</f>
        <v>0.18920614998431118</v>
      </c>
      <c r="AN175" s="387">
        <f t="shared" ref="AN175" si="194">STDEV(F175,J175,N175,R175,V175,Z175,AD175,AH175)</f>
        <v>2.3095342486148689E-2</v>
      </c>
      <c r="AO175" s="388">
        <f t="shared" ref="AO175" si="195">STDEV(G175,K175,O175,S175,W175,AA175,AE175,AI175)</f>
        <v>2.0335417124689965E-2</v>
      </c>
    </row>
    <row r="176" spans="1:41">
      <c r="A176" s="203" t="s">
        <v>47</v>
      </c>
      <c r="B176" s="324">
        <v>563554352.36000001</v>
      </c>
      <c r="C176" s="328">
        <v>16.87</v>
      </c>
      <c r="D176" s="324">
        <v>573026863.05999994</v>
      </c>
      <c r="E176" s="328">
        <v>17.16</v>
      </c>
      <c r="F176" s="23">
        <f>((D176-B176)/B176)</f>
        <v>1.6808513074793651E-2</v>
      </c>
      <c r="G176" s="23">
        <f>((E176-C176)/C176)</f>
        <v>1.7190278601066932E-2</v>
      </c>
      <c r="H176" s="324">
        <v>618155263.48000002</v>
      </c>
      <c r="I176" s="328">
        <v>18.510000000000002</v>
      </c>
      <c r="J176" s="23">
        <f t="shared" si="176"/>
        <v>7.8754423796140283E-2</v>
      </c>
      <c r="K176" s="23">
        <f t="shared" si="177"/>
        <v>7.8671328671328755E-2</v>
      </c>
      <c r="L176" s="324">
        <v>632300744.70000005</v>
      </c>
      <c r="M176" s="328">
        <v>18.93</v>
      </c>
      <c r="N176" s="23">
        <f t="shared" si="178"/>
        <v>2.2883379072703949E-2</v>
      </c>
      <c r="O176" s="23">
        <f t="shared" si="179"/>
        <v>2.2690437601296496E-2</v>
      </c>
      <c r="P176" s="324">
        <v>671920271.25</v>
      </c>
      <c r="Q176" s="328">
        <v>20.12</v>
      </c>
      <c r="R176" s="23">
        <f t="shared" si="180"/>
        <v>6.265930711310129E-2</v>
      </c>
      <c r="S176" s="23">
        <f t="shared" si="181"/>
        <v>6.2863180137348193E-2</v>
      </c>
      <c r="T176" s="324">
        <v>663747720.25</v>
      </c>
      <c r="U176" s="328">
        <v>19.87</v>
      </c>
      <c r="V176" s="23">
        <f t="shared" si="182"/>
        <v>-1.2162977290142294E-2</v>
      </c>
      <c r="W176" s="23">
        <f t="shared" si="183"/>
        <v>-1.2425447316103379E-2</v>
      </c>
      <c r="X176" s="324">
        <v>676825315.63999999</v>
      </c>
      <c r="Y176" s="328">
        <v>20.260000000000002</v>
      </c>
      <c r="Z176" s="23">
        <f t="shared" si="184"/>
        <v>1.9702659596441734E-2</v>
      </c>
      <c r="AA176" s="23">
        <f t="shared" si="185"/>
        <v>1.9627579265223984E-2</v>
      </c>
      <c r="AB176" s="324">
        <v>681334958.57000005</v>
      </c>
      <c r="AC176" s="328">
        <v>20.260000000000002</v>
      </c>
      <c r="AD176" s="23">
        <f t="shared" si="186"/>
        <v>6.6629347717819757E-3</v>
      </c>
      <c r="AE176" s="23">
        <f t="shared" si="187"/>
        <v>0</v>
      </c>
      <c r="AF176" s="324">
        <v>684264794.10000002</v>
      </c>
      <c r="AG176" s="328">
        <v>20.399999999999999</v>
      </c>
      <c r="AH176" s="23">
        <f t="shared" si="188"/>
        <v>4.3001397376543999E-3</v>
      </c>
      <c r="AI176" s="23">
        <f t="shared" si="189"/>
        <v>6.9101678183611549E-3</v>
      </c>
      <c r="AJ176" s="24">
        <f t="shared" ref="AJ176:AJ188" si="196">AVERAGE(F176,J176,N176,R176,V176,Z176,AD176,AH176)</f>
        <v>2.4951047484059373E-2</v>
      </c>
      <c r="AK176" s="24">
        <f t="shared" ref="AK176:AK188" si="197">AVERAGE(G176,K176,O176,S176,W176,AA176,AE176,AI176)</f>
        <v>2.4440940597315268E-2</v>
      </c>
      <c r="AL176" s="25">
        <f t="shared" ref="AL176:AL188" si="198">((AF176-D176)/D176)</f>
        <v>0.194123414120557</v>
      </c>
      <c r="AM176" s="25">
        <f t="shared" ref="AM176:AM188" si="199">((AG176-E176)/E176)</f>
        <v>0.18881118881118872</v>
      </c>
      <c r="AN176" s="387">
        <f t="shared" ref="AN176:AN188" si="200">STDEV(F176,J176,N176,R176,V176,Z176,AD176,AH176)</f>
        <v>3.059692732888258E-2</v>
      </c>
      <c r="AO176" s="388">
        <f t="shared" ref="AO176:AO188" si="201">STDEV(G176,K176,O176,S176,W176,AA176,AE176,AI176)</f>
        <v>3.1075544860543196E-2</v>
      </c>
    </row>
    <row r="177" spans="1:41">
      <c r="A177" s="203" t="s">
        <v>184</v>
      </c>
      <c r="B177" s="324">
        <v>195954258.77000001</v>
      </c>
      <c r="C177" s="328">
        <v>17.5</v>
      </c>
      <c r="D177" s="324">
        <v>205914916.94999999</v>
      </c>
      <c r="E177" s="328">
        <v>17.5</v>
      </c>
      <c r="F177" s="23">
        <f>((D177-B177)/B177)</f>
        <v>5.083154733417268E-2</v>
      </c>
      <c r="G177" s="23">
        <f>((E177-C177)/C177)</f>
        <v>0</v>
      </c>
      <c r="H177" s="324">
        <v>216279832.46000001</v>
      </c>
      <c r="I177" s="328">
        <v>17.5</v>
      </c>
      <c r="J177" s="23">
        <f t="shared" si="176"/>
        <v>5.0335913801314434E-2</v>
      </c>
      <c r="K177" s="23">
        <f t="shared" si="177"/>
        <v>0</v>
      </c>
      <c r="L177" s="324">
        <v>220748538.19999999</v>
      </c>
      <c r="M177" s="328">
        <v>17.5</v>
      </c>
      <c r="N177" s="23">
        <f t="shared" si="178"/>
        <v>2.0661684860637419E-2</v>
      </c>
      <c r="O177" s="23">
        <f t="shared" si="179"/>
        <v>0</v>
      </c>
      <c r="P177" s="324">
        <v>237232187.46000001</v>
      </c>
      <c r="Q177" s="328">
        <v>17.5</v>
      </c>
      <c r="R177" s="23">
        <f t="shared" si="180"/>
        <v>7.4671612298812598E-2</v>
      </c>
      <c r="S177" s="23">
        <f t="shared" si="181"/>
        <v>0</v>
      </c>
      <c r="T177" s="324">
        <v>240319338.08000001</v>
      </c>
      <c r="U177" s="328">
        <v>17.5</v>
      </c>
      <c r="V177" s="23">
        <f t="shared" si="182"/>
        <v>1.3013203027184212E-2</v>
      </c>
      <c r="W177" s="23">
        <f t="shared" si="183"/>
        <v>0</v>
      </c>
      <c r="X177" s="324">
        <v>246391525.16</v>
      </c>
      <c r="Y177" s="328">
        <v>17.5</v>
      </c>
      <c r="Z177" s="23">
        <f t="shared" si="184"/>
        <v>2.5267159640638699E-2</v>
      </c>
      <c r="AA177" s="23">
        <f t="shared" si="185"/>
        <v>0</v>
      </c>
      <c r="AB177" s="324">
        <v>269798324.99000001</v>
      </c>
      <c r="AC177" s="328">
        <v>19.25</v>
      </c>
      <c r="AD177" s="23">
        <f t="shared" si="186"/>
        <v>9.4998396616118475E-2</v>
      </c>
      <c r="AE177" s="23">
        <f t="shared" si="187"/>
        <v>0.1</v>
      </c>
      <c r="AF177" s="324">
        <v>254765088.81</v>
      </c>
      <c r="AG177" s="328">
        <v>19.25</v>
      </c>
      <c r="AH177" s="23">
        <f t="shared" si="188"/>
        <v>-5.5720272468545565E-2</v>
      </c>
      <c r="AI177" s="23">
        <f t="shared" si="189"/>
        <v>0</v>
      </c>
      <c r="AJ177" s="24">
        <f t="shared" si="196"/>
        <v>3.4257405638791615E-2</v>
      </c>
      <c r="AK177" s="24">
        <f t="shared" si="197"/>
        <v>1.2500000000000001E-2</v>
      </c>
      <c r="AL177" s="25">
        <f t="shared" si="198"/>
        <v>0.23723474036541875</v>
      </c>
      <c r="AM177" s="25">
        <f t="shared" si="199"/>
        <v>0.1</v>
      </c>
      <c r="AN177" s="387">
        <f t="shared" si="200"/>
        <v>4.5777354868526299E-2</v>
      </c>
      <c r="AO177" s="388">
        <f t="shared" si="201"/>
        <v>3.5355339059327376E-2</v>
      </c>
    </row>
    <row r="178" spans="1:41">
      <c r="A178" s="203" t="s">
        <v>183</v>
      </c>
      <c r="B178" s="324">
        <v>266393963.72</v>
      </c>
      <c r="C178" s="328">
        <v>16.5</v>
      </c>
      <c r="D178" s="324">
        <v>276483931.94999999</v>
      </c>
      <c r="E178" s="328">
        <v>16.5</v>
      </c>
      <c r="F178" s="23">
        <f>((D178-B178)/B178)</f>
        <v>3.7876114342460479E-2</v>
      </c>
      <c r="G178" s="23">
        <f>((E178-C178)/C178)</f>
        <v>0</v>
      </c>
      <c r="H178" s="324">
        <v>288939103.25999999</v>
      </c>
      <c r="I178" s="328">
        <v>16.5</v>
      </c>
      <c r="J178" s="23">
        <f t="shared" si="176"/>
        <v>4.5048445391222318E-2</v>
      </c>
      <c r="K178" s="23">
        <f t="shared" si="177"/>
        <v>0</v>
      </c>
      <c r="L178" s="324">
        <v>299628645.58999997</v>
      </c>
      <c r="M178" s="328">
        <v>16.5</v>
      </c>
      <c r="N178" s="23">
        <f t="shared" si="178"/>
        <v>3.6995831333985513E-2</v>
      </c>
      <c r="O178" s="23">
        <f t="shared" si="179"/>
        <v>0</v>
      </c>
      <c r="P178" s="324">
        <v>319540355.49000001</v>
      </c>
      <c r="Q178" s="328">
        <v>16.5</v>
      </c>
      <c r="R178" s="23">
        <f t="shared" si="180"/>
        <v>6.6454627062748989E-2</v>
      </c>
      <c r="S178" s="23">
        <f t="shared" si="181"/>
        <v>0</v>
      </c>
      <c r="T178" s="324">
        <v>327220966.83999997</v>
      </c>
      <c r="U178" s="328">
        <v>16.5</v>
      </c>
      <c r="V178" s="23">
        <f t="shared" si="182"/>
        <v>2.4036436143478997E-2</v>
      </c>
      <c r="W178" s="23">
        <f t="shared" si="183"/>
        <v>0</v>
      </c>
      <c r="X178" s="324">
        <v>347333512.25</v>
      </c>
      <c r="Y178" s="328">
        <v>16.5</v>
      </c>
      <c r="Z178" s="23">
        <f t="shared" si="184"/>
        <v>6.1464720932245101E-2</v>
      </c>
      <c r="AA178" s="23">
        <f t="shared" si="185"/>
        <v>0</v>
      </c>
      <c r="AB178" s="324">
        <v>378558374.58999997</v>
      </c>
      <c r="AC178" s="328">
        <v>26.55</v>
      </c>
      <c r="AD178" s="23">
        <f t="shared" si="186"/>
        <v>8.989878960347851E-2</v>
      </c>
      <c r="AE178" s="23">
        <f t="shared" si="187"/>
        <v>0.60909090909090913</v>
      </c>
      <c r="AF178" s="324">
        <v>333878788.29000002</v>
      </c>
      <c r="AG178" s="328">
        <v>27.77</v>
      </c>
      <c r="AH178" s="23">
        <f t="shared" si="188"/>
        <v>-0.11802561850174484</v>
      </c>
      <c r="AI178" s="23">
        <f t="shared" si="189"/>
        <v>4.5951035781544212E-2</v>
      </c>
      <c r="AJ178" s="24">
        <f t="shared" si="196"/>
        <v>3.0468668288484383E-2</v>
      </c>
      <c r="AK178" s="24">
        <f t="shared" si="197"/>
        <v>8.1880243109056672E-2</v>
      </c>
      <c r="AL178" s="25">
        <f t="shared" si="198"/>
        <v>0.20758839739873006</v>
      </c>
      <c r="AM178" s="25">
        <f t="shared" si="199"/>
        <v>0.68303030303030299</v>
      </c>
      <c r="AN178" s="387">
        <f t="shared" si="200"/>
        <v>6.3459384831615506E-2</v>
      </c>
      <c r="AO178" s="388">
        <f t="shared" si="201"/>
        <v>0.2136312709633123</v>
      </c>
    </row>
    <row r="179" spans="1:41">
      <c r="A179" s="203" t="s">
        <v>32</v>
      </c>
      <c r="B179" s="324">
        <v>656838118.39999998</v>
      </c>
      <c r="C179" s="328">
        <v>12300.8</v>
      </c>
      <c r="D179" s="324">
        <v>670144900</v>
      </c>
      <c r="E179" s="328">
        <v>12550</v>
      </c>
      <c r="F179" s="23">
        <f>((D179-B179)/B179)</f>
        <v>2.0258844953173816E-2</v>
      </c>
      <c r="G179" s="23">
        <f>((E179-C179)/C179)</f>
        <v>2.0258844953173837E-2</v>
      </c>
      <c r="H179" s="324">
        <v>911877646</v>
      </c>
      <c r="I179" s="328">
        <v>17077</v>
      </c>
      <c r="J179" s="23">
        <f t="shared" si="176"/>
        <v>0.36071713147410356</v>
      </c>
      <c r="K179" s="23">
        <f t="shared" si="177"/>
        <v>0.36071713147410356</v>
      </c>
      <c r="L179" s="324">
        <v>906696972.03999996</v>
      </c>
      <c r="M179" s="328">
        <v>16979.98</v>
      </c>
      <c r="N179" s="23">
        <f t="shared" si="178"/>
        <v>-5.6813257597939162E-3</v>
      </c>
      <c r="O179" s="23">
        <f t="shared" si="179"/>
        <v>-5.6813257597939006E-3</v>
      </c>
      <c r="P179" s="324">
        <v>750326200</v>
      </c>
      <c r="Q179" s="328">
        <v>16900</v>
      </c>
      <c r="R179" s="23">
        <f t="shared" si="180"/>
        <v>-0.17246199872949558</v>
      </c>
      <c r="S179" s="23">
        <f t="shared" si="181"/>
        <v>-4.7102528978243538E-3</v>
      </c>
      <c r="T179" s="324">
        <v>679289400</v>
      </c>
      <c r="U179" s="328">
        <v>15300</v>
      </c>
      <c r="V179" s="23">
        <f t="shared" si="182"/>
        <v>-9.4674556213017749E-2</v>
      </c>
      <c r="W179" s="23">
        <f t="shared" si="183"/>
        <v>-9.4674556213017749E-2</v>
      </c>
      <c r="X179" s="324">
        <v>750326200</v>
      </c>
      <c r="Y179" s="328">
        <v>16900</v>
      </c>
      <c r="Z179" s="23">
        <f t="shared" si="184"/>
        <v>0.10457516339869281</v>
      </c>
      <c r="AA179" s="23">
        <f t="shared" si="185"/>
        <v>0.10457516339869281</v>
      </c>
      <c r="AB179" s="324">
        <v>750326200</v>
      </c>
      <c r="AC179" s="328">
        <v>16900</v>
      </c>
      <c r="AD179" s="23">
        <f t="shared" si="186"/>
        <v>0</v>
      </c>
      <c r="AE179" s="23">
        <f t="shared" si="187"/>
        <v>0</v>
      </c>
      <c r="AF179" s="324">
        <v>621572000</v>
      </c>
      <c r="AG179" s="328">
        <v>14000</v>
      </c>
      <c r="AH179" s="23">
        <f t="shared" si="188"/>
        <v>-0.17159763313609466</v>
      </c>
      <c r="AI179" s="23">
        <f t="shared" si="189"/>
        <v>-0.17159763313609466</v>
      </c>
      <c r="AJ179" s="24">
        <f t="shared" si="196"/>
        <v>5.1419532484460358E-3</v>
      </c>
      <c r="AK179" s="24">
        <f t="shared" si="197"/>
        <v>2.6110921477404944E-2</v>
      </c>
      <c r="AL179" s="25">
        <f t="shared" si="198"/>
        <v>-7.2481190261986628E-2</v>
      </c>
      <c r="AM179" s="25">
        <f t="shared" si="199"/>
        <v>0.11553784860557768</v>
      </c>
      <c r="AN179" s="387">
        <f t="shared" si="200"/>
        <v>0.17297239863719593</v>
      </c>
      <c r="AO179" s="388">
        <f t="shared" si="201"/>
        <v>0.15787539209823678</v>
      </c>
    </row>
    <row r="180" spans="1:41">
      <c r="A180" s="203" t="s">
        <v>94</v>
      </c>
      <c r="B180" s="324">
        <v>666980870.99000001</v>
      </c>
      <c r="C180" s="328">
        <v>73</v>
      </c>
      <c r="D180" s="324">
        <v>708650284.42999995</v>
      </c>
      <c r="E180" s="328">
        <v>73</v>
      </c>
      <c r="F180" s="23">
        <f>((D180-B180)/B180)</f>
        <v>6.2474675440316617E-2</v>
      </c>
      <c r="G180" s="23">
        <f>((E180-C180)/C180)</f>
        <v>0</v>
      </c>
      <c r="H180" s="324">
        <v>742279138.32000005</v>
      </c>
      <c r="I180" s="328">
        <v>80</v>
      </c>
      <c r="J180" s="23">
        <f t="shared" si="176"/>
        <v>4.7454794881017143E-2</v>
      </c>
      <c r="K180" s="23">
        <f t="shared" si="177"/>
        <v>9.5890410958904104E-2</v>
      </c>
      <c r="L180" s="324">
        <v>744520289.48000002</v>
      </c>
      <c r="M180" s="328">
        <v>80</v>
      </c>
      <c r="N180" s="23">
        <f t="shared" si="178"/>
        <v>3.019283507108071E-3</v>
      </c>
      <c r="O180" s="23">
        <f t="shared" si="179"/>
        <v>0</v>
      </c>
      <c r="P180" s="324">
        <v>806990931.40999997</v>
      </c>
      <c r="Q180" s="328">
        <v>80</v>
      </c>
      <c r="R180" s="23">
        <f t="shared" si="180"/>
        <v>8.3907239080927815E-2</v>
      </c>
      <c r="S180" s="23">
        <f t="shared" si="181"/>
        <v>0</v>
      </c>
      <c r="T180" s="324">
        <v>812581911.92999995</v>
      </c>
      <c r="U180" s="328">
        <v>83</v>
      </c>
      <c r="V180" s="23">
        <f t="shared" si="182"/>
        <v>6.9281825884105587E-3</v>
      </c>
      <c r="W180" s="23">
        <f t="shared" si="183"/>
        <v>3.7499999999999999E-2</v>
      </c>
      <c r="X180" s="324">
        <v>848051631.63</v>
      </c>
      <c r="Y180" s="328">
        <v>80</v>
      </c>
      <c r="Z180" s="23">
        <f t="shared" si="184"/>
        <v>4.3650639005431854E-2</v>
      </c>
      <c r="AA180" s="23">
        <f t="shared" si="185"/>
        <v>-3.614457831325301E-2</v>
      </c>
      <c r="AB180" s="324">
        <v>891484499.08000004</v>
      </c>
      <c r="AC180" s="328">
        <v>80</v>
      </c>
      <c r="AD180" s="23">
        <f t="shared" si="186"/>
        <v>5.1214885780621382E-2</v>
      </c>
      <c r="AE180" s="23">
        <f t="shared" si="187"/>
        <v>0</v>
      </c>
      <c r="AF180" s="324">
        <v>864910028.80999994</v>
      </c>
      <c r="AG180" s="328">
        <v>88</v>
      </c>
      <c r="AH180" s="23">
        <f t="shared" si="188"/>
        <v>-2.9809234257493645E-2</v>
      </c>
      <c r="AI180" s="23">
        <f t="shared" si="189"/>
        <v>0.1</v>
      </c>
      <c r="AJ180" s="24">
        <f t="shared" si="196"/>
        <v>3.3605058253292477E-2</v>
      </c>
      <c r="AK180" s="24">
        <f t="shared" si="197"/>
        <v>2.4655729080706387E-2</v>
      </c>
      <c r="AL180" s="25">
        <f t="shared" si="198"/>
        <v>0.22050332556584931</v>
      </c>
      <c r="AM180" s="25">
        <f t="shared" si="199"/>
        <v>0.20547945205479451</v>
      </c>
      <c r="AN180" s="387">
        <f t="shared" si="200"/>
        <v>3.710047539567625E-2</v>
      </c>
      <c r="AO180" s="388">
        <f t="shared" si="201"/>
        <v>4.9344867504564058E-2</v>
      </c>
    </row>
    <row r="181" spans="1:41">
      <c r="A181" s="203" t="s">
        <v>40</v>
      </c>
      <c r="B181" s="324">
        <v>476751713.42000002</v>
      </c>
      <c r="C181" s="328">
        <v>247.5</v>
      </c>
      <c r="D181" s="324">
        <v>485296816.36000001</v>
      </c>
      <c r="E181" s="328">
        <v>267.54000000000002</v>
      </c>
      <c r="F181" s="23">
        <f>((D181-B181)/B181)</f>
        <v>1.7923591461688339E-2</v>
      </c>
      <c r="G181" s="23">
        <f>((E181-C181)/C181)</f>
        <v>8.0969696969697053E-2</v>
      </c>
      <c r="H181" s="324">
        <v>511020395.62</v>
      </c>
      <c r="I181" s="328">
        <v>267</v>
      </c>
      <c r="J181" s="23">
        <f t="shared" si="176"/>
        <v>5.300586855883653E-2</v>
      </c>
      <c r="K181" s="23">
        <f t="shared" si="177"/>
        <v>-2.0183897734918905E-3</v>
      </c>
      <c r="L181" s="324">
        <v>511325499.58999997</v>
      </c>
      <c r="M181" s="328">
        <v>260</v>
      </c>
      <c r="N181" s="23">
        <f t="shared" si="178"/>
        <v>5.9704851824905921E-4</v>
      </c>
      <c r="O181" s="23">
        <f t="shared" si="179"/>
        <v>-2.6217228464419477E-2</v>
      </c>
      <c r="P181" s="324">
        <v>539342500.90999997</v>
      </c>
      <c r="Q181" s="328">
        <v>252</v>
      </c>
      <c r="R181" s="23">
        <f t="shared" si="180"/>
        <v>5.4792888957161494E-2</v>
      </c>
      <c r="S181" s="23">
        <f t="shared" si="181"/>
        <v>-3.0769230769230771E-2</v>
      </c>
      <c r="T181" s="324">
        <v>534563252.25999999</v>
      </c>
      <c r="U181" s="328">
        <v>245</v>
      </c>
      <c r="V181" s="23">
        <f t="shared" si="182"/>
        <v>-8.8612498401966083E-3</v>
      </c>
      <c r="W181" s="23">
        <f t="shared" si="183"/>
        <v>-2.7777777777777776E-2</v>
      </c>
      <c r="X181" s="324">
        <v>549661896.79999995</v>
      </c>
      <c r="Y181" s="328">
        <v>242.55</v>
      </c>
      <c r="Z181" s="23">
        <f t="shared" si="184"/>
        <v>2.8244823182601238E-2</v>
      </c>
      <c r="AA181" s="23">
        <f t="shared" si="185"/>
        <v>-9.9999999999999534E-3</v>
      </c>
      <c r="AB181" s="324">
        <v>569847707.58000004</v>
      </c>
      <c r="AC181" s="328">
        <v>241</v>
      </c>
      <c r="AD181" s="23">
        <f t="shared" si="186"/>
        <v>3.6724049633996919E-2</v>
      </c>
      <c r="AE181" s="23">
        <f t="shared" si="187"/>
        <v>-6.3904349618635796E-3</v>
      </c>
      <c r="AF181" s="324">
        <v>565315933.38</v>
      </c>
      <c r="AG181" s="328">
        <v>260.98</v>
      </c>
      <c r="AH181" s="23">
        <f t="shared" si="188"/>
        <v>-7.9526058273452632E-3</v>
      </c>
      <c r="AI181" s="23">
        <f t="shared" si="189"/>
        <v>8.2904564315352772E-2</v>
      </c>
      <c r="AJ181" s="24">
        <f t="shared" si="196"/>
        <v>2.1809301830623962E-2</v>
      </c>
      <c r="AK181" s="24">
        <f t="shared" si="197"/>
        <v>7.5876499422832967E-3</v>
      </c>
      <c r="AL181" s="25">
        <f t="shared" si="198"/>
        <v>0.16488696056196805</v>
      </c>
      <c r="AM181" s="25">
        <f t="shared" si="199"/>
        <v>-2.4519697989085751E-2</v>
      </c>
      <c r="AN181" s="387">
        <f t="shared" si="200"/>
        <v>2.5680789805848658E-2</v>
      </c>
      <c r="AO181" s="388">
        <f t="shared" si="201"/>
        <v>4.7085460727652087E-2</v>
      </c>
    </row>
    <row r="182" spans="1:41">
      <c r="A182" s="203" t="s">
        <v>50</v>
      </c>
      <c r="B182" s="324">
        <v>168578605.78</v>
      </c>
      <c r="C182" s="328">
        <v>7.62</v>
      </c>
      <c r="D182" s="324">
        <v>173904662.09999999</v>
      </c>
      <c r="E182" s="328">
        <v>7.85</v>
      </c>
      <c r="F182" s="23">
        <f>((D182-B182)/B182)</f>
        <v>3.1593904192983135E-2</v>
      </c>
      <c r="G182" s="23">
        <f>((E182-C182)/C182)</f>
        <v>3.0183727034120676E-2</v>
      </c>
      <c r="H182" s="324">
        <v>189198264.24000001</v>
      </c>
      <c r="I182" s="328">
        <v>8.52</v>
      </c>
      <c r="J182" s="23">
        <f t="shared" si="176"/>
        <v>8.7942450508921785E-2</v>
      </c>
      <c r="K182" s="23">
        <f t="shared" si="177"/>
        <v>8.5350318471337575E-2</v>
      </c>
      <c r="L182" s="324">
        <v>189347894.22</v>
      </c>
      <c r="M182" s="328">
        <v>8.5299999999999994</v>
      </c>
      <c r="N182" s="23">
        <f t="shared" si="178"/>
        <v>7.9086338662273377E-4</v>
      </c>
      <c r="O182" s="23">
        <f t="shared" si="179"/>
        <v>1.1737089201877685E-3</v>
      </c>
      <c r="P182" s="324">
        <v>197356308</v>
      </c>
      <c r="Q182" s="328">
        <v>8.8800000000000008</v>
      </c>
      <c r="R182" s="23">
        <f t="shared" si="180"/>
        <v>4.2294707384995606E-2</v>
      </c>
      <c r="S182" s="23">
        <f t="shared" si="181"/>
        <v>4.103165298944917E-2</v>
      </c>
      <c r="T182" s="324">
        <v>197698435.84999999</v>
      </c>
      <c r="U182" s="328">
        <v>8.9</v>
      </c>
      <c r="V182" s="23">
        <f t="shared" si="182"/>
        <v>1.7335541664064472E-3</v>
      </c>
      <c r="W182" s="23">
        <f t="shared" si="183"/>
        <v>2.2522522522522041E-3</v>
      </c>
      <c r="X182" s="324">
        <v>199877902</v>
      </c>
      <c r="Y182" s="328">
        <v>9</v>
      </c>
      <c r="Z182" s="23">
        <f t="shared" si="184"/>
        <v>1.1024195212417539E-2</v>
      </c>
      <c r="AA182" s="23">
        <f t="shared" si="185"/>
        <v>1.1235955056179735E-2</v>
      </c>
      <c r="AB182" s="324">
        <v>199295437.72999999</v>
      </c>
      <c r="AC182" s="328">
        <v>8.98</v>
      </c>
      <c r="AD182" s="23">
        <f t="shared" si="186"/>
        <v>-2.9141003791405152E-3</v>
      </c>
      <c r="AE182" s="23">
        <f t="shared" si="187"/>
        <v>-2.2222222222221749E-3</v>
      </c>
      <c r="AF182" s="324">
        <v>194388024.37</v>
      </c>
      <c r="AG182" s="328">
        <v>8.77</v>
      </c>
      <c r="AH182" s="23">
        <f t="shared" si="188"/>
        <v>-2.4623811843843681E-2</v>
      </c>
      <c r="AI182" s="23">
        <f t="shared" si="189"/>
        <v>-2.3385300668151542E-2</v>
      </c>
      <c r="AJ182" s="24">
        <f t="shared" si="196"/>
        <v>1.8480220328670381E-2</v>
      </c>
      <c r="AK182" s="24">
        <f t="shared" si="197"/>
        <v>1.8202511479144177E-2</v>
      </c>
      <c r="AL182" s="25">
        <f t="shared" si="198"/>
        <v>0.11778500945662693</v>
      </c>
      <c r="AM182" s="25">
        <f t="shared" si="199"/>
        <v>0.11719745222929936</v>
      </c>
      <c r="AN182" s="387">
        <f t="shared" si="200"/>
        <v>3.4905445655879129E-2</v>
      </c>
      <c r="AO182" s="388">
        <f t="shared" si="201"/>
        <v>3.3622243641662088E-2</v>
      </c>
    </row>
    <row r="183" spans="1:41">
      <c r="A183" s="203" t="s">
        <v>59</v>
      </c>
      <c r="B183" s="75">
        <v>385369042.60000002</v>
      </c>
      <c r="C183" s="328">
        <v>4.75</v>
      </c>
      <c r="D183" s="75">
        <v>415044498.97000003</v>
      </c>
      <c r="E183" s="328">
        <v>5.01</v>
      </c>
      <c r="F183" s="23">
        <f>((D183-B183)/B183)</f>
        <v>7.7005293860104171E-2</v>
      </c>
      <c r="G183" s="23">
        <f>((E183-C183)/C183)</f>
        <v>5.4736842105263112E-2</v>
      </c>
      <c r="H183" s="75">
        <v>436504413.43000001</v>
      </c>
      <c r="I183" s="328">
        <v>5.25</v>
      </c>
      <c r="J183" s="23">
        <f t="shared" si="176"/>
        <v>5.1705093100272916E-2</v>
      </c>
      <c r="K183" s="23">
        <f t="shared" si="177"/>
        <v>4.7904191616766512E-2</v>
      </c>
      <c r="L183" s="75">
        <v>442102801.16000003</v>
      </c>
      <c r="M183" s="328">
        <v>5.31</v>
      </c>
      <c r="N183" s="23">
        <f t="shared" si="178"/>
        <v>1.2825500860365996E-2</v>
      </c>
      <c r="O183" s="23">
        <f t="shared" si="179"/>
        <v>1.1428571428571354E-2</v>
      </c>
      <c r="P183" s="75">
        <v>498465018.32999998</v>
      </c>
      <c r="Q183" s="328">
        <v>5.97</v>
      </c>
      <c r="R183" s="23">
        <f t="shared" si="180"/>
        <v>0.12748667735674918</v>
      </c>
      <c r="S183" s="23">
        <f t="shared" si="181"/>
        <v>0.1242937853107345</v>
      </c>
      <c r="T183" s="75">
        <v>502621024</v>
      </c>
      <c r="U183" s="328">
        <v>6.04</v>
      </c>
      <c r="V183" s="23">
        <f t="shared" si="182"/>
        <v>8.3376074893356036E-3</v>
      </c>
      <c r="W183" s="23">
        <f t="shared" si="183"/>
        <v>1.1725293132328356E-2</v>
      </c>
      <c r="X183" s="75">
        <v>541984872</v>
      </c>
      <c r="Y183" s="328">
        <v>6.5</v>
      </c>
      <c r="Z183" s="23">
        <f t="shared" si="184"/>
        <v>7.8317153720971283E-2</v>
      </c>
      <c r="AA183" s="23">
        <f t="shared" si="185"/>
        <v>7.6158940397350994E-2</v>
      </c>
      <c r="AB183" s="75">
        <v>591889585.74000001</v>
      </c>
      <c r="AC183" s="328">
        <v>7.14</v>
      </c>
      <c r="AD183" s="23">
        <f t="shared" si="186"/>
        <v>9.2077687622247897E-2</v>
      </c>
      <c r="AE183" s="23">
        <f t="shared" si="187"/>
        <v>9.8461538461538406E-2</v>
      </c>
      <c r="AF183" s="75">
        <v>513071241.13999999</v>
      </c>
      <c r="AG183" s="328">
        <v>6.12</v>
      </c>
      <c r="AH183" s="23">
        <f t="shared" si="188"/>
        <v>-0.13316393208956145</v>
      </c>
      <c r="AI183" s="23">
        <f t="shared" si="189"/>
        <v>-0.14285714285714279</v>
      </c>
      <c r="AJ183" s="24">
        <f t="shared" si="196"/>
        <v>3.9323885240060696E-2</v>
      </c>
      <c r="AK183" s="24">
        <f t="shared" si="197"/>
        <v>3.52315024494263E-2</v>
      </c>
      <c r="AL183" s="25">
        <f t="shared" si="198"/>
        <v>0.23618369214209356</v>
      </c>
      <c r="AM183" s="25">
        <f t="shared" si="199"/>
        <v>0.22155688622754499</v>
      </c>
      <c r="AN183" s="387">
        <f t="shared" si="200"/>
        <v>8.0235065669389191E-2</v>
      </c>
      <c r="AO183" s="388">
        <f t="shared" si="201"/>
        <v>8.1924115736223713E-2</v>
      </c>
    </row>
    <row r="184" spans="1:41">
      <c r="A184" s="203" t="s">
        <v>92</v>
      </c>
      <c r="B184" s="324">
        <v>480681707.23000002</v>
      </c>
      <c r="C184" s="328">
        <v>137.54</v>
      </c>
      <c r="D184" s="324">
        <v>481713631.29000002</v>
      </c>
      <c r="E184" s="328">
        <v>137.84</v>
      </c>
      <c r="F184" s="23">
        <f>((D184-B184)/B184)</f>
        <v>2.1467928662120689E-3</v>
      </c>
      <c r="G184" s="23">
        <f>((E184-C184)/C184)</f>
        <v>2.1811836556638897E-3</v>
      </c>
      <c r="H184" s="324">
        <v>484508422.19999999</v>
      </c>
      <c r="I184" s="328">
        <v>138.63</v>
      </c>
      <c r="J184" s="23">
        <f t="shared" si="176"/>
        <v>5.8017683712119281E-3</v>
      </c>
      <c r="K184" s="23">
        <f t="shared" si="177"/>
        <v>5.7312826465466633E-3</v>
      </c>
      <c r="L184" s="324">
        <v>486923907.07999998</v>
      </c>
      <c r="M184" s="328">
        <v>139.32</v>
      </c>
      <c r="N184" s="23">
        <f t="shared" si="178"/>
        <v>4.9854342449446804E-3</v>
      </c>
      <c r="O184" s="23">
        <f t="shared" si="179"/>
        <v>4.9772776455312539E-3</v>
      </c>
      <c r="P184" s="324">
        <v>488170026.68000001</v>
      </c>
      <c r="Q184" s="328">
        <v>139.66999999999999</v>
      </c>
      <c r="R184" s="23">
        <f t="shared" si="180"/>
        <v>2.5591670112744959E-3</v>
      </c>
      <c r="S184" s="23">
        <f t="shared" si="181"/>
        <v>2.5122021246051845E-3</v>
      </c>
      <c r="T184" s="324">
        <v>492336350.33999997</v>
      </c>
      <c r="U184" s="328">
        <v>140.85</v>
      </c>
      <c r="V184" s="23">
        <f t="shared" si="182"/>
        <v>8.5345749068920836E-3</v>
      </c>
      <c r="W184" s="23">
        <f t="shared" si="183"/>
        <v>8.4484857163314026E-3</v>
      </c>
      <c r="X184" s="324">
        <v>507791644.63</v>
      </c>
      <c r="Y184" s="328">
        <v>145.24</v>
      </c>
      <c r="Z184" s="23">
        <f t="shared" si="184"/>
        <v>3.1391739162316232E-2</v>
      </c>
      <c r="AA184" s="23">
        <f t="shared" si="185"/>
        <v>3.1167909123180796E-2</v>
      </c>
      <c r="AB184" s="324">
        <v>506953261.63999999</v>
      </c>
      <c r="AC184" s="328">
        <v>145.01</v>
      </c>
      <c r="AD184" s="23">
        <f t="shared" si="186"/>
        <v>-1.6510373868220958E-3</v>
      </c>
      <c r="AE184" s="23">
        <f t="shared" si="187"/>
        <v>-1.5835857890389574E-3</v>
      </c>
      <c r="AF184" s="324">
        <v>512094657.22000003</v>
      </c>
      <c r="AG184" s="328">
        <v>146.47</v>
      </c>
      <c r="AH184" s="23">
        <f t="shared" si="188"/>
        <v>1.0141754613369219E-2</v>
      </c>
      <c r="AI184" s="23">
        <f t="shared" si="189"/>
        <v>1.0068271153713592E-2</v>
      </c>
      <c r="AJ184" s="24">
        <f t="shared" si="196"/>
        <v>7.9887742236748258E-3</v>
      </c>
      <c r="AK184" s="24">
        <f t="shared" si="197"/>
        <v>7.9378782845667285E-3</v>
      </c>
      <c r="AL184" s="25">
        <f t="shared" si="198"/>
        <v>6.3068644847440694E-2</v>
      </c>
      <c r="AM184" s="25">
        <f t="shared" si="199"/>
        <v>6.2608821822402752E-2</v>
      </c>
      <c r="AN184" s="387">
        <f t="shared" si="200"/>
        <v>1.0162749803907809E-2</v>
      </c>
      <c r="AO184" s="388">
        <f t="shared" si="201"/>
        <v>1.0080416799000565E-2</v>
      </c>
    </row>
    <row r="185" spans="1:41">
      <c r="A185" s="203" t="s">
        <v>30</v>
      </c>
      <c r="B185" s="324">
        <v>2821817037.1100001</v>
      </c>
      <c r="C185" s="328">
        <v>19.25</v>
      </c>
      <c r="D185" s="324">
        <v>2877245532.1900001</v>
      </c>
      <c r="E185" s="328">
        <v>19.600000000000001</v>
      </c>
      <c r="F185" s="23">
        <f>((D185-B185)/B185)</f>
        <v>1.9642838054719423E-2</v>
      </c>
      <c r="G185" s="23">
        <f>((E185-C185)/C185)</f>
        <v>1.8181818181818257E-2</v>
      </c>
      <c r="H185" s="324">
        <v>2970390003.2800002</v>
      </c>
      <c r="I185" s="328">
        <v>20.64</v>
      </c>
      <c r="J185" s="23">
        <f t="shared" si="176"/>
        <v>3.2372791980357592E-2</v>
      </c>
      <c r="K185" s="23">
        <f t="shared" si="177"/>
        <v>5.3061224489795868E-2</v>
      </c>
      <c r="L185" s="324">
        <v>2972993050.9299998</v>
      </c>
      <c r="M185" s="328">
        <v>20.66</v>
      </c>
      <c r="N185" s="23">
        <f t="shared" si="178"/>
        <v>8.7633194534227814E-4</v>
      </c>
      <c r="O185" s="23">
        <f t="shared" si="179"/>
        <v>9.6899224806199478E-4</v>
      </c>
      <c r="P185" s="324">
        <v>3138143313.6799998</v>
      </c>
      <c r="Q185" s="328">
        <v>21.81</v>
      </c>
      <c r="R185" s="23">
        <f t="shared" si="180"/>
        <v>5.5550167767239936E-2</v>
      </c>
      <c r="S185" s="23">
        <f t="shared" si="181"/>
        <v>5.5663117134559466E-2</v>
      </c>
      <c r="T185" s="324">
        <v>3149429292.5500002</v>
      </c>
      <c r="U185" s="328">
        <v>21.85</v>
      </c>
      <c r="V185" s="23">
        <f t="shared" si="182"/>
        <v>3.5963873354036397E-3</v>
      </c>
      <c r="W185" s="23">
        <f t="shared" si="183"/>
        <v>1.8340210912426733E-3</v>
      </c>
      <c r="X185" s="324">
        <v>3235566487.0500002</v>
      </c>
      <c r="Y185" s="328">
        <v>22.45</v>
      </c>
      <c r="Z185" s="23">
        <f t="shared" si="184"/>
        <v>2.7350096318643574E-2</v>
      </c>
      <c r="AA185" s="23">
        <f t="shared" si="185"/>
        <v>2.7459954233409512E-2</v>
      </c>
      <c r="AB185" s="324">
        <v>3337665609.6100001</v>
      </c>
      <c r="AC185" s="328">
        <v>23.32</v>
      </c>
      <c r="AD185" s="23">
        <f t="shared" si="186"/>
        <v>3.1555254070234837E-2</v>
      </c>
      <c r="AE185" s="23">
        <f t="shared" si="187"/>
        <v>3.8752783964365302E-2</v>
      </c>
      <c r="AF185" s="324">
        <v>3320048323.1700001</v>
      </c>
      <c r="AG185" s="328">
        <v>23.22</v>
      </c>
      <c r="AH185" s="23">
        <f t="shared" si="188"/>
        <v>-5.2783257823298254E-3</v>
      </c>
      <c r="AI185" s="23">
        <f t="shared" si="189"/>
        <v>-4.288164665523217E-3</v>
      </c>
      <c r="AJ185" s="24">
        <f t="shared" si="196"/>
        <v>2.0708192711201435E-2</v>
      </c>
      <c r="AK185" s="24">
        <f t="shared" si="197"/>
        <v>2.3954218334716233E-2</v>
      </c>
      <c r="AL185" s="25">
        <f t="shared" si="198"/>
        <v>0.15389815920331382</v>
      </c>
      <c r="AM185" s="25">
        <f t="shared" si="199"/>
        <v>0.18469387755102026</v>
      </c>
      <c r="AN185" s="387">
        <f t="shared" si="200"/>
        <v>2.0263797536448143E-2</v>
      </c>
      <c r="AO185" s="388">
        <f t="shared" si="201"/>
        <v>2.3702128731099049E-2</v>
      </c>
    </row>
    <row r="186" spans="1:41">
      <c r="A186" s="203" t="s">
        <v>51</v>
      </c>
      <c r="B186" s="75">
        <v>250409420.94</v>
      </c>
      <c r="C186" s="328">
        <v>23.76</v>
      </c>
      <c r="D186" s="75">
        <v>248562904.30000001</v>
      </c>
      <c r="E186" s="328">
        <v>23.6</v>
      </c>
      <c r="F186" s="23">
        <f>((D186-B186)/B186)</f>
        <v>-7.3739902958460382E-3</v>
      </c>
      <c r="G186" s="23">
        <f>((E186-C186)/C186)</f>
        <v>-6.7340067340067398E-3</v>
      </c>
      <c r="H186" s="75">
        <v>262117710.47999999</v>
      </c>
      <c r="I186" s="328">
        <v>24.97</v>
      </c>
      <c r="J186" s="23">
        <f t="shared" si="176"/>
        <v>5.4532699552143016E-2</v>
      </c>
      <c r="K186" s="23">
        <f t="shared" si="177"/>
        <v>5.8050847457627008E-2</v>
      </c>
      <c r="L186" s="75">
        <v>258746211.59</v>
      </c>
      <c r="M186" s="328">
        <v>24.64</v>
      </c>
      <c r="N186" s="23">
        <f t="shared" si="178"/>
        <v>-1.2862537536383818E-2</v>
      </c>
      <c r="O186" s="23">
        <f t="shared" si="179"/>
        <v>-1.3215859030836937E-2</v>
      </c>
      <c r="P186" s="75">
        <v>253866320.47999999</v>
      </c>
      <c r="Q186" s="328">
        <v>24.24</v>
      </c>
      <c r="R186" s="23">
        <f t="shared" si="180"/>
        <v>-1.8859758680187036E-2</v>
      </c>
      <c r="S186" s="23">
        <f t="shared" si="181"/>
        <v>-1.6233766233766319E-2</v>
      </c>
      <c r="T186" s="75">
        <v>260046065.88</v>
      </c>
      <c r="U186" s="328">
        <v>24.86</v>
      </c>
      <c r="V186" s="23">
        <f t="shared" si="182"/>
        <v>2.4342517701109772E-2</v>
      </c>
      <c r="W186" s="23">
        <f t="shared" si="183"/>
        <v>2.557755775577562E-2</v>
      </c>
      <c r="X186" s="75">
        <v>261535641.59</v>
      </c>
      <c r="Y186" s="328">
        <v>25.01</v>
      </c>
      <c r="Z186" s="23">
        <f t="shared" si="184"/>
        <v>5.728122457685567E-3</v>
      </c>
      <c r="AA186" s="23">
        <f t="shared" si="185"/>
        <v>6.0337892196300133E-3</v>
      </c>
      <c r="AB186" s="75">
        <v>266995843.63</v>
      </c>
      <c r="AC186" s="328">
        <v>25.57</v>
      </c>
      <c r="AD186" s="23">
        <f t="shared" si="186"/>
        <v>2.0877468198234158E-2</v>
      </c>
      <c r="AE186" s="23">
        <f t="shared" si="187"/>
        <v>2.2391043582566921E-2</v>
      </c>
      <c r="AF186" s="75">
        <v>290312817.91000003</v>
      </c>
      <c r="AG186" s="328">
        <v>27.86</v>
      </c>
      <c r="AH186" s="23">
        <f t="shared" si="188"/>
        <v>8.7330851158538808E-2</v>
      </c>
      <c r="AI186" s="23">
        <f t="shared" si="189"/>
        <v>8.9558075870160306E-2</v>
      </c>
      <c r="AJ186" s="24">
        <f t="shared" si="196"/>
        <v>1.9214421569411805E-2</v>
      </c>
      <c r="AK186" s="24">
        <f t="shared" si="197"/>
        <v>2.0678460235893734E-2</v>
      </c>
      <c r="AL186" s="25">
        <f t="shared" si="198"/>
        <v>0.16796518260669524</v>
      </c>
      <c r="AM186" s="25">
        <f t="shared" si="199"/>
        <v>0.18050847457627109</v>
      </c>
      <c r="AN186" s="387">
        <f t="shared" si="200"/>
        <v>3.6417598277408425E-2</v>
      </c>
      <c r="AO186" s="388">
        <f t="shared" si="201"/>
        <v>3.7120033002712216E-2</v>
      </c>
    </row>
    <row r="187" spans="1:41" ht="15.75" thickBot="1">
      <c r="A187" s="204" t="s">
        <v>33</v>
      </c>
      <c r="B187" s="77">
        <f>SUM(B175:B186)</f>
        <v>7477851810.9399996</v>
      </c>
      <c r="C187" s="307"/>
      <c r="D187" s="77">
        <f>SUM(D175:D186)</f>
        <v>7669680835.21</v>
      </c>
      <c r="E187" s="307"/>
      <c r="F187" s="23">
        <f>((D187-B187)/B187)</f>
        <v>2.5652958780134839E-2</v>
      </c>
      <c r="G187" s="210"/>
      <c r="H187" s="70">
        <f>SUM(H175:H186)</f>
        <v>8199819675.4865208</v>
      </c>
      <c r="I187" s="307"/>
      <c r="J187" s="23">
        <f>((H187-D187)/D187)</f>
        <v>6.9121369150428963E-2</v>
      </c>
      <c r="K187" s="210"/>
      <c r="L187" s="70">
        <f>SUM(L175:L186)</f>
        <v>8234561345.6603279</v>
      </c>
      <c r="M187" s="307"/>
      <c r="N187" s="23">
        <f>((L187-H187)/H187)</f>
        <v>4.2368822179916794E-3</v>
      </c>
      <c r="O187" s="210"/>
      <c r="P187" s="70">
        <f>SUM(P175:P186)</f>
        <v>8501400443.6560364</v>
      </c>
      <c r="Q187" s="307"/>
      <c r="R187" s="23">
        <f>((P187-L187)/L187)</f>
        <v>3.2404773830039479E-2</v>
      </c>
      <c r="S187" s="210"/>
      <c r="T187" s="77">
        <f>SUM(T175:T186)</f>
        <v>8460893738.7534027</v>
      </c>
      <c r="U187" s="307"/>
      <c r="V187" s="23">
        <f>((T187-P187)/P187)</f>
        <v>-4.7647096700239328E-3</v>
      </c>
      <c r="W187" s="210"/>
      <c r="X187" s="77">
        <f>SUM(X175:X186)</f>
        <v>8782558478.6973724</v>
      </c>
      <c r="Y187" s="307"/>
      <c r="Z187" s="23">
        <f>((X187-T187)/T187)</f>
        <v>3.8017820560805514E-2</v>
      </c>
      <c r="AA187" s="210"/>
      <c r="AB187" s="77">
        <f>SUM(AB175:AB186)</f>
        <v>9094035312.6399994</v>
      </c>
      <c r="AC187" s="307"/>
      <c r="AD187" s="23">
        <f>((AB187-X187)/X187)</f>
        <v>3.546538684577312E-2</v>
      </c>
      <c r="AE187" s="210"/>
      <c r="AF187" s="77">
        <f>SUM(AF175:AF186)</f>
        <v>8800160918.4000034</v>
      </c>
      <c r="AG187" s="307"/>
      <c r="AH187" s="23">
        <f>((AF187-AB187)/AB187)</f>
        <v>-3.2315070718004962E-2</v>
      </c>
      <c r="AI187" s="210"/>
      <c r="AJ187" s="24">
        <f t="shared" si="196"/>
        <v>2.0977426374643084E-2</v>
      </c>
      <c r="AK187" s="24"/>
      <c r="AL187" s="25">
        <f t="shared" si="198"/>
        <v>0.14739597481034558</v>
      </c>
      <c r="AM187" s="25"/>
      <c r="AN187" s="387">
        <f t="shared" si="200"/>
        <v>3.1061123530743997E-2</v>
      </c>
      <c r="AO187" s="388"/>
    </row>
    <row r="188" spans="1:41" ht="15.75" thickBot="1">
      <c r="A188" s="63" t="s">
        <v>43</v>
      </c>
      <c r="B188" s="223">
        <f>SUM(B167,B172,B187)</f>
        <v>1735632311170.3931</v>
      </c>
      <c r="C188" s="308"/>
      <c r="D188" s="223">
        <f>SUM(D167,D172,D187)</f>
        <v>1729253273512.5181</v>
      </c>
      <c r="E188" s="308"/>
      <c r="F188" s="210">
        <f>((D188-B188)/B188)</f>
        <v>-3.6753393082279095E-3</v>
      </c>
      <c r="G188" s="306"/>
      <c r="H188" s="223">
        <f>SUM(H167,H172,H187)</f>
        <v>1739393747925.5352</v>
      </c>
      <c r="I188" s="308"/>
      <c r="J188" s="210">
        <f>((H188-D188)/D188)</f>
        <v>5.8640770373789225E-3</v>
      </c>
      <c r="K188" s="306"/>
      <c r="L188" s="223">
        <f>SUM(L167,L172,L187)</f>
        <v>1746565550006.7437</v>
      </c>
      <c r="M188" s="308"/>
      <c r="N188" s="210">
        <f>((L188-H188)/H188)</f>
        <v>4.1231619291272319E-3</v>
      </c>
      <c r="O188" s="306"/>
      <c r="P188" s="223">
        <f>SUM(P167,P172,P187)</f>
        <v>1885965497080.9697</v>
      </c>
      <c r="Q188" s="308"/>
      <c r="R188" s="210">
        <f>((P188-L188)/L188)</f>
        <v>7.9813750519519777E-2</v>
      </c>
      <c r="S188" s="306"/>
      <c r="T188" s="223">
        <f>SUM(T167,T172,T187)</f>
        <v>1977611461136.2695</v>
      </c>
      <c r="U188" s="308"/>
      <c r="V188" s="210">
        <f>((T188-P188)/P188)</f>
        <v>4.8593658896276822E-2</v>
      </c>
      <c r="W188" s="306"/>
      <c r="X188" s="223">
        <f>SUM(X167,X172,X187)</f>
        <v>1980881003971.5117</v>
      </c>
      <c r="Y188" s="308"/>
      <c r="Z188" s="210">
        <f>((X188-T188)/T188)</f>
        <v>1.653278664436753E-3</v>
      </c>
      <c r="AA188" s="306"/>
      <c r="AB188" s="223">
        <f>SUM(AB167,AB172,AB187)</f>
        <v>2005073519115.3235</v>
      </c>
      <c r="AC188" s="308"/>
      <c r="AD188" s="210">
        <f>((AB188-X188)/X188)</f>
        <v>1.2213007795676602E-2</v>
      </c>
      <c r="AE188" s="306"/>
      <c r="AF188" s="223">
        <f>SUM(AF167,AF172,AF187)</f>
        <v>2025383083948.8347</v>
      </c>
      <c r="AG188" s="308"/>
      <c r="AH188" s="210">
        <f>((AF188-AB188)/AB188)</f>
        <v>1.0129087357590856E-2</v>
      </c>
      <c r="AI188" s="306"/>
      <c r="AJ188" s="24">
        <f t="shared" si="196"/>
        <v>1.9839335361472383E-2</v>
      </c>
      <c r="AK188" s="24"/>
      <c r="AL188" s="25">
        <f t="shared" si="198"/>
        <v>0.17124721691855335</v>
      </c>
      <c r="AM188" s="25"/>
      <c r="AN188" s="387">
        <f t="shared" si="200"/>
        <v>2.9037340294184928E-2</v>
      </c>
      <c r="AO188" s="388"/>
    </row>
  </sheetData>
  <protectedRanges>
    <protectedRange password="CADF" sqref="B19" name="Fund Name_1_1_1_3_1_1_2"/>
    <protectedRange password="CADF" sqref="C19" name="Fund Name_1_1_1_1_1_1_2"/>
    <protectedRange password="CADF" sqref="B46" name="Yield_2_1_2_3_1"/>
    <protectedRange password="CADF" sqref="B51" name="Yield_2_1_2_4_1"/>
    <protectedRange password="CADF" sqref="B76" name="Yield_2_1_2_1_1_6"/>
    <protectedRange password="CADF" sqref="C76" name="Fund Name_2_2_1_1_2"/>
    <protectedRange password="CADF" sqref="C75" name="BidOffer Prices_2_1_1_1_1_1_1_1_1_1_7"/>
    <protectedRange password="CADF" sqref="B93:B94" name="Yield_2_1_2_6_3_6"/>
    <protectedRange password="CADF" sqref="B134 B143:B144" name="Fund Name_1_1_1_2_8"/>
    <protectedRange password="CADF" sqref="C134 C143:C144" name="Fund Name_1_1_1_1_2_2"/>
    <protectedRange password="CADF" sqref="D19" name="Fund Name_1_1_1_3_1_1_3"/>
    <protectedRange password="CADF" sqref="E19" name="Fund Name_1_1_1_1_1_1_3"/>
    <protectedRange password="CADF" sqref="D46" name="Yield_2_1_2_3_1_2"/>
    <protectedRange password="CADF" sqref="D51" name="Yield_2_1_2_4_1_2"/>
    <protectedRange password="CADF" sqref="D76" name="Yield_2_1_2_1_1_7"/>
    <protectedRange password="CADF" sqref="E76" name="Fund Name_2_2_1_1_8"/>
    <protectedRange password="CADF" sqref="E75" name="BidOffer Prices_2_1_1_1_1_1_1_1_1_1_8"/>
    <protectedRange password="CADF" sqref="D93:D94" name="Yield_2_1_2_6_3_7"/>
    <protectedRange password="CADF" sqref="D134 D143:D144" name="Fund Name_1_1_1_2_3"/>
    <protectedRange password="CADF" sqref="E134 E143:E144" name="Fund Name_1_1_1_1_2_3"/>
    <protectedRange password="CADF" sqref="H19" name="Fund Name_1_1_1_3_1_1_8"/>
    <protectedRange password="CADF" sqref="I19" name="Fund Name_1_1_1_1_1_1_7"/>
    <protectedRange password="CADF" sqref="H46" name="Yield_2_1_2_3_1_8"/>
    <protectedRange password="CADF" sqref="H51" name="Yield_2_1_2_4_1_8"/>
    <protectedRange password="CADF" sqref="H76" name="Yield_2_1_2_1_1_8"/>
    <protectedRange password="CADF" sqref="I76" name="Fund Name_2_2_1_1_9"/>
    <protectedRange password="CADF" sqref="I75" name="BidOffer Prices_2_1_1_1_1_1_1_1_1_1_9"/>
    <protectedRange password="CADF" sqref="H93:H94" name="Yield_2_1_2_6_3_8"/>
    <protectedRange password="CADF" sqref="H134 H143:H144" name="Fund Name_1_1_1_2_7"/>
    <protectedRange password="CADF" sqref="I134 I143:I144" name="Fund Name_1_1_1_1_2_8"/>
    <protectedRange password="CADF" sqref="L19" name="Fund Name_1_1_1_3_1_1_4"/>
    <protectedRange password="CADF" sqref="L46" name="Yield_2_1_2_3_1_3"/>
    <protectedRange password="CADF" sqref="L51" name="Yield_2_1_2_4_1_3"/>
    <protectedRange password="CADF" sqref="L76" name="Yield_2_1_2_1_1_2"/>
    <protectedRange password="CADF" sqref="M76" name="Fund Name_2_2_1_1_3"/>
    <protectedRange password="CADF" sqref="M75" name="BidOffer Prices_2_1_1_1_1_1_1_1_1_1"/>
    <protectedRange password="CADF" sqref="L93:L94" name="Yield_2_1_2_6_3"/>
    <protectedRange password="CADF" sqref="L134 L143:L144" name="Fund Name_1_1_1_2"/>
    <protectedRange password="CADF" sqref="M134 M143:M144" name="Fund Name_1_1_1_1_2_4"/>
    <protectedRange password="CADF" sqref="P19" name="Fund Name_1_1_1_3_1_1"/>
    <protectedRange password="CADF" sqref="P15" name="Yield_2_1_2_5"/>
    <protectedRange password="CADF" sqref="Q19" name="Fund Name_1_1_1_1_1_1_4"/>
    <protectedRange password="CADF" sqref="P76" name="Yield_2_1_2_1_1_3"/>
    <protectedRange password="CADF" sqref="Q76" name="Fund Name_2_2_1_1_4"/>
    <protectedRange password="CADF" sqref="Q75" name="BidOffer Prices_2_1_1_1_1_1_1_1_1_1_3"/>
    <protectedRange password="CADF" sqref="P93:P94" name="Yield_2_1_2_6_3_1"/>
    <protectedRange password="CADF" sqref="P134 P143:P144" name="Fund Name_1_1_1_2_4"/>
    <protectedRange password="CADF" sqref="Q134 Q143:Q144" name="Fund Name_1_1_1_1_2_5"/>
    <protectedRange password="CADF" sqref="M19" name="Fund Name_1_1_1_1_1_1_9"/>
    <protectedRange password="CADF" sqref="P46" name="Yield_2_1_2_3_1_9"/>
    <protectedRange password="CADF" sqref="P51" name="Yield_2_1_2_4_1_9"/>
    <protectedRange password="CADF" sqref="T19" name="Fund Name_1_1_1_3_1_1_9"/>
    <protectedRange password="CADF" sqref="T15" name="Yield_2_1_2_5_1"/>
    <protectedRange password="CADF" sqref="U19" name="Fund Name_1_1_1_1_1_1"/>
    <protectedRange password="CADF" sqref="T46" name="Yield_2_1_2_3_1_4"/>
    <protectedRange password="CADF" sqref="T51" name="Yield_2_1_2_4_1_4"/>
    <protectedRange password="CADF" sqref="T76" name="Yield_2_1_2_1_1_9"/>
    <protectedRange password="CADF" sqref="U76" name="Fund Name_2_2_1_1_5"/>
    <protectedRange password="CADF" sqref="U75" name="BidOffer Prices_2_1_1_1_1_1_1_1_1_1_4"/>
    <protectedRange password="CADF" sqref="T93:T94" name="Yield_2_1_2_6_3_9"/>
    <protectedRange password="CADF" sqref="T134 T143:T144" name="Fund Name_1_1_1_2_9"/>
    <protectedRange password="CADF" sqref="U134 U143:U144" name="Fund Name_1_1_1_1_2_9"/>
    <protectedRange password="CADF" sqref="X19" name="Fund Name_1_1_1_3_1_1_5"/>
    <protectedRange password="CADF" sqref="X15" name="Yield_2_1_2_5_2"/>
    <protectedRange password="CADF" sqref="Y19" name="Fund Name_1_1_1_1_1_1_5"/>
    <protectedRange password="CADF" sqref="X46" name="Yield_2_1_2_3_1_5"/>
    <protectedRange password="CADF" sqref="X51" name="Yield_2_1_2_4_1_5"/>
    <protectedRange password="CADF" sqref="X76" name="Yield_2_1_2_1_1_4"/>
    <protectedRange password="CADF" sqref="Y76" name="Fund Name_2_2_1_1_6"/>
    <protectedRange password="CADF" sqref="Y75" name="BidOffer Prices_2_1_1_1_1_1_1_1_1_1_5"/>
    <protectedRange password="CADF" sqref="X93:X94" name="Yield_2_1_2_6_3_2"/>
    <protectedRange password="CADF" sqref="X134 X143:X144" name="Fund Name_1_1_1_2_5"/>
    <protectedRange password="CADF" sqref="Y134 Y143:Y144" name="Fund Name_1_1_1_1_2_6"/>
    <protectedRange password="CADF" sqref="AB19" name="Fund Name_1_1_1_3_1_1_6"/>
    <protectedRange password="CADF" sqref="AB15" name="Yield_2_1_2_5_3"/>
    <protectedRange password="CADF" sqref="AC19" name="Fund Name_1_1_1_1_1_1_6"/>
    <protectedRange password="CADF" sqref="AB46" name="Yield_2_1_2_3_1_6"/>
    <protectedRange password="CADF" sqref="AB51" name="Yield_2_1_2_4_1_6"/>
    <protectedRange password="CADF" sqref="AB76" name="Yield_2_1_2_1_1_5"/>
    <protectedRange password="CADF" sqref="AC76" name="Fund Name_2_2_1_1_7"/>
    <protectedRange password="CADF" sqref="AC75" name="BidOffer Prices_2_1_1_1_1_1_1_1_1_1_6"/>
    <protectedRange password="CADF" sqref="AB93:AB94" name="Yield_2_1_2_6_3_3"/>
    <protectedRange password="CADF" sqref="AB134 AB143:AB144" name="Fund Name_1_1_1_2_6"/>
    <protectedRange password="CADF" sqref="AC134 AC143:AC144" name="Fund Name_1_1_1_1_2_7"/>
    <protectedRange password="CADF" sqref="AF19" name="Fund Name_1_1_1_3_1_1_1"/>
    <protectedRange password="CADF" sqref="AF15" name="Yield_2_1_2_5_4"/>
    <protectedRange password="CADF" sqref="AG19" name="Fund Name_1_1_1_1_1_1_1"/>
    <protectedRange password="CADF" sqref="AF46" name="Yield_2_1_2_3_1_1"/>
    <protectedRange password="CADF" sqref="AF51" name="Yield_2_1_2_4_1_1"/>
    <protectedRange password="CADF" sqref="AF76" name="Yield_2_1_2_1_1_1"/>
    <protectedRange password="CADF" sqref="AG76" name="Fund Name_2_2_1_1"/>
    <protectedRange password="CADF" sqref="AG75" name="BidOffer Prices_2_1_1_1_1_1_1_1_1_1_1"/>
    <protectedRange password="CADF" sqref="AF93:AF94" name="Yield_2_1_2_6_3_4"/>
    <protectedRange password="CADF" sqref="AF134 AF143:AF144" name="Fund Name_1_1_1_2_1"/>
    <protectedRange password="CADF" sqref="AG134 AG143:AG144" name="Fund Name_1_1_1_1_2"/>
  </protectedRanges>
  <sortState ref="A174:AO185">
    <sortCondition ref="A174:A185"/>
  </sortState>
  <mergeCells count="32">
    <mergeCell ref="AF2:AG2"/>
    <mergeCell ref="AH2:AI2"/>
    <mergeCell ref="AF174:AG174"/>
    <mergeCell ref="AB174:AC174"/>
    <mergeCell ref="J2:K2"/>
    <mergeCell ref="A1:AO1"/>
    <mergeCell ref="AN2:AO2"/>
    <mergeCell ref="AL2:AM2"/>
    <mergeCell ref="AJ2:AK2"/>
    <mergeCell ref="B2:C2"/>
    <mergeCell ref="D2:E2"/>
    <mergeCell ref="H2:I2"/>
    <mergeCell ref="T2:U2"/>
    <mergeCell ref="V2:W2"/>
    <mergeCell ref="AB2:AC2"/>
    <mergeCell ref="AD2:AE2"/>
    <mergeCell ref="F2:G2"/>
    <mergeCell ref="D174:E174"/>
    <mergeCell ref="B174:C174"/>
    <mergeCell ref="AQ2:AR2"/>
    <mergeCell ref="AQ127:AR127"/>
    <mergeCell ref="H174:I174"/>
    <mergeCell ref="L2:M2"/>
    <mergeCell ref="N2:O2"/>
    <mergeCell ref="P2:Q2"/>
    <mergeCell ref="R2:S2"/>
    <mergeCell ref="P174:Q174"/>
    <mergeCell ref="L174:M174"/>
    <mergeCell ref="T174:U174"/>
    <mergeCell ref="X2:Y2"/>
    <mergeCell ref="Z2:AA2"/>
    <mergeCell ref="X174:Y174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Data</vt:lpstr>
      <vt:lpstr>Market Share</vt:lpstr>
      <vt:lpstr>NAV Trend</vt:lpstr>
      <vt:lpstr>Volatility Measure</vt:lpstr>
      <vt:lpstr>NAV COMPARISON</vt:lpstr>
      <vt:lpstr>Total NAV</vt:lpstr>
      <vt:lpstr>Sector Trend</vt:lpstr>
      <vt:lpstr>Data!OLE_LINK6</vt:lpstr>
      <vt:lpstr>Data!Print_Area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2021-12-05T22:39:14Z</cp:lastPrinted>
  <dcterms:created xsi:type="dcterms:W3CDTF">2014-07-02T14:15:07Z</dcterms:created>
  <dcterms:modified xsi:type="dcterms:W3CDTF">2023-07-23T22:25:30Z</dcterms:modified>
</cp:coreProperties>
</file>