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6" i="11" l="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J188" i="11"/>
  <c r="AL188" i="11"/>
  <c r="AN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O5" i="11"/>
  <c r="AN5" i="11"/>
  <c r="AM5" i="11"/>
  <c r="AL5" i="11"/>
  <c r="AK5" i="11"/>
  <c r="AJ5" i="11"/>
  <c r="AF188" i="11" l="1"/>
  <c r="AH188" i="11"/>
  <c r="AF187" i="11"/>
  <c r="AF172" i="11"/>
  <c r="AF166" i="11"/>
  <c r="AF167" i="11" s="1"/>
  <c r="AH167" i="11" s="1"/>
  <c r="AF151" i="11"/>
  <c r="AF145" i="11"/>
  <c r="AH145" i="11" s="1"/>
  <c r="AF118" i="11"/>
  <c r="AG106" i="11"/>
  <c r="AI106" i="11" s="1"/>
  <c r="AG103" i="11"/>
  <c r="AF111" i="11"/>
  <c r="AH99" i="11" s="1"/>
  <c r="AF103" i="11"/>
  <c r="AG98" i="11"/>
  <c r="AG97" i="11"/>
  <c r="AI97" i="11" s="1"/>
  <c r="AG95" i="11"/>
  <c r="AI95" i="11" s="1"/>
  <c r="AG91" i="11"/>
  <c r="AI91" i="11" s="1"/>
  <c r="AG90" i="11"/>
  <c r="AF98" i="11"/>
  <c r="AF97" i="11"/>
  <c r="AF95" i="11"/>
  <c r="AH95" i="11" s="1"/>
  <c r="AF91" i="11"/>
  <c r="AF86" i="11"/>
  <c r="AF53" i="11"/>
  <c r="AF21" i="11"/>
  <c r="AH21" i="11" s="1"/>
  <c r="AH187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H151" i="11"/>
  <c r="AI150" i="11"/>
  <c r="AH150" i="11"/>
  <c r="AI149" i="11"/>
  <c r="AH149" i="11"/>
  <c r="AI148" i="11"/>
  <c r="AH148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8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H106" i="11"/>
  <c r="AI105" i="11"/>
  <c r="AH105" i="11"/>
  <c r="AI104" i="11"/>
  <c r="AH104" i="11"/>
  <c r="AI103" i="11"/>
  <c r="AH103" i="11"/>
  <c r="AI102" i="11"/>
  <c r="AH102" i="11"/>
  <c r="AI99" i="11"/>
  <c r="AI98" i="11"/>
  <c r="AH98" i="11"/>
  <c r="AH97" i="11"/>
  <c r="AI96" i="11"/>
  <c r="AH96" i="11"/>
  <c r="AI94" i="11"/>
  <c r="AH94" i="11"/>
  <c r="AI93" i="11"/>
  <c r="AH93" i="11"/>
  <c r="AI92" i="11"/>
  <c r="AH92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M107" i="9" l="1"/>
  <c r="L107" i="9"/>
  <c r="M92" i="9" l="1"/>
  <c r="L92" i="9"/>
  <c r="J92" i="9"/>
  <c r="M104" i="9"/>
  <c r="L104" i="9"/>
  <c r="J104" i="9"/>
  <c r="P110" i="9"/>
  <c r="Q110" i="9"/>
  <c r="R110" i="9"/>
  <c r="S110" i="9"/>
  <c r="M98" i="9" l="1"/>
  <c r="L98" i="9"/>
  <c r="J98" i="9"/>
  <c r="M99" i="9"/>
  <c r="L99" i="9"/>
  <c r="J99" i="9"/>
  <c r="M91" i="9" l="1"/>
  <c r="L91" i="9"/>
  <c r="M96" i="9" l="1"/>
  <c r="L96" i="9"/>
  <c r="J96" i="9"/>
  <c r="D193" i="9" l="1"/>
  <c r="D192" i="9"/>
  <c r="D175" i="9"/>
  <c r="D168" i="9"/>
  <c r="D167" i="9"/>
  <c r="D152" i="9"/>
  <c r="D146" i="9"/>
  <c r="D119" i="9"/>
  <c r="G107" i="9"/>
  <c r="F107" i="9"/>
  <c r="G104" i="9"/>
  <c r="F104" i="9"/>
  <c r="D112" i="9"/>
  <c r="D104" i="9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AB187" i="11" l="1"/>
  <c r="AB172" i="11"/>
  <c r="AB166" i="11"/>
  <c r="AB151" i="11"/>
  <c r="AB145" i="11"/>
  <c r="AB118" i="11"/>
  <c r="AC106" i="11"/>
  <c r="AC103" i="11"/>
  <c r="AB103" i="11"/>
  <c r="AD90" i="11" s="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AD99" i="11" l="1"/>
  <c r="AB167" i="11"/>
  <c r="X53" i="11"/>
  <c r="AD53" i="11" s="1"/>
  <c r="X145" i="11"/>
  <c r="AD145" i="11" s="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21" i="11"/>
  <c r="AD21" i="11" s="1"/>
  <c r="AB188" i="11" l="1"/>
  <c r="Y106" i="11"/>
  <c r="AE106" i="11" s="1"/>
  <c r="Y103" i="11"/>
  <c r="AE103" i="11" s="1"/>
  <c r="X103" i="11"/>
  <c r="AD103" i="11" s="1"/>
  <c r="X118" i="11"/>
  <c r="AD118" i="11" s="1"/>
  <c r="X151" i="11"/>
  <c r="AD151" i="11" s="1"/>
  <c r="X166" i="11"/>
  <c r="AD166" i="11" s="1"/>
  <c r="X172" i="11"/>
  <c r="X187" i="11"/>
  <c r="AD187" i="11" s="1"/>
  <c r="AA134" i="11"/>
  <c r="Z134" i="11"/>
  <c r="W134" i="11"/>
  <c r="V134" i="11"/>
  <c r="S134" i="11"/>
  <c r="R134" i="11"/>
  <c r="O134" i="11"/>
  <c r="N134" i="11"/>
  <c r="K134" i="11"/>
  <c r="J134" i="11"/>
  <c r="G134" i="11"/>
  <c r="F134" i="11"/>
  <c r="AA41" i="11"/>
  <c r="Z41" i="11"/>
  <c r="W41" i="11"/>
  <c r="V41" i="11"/>
  <c r="S41" i="11"/>
  <c r="R41" i="11"/>
  <c r="O41" i="11"/>
  <c r="N41" i="11"/>
  <c r="K41" i="11"/>
  <c r="J41" i="11"/>
  <c r="G41" i="11"/>
  <c r="F41" i="11"/>
  <c r="AA12" i="11"/>
  <c r="Z12" i="11"/>
  <c r="W12" i="11"/>
  <c r="V12" i="11"/>
  <c r="S12" i="11"/>
  <c r="R12" i="11"/>
  <c r="O12" i="11"/>
  <c r="N12" i="11"/>
  <c r="K12" i="11"/>
  <c r="J12" i="11"/>
  <c r="G12" i="11"/>
  <c r="F12" i="1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11" i="11" l="1"/>
  <c r="X167" i="11" s="1"/>
  <c r="AD167" i="11" s="1"/>
  <c r="Z90" i="11"/>
  <c r="Z99" i="11" l="1"/>
  <c r="X188" i="11"/>
  <c r="AD188" i="11" s="1"/>
  <c r="S135" i="9"/>
  <c r="R135" i="9"/>
  <c r="Q135" i="9"/>
  <c r="P135" i="9"/>
  <c r="S42" i="9"/>
  <c r="R42" i="9"/>
  <c r="Q42" i="9"/>
  <c r="P42" i="9"/>
  <c r="S13" i="9"/>
  <c r="R13" i="9"/>
  <c r="Q13" i="9"/>
  <c r="P13" i="9"/>
  <c r="E135" i="9" l="1"/>
  <c r="E13" i="9"/>
  <c r="T187" i="11" l="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Z103" i="11" s="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T111" i="11" l="1"/>
  <c r="T167" i="11" s="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99" i="11" l="1"/>
  <c r="T188" i="11"/>
  <c r="Z188" i="11" s="1"/>
  <c r="Z167" i="11"/>
  <c r="P187" i="1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90" i="11" l="1"/>
  <c r="V103" i="11"/>
  <c r="P111" i="11"/>
  <c r="P167" i="11" s="1"/>
  <c r="V167" i="11" s="1"/>
  <c r="R99" i="11" l="1"/>
  <c r="P188" i="11"/>
  <c r="V188" i="11" s="1"/>
  <c r="L187" i="11" l="1"/>
  <c r="R187" i="11" s="1"/>
  <c r="L172" i="11"/>
  <c r="L166" i="11"/>
  <c r="R166" i="11" s="1"/>
  <c r="L151" i="11"/>
  <c r="R151" i="11" s="1"/>
  <c r="L145" i="11"/>
  <c r="R145" i="11" s="1"/>
  <c r="L118" i="11"/>
  <c r="R118" i="11" s="1"/>
  <c r="M106" i="11"/>
  <c r="S106" i="11" s="1"/>
  <c r="M103" i="11"/>
  <c r="S103" i="11" s="1"/>
  <c r="L103" i="11"/>
  <c r="R103" i="11" s="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J10" i="1"/>
  <c r="I10" i="1"/>
  <c r="H10" i="1"/>
  <c r="G10" i="1"/>
  <c r="F10" i="1"/>
  <c r="E10" i="1"/>
  <c r="D10" i="1"/>
  <c r="C10" i="1"/>
  <c r="L111" i="11" l="1"/>
  <c r="L167" i="11" s="1"/>
  <c r="R167" i="11" s="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N96" i="11"/>
  <c r="O94" i="11"/>
  <c r="N94" i="11"/>
  <c r="O93" i="11"/>
  <c r="N93" i="11"/>
  <c r="O92" i="11"/>
  <c r="N92" i="11"/>
  <c r="N90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N99" i="11" l="1"/>
  <c r="L188" i="11"/>
  <c r="R188" i="11" s="1"/>
  <c r="H187" i="11" l="1"/>
  <c r="N187" i="11" s="1"/>
  <c r="H172" i="11"/>
  <c r="H166" i="11"/>
  <c r="N166" i="11" s="1"/>
  <c r="H151" i="11"/>
  <c r="N151" i="11" s="1"/>
  <c r="H145" i="11"/>
  <c r="N145" i="11" s="1"/>
  <c r="H118" i="11"/>
  <c r="N118" i="11" s="1"/>
  <c r="I106" i="11"/>
  <c r="O106" i="11" s="1"/>
  <c r="I103" i="11"/>
  <c r="O103" i="11" s="1"/>
  <c r="H103" i="11"/>
  <c r="N103" i="11" s="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1" i="11"/>
  <c r="J171" i="11"/>
  <c r="K170" i="11"/>
  <c r="J170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11" i="11" l="1"/>
  <c r="H167" i="11" s="1"/>
  <c r="N167" i="11" s="1"/>
  <c r="J90" i="11"/>
  <c r="H188" i="11" l="1"/>
  <c r="N188" i="11" s="1"/>
  <c r="J99" i="11"/>
  <c r="D187" i="11"/>
  <c r="J187" i="11" s="1"/>
  <c r="D172" i="11"/>
  <c r="D166" i="11"/>
  <c r="J166" i="11" s="1"/>
  <c r="D151" i="11"/>
  <c r="J151" i="11" s="1"/>
  <c r="D145" i="11"/>
  <c r="J145" i="11" s="1"/>
  <c r="D118" i="11"/>
  <c r="J118" i="11" s="1"/>
  <c r="E106" i="11"/>
  <c r="K106" i="11" s="1"/>
  <c r="E103" i="11"/>
  <c r="K103" i="11" s="1"/>
  <c r="D103" i="1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1" i="11"/>
  <c r="F171" i="11"/>
  <c r="G170" i="11"/>
  <c r="F170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6" i="11"/>
  <c r="F156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9" i="11"/>
  <c r="F109" i="11"/>
  <c r="G108" i="11"/>
  <c r="F108" i="11"/>
  <c r="G107" i="11"/>
  <c r="F107" i="11"/>
  <c r="F106" i="11"/>
  <c r="G105" i="11"/>
  <c r="F105" i="11"/>
  <c r="G104" i="11"/>
  <c r="F104" i="11"/>
  <c r="G102" i="11"/>
  <c r="F102" i="11"/>
  <c r="G99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F90" i="11" l="1"/>
  <c r="J103" i="11"/>
  <c r="D111" i="11"/>
  <c r="D167" i="11" s="1"/>
  <c r="J167" i="11" s="1"/>
  <c r="F99" i="11" l="1"/>
  <c r="D188" i="11"/>
  <c r="J188" i="11" s="1"/>
  <c r="B187" i="11" l="1"/>
  <c r="B172" i="11"/>
  <c r="B166" i="11"/>
  <c r="B151" i="11"/>
  <c r="B145" i="11"/>
  <c r="B118" i="11"/>
  <c r="C106" i="11"/>
  <c r="C103" i="11"/>
  <c r="B103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F97" i="11" l="1"/>
  <c r="G103" i="11"/>
  <c r="F98" i="11"/>
  <c r="G106" i="11"/>
  <c r="G90" i="11"/>
  <c r="F118" i="11"/>
  <c r="F21" i="11"/>
  <c r="G91" i="11"/>
  <c r="F145" i="11"/>
  <c r="F53" i="11"/>
  <c r="G95" i="11"/>
  <c r="F151" i="11"/>
  <c r="F86" i="11"/>
  <c r="G97" i="11"/>
  <c r="F166" i="11"/>
  <c r="F91" i="11"/>
  <c r="G98" i="11"/>
  <c r="F95" i="11"/>
  <c r="F187" i="11"/>
  <c r="F103" i="11"/>
  <c r="B111" i="11"/>
  <c r="B167" i="11" l="1"/>
  <c r="B188" i="11" s="1"/>
  <c r="F188" i="11" l="1"/>
  <c r="F167" i="11"/>
  <c r="Q95" i="9" l="1"/>
  <c r="P95" i="9" l="1"/>
  <c r="S95" i="9"/>
  <c r="R95" i="9"/>
  <c r="P94" i="9"/>
  <c r="E95" i="9" l="1"/>
  <c r="J152" i="9" l="1"/>
  <c r="K150" i="9" s="1"/>
  <c r="K149" i="9" l="1"/>
  <c r="K151" i="9"/>
  <c r="P47" i="9" l="1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2" i="9"/>
  <c r="S123" i="9"/>
  <c r="S124" i="9"/>
  <c r="S132" i="9"/>
  <c r="S144" i="9"/>
  <c r="S126" i="9"/>
  <c r="S133" i="9"/>
  <c r="S137" i="9"/>
  <c r="S139" i="9"/>
  <c r="S143" i="9"/>
  <c r="S129" i="9"/>
  <c r="S134" i="9"/>
  <c r="S122" i="9"/>
  <c r="S127" i="9"/>
  <c r="S136" i="9"/>
  <c r="S125" i="9"/>
  <c r="S138" i="9"/>
  <c r="S131" i="9"/>
  <c r="S128" i="9"/>
  <c r="S130" i="9"/>
  <c r="S141" i="9"/>
  <c r="S146" i="9"/>
  <c r="S140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3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8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04" i="9" l="1"/>
  <c r="Q104" i="9"/>
  <c r="P104" i="9"/>
  <c r="R98" i="9"/>
  <c r="Q98" i="9"/>
  <c r="P98" i="9"/>
  <c r="E140" i="9" l="1"/>
  <c r="E130" i="9" l="1"/>
  <c r="E122" i="9"/>
  <c r="E141" i="9"/>
  <c r="E134" i="9"/>
  <c r="E126" i="9"/>
  <c r="E144" i="9"/>
  <c r="E128" i="9"/>
  <c r="E129" i="9"/>
  <c r="E132" i="9"/>
  <c r="E131" i="9"/>
  <c r="E143" i="9"/>
  <c r="E124" i="9"/>
  <c r="E138" i="9"/>
  <c r="E139" i="9"/>
  <c r="E123" i="9"/>
  <c r="E125" i="9"/>
  <c r="E142" i="9"/>
  <c r="E136" i="9"/>
  <c r="E137" i="9"/>
  <c r="E145" i="9"/>
  <c r="E127" i="9"/>
  <c r="E133" i="9"/>
  <c r="E110" i="9" l="1"/>
  <c r="E98" i="9"/>
  <c r="J22" i="9" l="1"/>
  <c r="K13" i="9" s="1"/>
  <c r="R96" i="9" l="1"/>
  <c r="P96" i="9"/>
  <c r="Q96" i="9"/>
  <c r="E96" i="9" l="1"/>
  <c r="R192" i="9" l="1"/>
  <c r="Q99" i="9"/>
  <c r="Q19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J119" i="9"/>
  <c r="J112" i="9"/>
  <c r="J87" i="9"/>
  <c r="K76" i="9" s="1"/>
  <c r="J54" i="9"/>
  <c r="K95" i="9" l="1"/>
  <c r="K103" i="9"/>
  <c r="K122" i="9"/>
  <c r="K129" i="9"/>
  <c r="K145" i="9"/>
  <c r="K135" i="9"/>
  <c r="K25" i="9"/>
  <c r="K42" i="9"/>
  <c r="K138" i="9"/>
  <c r="K142" i="9"/>
  <c r="K110" i="9"/>
  <c r="K128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7" i="9"/>
  <c r="K40" i="9"/>
  <c r="K37" i="9"/>
  <c r="K51" i="9"/>
  <c r="K33" i="9"/>
  <c r="K38" i="9"/>
  <c r="K49" i="9"/>
  <c r="K31" i="9"/>
  <c r="K45" i="9"/>
  <c r="K137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83" i="9" l="1"/>
  <c r="K190" i="9"/>
  <c r="K161" i="9"/>
  <c r="J168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1" i="9"/>
  <c r="Q141" i="9"/>
  <c r="P141" i="9"/>
  <c r="R131" i="9"/>
  <c r="Q131" i="9"/>
  <c r="P131" i="9"/>
  <c r="R138" i="9"/>
  <c r="Q138" i="9"/>
  <c r="P138" i="9"/>
  <c r="R125" i="9"/>
  <c r="Q125" i="9"/>
  <c r="P125" i="9"/>
  <c r="R136" i="9"/>
  <c r="Q136" i="9"/>
  <c r="P136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3" i="9"/>
  <c r="Q143" i="9"/>
  <c r="P143" i="9"/>
  <c r="R139" i="9"/>
  <c r="Q139" i="9"/>
  <c r="P139" i="9"/>
  <c r="R137" i="9"/>
  <c r="Q137" i="9"/>
  <c r="P137" i="9"/>
  <c r="R133" i="9"/>
  <c r="Q133" i="9"/>
  <c r="P133" i="9"/>
  <c r="R126" i="9"/>
  <c r="Q126" i="9"/>
  <c r="P126" i="9"/>
  <c r="R144" i="9"/>
  <c r="Q144" i="9"/>
  <c r="P144" i="9"/>
  <c r="R132" i="9"/>
  <c r="Q132" i="9"/>
  <c r="P132" i="9"/>
  <c r="R124" i="9"/>
  <c r="Q124" i="9"/>
  <c r="P124" i="9"/>
  <c r="R123" i="9"/>
  <c r="Q123" i="9"/>
  <c r="P123" i="9"/>
  <c r="R142" i="9"/>
  <c r="Q142" i="9"/>
  <c r="P142" i="9"/>
  <c r="R145" i="9"/>
  <c r="Q145" i="9"/>
  <c r="P145" i="9"/>
  <c r="R140" i="9"/>
  <c r="Q140" i="9"/>
  <c r="P140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8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8" i="9"/>
  <c r="Q38" i="9"/>
  <c r="P38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39" i="9"/>
  <c r="Q39" i="9"/>
  <c r="P39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R8" i="9"/>
  <c r="Q8" i="9"/>
  <c r="P8" i="9"/>
  <c r="R21" i="9"/>
  <c r="Q21" i="9"/>
  <c r="P21" i="9"/>
  <c r="E21" i="9"/>
  <c r="R6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0" i="9" l="1"/>
  <c r="K187" i="9"/>
  <c r="K189" i="9"/>
  <c r="K181" i="9"/>
  <c r="K188" i="9"/>
  <c r="K185" i="9"/>
  <c r="P192" i="9"/>
  <c r="K186" i="9"/>
  <c r="K182" i="9"/>
  <c r="K184" i="9"/>
  <c r="K166" i="9"/>
  <c r="K156" i="9"/>
  <c r="K163" i="9"/>
  <c r="K164" i="9"/>
  <c r="K160" i="9"/>
  <c r="K162" i="9"/>
  <c r="K123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5" i="9"/>
  <c r="K18" i="9"/>
  <c r="K10" i="9"/>
  <c r="K11" i="9"/>
  <c r="K144" i="9"/>
  <c r="K139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41" i="9"/>
  <c r="P146" i="9"/>
  <c r="E164" i="9"/>
  <c r="E11" i="9"/>
  <c r="E9" i="9"/>
  <c r="E10" i="9"/>
  <c r="K39" i="9"/>
  <c r="K26" i="9"/>
  <c r="K41" i="9"/>
  <c r="K47" i="9"/>
  <c r="K36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E162" i="9"/>
  <c r="K140" i="9"/>
  <c r="E14" i="9"/>
  <c r="E18" i="9"/>
  <c r="E20" i="9"/>
  <c r="K69" i="9"/>
  <c r="K77" i="9"/>
  <c r="K81" i="9"/>
  <c r="K143" i="9"/>
  <c r="K131" i="9"/>
  <c r="E166" i="9"/>
  <c r="E92" i="9"/>
  <c r="E6" i="9"/>
  <c r="E16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3" i="11" l="1"/>
  <c r="AT138" i="11"/>
  <c r="AQ138" i="11"/>
  <c r="AS138" i="11" s="1"/>
  <c r="AT137" i="11"/>
  <c r="AS137" i="11"/>
  <c r="AT136" i="11"/>
  <c r="AS136" i="11"/>
  <c r="AT135" i="11"/>
  <c r="AS135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3" i="11" s="1"/>
  <c r="AS143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<sst xmlns="http://schemas.openxmlformats.org/spreadsheetml/2006/main" count="722" uniqueCount="286">
  <si>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</si>
  <si>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</si>
  <si>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</si>
  <si>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</si>
  <si>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</si>
  <si>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</si>
  <si>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</si>
  <si>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</si>
  <si>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</si>
  <si>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</si>
  <si>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</si>
  <si>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</si>
  <si>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</si>
  <si>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</si>
  <si>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</si>
  <si>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</si>
  <si>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</si>
  <si>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</si>
  <si>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</si>
  <si>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</si>
  <si>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</si>
  <si>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</si>
  <si>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</si>
  <si>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</si>
  <si>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</si>
  <si>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</si>
  <si>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</si>
  <si>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</si>
  <si>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</si>
  <si>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</si>
  <si>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</si>
  <si>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</si>
  <si>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</si>
  <si>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</si>
  <si>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</si>
  <si>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</si>
  <si>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</si>
  <si>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</si>
  <si>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</si>
  <si>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</si>
  <si>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</si>
  <si>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</si>
  <si>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</si>
  <si>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</si>
  <si>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</si>
  <si>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</si>
  <si>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</si>
  <si>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</si>
  <si>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</si>
  <si>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</si>
  <si>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</si>
  <si>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</si>
  <si>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</si>
  <si>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</si>
  <si>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</si>
  <si>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</si>
  <si>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</si>
  <si>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</si>
  <si>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</si>
  <si>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</si>
  <si>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</si>
  <si>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</si>
  <si>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</si>
  <si>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</si>
  <si>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</si>
  <si>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</si>
  <si>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</si>
  <si>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</si>
  <si>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</si>
  <si>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</si>
  <si>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</si>
  <si>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</si>
  <si>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</si>
  <si>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</si>
  <si>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</si>
  <si>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</si>
  <si>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</si>
  <si>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</si>
  <si>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</si>
  <si>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</si>
  <si>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</si>
  <si>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</si>
  <si>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</si>
  <si>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</si>
  <si>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</si>
  <si>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</si>
  <si>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</si>
  <si>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</si>
  <si>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</si>
  <si>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</si>
  <si>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</si>
  <si>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</si>
  <si>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</si>
  <si>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</si>
  <si>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</si>
  <si>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</si>
  <si>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</si>
  <si>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</si>
  <si>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</si>
  <si>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</si>
  <si>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</si>
  <si>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</si>
  <si>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</si>
  <si>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</si>
  <si>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</si>
  <si>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</si>
  <si>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</si>
  <si>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</si>
  <si>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</si>
  <si>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</si>
  <si>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</si>
  <si>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</si>
  <si>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</si>
  <si>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</si>
  <si>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</si>
  <si>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</si>
  <si>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</si>
  <si>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</si>
  <si>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</si>
  <si>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</si>
  <si>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</si>
  <si>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</si>
  <si>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</si>
  <si>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</si>
  <si>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</si>
  <si>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</si>
  <si>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</si>
  <si>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</si>
  <si>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</si>
  <si>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</si>
  <si>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</si>
  <si>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</si>
  <si>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</si>
  <si>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</si>
  <si>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</si>
  <si>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</si>
  <si>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</si>
  <si>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</si>
  <si>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</si>
  <si>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</si>
  <si>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</si>
  <si>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</si>
  <si>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</si>
  <si>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</si>
  <si>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</si>
  <si>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</si>
  <si>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</si>
  <si>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</si>
  <si>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</si>
  <si>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</si>
  <si>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</si>
  <si>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</si>
  <si>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</si>
  <si>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</si>
  <si>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</si>
  <si>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</si>
  <si>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</si>
  <si>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</si>
  <si>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</si>
  <si>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</si>
  <si>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</si>
  <si>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</si>
  <si>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</si>
  <si>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</si>
  <si>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</si>
  <si>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</si>
  <si>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</si>
  <si>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</si>
  <si>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</si>
  <si>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</si>
  <si>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</si>
  <si>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</si>
  <si>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</si>
  <si>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</si>
  <si>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</si>
  <si>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</si>
  <si>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</si>
  <si>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</si>
  <si>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</si>
  <si>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</si>
  <si>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</si>
  <si>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</si>
  <si>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</si>
  <si>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</si>
  <si>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</si>
  <si>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</si>
  <si>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</si>
  <si>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</si>
  <si>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</si>
  <si>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</si>
  <si>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</si>
  <si>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</si>
  <si>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</si>
  <si>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</si>
  <si>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</si>
  <si>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</si>
  <si>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</si>
  <si>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</si>
  <si>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</si>
  <si>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</si>
  <si>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</si>
  <si>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</si>
  <si>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</si>
  <si>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</si>
  <si>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</si>
  <si>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</si>
  <si>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</si>
  <si>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</si>
  <si>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</si>
  <si>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</si>
  <si>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</si>
  <si>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</si>
  <si>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</si>
  <si>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</si>
  <si>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</si>
  <si>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</si>
  <si>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</si>
  <si>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</si>
  <si>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</si>
  <si>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</si>
  <si>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</si>
  <si>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</si>
  <si>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</si>
  <si>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</si>
  <si>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</si>
  <si>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</si>
  <si>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</si>
  <si>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</si>
  <si>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</si>
  <si>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</si>
  <si>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</si>
  <si>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</si>
  <si>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</si>
  <si>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</si>
  <si>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</si>
  <si>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</si>
  <si>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</si>
  <si>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</si>
  <si>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</si>
  <si>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</si>
  <si>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</si>
  <si>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</si>
  <si>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</si>
  <si>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</si>
  <si>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</si>
  <si>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</si>
  <si>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</si>
  <si>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</si>
  <si>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</si>
  <si>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</si>
  <si>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</si>
  <si>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</si>
  <si>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</si>
  <si>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</si>
  <si>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</si>
  <si>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</si>
  <si>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</si>
  <si>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</si>
  <si>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</si>
  <si>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</si>
  <si>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</si>
  <si>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</si>
  <si>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</si>
  <si>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</si>
  <si>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</si>
  <si>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</si>
  <si>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</si>
  <si>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</si>
  <si>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NAV and Unit Price as at Week Ended May 5, 2023</t>
  </si>
  <si>
    <t>NAV and Unit Price as at Week Ended May 12, 2023</t>
  </si>
  <si>
    <t>NAV and Unit Price as at Week Ended May 19, 2023</t>
  </si>
  <si>
    <t>NAV and Unit Price as at Week Ended May 26, 2023</t>
  </si>
  <si>
    <t>NAV and Unit Price as at Week Ended June 2, 2023</t>
  </si>
  <si>
    <t>NAV and Unit Price as at Week Ended June 9, 2023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</si>
  <si>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</si>
  <si>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</si>
  <si>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</si>
  <si>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</si>
  <si>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</si>
  <si>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June 16, 2023</t>
  </si>
  <si>
    <t>NAV, Unit Price and Yield as at Week Ended June 23, 2023</t>
  </si>
  <si>
    <t>NAV and Unit Price as at Week Ended June 23, 2023</t>
  </si>
  <si>
    <t>NET ASSET VALUES AND UNIT PRICES OF COLLECTIVE INVESTMENT SCHEMES AS AT WEEK ENDED JUNE 30, 2023</t>
  </si>
  <si>
    <t>NAV, Unit Price and Yield as at Week Ended June 30, 2023</t>
  </si>
  <si>
    <t>NAV and Unit Price as at Week Ended June 30, 2023</t>
  </si>
  <si>
    <t>The chart above shows that Money Market Fund category has 43.80% share of the Net Asset Value (NAV), followed by Dollar Fund (Eurobonds and Fixed Income) with 29.48%, Bond/Fixed Income Fund at 17.11%, Real Estate Investment Trust at 4.98%.  Next is Balanced Fund at 1.96%, Shari'ah Compliant Fund at 1.39%, Equity Fund at 1.10%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</si>
</sst>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FF0000"/>
      <name val="Arial Narrow"/>
      <family val="2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6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9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wrapText="1"/>
    </xf>
    <xf numFmtId="0" fontId="96" fillId="6" borderId="6" xfId="0" applyFont="1" applyFill="1" applyBorder="1" applyAlignment="1">
      <alignment horizontal="center" wrapText="1"/>
    </xf>
    <xf numFmtId="4" fontId="96" fillId="6" borderId="1" xfId="0" applyNumberFormat="1" applyFont="1" applyFill="1" applyBorder="1" applyAlignment="1">
      <alignment wrapText="1"/>
    </xf>
    <xf numFmtId="0" fontId="96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9" fontId="97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0" fillId="6" borderId="0" xfId="0" applyFill="1" applyBorder="1" applyAlignment="1">
      <alignment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(23RD</a:t>
            </a:r>
            <a:r>
              <a:rPr lang="en-GB" sz="1600" b="1" i="0" u="none" strike="noStrike" baseline="0">
                <a:effectLst/>
              </a:rPr>
              <a:t> &amp; 30TH JUNE,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062389281925459"/>
          <c:y val="1.6723164957727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23-Jun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20288689104.509998</c:v>
                </c:pt>
                <c:pt idx="1">
                  <c:v>817523630430.57593</c:v>
                </c:pt>
                <c:pt idx="2">
                  <c:v>327549421729.35663</c:v>
                </c:pt>
                <c:pt idx="3">
                  <c:v>550519578291.03943</c:v>
                </c:pt>
                <c:pt idx="4">
                  <c:v>93463222418.470001</c:v>
                </c:pt>
                <c:pt idx="5" formatCode="_(* #,##0.00_);_(* \(#,##0.00\);_(* &quot;-&quot;??_);_(@_)">
                  <c:v>36228102075.464104</c:v>
                </c:pt>
                <c:pt idx="6">
                  <c:v>3378418489.8299999</c:v>
                </c:pt>
                <c:pt idx="7">
                  <c:v>26082310834.120003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30-Jun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20576058059.739998</c:v>
                </c:pt>
                <c:pt idx="1">
                  <c:v>822530716125.65808</c:v>
                </c:pt>
                <c:pt idx="2">
                  <c:v>321409973646.99713</c:v>
                </c:pt>
                <c:pt idx="3">
                  <c:v>553623134341.57056</c:v>
                </c:pt>
                <c:pt idx="4">
                  <c:v>93491559414.529999</c:v>
                </c:pt>
                <c:pt idx="5" formatCode="_(* #,##0.00_);_(* \(#,##0.00\);_(* &quot;-&quot;??_);_(@_)">
                  <c:v>36851874319.96862</c:v>
                </c:pt>
                <c:pt idx="6">
                  <c:v>3481681169.4399996</c:v>
                </c:pt>
                <c:pt idx="7">
                  <c:v>26010301617.079998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30TH JUNE,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20288689104.509998</c:v>
                </c:pt>
                <c:pt idx="1">
                  <c:v>817523630430.57593</c:v>
                </c:pt>
                <c:pt idx="2">
                  <c:v>327549421729.35663</c:v>
                </c:pt>
                <c:pt idx="3">
                  <c:v>550519578291.03943</c:v>
                </c:pt>
                <c:pt idx="4">
                  <c:v>93463222418.470001</c:v>
                </c:pt>
                <c:pt idx="5">
                  <c:v>36228102075.464104</c:v>
                </c:pt>
                <c:pt idx="6">
                  <c:v>3378418489.8299999</c:v>
                </c:pt>
                <c:pt idx="7">
                  <c:v>26082310834.120003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JUNE 30, 2023)</a:t>
            </a:r>
          </a:p>
        </c:rich>
      </c:tx>
      <c:layout>
        <c:manualLayout>
          <c:xMode val="edge"/>
          <c:yMode val="edge"/>
          <c:x val="0.24557122667358888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45058</c:v>
                </c:pt>
                <c:pt idx="1">
                  <c:v>45065</c:v>
                </c:pt>
                <c:pt idx="2">
                  <c:v>45072</c:v>
                </c:pt>
                <c:pt idx="3">
                  <c:v>45079</c:v>
                </c:pt>
                <c:pt idx="4">
                  <c:v>45086</c:v>
                </c:pt>
                <c:pt idx="5">
                  <c:v>45093</c:v>
                </c:pt>
                <c:pt idx="6">
                  <c:v>45100</c:v>
                </c:pt>
                <c:pt idx="7">
                  <c:v>45107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1642873255320.0364</c:v>
                </c:pt>
                <c:pt idx="1">
                  <c:v>1634067029203.7332</c:v>
                </c:pt>
                <c:pt idx="2">
                  <c:v>1627489359351.6582</c:v>
                </c:pt>
                <c:pt idx="3">
                  <c:v>1637094592546.9585</c:v>
                </c:pt>
                <c:pt idx="4">
                  <c:v>1644224849788.0632</c:v>
                </c:pt>
                <c:pt idx="5">
                  <c:v>1783352855386.8538</c:v>
                </c:pt>
                <c:pt idx="6">
                  <c:v>1875033373373.3662</c:v>
                </c:pt>
                <c:pt idx="7">
                  <c:v>1877975298694.9844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JUNE 30,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479213175276168"/>
          <c:y val="9.55555290838266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45058</c:v>
                </c:pt>
                <c:pt idx="1">
                  <c:v>45065</c:v>
                </c:pt>
                <c:pt idx="2">
                  <c:v>45072</c:v>
                </c:pt>
                <c:pt idx="3">
                  <c:v>45079</c:v>
                </c:pt>
                <c:pt idx="4">
                  <c:v>45086</c:v>
                </c:pt>
                <c:pt idx="5">
                  <c:v>45093</c:v>
                </c:pt>
                <c:pt idx="6">
                  <c:v>45100</c:v>
                </c:pt>
                <c:pt idx="7">
                  <c:v>45107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25223397111.16</c:v>
                </c:pt>
                <c:pt idx="1">
                  <c:v>25289708132.780003</c:v>
                </c:pt>
                <c:pt idx="2">
                  <c:v>25509760696.910004</c:v>
                </c:pt>
                <c:pt idx="3">
                  <c:v>25740009095.389999</c:v>
                </c:pt>
                <c:pt idx="4">
                  <c:v>25701609592.029999</c:v>
                </c:pt>
                <c:pt idx="5">
                  <c:v>25776389309.68</c:v>
                </c:pt>
                <c:pt idx="6">
                  <c:v>25810810447.57</c:v>
                </c:pt>
                <c:pt idx="7">
                  <c:v>26082310834.120003</c:v>
                </c:pt>
                <c:pt idx="8">
                  <c:v>26010301617.079998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45058</c:v>
                </c:pt>
                <c:pt idx="1">
                  <c:v>45065</c:v>
                </c:pt>
                <c:pt idx="2">
                  <c:v>45072</c:v>
                </c:pt>
                <c:pt idx="3">
                  <c:v>45079</c:v>
                </c:pt>
                <c:pt idx="4">
                  <c:v>45086</c:v>
                </c:pt>
                <c:pt idx="5">
                  <c:v>45093</c:v>
                </c:pt>
                <c:pt idx="6">
                  <c:v>45100</c:v>
                </c:pt>
                <c:pt idx="7">
                  <c:v>45107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3058498106.9700003</c:v>
                </c:pt>
                <c:pt idx="1">
                  <c:v>3052374164.9300003</c:v>
                </c:pt>
                <c:pt idx="2">
                  <c:v>3085351470.0200005</c:v>
                </c:pt>
                <c:pt idx="3">
                  <c:v>3105704717.4300003</c:v>
                </c:pt>
                <c:pt idx="4">
                  <c:v>3224901792.5799999</c:v>
                </c:pt>
                <c:pt idx="5">
                  <c:v>3226244064.04</c:v>
                </c:pt>
                <c:pt idx="6">
                  <c:v>3394394975.1899996</c:v>
                </c:pt>
                <c:pt idx="7">
                  <c:v>3378418489.8299999</c:v>
                </c:pt>
                <c:pt idx="8">
                  <c:v>3481681169.4399996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45058</c:v>
                </c:pt>
                <c:pt idx="1">
                  <c:v>45065</c:v>
                </c:pt>
                <c:pt idx="2">
                  <c:v>45072</c:v>
                </c:pt>
                <c:pt idx="3">
                  <c:v>45079</c:v>
                </c:pt>
                <c:pt idx="4">
                  <c:v>45086</c:v>
                </c:pt>
                <c:pt idx="5">
                  <c:v>45093</c:v>
                </c:pt>
                <c:pt idx="6">
                  <c:v>45100</c:v>
                </c:pt>
                <c:pt idx="7">
                  <c:v>45107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31685014995.591473</c:v>
                </c:pt>
                <c:pt idx="1">
                  <c:v>31764157613.919247</c:v>
                </c:pt>
                <c:pt idx="2">
                  <c:v>32017254793.66489</c:v>
                </c:pt>
                <c:pt idx="3">
                  <c:v>32587344550.170525</c:v>
                </c:pt>
                <c:pt idx="4">
                  <c:v>33634490477.322308</c:v>
                </c:pt>
                <c:pt idx="5">
                  <c:v>33719080186.031113</c:v>
                </c:pt>
                <c:pt idx="6">
                  <c:v>35744115521.98378</c:v>
                </c:pt>
                <c:pt idx="7">
                  <c:v>36228102075.464104</c:v>
                </c:pt>
                <c:pt idx="8">
                  <c:v>36851874319.96862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45058</c:v>
                </c:pt>
                <c:pt idx="1">
                  <c:v>45065</c:v>
                </c:pt>
                <c:pt idx="2">
                  <c:v>45072</c:v>
                </c:pt>
                <c:pt idx="3">
                  <c:v>45079</c:v>
                </c:pt>
                <c:pt idx="4">
                  <c:v>45086</c:v>
                </c:pt>
                <c:pt idx="5">
                  <c:v>45093</c:v>
                </c:pt>
                <c:pt idx="6">
                  <c:v>45100</c:v>
                </c:pt>
                <c:pt idx="7">
                  <c:v>45107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16995023834.229998</c:v>
                </c:pt>
                <c:pt idx="1">
                  <c:v>16966112297.950001</c:v>
                </c:pt>
                <c:pt idx="2">
                  <c:v>17079628906.379999</c:v>
                </c:pt>
                <c:pt idx="3">
                  <c:v>17454929325.299999</c:v>
                </c:pt>
                <c:pt idx="4">
                  <c:v>18617819180.259998</c:v>
                </c:pt>
                <c:pt idx="5">
                  <c:v>18707350348.629997</c:v>
                </c:pt>
                <c:pt idx="6">
                  <c:v>20030863173.209999</c:v>
                </c:pt>
                <c:pt idx="7">
                  <c:v>20288689104.509998</c:v>
                </c:pt>
                <c:pt idx="8">
                  <c:v>20576058059.739998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45058</c:v>
                </c:pt>
                <c:pt idx="1">
                  <c:v>45065</c:v>
                </c:pt>
                <c:pt idx="2">
                  <c:v>45072</c:v>
                </c:pt>
                <c:pt idx="3">
                  <c:v>45079</c:v>
                </c:pt>
                <c:pt idx="4">
                  <c:v>45086</c:v>
                </c:pt>
                <c:pt idx="5">
                  <c:v>45093</c:v>
                </c:pt>
                <c:pt idx="6">
                  <c:v>45100</c:v>
                </c:pt>
                <c:pt idx="7">
                  <c:v>45107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94163780372.309998</c:v>
                </c:pt>
                <c:pt idx="1">
                  <c:v>94193238006.570007</c:v>
                </c:pt>
                <c:pt idx="2">
                  <c:v>94202498345.429993</c:v>
                </c:pt>
                <c:pt idx="3">
                  <c:v>94230214273.230011</c:v>
                </c:pt>
                <c:pt idx="4">
                  <c:v>93351135037.830002</c:v>
                </c:pt>
                <c:pt idx="5">
                  <c:v>93428704507.080002</c:v>
                </c:pt>
                <c:pt idx="6">
                  <c:v>93449896565.160004</c:v>
                </c:pt>
                <c:pt idx="7">
                  <c:v>93463222418.470001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45058</c:v>
                </c:pt>
                <c:pt idx="1">
                  <c:v>45065</c:v>
                </c:pt>
                <c:pt idx="2">
                  <c:v>45072</c:v>
                </c:pt>
                <c:pt idx="3">
                  <c:v>45079</c:v>
                </c:pt>
                <c:pt idx="4">
                  <c:v>45086</c:v>
                </c:pt>
                <c:pt idx="5">
                  <c:v>45093</c:v>
                </c:pt>
                <c:pt idx="6">
                  <c:v>45100</c:v>
                </c:pt>
                <c:pt idx="7">
                  <c:v>45107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806100368208.14038</c:v>
                </c:pt>
                <c:pt idx="1">
                  <c:v>813613346034.13635</c:v>
                </c:pt>
                <c:pt idx="2">
                  <c:v>806087341383.99084</c:v>
                </c:pt>
                <c:pt idx="3">
                  <c:v>798748175531.57666</c:v>
                </c:pt>
                <c:pt idx="4">
                  <c:v>807261945859.45349</c:v>
                </c:pt>
                <c:pt idx="5">
                  <c:v>810860786783.24963</c:v>
                </c:pt>
                <c:pt idx="6">
                  <c:v>816758455712.61926</c:v>
                </c:pt>
                <c:pt idx="7">
                  <c:v>817523630430.57593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45058</c:v>
                </c:pt>
                <c:pt idx="1">
                  <c:v>45065</c:v>
                </c:pt>
                <c:pt idx="2">
                  <c:v>45072</c:v>
                </c:pt>
                <c:pt idx="3">
                  <c:v>45079</c:v>
                </c:pt>
                <c:pt idx="4">
                  <c:v>45086</c:v>
                </c:pt>
                <c:pt idx="5">
                  <c:v>45093</c:v>
                </c:pt>
                <c:pt idx="6">
                  <c:v>45100</c:v>
                </c:pt>
                <c:pt idx="7">
                  <c:v>45107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326343931654.87665</c:v>
                </c:pt>
                <c:pt idx="1">
                  <c:v>326621734089.72247</c:v>
                </c:pt>
                <c:pt idx="2">
                  <c:v>326437563760.66541</c:v>
                </c:pt>
                <c:pt idx="3">
                  <c:v>323714339049.49524</c:v>
                </c:pt>
                <c:pt idx="4">
                  <c:v>323395950269.5387</c:v>
                </c:pt>
                <c:pt idx="5">
                  <c:v>319908980259.00153</c:v>
                </c:pt>
                <c:pt idx="6">
                  <c:v>317665884188.13855</c:v>
                </c:pt>
                <c:pt idx="7">
                  <c:v>327549421729.35663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45058</c:v>
                </c:pt>
                <c:pt idx="1">
                  <c:v>45065</c:v>
                </c:pt>
                <c:pt idx="2">
                  <c:v>45072</c:v>
                </c:pt>
                <c:pt idx="3">
                  <c:v>45079</c:v>
                </c:pt>
                <c:pt idx="4">
                  <c:v>45086</c:v>
                </c:pt>
                <c:pt idx="5">
                  <c:v>45093</c:v>
                </c:pt>
                <c:pt idx="6">
                  <c:v>45100</c:v>
                </c:pt>
                <c:pt idx="7">
                  <c:v>45107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334539052167.92297</c:v>
                </c:pt>
                <c:pt idx="1">
                  <c:v>331372584980.02832</c:v>
                </c:pt>
                <c:pt idx="2">
                  <c:v>329647629846.67249</c:v>
                </c:pt>
                <c:pt idx="3">
                  <c:v>331908642809.0658</c:v>
                </c:pt>
                <c:pt idx="4">
                  <c:v>331906740337.94391</c:v>
                </c:pt>
                <c:pt idx="5">
                  <c:v>338597314330.35101</c:v>
                </c:pt>
                <c:pt idx="6">
                  <c:v>470498434802.98218</c:v>
                </c:pt>
                <c:pt idx="7">
                  <c:v>550519578291.03943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2" customWidth="1"/>
    <col min="9" max="9" width="7.28515625" style="222" customWidth="1"/>
    <col min="10" max="10" width="18" style="218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41" t="s">
        <v>282</v>
      </c>
      <c r="B1" s="442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4"/>
      <c r="T1" s="289"/>
      <c r="U1" s="113"/>
    </row>
    <row r="2" spans="1:26" s="112" customFormat="1" ht="25.5" customHeight="1">
      <c r="A2" s="242"/>
      <c r="B2" s="243"/>
      <c r="C2" s="243"/>
      <c r="D2" s="445" t="s">
        <v>280</v>
      </c>
      <c r="E2" s="446"/>
      <c r="F2" s="446"/>
      <c r="G2" s="446"/>
      <c r="H2" s="446"/>
      <c r="I2" s="447"/>
      <c r="J2" s="445" t="s">
        <v>283</v>
      </c>
      <c r="K2" s="446"/>
      <c r="L2" s="446"/>
      <c r="M2" s="446"/>
      <c r="N2" s="446"/>
      <c r="O2" s="447"/>
      <c r="P2" s="409" t="s">
        <v>62</v>
      </c>
      <c r="Q2" s="409"/>
      <c r="R2" s="409" t="s">
        <v>216</v>
      </c>
      <c r="S2" s="429"/>
      <c r="T2" s="289"/>
      <c r="U2" s="113"/>
    </row>
    <row r="3" spans="1:26" s="112" customFormat="1" ht="24.75" customHeight="1">
      <c r="A3" s="294" t="s">
        <v>1</v>
      </c>
      <c r="B3" s="295" t="s">
        <v>2</v>
      </c>
      <c r="C3" s="295" t="s">
        <v>194</v>
      </c>
      <c r="D3" s="296" t="s">
        <v>203</v>
      </c>
      <c r="E3" s="297" t="s">
        <v>61</v>
      </c>
      <c r="F3" s="297" t="s">
        <v>213</v>
      </c>
      <c r="G3" s="297" t="s">
        <v>214</v>
      </c>
      <c r="H3" s="297" t="s">
        <v>254</v>
      </c>
      <c r="I3" s="297" t="s">
        <v>255</v>
      </c>
      <c r="J3" s="298" t="s">
        <v>203</v>
      </c>
      <c r="K3" s="297" t="s">
        <v>61</v>
      </c>
      <c r="L3" s="297" t="s">
        <v>213</v>
      </c>
      <c r="M3" s="297" t="s">
        <v>214</v>
      </c>
      <c r="N3" s="297" t="s">
        <v>254</v>
      </c>
      <c r="O3" s="297" t="s">
        <v>255</v>
      </c>
      <c r="P3" s="299" t="s">
        <v>204</v>
      </c>
      <c r="Q3" s="300" t="s">
        <v>119</v>
      </c>
      <c r="R3" s="297" t="s">
        <v>257</v>
      </c>
      <c r="S3" s="301" t="s">
        <v>258</v>
      </c>
      <c r="T3" s="289"/>
      <c r="U3" s="113"/>
    </row>
    <row r="4" spans="1:26" s="112" customFormat="1" ht="5.25" customHeight="1">
      <c r="A4" s="433"/>
      <c r="B4" s="434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6"/>
      <c r="T4" s="289"/>
      <c r="U4" s="113"/>
    </row>
    <row r="5" spans="1:26" s="112" customFormat="1" ht="12.95" customHeight="1">
      <c r="A5" s="437" t="s">
        <v>0</v>
      </c>
      <c r="B5" s="438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40"/>
      <c r="T5" s="289"/>
      <c r="U5" s="113"/>
    </row>
    <row r="6" spans="1:26" s="112" customFormat="1" ht="12.95" customHeight="1">
      <c r="A6" s="398">
        <v>1</v>
      </c>
      <c r="B6" s="396" t="s">
        <v>13</v>
      </c>
      <c r="C6" s="397" t="s">
        <v>57</v>
      </c>
      <c r="D6" s="326">
        <v>525729217.97000003</v>
      </c>
      <c r="E6" s="333">
        <f t="shared" ref="E6:E21" si="0">(D6/$D$22)</f>
        <v>2.59124291008597E-2</v>
      </c>
      <c r="F6" s="325">
        <v>239.29490000000001</v>
      </c>
      <c r="G6" s="325">
        <v>244.16630000000001</v>
      </c>
      <c r="H6" s="334">
        <v>1.0118433429381346E-2</v>
      </c>
      <c r="I6" s="334">
        <v>0.26939548799784907</v>
      </c>
      <c r="J6" s="326">
        <v>548213517.25</v>
      </c>
      <c r="K6" s="333">
        <f t="shared" ref="K6:K11" si="1">(J6/$J$22)</f>
        <v>2.664327227588156E-2</v>
      </c>
      <c r="L6" s="325">
        <v>246.52520000000001</v>
      </c>
      <c r="M6" s="325">
        <v>250.09899999999999</v>
      </c>
      <c r="N6" s="334">
        <v>3.0214950197392954E-2</v>
      </c>
      <c r="O6" s="334">
        <v>0.3077502094484994</v>
      </c>
      <c r="P6" s="109">
        <f>((J6-D6)/D6)</f>
        <v>4.2767832776764186E-2</v>
      </c>
      <c r="Q6" s="109">
        <f t="shared" ref="Q6:Q21" si="2">((M6-G6)/G6)</f>
        <v>2.4297783928412656E-2</v>
      </c>
      <c r="R6" s="329">
        <f>L6-H6</f>
        <v>246.51508156657064</v>
      </c>
      <c r="S6" s="364">
        <f t="shared" ref="S6:S21" si="3">O6-I6</f>
        <v>3.8354721450650331E-2</v>
      </c>
      <c r="U6" s="113"/>
    </row>
    <row r="7" spans="1:26" s="112" customFormat="1" ht="12.95" customHeight="1">
      <c r="A7" s="401">
        <v>2</v>
      </c>
      <c r="B7" s="396" t="s">
        <v>136</v>
      </c>
      <c r="C7" s="397" t="s">
        <v>135</v>
      </c>
      <c r="D7" s="325">
        <v>540228725.09000003</v>
      </c>
      <c r="E7" s="333">
        <f t="shared" si="0"/>
        <v>2.6627088734378208E-2</v>
      </c>
      <c r="F7" s="325">
        <v>179.10910000000001</v>
      </c>
      <c r="G7" s="325">
        <v>181.00040000000001</v>
      </c>
      <c r="H7" s="334">
        <v>5.0601E-2</v>
      </c>
      <c r="I7" s="334">
        <v>0.24340000000000001</v>
      </c>
      <c r="J7" s="325">
        <v>551040186.23000002</v>
      </c>
      <c r="K7" s="333">
        <f t="shared" si="1"/>
        <v>2.6780648879883802E-2</v>
      </c>
      <c r="L7" s="325">
        <v>183.84549999999999</v>
      </c>
      <c r="M7" s="325">
        <v>185.6294</v>
      </c>
      <c r="N7" s="334">
        <v>2.0008000000000001E-2</v>
      </c>
      <c r="O7" s="334">
        <v>0.26840000000000003</v>
      </c>
      <c r="P7" s="329">
        <v>5.6480000000000002E-3</v>
      </c>
      <c r="Q7" s="329">
        <f t="shared" si="2"/>
        <v>2.5574529117062671E-2</v>
      </c>
      <c r="R7" s="329">
        <f t="shared" ref="R7:R21" si="4">N7-H7</f>
        <v>-3.0592999999999999E-2</v>
      </c>
      <c r="S7" s="364">
        <f t="shared" si="3"/>
        <v>2.5000000000000022E-2</v>
      </c>
      <c r="T7" s="289"/>
      <c r="U7" s="113"/>
    </row>
    <row r="8" spans="1:26" s="112" customFormat="1" ht="12.95" customHeight="1">
      <c r="A8" s="401">
        <v>3</v>
      </c>
      <c r="B8" s="396" t="s">
        <v>11</v>
      </c>
      <c r="C8" s="397" t="s">
        <v>6</v>
      </c>
      <c r="D8" s="325">
        <v>2863971512.0100002</v>
      </c>
      <c r="E8" s="333">
        <f t="shared" si="0"/>
        <v>0.14116099355938005</v>
      </c>
      <c r="F8" s="325">
        <v>26.192699999999999</v>
      </c>
      <c r="G8" s="325">
        <v>26.982399999999998</v>
      </c>
      <c r="H8" s="315">
        <v>0.92059999999999997</v>
      </c>
      <c r="I8" s="315">
        <v>0.38129999999999997</v>
      </c>
      <c r="J8" s="325">
        <v>2941170298.29</v>
      </c>
      <c r="K8" s="333">
        <f t="shared" si="1"/>
        <v>0.14294138798358177</v>
      </c>
      <c r="L8" s="325">
        <v>26.9087</v>
      </c>
      <c r="M8" s="325">
        <v>27.72</v>
      </c>
      <c r="N8" s="315">
        <v>1.4254</v>
      </c>
      <c r="O8" s="315">
        <v>0.43169999999999997</v>
      </c>
      <c r="P8" s="329">
        <f t="shared" ref="P8:P22" si="5">((J8-D8)/D8)</f>
        <v>2.6955151598494733E-2</v>
      </c>
      <c r="Q8" s="329">
        <f t="shared" si="2"/>
        <v>2.7336337760910837E-2</v>
      </c>
      <c r="R8" s="329">
        <f t="shared" si="4"/>
        <v>0.50480000000000003</v>
      </c>
      <c r="S8" s="364">
        <f t="shared" si="3"/>
        <v>5.04E-2</v>
      </c>
      <c r="T8" s="289"/>
      <c r="U8" s="113"/>
      <c r="V8" s="145"/>
      <c r="W8" s="114"/>
      <c r="X8" s="114"/>
      <c r="Y8" s="115"/>
    </row>
    <row r="9" spans="1:26" s="112" customFormat="1" ht="12.95" customHeight="1">
      <c r="A9" s="401">
        <v>4</v>
      </c>
      <c r="B9" s="396" t="s">
        <v>81</v>
      </c>
      <c r="C9" s="397" t="s">
        <v>80</v>
      </c>
      <c r="D9" s="325">
        <v>309472758.36000001</v>
      </c>
      <c r="E9" s="333">
        <f t="shared" si="0"/>
        <v>1.525346249655957E-2</v>
      </c>
      <c r="F9" s="325">
        <v>156.63</v>
      </c>
      <c r="G9" s="325">
        <v>157.72999999999999</v>
      </c>
      <c r="H9" s="334">
        <v>4.8999999999999998E-3</v>
      </c>
      <c r="I9" s="334">
        <v>0.16120000000000001</v>
      </c>
      <c r="J9" s="325">
        <v>325028342.43000001</v>
      </c>
      <c r="K9" s="333">
        <f t="shared" si="1"/>
        <v>1.5796433966424526E-2</v>
      </c>
      <c r="L9" s="325">
        <v>160.71</v>
      </c>
      <c r="M9" s="325">
        <v>161.84</v>
      </c>
      <c r="N9" s="334">
        <v>2.5999999999999999E-2</v>
      </c>
      <c r="O9" s="334">
        <v>0.1915</v>
      </c>
      <c r="P9" s="329">
        <f t="shared" si="5"/>
        <v>5.0264792779934016E-2</v>
      </c>
      <c r="Q9" s="329">
        <f t="shared" si="2"/>
        <v>2.6057186331072173E-2</v>
      </c>
      <c r="R9" s="329">
        <f t="shared" si="4"/>
        <v>2.1100000000000001E-2</v>
      </c>
      <c r="S9" s="364">
        <f t="shared" si="3"/>
        <v>3.0299999999999994E-2</v>
      </c>
      <c r="T9" s="289"/>
      <c r="U9" s="113"/>
      <c r="V9" s="145"/>
      <c r="W9" s="114"/>
      <c r="X9" s="114"/>
      <c r="Y9" s="115"/>
    </row>
    <row r="10" spans="1:26" s="112" customFormat="1" ht="12.95" customHeight="1">
      <c r="A10" s="400">
        <v>5</v>
      </c>
      <c r="B10" s="396" t="s">
        <v>52</v>
      </c>
      <c r="C10" s="397" t="s">
        <v>185</v>
      </c>
      <c r="D10" s="325">
        <v>507848497.44</v>
      </c>
      <c r="E10" s="333">
        <f t="shared" si="0"/>
        <v>2.5031114372347976E-2</v>
      </c>
      <c r="F10" s="325">
        <v>220.78</v>
      </c>
      <c r="G10" s="325">
        <v>223.62</v>
      </c>
      <c r="H10" s="315">
        <v>1.21E-2</v>
      </c>
      <c r="I10" s="315">
        <v>0.33310000000000001</v>
      </c>
      <c r="J10" s="325">
        <v>527436775.54000002</v>
      </c>
      <c r="K10" s="333">
        <f t="shared" si="1"/>
        <v>2.5633519015578865E-2</v>
      </c>
      <c r="L10" s="325">
        <v>229.3</v>
      </c>
      <c r="M10" s="325">
        <v>232.29</v>
      </c>
      <c r="N10" s="315">
        <v>3.8699999999999998E-2</v>
      </c>
      <c r="O10" s="315">
        <v>0.3846</v>
      </c>
      <c r="P10" s="329">
        <f t="shared" si="5"/>
        <v>3.8571105750518225E-2</v>
      </c>
      <c r="Q10" s="329">
        <f t="shared" si="2"/>
        <v>3.8771129594848346E-2</v>
      </c>
      <c r="R10" s="329">
        <f t="shared" si="4"/>
        <v>2.6599999999999999E-2</v>
      </c>
      <c r="S10" s="364">
        <f t="shared" si="3"/>
        <v>5.149999999999999E-2</v>
      </c>
      <c r="T10" s="289"/>
      <c r="U10" s="113"/>
      <c r="V10" s="145"/>
      <c r="W10" s="114"/>
      <c r="X10" s="114"/>
      <c r="Y10" s="115"/>
    </row>
    <row r="11" spans="1:26" s="112" customFormat="1" ht="12.95" customHeight="1">
      <c r="A11" s="401">
        <v>6</v>
      </c>
      <c r="B11" s="396" t="s">
        <v>8</v>
      </c>
      <c r="C11" s="397" t="s">
        <v>56</v>
      </c>
      <c r="D11" s="326">
        <v>304110707.12</v>
      </c>
      <c r="E11" s="333">
        <f t="shared" si="0"/>
        <v>1.4989174783717241E-2</v>
      </c>
      <c r="F11" s="325">
        <v>152.83000000000001</v>
      </c>
      <c r="G11" s="325">
        <v>155.47</v>
      </c>
      <c r="H11" s="334">
        <v>1.3849999999999999E-2</v>
      </c>
      <c r="I11" s="334">
        <v>0.15840000000000001</v>
      </c>
      <c r="J11" s="326">
        <v>313648029.38</v>
      </c>
      <c r="K11" s="333">
        <f t="shared" si="1"/>
        <v>1.5243348773091638E-2</v>
      </c>
      <c r="L11" s="325">
        <v>157.77000000000001</v>
      </c>
      <c r="M11" s="325">
        <v>160.72999999999999</v>
      </c>
      <c r="N11" s="334">
        <v>2.7E-2</v>
      </c>
      <c r="O11" s="334">
        <v>0.255</v>
      </c>
      <c r="P11" s="329">
        <f t="shared" si="5"/>
        <v>3.1361349787124161E-2</v>
      </c>
      <c r="Q11" s="329">
        <f t="shared" si="2"/>
        <v>3.3832893805878887E-2</v>
      </c>
      <c r="R11" s="329">
        <f t="shared" si="4"/>
        <v>1.315E-2</v>
      </c>
      <c r="S11" s="364">
        <f t="shared" si="3"/>
        <v>9.6599999999999991E-2</v>
      </c>
      <c r="T11" s="289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398">
        <v>7</v>
      </c>
      <c r="B12" s="396" t="s">
        <v>217</v>
      </c>
      <c r="C12" s="397" t="s">
        <v>218</v>
      </c>
      <c r="D12" s="74">
        <v>26309579.190000001</v>
      </c>
      <c r="E12" s="333">
        <f t="shared" si="0"/>
        <v>1.2967609220327404E-3</v>
      </c>
      <c r="F12" s="325">
        <v>102.3</v>
      </c>
      <c r="G12" s="325">
        <v>105.43</v>
      </c>
      <c r="H12" s="334">
        <v>-0.33139999999999997</v>
      </c>
      <c r="I12" s="334">
        <v>5.62E-2</v>
      </c>
      <c r="J12" s="74">
        <v>26318802.829999998</v>
      </c>
      <c r="K12" s="333">
        <v>0.96619999999999995</v>
      </c>
      <c r="L12" s="325">
        <v>102.34</v>
      </c>
      <c r="M12" s="325">
        <v>105.46</v>
      </c>
      <c r="N12" s="334">
        <v>4.0000000000000002E-4</v>
      </c>
      <c r="O12" s="334">
        <v>5.6599999999999998E-2</v>
      </c>
      <c r="P12" s="329">
        <f t="shared" si="5"/>
        <v>3.5058105389624325E-4</v>
      </c>
      <c r="Q12" s="329">
        <f t="shared" si="2"/>
        <v>2.8454898985096202E-4</v>
      </c>
      <c r="R12" s="329">
        <f t="shared" si="4"/>
        <v>0.33179999999999998</v>
      </c>
      <c r="S12" s="364">
        <f t="shared" si="3"/>
        <v>3.9999999999999758E-4</v>
      </c>
      <c r="T12" s="144"/>
      <c r="U12" s="113"/>
    </row>
    <row r="13" spans="1:26" s="330" customFormat="1" ht="12.95" customHeight="1">
      <c r="A13" s="400">
        <v>8</v>
      </c>
      <c r="B13" s="396" t="s">
        <v>274</v>
      </c>
      <c r="C13" s="397" t="s">
        <v>243</v>
      </c>
      <c r="D13" s="326">
        <v>431814652.81999999</v>
      </c>
      <c r="E13" s="333">
        <f t="shared" si="0"/>
        <v>2.1283516672548911E-2</v>
      </c>
      <c r="F13" s="325">
        <v>1.57</v>
      </c>
      <c r="G13" s="325">
        <v>1.62</v>
      </c>
      <c r="H13" s="334">
        <v>-4.8999999999999998E-3</v>
      </c>
      <c r="I13" s="334">
        <v>0.27020710774437928</v>
      </c>
      <c r="J13" s="326">
        <v>440087889.58999997</v>
      </c>
      <c r="K13" s="333">
        <f t="shared" ref="K13:K19" si="6">(J13/$J$22)</f>
        <v>2.1388347967927584E-2</v>
      </c>
      <c r="L13" s="325">
        <v>1.59</v>
      </c>
      <c r="M13" s="325">
        <v>1.64</v>
      </c>
      <c r="N13" s="334">
        <v>1.49E-2</v>
      </c>
      <c r="O13" s="334">
        <v>0.2828</v>
      </c>
      <c r="P13" s="329">
        <f t="shared" ref="P13" si="7">((J13-D13)/D13)</f>
        <v>1.9159231202486877E-2</v>
      </c>
      <c r="Q13" s="329">
        <f t="shared" ref="Q13" si="8">((M13-G13)/G13)</f>
        <v>1.2345679012345552E-2</v>
      </c>
      <c r="R13" s="329">
        <f t="shared" ref="R13" si="9">N13-H13</f>
        <v>1.9799999999999998E-2</v>
      </c>
      <c r="S13" s="364">
        <f t="shared" ref="S13" si="10">O13-I13</f>
        <v>1.2592892255620713E-2</v>
      </c>
      <c r="T13" s="144"/>
      <c r="U13" s="113"/>
    </row>
    <row r="14" spans="1:26" s="112" customFormat="1" ht="12.95" customHeight="1">
      <c r="A14" s="400">
        <v>9</v>
      </c>
      <c r="B14" s="396" t="s">
        <v>45</v>
      </c>
      <c r="C14" s="397" t="s">
        <v>132</v>
      </c>
      <c r="D14" s="326">
        <v>1203292684.5</v>
      </c>
      <c r="E14" s="333">
        <f t="shared" si="0"/>
        <v>5.9308547649464381E-2</v>
      </c>
      <c r="F14" s="325">
        <v>2.4</v>
      </c>
      <c r="G14" s="325">
        <v>2.4500000000000002</v>
      </c>
      <c r="H14" s="334">
        <v>0.13020000000000001</v>
      </c>
      <c r="I14" s="334">
        <v>0.21510000000000001</v>
      </c>
      <c r="J14" s="326">
        <v>1241961282.48</v>
      </c>
      <c r="K14" s="333">
        <f t="shared" si="6"/>
        <v>6.0359534312846588E-2</v>
      </c>
      <c r="L14" s="325">
        <v>2.48</v>
      </c>
      <c r="M14" s="325">
        <v>2.5299999999999998</v>
      </c>
      <c r="N14" s="334">
        <v>0.16650000000000001</v>
      </c>
      <c r="O14" s="334">
        <v>0.25419999999999998</v>
      </c>
      <c r="P14" s="329">
        <f t="shared" si="5"/>
        <v>3.2135654507089308E-2</v>
      </c>
      <c r="Q14" s="329">
        <f t="shared" si="2"/>
        <v>3.2653061224489639E-2</v>
      </c>
      <c r="R14" s="329">
        <f t="shared" si="4"/>
        <v>3.6299999999999999E-2</v>
      </c>
      <c r="S14" s="364">
        <f t="shared" si="3"/>
        <v>3.9099999999999968E-2</v>
      </c>
      <c r="T14" s="144"/>
      <c r="U14" s="113"/>
    </row>
    <row r="15" spans="1:26" s="112" customFormat="1" ht="12.95" customHeight="1">
      <c r="A15" s="401">
        <v>10</v>
      </c>
      <c r="B15" s="396" t="s">
        <v>53</v>
      </c>
      <c r="C15" s="397" t="s">
        <v>54</v>
      </c>
      <c r="D15" s="325">
        <v>373574712.43000001</v>
      </c>
      <c r="E15" s="333">
        <f t="shared" si="0"/>
        <v>1.8412954652006455E-2</v>
      </c>
      <c r="F15" s="325">
        <v>14.773892999999999</v>
      </c>
      <c r="G15" s="325">
        <v>14.849634999999999</v>
      </c>
      <c r="H15" s="334">
        <v>2.8E-3</v>
      </c>
      <c r="I15" s="334">
        <v>0.28070000000000001</v>
      </c>
      <c r="J15" s="325">
        <v>387991959.64999998</v>
      </c>
      <c r="K15" s="333">
        <f t="shared" si="6"/>
        <v>1.885647671305719E-2</v>
      </c>
      <c r="L15" s="325">
        <v>15.301045999999999</v>
      </c>
      <c r="M15" s="325">
        <v>15.382543</v>
      </c>
      <c r="N15" s="334">
        <v>1.1903380334836733E-2</v>
      </c>
      <c r="O15" s="334">
        <v>0.3236185084562766</v>
      </c>
      <c r="P15" s="329">
        <f t="shared" si="5"/>
        <v>3.8592674344095107E-2</v>
      </c>
      <c r="Q15" s="329">
        <f t="shared" si="2"/>
        <v>3.5886942675695456E-2</v>
      </c>
      <c r="R15" s="329">
        <f t="shared" si="4"/>
        <v>9.1033803348367325E-3</v>
      </c>
      <c r="S15" s="364">
        <f t="shared" si="3"/>
        <v>4.2918508456276594E-2</v>
      </c>
      <c r="T15" s="144"/>
      <c r="U15" s="148"/>
      <c r="V15" s="148"/>
    </row>
    <row r="16" spans="1:26" s="112" customFormat="1" ht="12.95" customHeight="1">
      <c r="A16" s="398">
        <v>11</v>
      </c>
      <c r="B16" s="396" t="s">
        <v>125</v>
      </c>
      <c r="C16" s="397" t="s">
        <v>90</v>
      </c>
      <c r="D16" s="325">
        <v>358347283.30000001</v>
      </c>
      <c r="E16" s="333">
        <f t="shared" si="0"/>
        <v>1.7662416800518794E-2</v>
      </c>
      <c r="F16" s="325">
        <v>1.8228070000000001</v>
      </c>
      <c r="G16" s="325">
        <v>1.853299</v>
      </c>
      <c r="H16" s="334">
        <v>-4.0000000000000002E-4</v>
      </c>
      <c r="I16" s="334">
        <v>0.28539999999999999</v>
      </c>
      <c r="J16" s="325">
        <v>371958076.94999999</v>
      </c>
      <c r="K16" s="333">
        <f t="shared" si="6"/>
        <v>1.8077227225451371E-2</v>
      </c>
      <c r="L16" s="325">
        <v>1.8920410000000001</v>
      </c>
      <c r="M16" s="325">
        <v>1.923176</v>
      </c>
      <c r="N16" s="334">
        <v>-3.5616438356164383E-4</v>
      </c>
      <c r="O16" s="334">
        <v>0.33400000000000002</v>
      </c>
      <c r="P16" s="329">
        <f t="shared" si="5"/>
        <v>3.7982131536365898E-2</v>
      </c>
      <c r="Q16" s="329">
        <f t="shared" si="2"/>
        <v>3.7704115741712466E-2</v>
      </c>
      <c r="R16" s="329">
        <f t="shared" si="4"/>
        <v>4.3835616438356187E-5</v>
      </c>
      <c r="S16" s="364">
        <f t="shared" si="3"/>
        <v>4.8600000000000032E-2</v>
      </c>
      <c r="T16" s="144"/>
      <c r="U16" s="149"/>
      <c r="V16" s="149"/>
    </row>
    <row r="17" spans="1:25" s="112" customFormat="1" ht="12.95" customHeight="1">
      <c r="A17" s="401">
        <v>12</v>
      </c>
      <c r="B17" s="396" t="s">
        <v>10</v>
      </c>
      <c r="C17" s="397" t="s">
        <v>9</v>
      </c>
      <c r="D17" s="326">
        <v>931787865.08000004</v>
      </c>
      <c r="E17" s="333">
        <f t="shared" si="0"/>
        <v>4.5926469683685564E-2</v>
      </c>
      <c r="F17" s="325">
        <v>23.52</v>
      </c>
      <c r="G17" s="325">
        <v>23.89</v>
      </c>
      <c r="H17" s="334">
        <v>2.3E-3</v>
      </c>
      <c r="I17" s="334">
        <v>0.31490000000000001</v>
      </c>
      <c r="J17" s="326">
        <v>953773940.5</v>
      </c>
      <c r="K17" s="333">
        <f t="shared" si="6"/>
        <v>4.6353579375157147E-2</v>
      </c>
      <c r="L17" s="325">
        <v>24.07</v>
      </c>
      <c r="M17" s="325">
        <v>24.46</v>
      </c>
      <c r="N17" s="334">
        <v>3.5700000000000003E-2</v>
      </c>
      <c r="O17" s="334">
        <v>0.3599</v>
      </c>
      <c r="P17" s="329">
        <f t="shared" si="5"/>
        <v>2.3595580328911354E-2</v>
      </c>
      <c r="Q17" s="329">
        <f t="shared" si="2"/>
        <v>2.3859355378819599E-2</v>
      </c>
      <c r="R17" s="329">
        <f t="shared" si="4"/>
        <v>3.3399999999999999E-2</v>
      </c>
      <c r="S17" s="364">
        <f t="shared" si="3"/>
        <v>4.4999999999999984E-2</v>
      </c>
      <c r="T17" s="144"/>
      <c r="U17" s="150"/>
      <c r="V17" s="150"/>
    </row>
    <row r="18" spans="1:25" s="112" customFormat="1" ht="12.95" customHeight="1">
      <c r="A18" s="403">
        <v>13</v>
      </c>
      <c r="B18" s="396" t="s">
        <v>67</v>
      </c>
      <c r="C18" s="397" t="s">
        <v>5</v>
      </c>
      <c r="D18" s="326">
        <v>426515600.54000002</v>
      </c>
      <c r="E18" s="333">
        <f t="shared" si="0"/>
        <v>2.1022334086887324E-2</v>
      </c>
      <c r="F18" s="325">
        <v>4266.2299999999996</v>
      </c>
      <c r="G18" s="325">
        <v>4316.53</v>
      </c>
      <c r="H18" s="334">
        <v>-4.4000000000000003E-3</v>
      </c>
      <c r="I18" s="334">
        <v>0.31830000000000003</v>
      </c>
      <c r="J18" s="326">
        <v>446232271.13</v>
      </c>
      <c r="K18" s="333">
        <f t="shared" si="6"/>
        <v>2.1686965979315413E-2</v>
      </c>
      <c r="L18" s="325">
        <v>4463.4399999999996</v>
      </c>
      <c r="M18" s="325">
        <v>4520.41</v>
      </c>
      <c r="N18" s="334">
        <v>4.7199999999999999E-2</v>
      </c>
      <c r="O18" s="334">
        <v>0.38059999999999999</v>
      </c>
      <c r="P18" s="329">
        <f t="shared" si="5"/>
        <v>4.6227313995167406E-2</v>
      </c>
      <c r="Q18" s="329">
        <f t="shared" si="2"/>
        <v>4.7232383419088975E-2</v>
      </c>
      <c r="R18" s="329">
        <f t="shared" si="4"/>
        <v>5.16E-2</v>
      </c>
      <c r="S18" s="364">
        <f t="shared" si="3"/>
        <v>6.2299999999999967E-2</v>
      </c>
      <c r="T18" s="144"/>
      <c r="U18" s="149"/>
      <c r="V18" s="149"/>
    </row>
    <row r="19" spans="1:25" s="112" customFormat="1" ht="12.95" customHeight="1">
      <c r="A19" s="403">
        <v>14</v>
      </c>
      <c r="B19" s="396" t="s">
        <v>225</v>
      </c>
      <c r="C19" s="397" t="s">
        <v>5</v>
      </c>
      <c r="D19" s="326">
        <v>8729913197.9699993</v>
      </c>
      <c r="E19" s="333">
        <f t="shared" si="0"/>
        <v>0.43028473416892254</v>
      </c>
      <c r="F19" s="325">
        <v>15127.79</v>
      </c>
      <c r="G19" s="325">
        <v>15317</v>
      </c>
      <c r="H19" s="334">
        <v>4.1999999999999997E-3</v>
      </c>
      <c r="I19" s="334">
        <v>0.23799999999999999</v>
      </c>
      <c r="J19" s="326">
        <v>8991633705.0799999</v>
      </c>
      <c r="K19" s="333">
        <f t="shared" si="6"/>
        <v>0.43699496176448965</v>
      </c>
      <c r="L19" s="325">
        <v>15578.09</v>
      </c>
      <c r="M19" s="325">
        <v>15774.7</v>
      </c>
      <c r="N19" s="334">
        <v>4.1999999999999997E-3</v>
      </c>
      <c r="O19" s="334">
        <v>0.27500000000000002</v>
      </c>
      <c r="P19" s="329">
        <f t="shared" si="5"/>
        <v>2.9979737618795511E-2</v>
      </c>
      <c r="Q19" s="329">
        <f t="shared" si="2"/>
        <v>2.9881830645687845E-2</v>
      </c>
      <c r="R19" s="329">
        <f t="shared" si="4"/>
        <v>0</v>
      </c>
      <c r="S19" s="364">
        <f t="shared" si="3"/>
        <v>3.7000000000000033E-2</v>
      </c>
      <c r="T19" s="144"/>
      <c r="U19" s="151"/>
      <c r="V19" s="151"/>
    </row>
    <row r="20" spans="1:25" s="112" customFormat="1" ht="12.95" customHeight="1">
      <c r="A20" s="392">
        <v>15</v>
      </c>
      <c r="B20" s="396" t="s">
        <v>245</v>
      </c>
      <c r="C20" s="397" t="s">
        <v>246</v>
      </c>
      <c r="D20" s="74">
        <v>66054241.280000001</v>
      </c>
      <c r="E20" s="333">
        <f t="shared" si="0"/>
        <v>3.2557175547293848E-3</v>
      </c>
      <c r="F20" s="325">
        <v>123.1041</v>
      </c>
      <c r="G20" s="325">
        <v>123.6105</v>
      </c>
      <c r="H20" s="334">
        <v>0.1477</v>
      </c>
      <c r="I20" s="334">
        <v>0.17180000000000001</v>
      </c>
      <c r="J20" s="74">
        <v>67439714.620000005</v>
      </c>
      <c r="K20" s="333">
        <v>0.96619999999999995</v>
      </c>
      <c r="L20" s="325">
        <v>125.6739</v>
      </c>
      <c r="M20" s="325">
        <v>126.20059999999999</v>
      </c>
      <c r="N20" s="334">
        <v>0.15429999999999999</v>
      </c>
      <c r="O20" s="334">
        <v>0.19620000000000001</v>
      </c>
      <c r="P20" s="329">
        <f t="shared" si="5"/>
        <v>2.097478243867891E-2</v>
      </c>
      <c r="Q20" s="329">
        <f t="shared" si="2"/>
        <v>2.0953721568960505E-2</v>
      </c>
      <c r="R20" s="329">
        <f t="shared" si="4"/>
        <v>6.5999999999999948E-3</v>
      </c>
      <c r="S20" s="364">
        <f t="shared" si="3"/>
        <v>2.4400000000000005E-2</v>
      </c>
      <c r="T20" s="309"/>
      <c r="U20" s="309"/>
      <c r="V20" s="151"/>
    </row>
    <row r="21" spans="1:25" s="330" customFormat="1" ht="12.95" customHeight="1">
      <c r="A21" s="401">
        <v>16</v>
      </c>
      <c r="B21" s="397" t="s">
        <v>75</v>
      </c>
      <c r="C21" s="397" t="s">
        <v>41</v>
      </c>
      <c r="D21" s="325">
        <v>2689717869.4099998</v>
      </c>
      <c r="E21" s="333">
        <f t="shared" si="0"/>
        <v>0.13257228476196123</v>
      </c>
      <c r="F21" s="325">
        <v>1.1638999999999999</v>
      </c>
      <c r="G21" s="310">
        <v>1.1746000000000001</v>
      </c>
      <c r="H21" s="334">
        <v>-5.1000000000000004E-3</v>
      </c>
      <c r="I21" s="334">
        <v>0.27900000000000003</v>
      </c>
      <c r="J21" s="325">
        <v>2442123267.79</v>
      </c>
      <c r="K21" s="333">
        <f>(J21/$J$22)</f>
        <v>0.11868761551408934</v>
      </c>
      <c r="L21" s="325">
        <v>1.1806000000000001</v>
      </c>
      <c r="M21" s="310">
        <v>1.1916</v>
      </c>
      <c r="N21" s="334">
        <v>6.1499999999999999E-2</v>
      </c>
      <c r="O21" s="334">
        <v>0.29659999999999997</v>
      </c>
      <c r="P21" s="329">
        <f t="shared" si="5"/>
        <v>-9.2052257389475103E-2</v>
      </c>
      <c r="Q21" s="329">
        <f t="shared" si="2"/>
        <v>1.447301208922178E-2</v>
      </c>
      <c r="R21" s="329">
        <f t="shared" si="4"/>
        <v>6.6599999999999993E-2</v>
      </c>
      <c r="S21" s="364">
        <f t="shared" si="3"/>
        <v>1.7599999999999949E-2</v>
      </c>
      <c r="T21" s="309"/>
      <c r="U21" s="309"/>
      <c r="V21" s="151"/>
    </row>
    <row r="22" spans="1:25" s="112" customFormat="1" ht="12.95" customHeight="1">
      <c r="A22" s="214"/>
      <c r="C22" s="244" t="s">
        <v>42</v>
      </c>
      <c r="D22" s="70">
        <f>SUM(D6:D21)</f>
        <v>20288689104.509998</v>
      </c>
      <c r="E22" s="262">
        <f>(D22/$D$168)</f>
        <v>1.0820441594598759E-2</v>
      </c>
      <c r="F22" s="264"/>
      <c r="G22" s="71"/>
      <c r="H22" s="281"/>
      <c r="I22" s="281"/>
      <c r="J22" s="70">
        <f>SUM(J6:J21)</f>
        <v>20576058059.739998</v>
      </c>
      <c r="K22" s="262">
        <f>(J22/$J$168)</f>
        <v>1.0956511554778392E-2</v>
      </c>
      <c r="L22" s="264"/>
      <c r="M22" s="71"/>
      <c r="N22" s="281"/>
      <c r="O22" s="281"/>
      <c r="P22" s="266">
        <f t="shared" si="5"/>
        <v>1.4163998164184986E-2</v>
      </c>
      <c r="Q22" s="266"/>
      <c r="R22" s="266">
        <f t="shared" ref="R22" si="11">N22-H22</f>
        <v>0</v>
      </c>
      <c r="S22" s="364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10"/>
      <c r="B23" s="411"/>
      <c r="C23" s="412"/>
      <c r="D23" s="412"/>
      <c r="E23" s="412"/>
      <c r="F23" s="412"/>
      <c r="G23" s="412"/>
      <c r="H23" s="412"/>
      <c r="I23" s="412"/>
      <c r="J23" s="412"/>
      <c r="K23" s="412"/>
      <c r="L23" s="412"/>
      <c r="M23" s="412"/>
      <c r="N23" s="412"/>
      <c r="O23" s="412"/>
      <c r="P23" s="412"/>
      <c r="Q23" s="412"/>
      <c r="R23" s="412"/>
      <c r="S23" s="425"/>
      <c r="T23" s="144"/>
      <c r="U23" s="152"/>
      <c r="X23" s="119"/>
      <c r="Y23" s="119"/>
    </row>
    <row r="24" spans="1:25" s="112" customFormat="1" ht="12.95" customHeight="1">
      <c r="A24" s="417" t="s">
        <v>44</v>
      </c>
      <c r="B24" s="418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20"/>
      <c r="T24" s="153"/>
      <c r="V24" s="154"/>
    </row>
    <row r="25" spans="1:25" s="112" customFormat="1" ht="12.95" customHeight="1">
      <c r="A25" s="398">
        <v>17</v>
      </c>
      <c r="B25" s="396" t="s">
        <v>115</v>
      </c>
      <c r="C25" s="397" t="s">
        <v>57</v>
      </c>
      <c r="D25" s="321">
        <v>818463836.38</v>
      </c>
      <c r="E25" s="193">
        <v>7.9600000000000004E-2</v>
      </c>
      <c r="F25" s="310">
        <v>100</v>
      </c>
      <c r="G25" s="310">
        <v>100</v>
      </c>
      <c r="H25" s="334">
        <v>0.11030231925219151</v>
      </c>
      <c r="I25" s="334">
        <v>0.11030231925219151</v>
      </c>
      <c r="J25" s="321">
        <v>809250351.65999997</v>
      </c>
      <c r="K25" s="333">
        <f t="shared" ref="K25:K41" si="13">(J25/$J$54)</f>
        <v>9.838542631839791E-4</v>
      </c>
      <c r="L25" s="310">
        <v>100</v>
      </c>
      <c r="M25" s="310">
        <v>100</v>
      </c>
      <c r="N25" s="334">
        <v>0.12252923746115993</v>
      </c>
      <c r="O25" s="334">
        <v>0.12252923746115993</v>
      </c>
      <c r="P25" s="109">
        <f t="shared" ref="P25:P53" si="14">((J25-D25)/D25)</f>
        <v>-1.1257045590127151E-2</v>
      </c>
      <c r="Q25" s="109">
        <f t="shared" ref="Q25:Q53" si="15">((M25-G25)/G25)</f>
        <v>0</v>
      </c>
      <c r="R25" s="329">
        <f t="shared" ref="R25:R53" si="16">N25-H25</f>
        <v>1.2226918208968415E-2</v>
      </c>
      <c r="S25" s="364">
        <f t="shared" ref="S25:S53" si="17">O25-I25</f>
        <v>1.2226918208968415E-2</v>
      </c>
      <c r="T25" s="156"/>
      <c r="U25" s="120"/>
      <c r="V25" s="154"/>
      <c r="W25" s="157"/>
    </row>
    <row r="26" spans="1:25" s="112" customFormat="1" ht="12.95" customHeight="1">
      <c r="A26" s="401">
        <v>18</v>
      </c>
      <c r="B26" s="396" t="s">
        <v>37</v>
      </c>
      <c r="C26" s="397" t="s">
        <v>36</v>
      </c>
      <c r="D26" s="321">
        <v>3329801705.5900002</v>
      </c>
      <c r="E26" s="193">
        <v>8.6400000000000005E-2</v>
      </c>
      <c r="F26" s="310">
        <v>100</v>
      </c>
      <c r="G26" s="310">
        <v>100</v>
      </c>
      <c r="H26" s="334">
        <v>0.118419</v>
      </c>
      <c r="I26" s="334">
        <v>0.118419</v>
      </c>
      <c r="J26" s="321">
        <v>3324415921.2199998</v>
      </c>
      <c r="K26" s="333">
        <f t="shared" si="13"/>
        <v>4.0416921289929417E-3</v>
      </c>
      <c r="L26" s="310">
        <v>100</v>
      </c>
      <c r="M26" s="310">
        <v>100</v>
      </c>
      <c r="N26" s="334">
        <v>0.11848</v>
      </c>
      <c r="O26" s="334">
        <v>0.11848</v>
      </c>
      <c r="P26" s="329">
        <f t="shared" si="14"/>
        <v>-1.6174489793067323E-3</v>
      </c>
      <c r="Q26" s="329">
        <f t="shared" si="15"/>
        <v>0</v>
      </c>
      <c r="R26" s="329">
        <f t="shared" si="16"/>
        <v>6.1000000000005494E-5</v>
      </c>
      <c r="S26" s="364">
        <f t="shared" si="17"/>
        <v>6.1000000000005494E-5</v>
      </c>
      <c r="T26" s="144"/>
      <c r="U26" s="113"/>
    </row>
    <row r="27" spans="1:25" s="112" customFormat="1" ht="12.95" customHeight="1">
      <c r="A27" s="401">
        <v>19</v>
      </c>
      <c r="B27" s="396" t="s">
        <v>137</v>
      </c>
      <c r="C27" s="397" t="s">
        <v>135</v>
      </c>
      <c r="D27" s="321">
        <v>485018923.54000002</v>
      </c>
      <c r="E27" s="193">
        <v>2.0000000000000001E-4</v>
      </c>
      <c r="F27" s="310">
        <v>100</v>
      </c>
      <c r="G27" s="310">
        <v>100</v>
      </c>
      <c r="H27" s="334">
        <v>6.6799999999999998E-2</v>
      </c>
      <c r="I27" s="334">
        <v>6.6799999999999998E-2</v>
      </c>
      <c r="J27" s="321">
        <v>552902413.13999999</v>
      </c>
      <c r="K27" s="333">
        <f t="shared" si="13"/>
        <v>6.7219667582059394E-4</v>
      </c>
      <c r="L27" s="310">
        <v>100</v>
      </c>
      <c r="M27" s="310">
        <v>100</v>
      </c>
      <c r="N27" s="334">
        <v>7.6700000000000004E-2</v>
      </c>
      <c r="O27" s="334">
        <v>7.6700000000000004E-2</v>
      </c>
      <c r="P27" s="329">
        <f t="shared" si="14"/>
        <v>0.13996049701430163</v>
      </c>
      <c r="Q27" s="329">
        <f t="shared" si="15"/>
        <v>0</v>
      </c>
      <c r="R27" s="329">
        <f t="shared" si="16"/>
        <v>9.900000000000006E-3</v>
      </c>
      <c r="S27" s="364">
        <f t="shared" si="17"/>
        <v>9.900000000000006E-3</v>
      </c>
      <c r="T27" s="144"/>
      <c r="U27" s="120"/>
    </row>
    <row r="28" spans="1:25" s="112" customFormat="1" ht="12.95" customHeight="1">
      <c r="A28" s="401">
        <v>20</v>
      </c>
      <c r="B28" s="396" t="s">
        <v>15</v>
      </c>
      <c r="C28" s="397" t="s">
        <v>6</v>
      </c>
      <c r="D28" s="321">
        <v>79085463217.5</v>
      </c>
      <c r="E28" s="193">
        <v>6.54E-2</v>
      </c>
      <c r="F28" s="310">
        <v>1</v>
      </c>
      <c r="G28" s="310">
        <v>1</v>
      </c>
      <c r="H28" s="334">
        <v>9.9400000000000002E-2</v>
      </c>
      <c r="I28" s="334">
        <v>9.9400000000000002E-2</v>
      </c>
      <c r="J28" s="321">
        <v>79847036683.710007</v>
      </c>
      <c r="K28" s="333">
        <f t="shared" si="13"/>
        <v>9.707483880943818E-2</v>
      </c>
      <c r="L28" s="310">
        <v>1</v>
      </c>
      <c r="M28" s="310">
        <v>1</v>
      </c>
      <c r="N28" s="334">
        <v>9.6500000000000002E-2</v>
      </c>
      <c r="O28" s="334">
        <v>9.6500000000000002E-2</v>
      </c>
      <c r="P28" s="329">
        <f t="shared" si="14"/>
        <v>9.629752867673487E-3</v>
      </c>
      <c r="Q28" s="329">
        <f t="shared" si="15"/>
        <v>0</v>
      </c>
      <c r="R28" s="329">
        <f t="shared" si="16"/>
        <v>-2.8999999999999998E-3</v>
      </c>
      <c r="S28" s="364">
        <f t="shared" si="17"/>
        <v>-2.8999999999999998E-3</v>
      </c>
      <c r="T28" s="153"/>
      <c r="U28" s="113"/>
    </row>
    <row r="29" spans="1:25" s="112" customFormat="1" ht="12.95" customHeight="1">
      <c r="A29" s="401">
        <v>21</v>
      </c>
      <c r="B29" s="396" t="s">
        <v>82</v>
      </c>
      <c r="C29" s="397" t="s">
        <v>80</v>
      </c>
      <c r="D29" s="321">
        <v>40934587170.089996</v>
      </c>
      <c r="E29" s="193">
        <v>6.9800000000000001E-2</v>
      </c>
      <c r="F29" s="310">
        <v>1</v>
      </c>
      <c r="G29" s="310">
        <v>1</v>
      </c>
      <c r="H29" s="334">
        <v>9.7600000000000006E-2</v>
      </c>
      <c r="I29" s="334">
        <v>9.5799999999999996E-2</v>
      </c>
      <c r="J29" s="321">
        <v>40777370723.519997</v>
      </c>
      <c r="K29" s="333">
        <f t="shared" si="13"/>
        <v>4.9575499034969092E-2</v>
      </c>
      <c r="L29" s="310">
        <v>1</v>
      </c>
      <c r="M29" s="310">
        <v>1</v>
      </c>
      <c r="N29" s="334">
        <v>9.2700000000000005E-2</v>
      </c>
      <c r="O29" s="334">
        <v>9.2700000000000005E-2</v>
      </c>
      <c r="P29" s="329">
        <f t="shared" si="14"/>
        <v>-3.8406750241974908E-3</v>
      </c>
      <c r="Q29" s="329">
        <f t="shared" si="15"/>
        <v>0</v>
      </c>
      <c r="R29" s="329">
        <f t="shared" si="16"/>
        <v>-4.9000000000000016E-3</v>
      </c>
      <c r="S29" s="364">
        <f t="shared" si="17"/>
        <v>-3.0999999999999917E-3</v>
      </c>
      <c r="T29" s="144"/>
      <c r="U29" s="148"/>
      <c r="V29" s="428"/>
      <c r="W29" s="428"/>
    </row>
    <row r="30" spans="1:25" s="112" customFormat="1" ht="12.95" customHeight="1">
      <c r="A30" s="401">
        <v>22</v>
      </c>
      <c r="B30" s="396" t="s">
        <v>97</v>
      </c>
      <c r="C30" s="397" t="s">
        <v>9</v>
      </c>
      <c r="D30" s="321">
        <v>4830806999.1300001</v>
      </c>
      <c r="E30" s="193">
        <v>5.3699999999999998E-2</v>
      </c>
      <c r="F30" s="310">
        <v>100</v>
      </c>
      <c r="G30" s="310">
        <v>100</v>
      </c>
      <c r="H30" s="334">
        <v>9.9900000000000003E-2</v>
      </c>
      <c r="I30" s="334">
        <v>9.9900000000000003E-2</v>
      </c>
      <c r="J30" s="321">
        <v>4830806999.1300001</v>
      </c>
      <c r="K30" s="333">
        <f t="shared" si="13"/>
        <v>5.8731022494629822E-3</v>
      </c>
      <c r="L30" s="310">
        <v>100</v>
      </c>
      <c r="M30" s="310">
        <v>100</v>
      </c>
      <c r="N30" s="334">
        <v>9.9900000000000003E-2</v>
      </c>
      <c r="O30" s="334">
        <v>9.9900000000000003E-2</v>
      </c>
      <c r="P30" s="329">
        <f t="shared" si="14"/>
        <v>0</v>
      </c>
      <c r="Q30" s="329">
        <f t="shared" si="15"/>
        <v>0</v>
      </c>
      <c r="R30" s="329">
        <f t="shared" si="16"/>
        <v>0</v>
      </c>
      <c r="S30" s="364">
        <f t="shared" si="17"/>
        <v>0</v>
      </c>
      <c r="T30" s="144"/>
      <c r="U30" s="113"/>
      <c r="V30" s="430"/>
      <c r="W30" s="430"/>
    </row>
    <row r="31" spans="1:25" s="112" customFormat="1" ht="12.95" customHeight="1">
      <c r="A31" s="392">
        <v>23</v>
      </c>
      <c r="B31" s="396" t="s">
        <v>230</v>
      </c>
      <c r="C31" s="397" t="s">
        <v>7</v>
      </c>
      <c r="D31" s="321">
        <v>12501464130.220001</v>
      </c>
      <c r="E31" s="193">
        <v>6.1269999999999998E-2</v>
      </c>
      <c r="F31" s="310">
        <v>100</v>
      </c>
      <c r="G31" s="310">
        <v>100</v>
      </c>
      <c r="H31" s="334">
        <v>0.11149402520261401</v>
      </c>
      <c r="I31" s="334">
        <v>0.11149402520261401</v>
      </c>
      <c r="J31" s="321">
        <v>12443485136.380001</v>
      </c>
      <c r="K31" s="333">
        <f t="shared" si="13"/>
        <v>1.5128292345108008E-2</v>
      </c>
      <c r="L31" s="310">
        <v>100</v>
      </c>
      <c r="M31" s="310">
        <v>100</v>
      </c>
      <c r="N31" s="334">
        <v>0.111491024961823</v>
      </c>
      <c r="O31" s="334">
        <v>0.111491024961823</v>
      </c>
      <c r="P31" s="329">
        <f t="shared" si="14"/>
        <v>-4.6377762825273042E-3</v>
      </c>
      <c r="Q31" s="329">
        <f t="shared" si="15"/>
        <v>0</v>
      </c>
      <c r="R31" s="329">
        <f t="shared" si="16"/>
        <v>-3.0002407910012518E-6</v>
      </c>
      <c r="S31" s="364">
        <f t="shared" si="17"/>
        <v>-3.0002407910012518E-6</v>
      </c>
      <c r="T31" s="144"/>
      <c r="U31" s="113"/>
      <c r="V31" s="431"/>
      <c r="W31" s="431"/>
    </row>
    <row r="32" spans="1:25" s="112" customFormat="1" ht="12.95" customHeight="1">
      <c r="A32" s="400">
        <v>24</v>
      </c>
      <c r="B32" s="396" t="s">
        <v>89</v>
      </c>
      <c r="C32" s="397" t="s">
        <v>88</v>
      </c>
      <c r="D32" s="321">
        <v>5195263385.3100004</v>
      </c>
      <c r="E32" s="193">
        <v>7.0599999999999996E-2</v>
      </c>
      <c r="F32" s="310">
        <v>100</v>
      </c>
      <c r="G32" s="310">
        <v>100</v>
      </c>
      <c r="H32" s="334">
        <v>8.6999999999999994E-2</v>
      </c>
      <c r="I32" s="334">
        <v>8.6999999999999994E-2</v>
      </c>
      <c r="J32" s="321">
        <v>5208164199.6599998</v>
      </c>
      <c r="K32" s="333">
        <f t="shared" si="13"/>
        <v>6.331878065529103E-3</v>
      </c>
      <c r="L32" s="310">
        <v>100</v>
      </c>
      <c r="M32" s="310">
        <v>100</v>
      </c>
      <c r="N32" s="334">
        <v>9.0499999999999997E-2</v>
      </c>
      <c r="O32" s="334">
        <v>9.0499999999999997E-2</v>
      </c>
      <c r="P32" s="329">
        <f t="shared" si="14"/>
        <v>2.4831877410638032E-3</v>
      </c>
      <c r="Q32" s="329">
        <f t="shared" si="15"/>
        <v>0</v>
      </c>
      <c r="R32" s="329">
        <f t="shared" si="16"/>
        <v>3.5000000000000031E-3</v>
      </c>
      <c r="S32" s="364">
        <f t="shared" si="17"/>
        <v>3.5000000000000031E-3</v>
      </c>
      <c r="T32" s="144"/>
      <c r="U32" s="113"/>
    </row>
    <row r="33" spans="1:23" s="112" customFormat="1" ht="12.95" customHeight="1">
      <c r="A33" s="401">
        <v>25</v>
      </c>
      <c r="B33" s="396" t="s">
        <v>179</v>
      </c>
      <c r="C33" s="397" t="s">
        <v>178</v>
      </c>
      <c r="D33" s="321">
        <v>44514190.369999997</v>
      </c>
      <c r="E33" s="193">
        <v>3.7000000000000002E-3</v>
      </c>
      <c r="F33" s="310">
        <v>100</v>
      </c>
      <c r="G33" s="310">
        <v>100</v>
      </c>
      <c r="H33" s="334">
        <v>0</v>
      </c>
      <c r="I33" s="334">
        <v>0</v>
      </c>
      <c r="J33" s="321">
        <v>44514190.369999997</v>
      </c>
      <c r="K33" s="333">
        <f t="shared" si="13"/>
        <v>5.4118575145343948E-5</v>
      </c>
      <c r="L33" s="310">
        <v>100</v>
      </c>
      <c r="M33" s="310">
        <v>100</v>
      </c>
      <c r="N33" s="334">
        <v>0</v>
      </c>
      <c r="O33" s="334">
        <v>0</v>
      </c>
      <c r="P33" s="329">
        <f t="shared" si="14"/>
        <v>0</v>
      </c>
      <c r="Q33" s="329">
        <f t="shared" si="15"/>
        <v>0</v>
      </c>
      <c r="R33" s="329">
        <f t="shared" si="16"/>
        <v>0</v>
      </c>
      <c r="S33" s="364">
        <f t="shared" si="17"/>
        <v>0</v>
      </c>
      <c r="T33" s="146"/>
      <c r="U33" s="158"/>
    </row>
    <row r="34" spans="1:23" s="112" customFormat="1" ht="12.95" customHeight="1">
      <c r="A34" s="393">
        <v>26</v>
      </c>
      <c r="B34" s="394" t="s">
        <v>108</v>
      </c>
      <c r="C34" s="395" t="s">
        <v>259</v>
      </c>
      <c r="D34" s="321">
        <v>5723289390.6999998</v>
      </c>
      <c r="E34" s="193">
        <v>6.3E-2</v>
      </c>
      <c r="F34" s="310">
        <v>1</v>
      </c>
      <c r="G34" s="310">
        <v>1</v>
      </c>
      <c r="H34" s="334">
        <v>9.6000000000000002E-2</v>
      </c>
      <c r="I34" s="334">
        <v>9.6000000000000002E-2</v>
      </c>
      <c r="J34" s="321">
        <v>5723289390.6999998</v>
      </c>
      <c r="K34" s="333">
        <f t="shared" si="13"/>
        <v>6.9581467032115707E-3</v>
      </c>
      <c r="L34" s="310">
        <v>1</v>
      </c>
      <c r="M34" s="310">
        <v>1</v>
      </c>
      <c r="N34" s="334">
        <v>9.6000000000000002E-2</v>
      </c>
      <c r="O34" s="334">
        <v>9.6000000000000002E-2</v>
      </c>
      <c r="P34" s="329">
        <f t="shared" si="14"/>
        <v>0</v>
      </c>
      <c r="Q34" s="329">
        <f t="shared" si="15"/>
        <v>0</v>
      </c>
      <c r="R34" s="329">
        <f t="shared" si="16"/>
        <v>0</v>
      </c>
      <c r="S34" s="364">
        <f t="shared" si="17"/>
        <v>0</v>
      </c>
      <c r="T34" s="159"/>
      <c r="U34" s="113"/>
      <c r="V34" s="428"/>
      <c r="W34" s="428"/>
    </row>
    <row r="35" spans="1:23" s="112" customFormat="1" ht="12.95" customHeight="1">
      <c r="A35" s="398">
        <v>27</v>
      </c>
      <c r="B35" s="396" t="s">
        <v>100</v>
      </c>
      <c r="C35" s="397" t="s">
        <v>98</v>
      </c>
      <c r="D35" s="321">
        <v>13169237396.639999</v>
      </c>
      <c r="E35" s="193">
        <v>4.5100000000000001E-2</v>
      </c>
      <c r="F35" s="69">
        <v>100</v>
      </c>
      <c r="G35" s="69">
        <v>100</v>
      </c>
      <c r="H35" s="334">
        <v>9.1700000000000004E-2</v>
      </c>
      <c r="I35" s="334">
        <v>9.1700000000000004E-2</v>
      </c>
      <c r="J35" s="321">
        <v>13321667928</v>
      </c>
      <c r="K35" s="333">
        <f t="shared" si="13"/>
        <v>1.619595191623804E-2</v>
      </c>
      <c r="L35" s="69">
        <v>100</v>
      </c>
      <c r="M35" s="69">
        <v>100</v>
      </c>
      <c r="N35" s="334">
        <v>9.1600000000000001E-2</v>
      </c>
      <c r="O35" s="334">
        <v>9.1600000000000001E-2</v>
      </c>
      <c r="P35" s="329">
        <f t="shared" si="14"/>
        <v>1.1574742467539673E-2</v>
      </c>
      <c r="Q35" s="329">
        <f t="shared" si="15"/>
        <v>0</v>
      </c>
      <c r="R35" s="329">
        <f t="shared" si="16"/>
        <v>-1.0000000000000286E-4</v>
      </c>
      <c r="S35" s="364">
        <f t="shared" si="17"/>
        <v>-1.0000000000000286E-4</v>
      </c>
      <c r="T35" s="144"/>
      <c r="U35" s="122"/>
    </row>
    <row r="36" spans="1:23" s="112" customFormat="1" ht="12.95" customHeight="1">
      <c r="A36" s="398">
        <v>28</v>
      </c>
      <c r="B36" s="396" t="s">
        <v>99</v>
      </c>
      <c r="C36" s="397" t="s">
        <v>98</v>
      </c>
      <c r="D36" s="321">
        <v>572794721.44000006</v>
      </c>
      <c r="E36" s="193">
        <v>5.2900000000000003E-2</v>
      </c>
      <c r="F36" s="69">
        <v>1000000</v>
      </c>
      <c r="G36" s="69">
        <v>1000000</v>
      </c>
      <c r="H36" s="334">
        <v>7.3300000000000004E-2</v>
      </c>
      <c r="I36" s="334">
        <v>7.3300000000000004E-2</v>
      </c>
      <c r="J36" s="321">
        <v>573670747.15999997</v>
      </c>
      <c r="K36" s="333">
        <f t="shared" si="13"/>
        <v>6.974459870169277E-4</v>
      </c>
      <c r="L36" s="69">
        <v>1000000</v>
      </c>
      <c r="M36" s="69">
        <v>1000000</v>
      </c>
      <c r="N36" s="334">
        <v>8.6099999999999996E-2</v>
      </c>
      <c r="O36" s="334">
        <v>8.6099999999999996E-2</v>
      </c>
      <c r="P36" s="329">
        <f t="shared" si="14"/>
        <v>1.5293886050443861E-3</v>
      </c>
      <c r="Q36" s="329">
        <f t="shared" si="15"/>
        <v>0</v>
      </c>
      <c r="R36" s="329">
        <f t="shared" si="16"/>
        <v>1.2799999999999992E-2</v>
      </c>
      <c r="S36" s="364">
        <f t="shared" si="17"/>
        <v>1.2799999999999992E-2</v>
      </c>
      <c r="T36" s="144"/>
      <c r="U36" s="123"/>
    </row>
    <row r="37" spans="1:23" s="112" customFormat="1" ht="12.95" customHeight="1">
      <c r="A37" s="398">
        <v>29</v>
      </c>
      <c r="B37" s="396" t="s">
        <v>169</v>
      </c>
      <c r="C37" s="397" t="s">
        <v>168</v>
      </c>
      <c r="D37" s="321">
        <v>2247105838.5500002</v>
      </c>
      <c r="E37" s="193">
        <v>9.0300000000000005E-2</v>
      </c>
      <c r="F37" s="310">
        <v>1</v>
      </c>
      <c r="G37" s="310">
        <v>1</v>
      </c>
      <c r="H37" s="334">
        <v>0.1278</v>
      </c>
      <c r="I37" s="334">
        <v>0.1278</v>
      </c>
      <c r="J37" s="321">
        <v>2183777007.1700001</v>
      </c>
      <c r="K37" s="333">
        <f t="shared" si="13"/>
        <v>2.6549488844090589E-3</v>
      </c>
      <c r="L37" s="310">
        <v>1</v>
      </c>
      <c r="M37" s="310">
        <v>1</v>
      </c>
      <c r="N37" s="334">
        <v>0.12659999999999999</v>
      </c>
      <c r="O37" s="334">
        <v>0.12659999999999999</v>
      </c>
      <c r="P37" s="329">
        <f t="shared" si="14"/>
        <v>-2.8182398128992706E-2</v>
      </c>
      <c r="Q37" s="329">
        <f t="shared" si="15"/>
        <v>0</v>
      </c>
      <c r="R37" s="329">
        <f t="shared" si="16"/>
        <v>-1.2000000000000066E-3</v>
      </c>
      <c r="S37" s="364">
        <f t="shared" si="17"/>
        <v>-1.2000000000000066E-3</v>
      </c>
      <c r="T37" s="144"/>
      <c r="U37" s="122"/>
    </row>
    <row r="38" spans="1:23" s="112" customFormat="1" ht="12.95" customHeight="1">
      <c r="A38" s="401">
        <v>30</v>
      </c>
      <c r="B38" s="396" t="s">
        <v>262</v>
      </c>
      <c r="C38" s="397" t="s">
        <v>133</v>
      </c>
      <c r="D38" s="321">
        <v>286270616.13999999</v>
      </c>
      <c r="E38" s="333">
        <f>(D38/$J$54)</f>
        <v>3.4803638396437269E-4</v>
      </c>
      <c r="F38" s="310">
        <v>1</v>
      </c>
      <c r="G38" s="310">
        <v>1</v>
      </c>
      <c r="H38" s="320">
        <v>7.5899999999999995E-2</v>
      </c>
      <c r="I38" s="320">
        <v>7.5899999999999995E-2</v>
      </c>
      <c r="J38" s="321">
        <v>267330946.31</v>
      </c>
      <c r="K38" s="333">
        <f t="shared" si="13"/>
        <v>3.2501028966942536E-4</v>
      </c>
      <c r="L38" s="310">
        <v>1</v>
      </c>
      <c r="M38" s="310">
        <v>1</v>
      </c>
      <c r="N38" s="320">
        <v>7.9100000000000004E-2</v>
      </c>
      <c r="O38" s="320">
        <v>7.9100000000000004E-2</v>
      </c>
      <c r="P38" s="329">
        <f t="shared" si="14"/>
        <v>-6.6160020491720956E-2</v>
      </c>
      <c r="Q38" s="329">
        <f t="shared" si="15"/>
        <v>0</v>
      </c>
      <c r="R38" s="329">
        <f t="shared" si="16"/>
        <v>3.2000000000000084E-3</v>
      </c>
      <c r="S38" s="364">
        <f t="shared" si="17"/>
        <v>3.2000000000000084E-3</v>
      </c>
      <c r="T38" s="144"/>
      <c r="U38" s="122"/>
      <c r="V38" s="124"/>
    </row>
    <row r="39" spans="1:23" s="112" customFormat="1" ht="12.95" customHeight="1">
      <c r="A39" s="400">
        <v>31</v>
      </c>
      <c r="B39" s="396" t="s">
        <v>14</v>
      </c>
      <c r="C39" s="397" t="s">
        <v>185</v>
      </c>
      <c r="D39" s="321">
        <v>191069692937.47</v>
      </c>
      <c r="E39" s="193">
        <v>6.2600000000000003E-2</v>
      </c>
      <c r="F39" s="310">
        <v>100</v>
      </c>
      <c r="G39" s="310">
        <v>100</v>
      </c>
      <c r="H39" s="334">
        <v>0.1084</v>
      </c>
      <c r="I39" s="334">
        <v>0.1084</v>
      </c>
      <c r="J39" s="321">
        <v>194918601087.01999</v>
      </c>
      <c r="K39" s="333">
        <f t="shared" si="13"/>
        <v>0.23697425186154661</v>
      </c>
      <c r="L39" s="310">
        <v>100</v>
      </c>
      <c r="M39" s="310">
        <v>100</v>
      </c>
      <c r="N39" s="334">
        <v>0.11020000000000001</v>
      </c>
      <c r="O39" s="334">
        <v>0.11020000000000001</v>
      </c>
      <c r="P39" s="329">
        <f t="shared" si="14"/>
        <v>2.0144001334683633E-2</v>
      </c>
      <c r="Q39" s="329">
        <f t="shared" si="15"/>
        <v>0</v>
      </c>
      <c r="R39" s="329">
        <f t="shared" si="16"/>
        <v>1.8000000000000099E-3</v>
      </c>
      <c r="S39" s="364">
        <f t="shared" si="17"/>
        <v>1.8000000000000099E-3</v>
      </c>
      <c r="T39" s="153"/>
      <c r="U39" s="432"/>
      <c r="V39" s="186"/>
    </row>
    <row r="40" spans="1:23" s="112" customFormat="1" ht="12.95" customHeight="1">
      <c r="A40" s="398">
        <v>32</v>
      </c>
      <c r="B40" s="396" t="s">
        <v>122</v>
      </c>
      <c r="C40" s="397" t="s">
        <v>175</v>
      </c>
      <c r="D40" s="321">
        <v>587883712.46000004</v>
      </c>
      <c r="E40" s="193">
        <v>4.9799999999999997E-2</v>
      </c>
      <c r="F40" s="310">
        <v>10</v>
      </c>
      <c r="G40" s="310">
        <v>10</v>
      </c>
      <c r="H40" s="334">
        <v>8.6800000000000002E-2</v>
      </c>
      <c r="I40" s="334">
        <v>8.6800000000000002E-2</v>
      </c>
      <c r="J40" s="321">
        <v>588099068.22000003</v>
      </c>
      <c r="K40" s="333">
        <f t="shared" si="13"/>
        <v>7.1498736362102743E-4</v>
      </c>
      <c r="L40" s="310">
        <v>10</v>
      </c>
      <c r="M40" s="310">
        <v>10</v>
      </c>
      <c r="N40" s="334">
        <v>7.3999999999999996E-2</v>
      </c>
      <c r="O40" s="334">
        <v>7.3999999999999996E-2</v>
      </c>
      <c r="P40" s="109">
        <f t="shared" si="14"/>
        <v>3.6632373960291238E-4</v>
      </c>
      <c r="Q40" s="329">
        <f t="shared" si="15"/>
        <v>0</v>
      </c>
      <c r="R40" s="329">
        <f t="shared" si="16"/>
        <v>-1.2800000000000006E-2</v>
      </c>
      <c r="S40" s="364">
        <f t="shared" si="17"/>
        <v>-1.2800000000000006E-2</v>
      </c>
      <c r="T40" s="155"/>
      <c r="U40" s="432"/>
      <c r="V40" s="186"/>
    </row>
    <row r="41" spans="1:23" s="112" customFormat="1" ht="12.95" customHeight="1">
      <c r="A41" s="400">
        <v>33</v>
      </c>
      <c r="B41" s="396" t="s">
        <v>86</v>
      </c>
      <c r="C41" s="397" t="s">
        <v>87</v>
      </c>
      <c r="D41" s="321">
        <v>2297191442.3656645</v>
      </c>
      <c r="E41" s="193">
        <v>4.2599999999999999E-2</v>
      </c>
      <c r="F41" s="310">
        <v>100</v>
      </c>
      <c r="G41" s="310">
        <v>100</v>
      </c>
      <c r="H41" s="334">
        <v>9.8000000000000004E-2</v>
      </c>
      <c r="I41" s="334">
        <v>8.0500000000000002E-2</v>
      </c>
      <c r="J41" s="321">
        <v>2341905565.5004201</v>
      </c>
      <c r="K41" s="333">
        <f t="shared" si="13"/>
        <v>2.8471952713588961E-3</v>
      </c>
      <c r="L41" s="310">
        <v>100</v>
      </c>
      <c r="M41" s="310">
        <v>100</v>
      </c>
      <c r="N41" s="334">
        <v>9.8000000000000004E-2</v>
      </c>
      <c r="O41" s="334">
        <v>8.0500000000000002E-2</v>
      </c>
      <c r="P41" s="329">
        <f t="shared" si="14"/>
        <v>1.9464691670933912E-2</v>
      </c>
      <c r="Q41" s="329">
        <f t="shared" si="15"/>
        <v>0</v>
      </c>
      <c r="R41" s="329">
        <f t="shared" si="16"/>
        <v>0</v>
      </c>
      <c r="S41" s="364">
        <f t="shared" si="17"/>
        <v>0</v>
      </c>
      <c r="T41" s="146"/>
      <c r="U41" s="122"/>
    </row>
    <row r="42" spans="1:23" s="330" customFormat="1" ht="12.95" customHeight="1">
      <c r="A42" s="400">
        <v>34</v>
      </c>
      <c r="B42" s="396" t="s">
        <v>275</v>
      </c>
      <c r="C42" s="397" t="s">
        <v>243</v>
      </c>
      <c r="D42" s="321">
        <v>19027610965</v>
      </c>
      <c r="E42" s="193">
        <v>4.7199999999999999E-2</v>
      </c>
      <c r="F42" s="310">
        <v>100</v>
      </c>
      <c r="G42" s="310">
        <v>100</v>
      </c>
      <c r="H42" s="334">
        <v>9.5100000000000004E-2</v>
      </c>
      <c r="I42" s="334">
        <v>9.6500000000000002E-2</v>
      </c>
      <c r="J42" s="321">
        <v>19621654972.389999</v>
      </c>
      <c r="K42" s="333">
        <f t="shared" ref="K42" si="18">(J42/$J$54)</f>
        <v>2.3855224598557604E-2</v>
      </c>
      <c r="L42" s="310">
        <v>100</v>
      </c>
      <c r="M42" s="310">
        <v>100</v>
      </c>
      <c r="N42" s="334">
        <v>8.8499999999999995E-2</v>
      </c>
      <c r="O42" s="334">
        <v>9.0899999999999995E-2</v>
      </c>
      <c r="P42" s="329">
        <f t="shared" ref="P42" si="19">((J42-D42)/D42)</f>
        <v>3.1220104745819276E-2</v>
      </c>
      <c r="Q42" s="329">
        <f t="shared" ref="Q42" si="20">((M42-G42)/G42)</f>
        <v>0</v>
      </c>
      <c r="R42" s="329">
        <f t="shared" ref="R42" si="21">N42-H42</f>
        <v>-6.6000000000000086E-3</v>
      </c>
      <c r="S42" s="364">
        <f t="shared" ref="S42" si="22">O42-I42</f>
        <v>-5.6000000000000077E-3</v>
      </c>
      <c r="T42" s="146"/>
      <c r="U42" s="122"/>
    </row>
    <row r="43" spans="1:23" s="112" customFormat="1" ht="12.95" customHeight="1">
      <c r="A43" s="400">
        <v>35</v>
      </c>
      <c r="B43" s="396" t="s">
        <v>121</v>
      </c>
      <c r="C43" s="397" t="s">
        <v>132</v>
      </c>
      <c r="D43" s="321">
        <v>3223499113.8299999</v>
      </c>
      <c r="E43" s="193">
        <v>4.8399999999999999E-2</v>
      </c>
      <c r="F43" s="310">
        <v>1</v>
      </c>
      <c r="G43" s="310">
        <v>1</v>
      </c>
      <c r="H43" s="334">
        <v>9.3299999999999994E-2</v>
      </c>
      <c r="I43" s="334">
        <v>9.3299999999999994E-2</v>
      </c>
      <c r="J43" s="321">
        <v>3211962804.1100001</v>
      </c>
      <c r="K43" s="333">
        <f t="shared" ref="K43:K53" si="23">(J43/$J$54)</f>
        <v>3.9049761196022111E-3</v>
      </c>
      <c r="L43" s="310">
        <v>1</v>
      </c>
      <c r="M43" s="310">
        <v>1</v>
      </c>
      <c r="N43" s="334">
        <v>9.2899999999999996E-2</v>
      </c>
      <c r="O43" s="334">
        <v>9.2899999999999996E-2</v>
      </c>
      <c r="P43" s="109">
        <f t="shared" si="14"/>
        <v>-3.5788158496786199E-3</v>
      </c>
      <c r="Q43" s="109">
        <f t="shared" si="15"/>
        <v>0</v>
      </c>
      <c r="R43" s="329">
        <f t="shared" si="16"/>
        <v>-3.9999999999999758E-4</v>
      </c>
      <c r="S43" s="364">
        <f t="shared" si="17"/>
        <v>-3.9999999999999758E-4</v>
      </c>
      <c r="T43" s="144"/>
      <c r="U43" s="160"/>
      <c r="V43" s="186"/>
    </row>
    <row r="44" spans="1:23" s="112" customFormat="1" ht="12.95" customHeight="1">
      <c r="A44" s="401">
        <v>36</v>
      </c>
      <c r="B44" s="396" t="s">
        <v>55</v>
      </c>
      <c r="C44" s="397" t="s">
        <v>54</v>
      </c>
      <c r="D44" s="316">
        <v>3071845396.8600001</v>
      </c>
      <c r="E44" s="193">
        <v>6.4500000000000002E-2</v>
      </c>
      <c r="F44" s="310">
        <v>10</v>
      </c>
      <c r="G44" s="310">
        <v>10</v>
      </c>
      <c r="H44" s="334">
        <v>0.1162</v>
      </c>
      <c r="I44" s="334">
        <v>0.1162</v>
      </c>
      <c r="J44" s="316">
        <v>3120273348.9200001</v>
      </c>
      <c r="K44" s="333">
        <f t="shared" si="23"/>
        <v>3.7935037412551967E-3</v>
      </c>
      <c r="L44" s="310">
        <v>10</v>
      </c>
      <c r="M44" s="310">
        <v>10</v>
      </c>
      <c r="N44" s="334">
        <v>0.1145</v>
      </c>
      <c r="O44" s="334">
        <v>0.1145</v>
      </c>
      <c r="P44" s="329">
        <f t="shared" si="14"/>
        <v>1.5765100714216398E-2</v>
      </c>
      <c r="Q44" s="329">
        <f t="shared" si="15"/>
        <v>0</v>
      </c>
      <c r="R44" s="329">
        <f t="shared" si="16"/>
        <v>-1.6999999999999932E-3</v>
      </c>
      <c r="S44" s="364">
        <f t="shared" si="17"/>
        <v>-1.6999999999999932E-3</v>
      </c>
      <c r="T44" s="144"/>
      <c r="U44" s="160"/>
      <c r="V44" s="186"/>
    </row>
    <row r="45" spans="1:23" s="112" customFormat="1" ht="12.95" customHeight="1">
      <c r="A45" s="398">
        <v>37</v>
      </c>
      <c r="B45" s="396" t="s">
        <v>188</v>
      </c>
      <c r="C45" s="397" t="s">
        <v>172</v>
      </c>
      <c r="D45" s="321">
        <v>3715299710.0300002</v>
      </c>
      <c r="E45" s="193">
        <v>7.8700000000000006E-2</v>
      </c>
      <c r="F45" s="310">
        <v>100</v>
      </c>
      <c r="G45" s="310">
        <v>100</v>
      </c>
      <c r="H45" s="334">
        <v>0.1198</v>
      </c>
      <c r="I45" s="334">
        <v>0.1198</v>
      </c>
      <c r="J45" s="321">
        <v>3865582815.6900001</v>
      </c>
      <c r="K45" s="333">
        <f t="shared" si="23"/>
        <v>4.699621229828279E-3</v>
      </c>
      <c r="L45" s="310">
        <v>100</v>
      </c>
      <c r="M45" s="310">
        <v>100</v>
      </c>
      <c r="N45" s="334">
        <v>0.1215</v>
      </c>
      <c r="O45" s="334">
        <v>0.1215</v>
      </c>
      <c r="P45" s="329">
        <f t="shared" si="14"/>
        <v>4.0449793391980841E-2</v>
      </c>
      <c r="Q45" s="329">
        <f t="shared" si="15"/>
        <v>0</v>
      </c>
      <c r="R45" s="329">
        <f t="shared" si="16"/>
        <v>1.6999999999999932E-3</v>
      </c>
      <c r="S45" s="364">
        <f t="shared" si="17"/>
        <v>1.6999999999999932E-3</v>
      </c>
      <c r="T45" s="144"/>
      <c r="U45" s="122"/>
    </row>
    <row r="46" spans="1:23" s="112" customFormat="1" ht="12.95" customHeight="1">
      <c r="A46" s="401">
        <v>38</v>
      </c>
      <c r="B46" s="396" t="s">
        <v>162</v>
      </c>
      <c r="C46" s="397" t="s">
        <v>160</v>
      </c>
      <c r="D46" s="321">
        <v>140745259.96000001</v>
      </c>
      <c r="E46" s="193">
        <v>2.9985000000000001E-2</v>
      </c>
      <c r="F46" s="310">
        <v>1</v>
      </c>
      <c r="G46" s="310">
        <v>1</v>
      </c>
      <c r="H46" s="334">
        <v>5.1299999999999998E-2</v>
      </c>
      <c r="I46" s="334">
        <v>5.1291000000000003E-2</v>
      </c>
      <c r="J46" s="321">
        <v>142280248.12</v>
      </c>
      <c r="K46" s="333">
        <f t="shared" si="23"/>
        <v>1.7297864423857436E-4</v>
      </c>
      <c r="L46" s="310">
        <v>1</v>
      </c>
      <c r="M46" s="310">
        <v>1</v>
      </c>
      <c r="N46" s="334">
        <v>6.4399999999999999E-2</v>
      </c>
      <c r="O46" s="334">
        <v>6.4421000000000006E-2</v>
      </c>
      <c r="P46" s="329">
        <f t="shared" si="14"/>
        <v>1.0906144622108354E-2</v>
      </c>
      <c r="Q46" s="329">
        <f t="shared" si="15"/>
        <v>0</v>
      </c>
      <c r="R46" s="329">
        <f t="shared" si="16"/>
        <v>1.3100000000000001E-2</v>
      </c>
      <c r="S46" s="364">
        <f t="shared" si="17"/>
        <v>1.3130000000000003E-2</v>
      </c>
      <c r="T46" s="144"/>
      <c r="U46" s="122"/>
    </row>
    <row r="47" spans="1:23" s="112" customFormat="1" ht="12.95" customHeight="1">
      <c r="A47" s="398">
        <v>39</v>
      </c>
      <c r="B47" s="396" t="s">
        <v>95</v>
      </c>
      <c r="C47" s="397" t="s">
        <v>90</v>
      </c>
      <c r="D47" s="316">
        <v>669207531.46000004</v>
      </c>
      <c r="E47" s="193">
        <v>6.6600000000000006E-2</v>
      </c>
      <c r="F47" s="310">
        <v>10</v>
      </c>
      <c r="G47" s="310">
        <v>10</v>
      </c>
      <c r="H47" s="334">
        <v>9.06E-2</v>
      </c>
      <c r="I47" s="334">
        <v>9.06E-2</v>
      </c>
      <c r="J47" s="316">
        <v>684712547.72000003</v>
      </c>
      <c r="K47" s="333">
        <f t="shared" si="23"/>
        <v>8.3244617410177838E-4</v>
      </c>
      <c r="L47" s="310">
        <v>10</v>
      </c>
      <c r="M47" s="310">
        <v>10</v>
      </c>
      <c r="N47" s="334">
        <v>0.1114</v>
      </c>
      <c r="O47" s="334">
        <v>0.1114</v>
      </c>
      <c r="P47" s="329">
        <f t="shared" si="14"/>
        <v>2.3169219608411951E-2</v>
      </c>
      <c r="Q47" s="329">
        <f t="shared" si="15"/>
        <v>0</v>
      </c>
      <c r="R47" s="329">
        <f t="shared" si="16"/>
        <v>2.0799999999999999E-2</v>
      </c>
      <c r="S47" s="364">
        <f t="shared" si="17"/>
        <v>2.0799999999999999E-2</v>
      </c>
      <c r="T47" s="153"/>
      <c r="U47" s="122"/>
    </row>
    <row r="48" spans="1:23" s="112" customFormat="1" ht="12.95" customHeight="1">
      <c r="A48" s="403">
        <v>40</v>
      </c>
      <c r="B48" s="396" t="s">
        <v>34</v>
      </c>
      <c r="C48" s="397" t="s">
        <v>5</v>
      </c>
      <c r="D48" s="321">
        <v>347302845839.95001</v>
      </c>
      <c r="E48" s="193">
        <v>3.6200000000000003E-2</v>
      </c>
      <c r="F48" s="310">
        <v>100</v>
      </c>
      <c r="G48" s="310">
        <v>100</v>
      </c>
      <c r="H48" s="334">
        <v>0.1027</v>
      </c>
      <c r="I48" s="334">
        <v>0.1027</v>
      </c>
      <c r="J48" s="321">
        <v>348549575831.40002</v>
      </c>
      <c r="K48" s="333">
        <f t="shared" si="23"/>
        <v>0.42375265628153402</v>
      </c>
      <c r="L48" s="310">
        <v>100</v>
      </c>
      <c r="M48" s="310">
        <v>100</v>
      </c>
      <c r="N48" s="334">
        <v>0.1051</v>
      </c>
      <c r="O48" s="334">
        <v>0.1051</v>
      </c>
      <c r="P48" s="329">
        <f t="shared" si="14"/>
        <v>3.5897488499836579E-3</v>
      </c>
      <c r="Q48" s="329">
        <f t="shared" si="15"/>
        <v>0</v>
      </c>
      <c r="R48" s="329">
        <f t="shared" si="16"/>
        <v>2.3999999999999994E-3</v>
      </c>
      <c r="S48" s="364">
        <f t="shared" si="17"/>
        <v>2.3999999999999994E-3</v>
      </c>
      <c r="T48" s="153"/>
      <c r="U48" s="122"/>
    </row>
    <row r="49" spans="1:23" s="112" customFormat="1" ht="12.95" customHeight="1">
      <c r="A49" s="400">
        <v>41</v>
      </c>
      <c r="B49" s="396" t="s">
        <v>150</v>
      </c>
      <c r="C49" s="397" t="s">
        <v>149</v>
      </c>
      <c r="D49" s="321">
        <v>1871697039.27</v>
      </c>
      <c r="E49" s="193">
        <v>5.3145060299999998E-2</v>
      </c>
      <c r="F49" s="310">
        <v>1</v>
      </c>
      <c r="G49" s="310">
        <v>1</v>
      </c>
      <c r="H49" s="334">
        <v>0.1310789078878698</v>
      </c>
      <c r="I49" s="334">
        <v>0.1310789078878698</v>
      </c>
      <c r="J49" s="321">
        <v>1893901801.0899999</v>
      </c>
      <c r="K49" s="333">
        <f t="shared" si="23"/>
        <v>2.3025301839313542E-3</v>
      </c>
      <c r="L49" s="310">
        <v>1</v>
      </c>
      <c r="M49" s="310">
        <v>1</v>
      </c>
      <c r="N49" s="334">
        <v>0.13003069270667114</v>
      </c>
      <c r="O49" s="334">
        <v>0.13003069270667114</v>
      </c>
      <c r="P49" s="329">
        <f t="shared" si="14"/>
        <v>1.1863438021283746E-2</v>
      </c>
      <c r="Q49" s="329">
        <f t="shared" si="15"/>
        <v>0</v>
      </c>
      <c r="R49" s="329">
        <f t="shared" si="16"/>
        <v>-1.0482151811986584E-3</v>
      </c>
      <c r="S49" s="364">
        <f t="shared" si="17"/>
        <v>-1.0482151811986584E-3</v>
      </c>
      <c r="T49" s="144"/>
      <c r="U49" s="122"/>
    </row>
    <row r="50" spans="1:23" s="112" customFormat="1" ht="12.95" customHeight="1">
      <c r="A50" s="401">
        <v>42</v>
      </c>
      <c r="B50" s="396" t="s">
        <v>76</v>
      </c>
      <c r="C50" s="397" t="s">
        <v>41</v>
      </c>
      <c r="D50" s="321">
        <v>47758737757.550003</v>
      </c>
      <c r="E50" s="193">
        <v>5.2600000000000001E-2</v>
      </c>
      <c r="F50" s="310">
        <v>1</v>
      </c>
      <c r="G50" s="310">
        <v>1</v>
      </c>
      <c r="H50" s="334">
        <v>9.8799999999999999E-2</v>
      </c>
      <c r="I50" s="334">
        <v>9.8799999999999999E-2</v>
      </c>
      <c r="J50" s="321">
        <v>45539940187.550003</v>
      </c>
      <c r="K50" s="333">
        <f t="shared" si="23"/>
        <v>5.5365640814066405E-2</v>
      </c>
      <c r="L50" s="310">
        <v>1</v>
      </c>
      <c r="M50" s="310">
        <v>1</v>
      </c>
      <c r="N50" s="334">
        <v>0.1027</v>
      </c>
      <c r="O50" s="334">
        <v>0.1027</v>
      </c>
      <c r="P50" s="329">
        <f t="shared" si="14"/>
        <v>-4.6458463397082525E-2</v>
      </c>
      <c r="Q50" s="329">
        <f t="shared" si="15"/>
        <v>0</v>
      </c>
      <c r="R50" s="329">
        <f t="shared" si="16"/>
        <v>3.9000000000000007E-3</v>
      </c>
      <c r="S50" s="364">
        <f t="shared" si="17"/>
        <v>3.9000000000000007E-3</v>
      </c>
      <c r="T50" s="144"/>
      <c r="U50" s="122"/>
    </row>
    <row r="51" spans="1:23" s="112" customFormat="1" ht="12.95" customHeight="1">
      <c r="A51" s="392">
        <v>43</v>
      </c>
      <c r="B51" s="396" t="s">
        <v>159</v>
      </c>
      <c r="C51" s="397" t="s">
        <v>106</v>
      </c>
      <c r="D51" s="321">
        <v>1747483379.8699999</v>
      </c>
      <c r="E51" s="193">
        <v>6.4199999999999993E-2</v>
      </c>
      <c r="F51" s="310">
        <v>1</v>
      </c>
      <c r="G51" s="310">
        <v>1</v>
      </c>
      <c r="H51" s="334">
        <v>6.93E-2</v>
      </c>
      <c r="I51" s="334">
        <v>6.93E-2</v>
      </c>
      <c r="J51" s="321">
        <v>1960264366.8476787</v>
      </c>
      <c r="K51" s="333">
        <f t="shared" si="23"/>
        <v>2.3832111414404723E-3</v>
      </c>
      <c r="L51" s="310">
        <v>1</v>
      </c>
      <c r="M51" s="310">
        <v>1</v>
      </c>
      <c r="N51" s="334">
        <v>7.4899999999999994E-2</v>
      </c>
      <c r="O51" s="334">
        <v>7.4899999999999994E-2</v>
      </c>
      <c r="P51" s="329">
        <f t="shared" si="14"/>
        <v>0.12176424075261198</v>
      </c>
      <c r="Q51" s="329">
        <f t="shared" si="15"/>
        <v>0</v>
      </c>
      <c r="R51" s="329">
        <f t="shared" si="16"/>
        <v>5.5999999999999939E-3</v>
      </c>
      <c r="S51" s="364">
        <f t="shared" si="17"/>
        <v>5.5999999999999939E-3</v>
      </c>
      <c r="T51" s="88"/>
      <c r="U51" s="122"/>
    </row>
    <row r="52" spans="1:23" s="112" customFormat="1" ht="12.95" customHeight="1">
      <c r="A52" s="401">
        <v>44</v>
      </c>
      <c r="B52" s="396" t="s">
        <v>131</v>
      </c>
      <c r="C52" s="397" t="s">
        <v>38</v>
      </c>
      <c r="D52" s="321">
        <v>1502214044.52</v>
      </c>
      <c r="E52" s="193">
        <v>2.2200000000000001E-2</v>
      </c>
      <c r="F52" s="310">
        <v>1</v>
      </c>
      <c r="G52" s="310">
        <v>1</v>
      </c>
      <c r="H52" s="334">
        <v>0.1075</v>
      </c>
      <c r="I52" s="334">
        <v>0.1075</v>
      </c>
      <c r="J52" s="321">
        <v>1500621737.8199999</v>
      </c>
      <c r="K52" s="333">
        <f t="shared" si="23"/>
        <v>1.824395987165481E-3</v>
      </c>
      <c r="L52" s="310">
        <v>1</v>
      </c>
      <c r="M52" s="310">
        <v>1</v>
      </c>
      <c r="N52" s="334">
        <v>0.107</v>
      </c>
      <c r="O52" s="334">
        <v>0.107</v>
      </c>
      <c r="P52" s="329">
        <f t="shared" si="14"/>
        <v>-1.0599732480259395E-3</v>
      </c>
      <c r="Q52" s="329">
        <f t="shared" si="15"/>
        <v>0</v>
      </c>
      <c r="R52" s="329">
        <f t="shared" si="16"/>
        <v>-5.0000000000000044E-4</v>
      </c>
      <c r="S52" s="364">
        <f t="shared" si="17"/>
        <v>-5.0000000000000044E-4</v>
      </c>
      <c r="U52" s="122"/>
    </row>
    <row r="53" spans="1:23" s="112" customFormat="1" ht="12.95" customHeight="1">
      <c r="A53" s="401">
        <v>45</v>
      </c>
      <c r="B53" s="396" t="s">
        <v>112</v>
      </c>
      <c r="C53" s="397" t="s">
        <v>12</v>
      </c>
      <c r="D53" s="321">
        <v>24313594778.380001</v>
      </c>
      <c r="E53" s="193">
        <v>5.9200000000000003E-2</v>
      </c>
      <c r="F53" s="310">
        <v>1</v>
      </c>
      <c r="G53" s="310">
        <v>1</v>
      </c>
      <c r="H53" s="334">
        <v>0.1043</v>
      </c>
      <c r="I53" s="334">
        <v>0.1043</v>
      </c>
      <c r="J53" s="321">
        <v>24683657105.130001</v>
      </c>
      <c r="K53" s="333">
        <f t="shared" si="23"/>
        <v>3.0009404659556906E-2</v>
      </c>
      <c r="L53" s="310">
        <v>1</v>
      </c>
      <c r="M53" s="310">
        <v>1</v>
      </c>
      <c r="N53" s="334">
        <v>0.1004</v>
      </c>
      <c r="O53" s="334">
        <v>0.1004</v>
      </c>
      <c r="P53" s="329">
        <f t="shared" si="14"/>
        <v>1.5220387199965378E-2</v>
      </c>
      <c r="Q53" s="329">
        <f t="shared" si="15"/>
        <v>0</v>
      </c>
      <c r="R53" s="329">
        <f t="shared" si="16"/>
        <v>-3.9000000000000007E-3</v>
      </c>
      <c r="S53" s="364">
        <f t="shared" si="17"/>
        <v>-3.9000000000000007E-3</v>
      </c>
      <c r="T53" s="161"/>
      <c r="U53" s="122"/>
    </row>
    <row r="54" spans="1:23" s="112" customFormat="1" ht="12.95" customHeight="1">
      <c r="A54" s="214"/>
      <c r="C54" s="244" t="s">
        <v>42</v>
      </c>
      <c r="D54" s="76">
        <f>SUM(D25:D53)</f>
        <v>817523630430.57593</v>
      </c>
      <c r="E54" s="262">
        <f>(D54/$D$168)</f>
        <v>0.4360048423883634</v>
      </c>
      <c r="F54" s="264"/>
      <c r="G54" s="73"/>
      <c r="H54" s="280"/>
      <c r="I54" s="280"/>
      <c r="J54" s="76">
        <f>SUM(J25:J53)</f>
        <v>822530716125.65808</v>
      </c>
      <c r="K54" s="262">
        <f>(J54/$J$168)</f>
        <v>0.43798803780712098</v>
      </c>
      <c r="L54" s="264"/>
      <c r="M54" s="73"/>
      <c r="N54" s="280"/>
      <c r="O54" s="280"/>
      <c r="P54" s="266">
        <f t="shared" ref="P54" si="24">((J54-D54)/D54)</f>
        <v>6.1246984291389913E-3</v>
      </c>
      <c r="Q54" s="266"/>
      <c r="R54" s="266">
        <f t="shared" ref="R54:S54" si="25">N54-H54</f>
        <v>0</v>
      </c>
      <c r="S54" s="364">
        <f t="shared" si="25"/>
        <v>0</v>
      </c>
    </row>
    <row r="55" spans="1:23" s="112" customFormat="1" ht="4.5" customHeight="1">
      <c r="A55" s="410">
        <v>1</v>
      </c>
      <c r="B55" s="411"/>
      <c r="C55" s="412"/>
      <c r="D55" s="412"/>
      <c r="E55" s="412"/>
      <c r="F55" s="412"/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12"/>
      <c r="R55" s="412"/>
      <c r="S55" s="425"/>
    </row>
    <row r="56" spans="1:23" s="112" customFormat="1" ht="12.95" customHeight="1">
      <c r="A56" s="417" t="s">
        <v>263</v>
      </c>
      <c r="B56" s="418"/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20"/>
      <c r="V56" s="124"/>
      <c r="W56" s="125"/>
    </row>
    <row r="57" spans="1:23" s="112" customFormat="1" ht="12.95" customHeight="1">
      <c r="A57" s="401">
        <v>46</v>
      </c>
      <c r="B57" s="396" t="s">
        <v>138</v>
      </c>
      <c r="C57" s="397" t="s">
        <v>135</v>
      </c>
      <c r="D57" s="326">
        <v>441747390.16000003</v>
      </c>
      <c r="E57" s="333">
        <f>(D57/$D$87)</f>
        <v>1.348643474403693E-3</v>
      </c>
      <c r="F57" s="327">
        <v>1.2982</v>
      </c>
      <c r="G57" s="327">
        <v>1.2982</v>
      </c>
      <c r="H57" s="334">
        <v>6.2459999999999998E-3</v>
      </c>
      <c r="I57" s="334">
        <v>5.4399999999999997E-2</v>
      </c>
      <c r="J57" s="326">
        <v>462533700.88</v>
      </c>
      <c r="K57" s="333">
        <f t="shared" ref="K57:K76" si="26">(J57/$J$87)</f>
        <v>1.439077000728043E-3</v>
      </c>
      <c r="L57" s="327">
        <v>1.3594999999999999</v>
      </c>
      <c r="M57" s="327">
        <v>1.3594999999999999</v>
      </c>
      <c r="N57" s="334">
        <v>4.5275999999999997E-2</v>
      </c>
      <c r="O57" s="334">
        <v>0.1042</v>
      </c>
      <c r="P57" s="329">
        <v>-8.3999999999999995E-5</v>
      </c>
      <c r="Q57" s="329">
        <f t="shared" ref="Q57:Q67" si="27">((M57-G57)/G57)</f>
        <v>4.7219226621475818E-2</v>
      </c>
      <c r="R57" s="329">
        <f t="shared" ref="R57:R86" si="28">N57-H57</f>
        <v>3.9029999999999995E-2</v>
      </c>
      <c r="S57" s="364">
        <f t="shared" ref="S57:S86" si="29">O57-I57</f>
        <v>4.9800000000000004E-2</v>
      </c>
      <c r="T57" s="144"/>
    </row>
    <row r="58" spans="1:23" s="112" customFormat="1" ht="12.95" customHeight="1">
      <c r="A58" s="401">
        <v>47</v>
      </c>
      <c r="B58" s="396" t="s">
        <v>144</v>
      </c>
      <c r="C58" s="397" t="s">
        <v>6</v>
      </c>
      <c r="D58" s="326">
        <v>572772340.07000005</v>
      </c>
      <c r="E58" s="333">
        <f>(D58/$D$87)</f>
        <v>1.7486592925304051E-3</v>
      </c>
      <c r="F58" s="327">
        <v>1.1323000000000001</v>
      </c>
      <c r="G58" s="327">
        <v>1.1323000000000001</v>
      </c>
      <c r="H58" s="334">
        <v>-4.5999999999999999E-3</v>
      </c>
      <c r="I58" s="334">
        <v>4.6800000000000001E-2</v>
      </c>
      <c r="J58" s="326">
        <v>574045627.38</v>
      </c>
      <c r="K58" s="333">
        <f t="shared" si="26"/>
        <v>1.7860230685015123E-3</v>
      </c>
      <c r="L58" s="327">
        <v>1.1353</v>
      </c>
      <c r="M58" s="327">
        <v>1.1353</v>
      </c>
      <c r="N58" s="334">
        <v>0.13819999999999999</v>
      </c>
      <c r="O58" s="334">
        <v>5.04E-2</v>
      </c>
      <c r="P58" s="329">
        <f t="shared" ref="P58:P67" si="30">((J58-D58)/D58)</f>
        <v>2.2230251374295257E-3</v>
      </c>
      <c r="Q58" s="329">
        <f t="shared" si="27"/>
        <v>2.6494745208865949E-3</v>
      </c>
      <c r="R58" s="329">
        <f t="shared" si="28"/>
        <v>0.14279999999999998</v>
      </c>
      <c r="S58" s="364">
        <f t="shared" si="29"/>
        <v>3.599999999999999E-3</v>
      </c>
      <c r="T58" s="144"/>
      <c r="U58" s="126"/>
    </row>
    <row r="59" spans="1:23" s="112" customFormat="1" ht="12.95" customHeight="1">
      <c r="A59" s="401">
        <v>48</v>
      </c>
      <c r="B59" s="396" t="s">
        <v>226</v>
      </c>
      <c r="C59" s="397" t="s">
        <v>6</v>
      </c>
      <c r="D59" s="326">
        <v>591074536.51999998</v>
      </c>
      <c r="E59" s="333">
        <f>(D59/$D$87)</f>
        <v>1.8045354297965622E-3</v>
      </c>
      <c r="F59" s="327">
        <v>1.0271999999999999</v>
      </c>
      <c r="G59" s="327">
        <v>1.0271999999999999</v>
      </c>
      <c r="H59" s="334">
        <v>5.5899999999999998E-2</v>
      </c>
      <c r="I59" s="334">
        <v>-1.66E-2</v>
      </c>
      <c r="J59" s="326">
        <v>593325159.47000003</v>
      </c>
      <c r="K59" s="333">
        <f t="shared" si="26"/>
        <v>1.8460073056775952E-3</v>
      </c>
      <c r="L59" s="327">
        <v>1.0314000000000001</v>
      </c>
      <c r="M59" s="327">
        <v>1.0314000000000001</v>
      </c>
      <c r="N59" s="334">
        <v>0.2132</v>
      </c>
      <c r="O59" s="334">
        <v>-7.7999999999999996E-3</v>
      </c>
      <c r="P59" s="329">
        <f t="shared" si="30"/>
        <v>3.8076804378188505E-3</v>
      </c>
      <c r="Q59" s="329">
        <f t="shared" si="27"/>
        <v>4.0887850467291702E-3</v>
      </c>
      <c r="R59" s="329">
        <f t="shared" si="28"/>
        <v>0.1573</v>
      </c>
      <c r="S59" s="364">
        <f t="shared" si="29"/>
        <v>8.8000000000000005E-3</v>
      </c>
      <c r="T59" s="144"/>
      <c r="U59" s="127"/>
      <c r="V59" s="120"/>
    </row>
    <row r="60" spans="1:23" s="128" customFormat="1" ht="12.95" customHeight="1">
      <c r="A60" s="401">
        <v>49</v>
      </c>
      <c r="B60" s="396" t="s">
        <v>167</v>
      </c>
      <c r="C60" s="397" t="s">
        <v>147</v>
      </c>
      <c r="D60" s="326">
        <v>252584086.44</v>
      </c>
      <c r="E60" s="333">
        <f>(D60/$D$87)</f>
        <v>7.7113275030814114E-4</v>
      </c>
      <c r="F60" s="74">
        <v>1104.05</v>
      </c>
      <c r="G60" s="74">
        <v>1104.05</v>
      </c>
      <c r="H60" s="334">
        <v>-8.9999999999999998E-4</v>
      </c>
      <c r="I60" s="334">
        <v>5.3199999999999997E-2</v>
      </c>
      <c r="J60" s="326">
        <v>253302524.36000001</v>
      </c>
      <c r="K60" s="333">
        <f t="shared" si="26"/>
        <v>7.8809789716793551E-4</v>
      </c>
      <c r="L60" s="74">
        <v>1106.32</v>
      </c>
      <c r="M60" s="74">
        <v>1106.32</v>
      </c>
      <c r="N60" s="334">
        <v>1.8E-3</v>
      </c>
      <c r="O60" s="334">
        <v>5.3600000000000002E-2</v>
      </c>
      <c r="P60" s="329">
        <f t="shared" si="30"/>
        <v>2.8443514796435039E-3</v>
      </c>
      <c r="Q60" s="329">
        <f t="shared" si="27"/>
        <v>2.0560663013450315E-3</v>
      </c>
      <c r="R60" s="329">
        <f t="shared" si="28"/>
        <v>2.7000000000000001E-3</v>
      </c>
      <c r="S60" s="364">
        <f t="shared" si="29"/>
        <v>4.0000000000000452E-4</v>
      </c>
      <c r="T60" s="153"/>
      <c r="U60" s="162"/>
    </row>
    <row r="61" spans="1:23" s="112" customFormat="1" ht="12.95" customHeight="1">
      <c r="A61" s="401">
        <v>50</v>
      </c>
      <c r="B61" s="396" t="s">
        <v>176</v>
      </c>
      <c r="C61" s="397" t="s">
        <v>177</v>
      </c>
      <c r="D61" s="326">
        <v>1375989298.0699999</v>
      </c>
      <c r="E61" s="333">
        <f>(D61/$J$87)</f>
        <v>4.2811032976258594E-3</v>
      </c>
      <c r="F61" s="74">
        <v>1.044</v>
      </c>
      <c r="G61" s="74">
        <v>1.044</v>
      </c>
      <c r="H61" s="334">
        <v>1.2999999999999999E-3</v>
      </c>
      <c r="I61" s="334">
        <v>4.1099999999999998E-2</v>
      </c>
      <c r="J61" s="326">
        <v>1384370561.9100001</v>
      </c>
      <c r="K61" s="333">
        <f t="shared" si="26"/>
        <v>4.3071798494667968E-3</v>
      </c>
      <c r="L61" s="74">
        <v>1.0454000000000001</v>
      </c>
      <c r="M61" s="74">
        <v>1.0454000000000001</v>
      </c>
      <c r="N61" s="334">
        <v>1.8E-3</v>
      </c>
      <c r="O61" s="334">
        <v>4.2900000000000001E-2</v>
      </c>
      <c r="P61" s="329">
        <f t="shared" si="30"/>
        <v>6.0910821412317245E-3</v>
      </c>
      <c r="Q61" s="329">
        <f t="shared" si="27"/>
        <v>1.3409961685824404E-3</v>
      </c>
      <c r="R61" s="329">
        <f t="shared" si="28"/>
        <v>5.0000000000000001E-4</v>
      </c>
      <c r="S61" s="364">
        <f t="shared" si="29"/>
        <v>1.800000000000003E-3</v>
      </c>
      <c r="T61" s="144"/>
      <c r="U61" s="131"/>
      <c r="V61" s="131"/>
    </row>
    <row r="62" spans="1:23" s="112" customFormat="1" ht="12.95" customHeight="1">
      <c r="A62" s="392">
        <v>51</v>
      </c>
      <c r="B62" s="396" t="s">
        <v>105</v>
      </c>
      <c r="C62" s="397" t="s">
        <v>102</v>
      </c>
      <c r="D62" s="326">
        <v>426641143.81999999</v>
      </c>
      <c r="E62" s="333">
        <f t="shared" ref="E62:E86" si="31">(D62/$D$87)</f>
        <v>1.3025244910141213E-3</v>
      </c>
      <c r="F62" s="74">
        <v>2.2023999999999999</v>
      </c>
      <c r="G62" s="74">
        <v>2.2023999999999999</v>
      </c>
      <c r="H62" s="334">
        <v>-0.12282245748453093</v>
      </c>
      <c r="I62" s="334">
        <v>0.16505545656365828</v>
      </c>
      <c r="J62" s="326">
        <v>428293032.39999998</v>
      </c>
      <c r="K62" s="333">
        <f t="shared" si="26"/>
        <v>1.3325443126117546E-3</v>
      </c>
      <c r="L62" s="74">
        <v>2.2084000000000001</v>
      </c>
      <c r="M62" s="74">
        <v>2.2084000000000001</v>
      </c>
      <c r="N62" s="334">
        <v>0.14168280183817028</v>
      </c>
      <c r="O62" s="334">
        <v>0.16445147977285313</v>
      </c>
      <c r="P62" s="109">
        <f t="shared" si="30"/>
        <v>3.871845469964602E-3</v>
      </c>
      <c r="Q62" s="109">
        <f t="shared" si="27"/>
        <v>2.7243007628043169E-3</v>
      </c>
      <c r="R62" s="329">
        <f t="shared" si="28"/>
        <v>0.26450525932270119</v>
      </c>
      <c r="S62" s="364">
        <f t="shared" si="29"/>
        <v>-6.0397679080514965E-4</v>
      </c>
      <c r="T62" s="144"/>
      <c r="U62" s="131"/>
      <c r="V62" s="131"/>
    </row>
    <row r="63" spans="1:23" s="112" customFormat="1" ht="12" customHeight="1">
      <c r="A63" s="392">
        <v>52</v>
      </c>
      <c r="B63" s="396" t="s">
        <v>18</v>
      </c>
      <c r="C63" s="397" t="s">
        <v>7</v>
      </c>
      <c r="D63" s="326">
        <v>3355160303.19665</v>
      </c>
      <c r="E63" s="333">
        <f t="shared" si="31"/>
        <v>1.0243218520986764E-2</v>
      </c>
      <c r="F63" s="326">
        <v>3847.2670315517398</v>
      </c>
      <c r="G63" s="326">
        <v>3847.2670315517398</v>
      </c>
      <c r="H63" s="334">
        <v>7.4056104315470869E-2</v>
      </c>
      <c r="I63" s="334">
        <v>7.6378020066060745E-2</v>
      </c>
      <c r="J63" s="326">
        <v>3358973503.3470702</v>
      </c>
      <c r="K63" s="333">
        <f t="shared" si="26"/>
        <v>1.0450744465808685E-2</v>
      </c>
      <c r="L63" s="326">
        <v>3852.9402117873801</v>
      </c>
      <c r="M63" s="326">
        <v>3852.9402117873801</v>
      </c>
      <c r="N63" s="334">
        <v>7.6889860814615685E-2</v>
      </c>
      <c r="O63" s="334">
        <v>7.6506086304267765E-2</v>
      </c>
      <c r="P63" s="329">
        <f t="shared" si="30"/>
        <v>1.1365180217431455E-3</v>
      </c>
      <c r="Q63" s="329">
        <f t="shared" si="27"/>
        <v>1.474600070417287E-3</v>
      </c>
      <c r="R63" s="329">
        <f t="shared" si="28"/>
        <v>2.8337564991448155E-3</v>
      </c>
      <c r="S63" s="364">
        <f t="shared" si="29"/>
        <v>1.2806623820701968E-4</v>
      </c>
      <c r="T63" s="144"/>
      <c r="U63" s="164"/>
      <c r="V63" s="131"/>
    </row>
    <row r="64" spans="1:23" s="112" customFormat="1" ht="12.75" customHeight="1">
      <c r="A64" s="400">
        <v>53</v>
      </c>
      <c r="B64" s="396" t="s">
        <v>222</v>
      </c>
      <c r="C64" s="397" t="s">
        <v>88</v>
      </c>
      <c r="D64" s="326">
        <v>325338460.38999999</v>
      </c>
      <c r="E64" s="333">
        <f t="shared" si="31"/>
        <v>9.9324999162665761E-4</v>
      </c>
      <c r="F64" s="327">
        <v>106.19</v>
      </c>
      <c r="G64" s="327">
        <v>106.19</v>
      </c>
      <c r="H64" s="334">
        <v>1.8E-3</v>
      </c>
      <c r="I64" s="334">
        <v>0.1022</v>
      </c>
      <c r="J64" s="326">
        <v>326126178.5</v>
      </c>
      <c r="K64" s="333">
        <f t="shared" si="26"/>
        <v>1.0146734863249224E-3</v>
      </c>
      <c r="L64" s="327">
        <v>106.39</v>
      </c>
      <c r="M64" s="327">
        <v>106.39</v>
      </c>
      <c r="N64" s="334">
        <v>1.9E-3</v>
      </c>
      <c r="O64" s="334">
        <v>0.1023</v>
      </c>
      <c r="P64" s="329">
        <f t="shared" si="30"/>
        <v>2.4212265253107058E-3</v>
      </c>
      <c r="Q64" s="329">
        <f t="shared" si="27"/>
        <v>1.8834165175628857E-3</v>
      </c>
      <c r="R64" s="329">
        <f t="shared" si="28"/>
        <v>1.0000000000000005E-4</v>
      </c>
      <c r="S64" s="364">
        <f t="shared" si="29"/>
        <v>1.0000000000000286E-4</v>
      </c>
      <c r="T64" s="146"/>
      <c r="U64" s="184"/>
      <c r="V64" s="165"/>
    </row>
    <row r="65" spans="1:23" s="112" customFormat="1" ht="12" customHeight="1">
      <c r="A65" s="393">
        <v>54</v>
      </c>
      <c r="B65" s="394" t="s">
        <v>110</v>
      </c>
      <c r="C65" s="395" t="s">
        <v>107</v>
      </c>
      <c r="D65" s="326">
        <v>352998746.98000002</v>
      </c>
      <c r="E65" s="333">
        <f t="shared" si="31"/>
        <v>1.0776961385438541E-3</v>
      </c>
      <c r="F65" s="327">
        <v>1.4416</v>
      </c>
      <c r="G65" s="327">
        <v>1.4416</v>
      </c>
      <c r="H65" s="334">
        <v>1.3899999999999999E-2</v>
      </c>
      <c r="I65" s="334">
        <v>7.4200000000000002E-2</v>
      </c>
      <c r="J65" s="326">
        <v>352998746.98000002</v>
      </c>
      <c r="K65" s="333">
        <f t="shared" si="26"/>
        <v>1.0982818702685831E-3</v>
      </c>
      <c r="L65" s="327">
        <v>1.4416</v>
      </c>
      <c r="M65" s="327">
        <v>1.4416</v>
      </c>
      <c r="N65" s="334">
        <v>1.3899999999999999E-2</v>
      </c>
      <c r="O65" s="334">
        <v>7.4200000000000002E-2</v>
      </c>
      <c r="P65" s="329">
        <f t="shared" si="30"/>
        <v>0</v>
      </c>
      <c r="Q65" s="329">
        <f t="shared" si="27"/>
        <v>0</v>
      </c>
      <c r="R65" s="329">
        <f t="shared" si="28"/>
        <v>0</v>
      </c>
      <c r="S65" s="364">
        <f t="shared" si="29"/>
        <v>0</v>
      </c>
      <c r="T65" s="153"/>
      <c r="U65" s="186"/>
      <c r="V65" s="166"/>
      <c r="W65" s="184"/>
    </row>
    <row r="66" spans="1:23" s="112" customFormat="1" ht="12.95" customHeight="1">
      <c r="A66" s="400">
        <v>55</v>
      </c>
      <c r="B66" s="396" t="s">
        <v>238</v>
      </c>
      <c r="C66" s="397" t="s">
        <v>237</v>
      </c>
      <c r="D66" s="326">
        <v>819285447.79000008</v>
      </c>
      <c r="E66" s="333">
        <f t="shared" si="31"/>
        <v>2.5012575002099952E-3</v>
      </c>
      <c r="F66" s="74">
        <v>1000</v>
      </c>
      <c r="G66" s="74">
        <v>1000</v>
      </c>
      <c r="H66" s="334">
        <v>1.06941919270235E-2</v>
      </c>
      <c r="I66" s="334">
        <v>0.16800000000000001</v>
      </c>
      <c r="J66" s="326">
        <v>847565533.24000001</v>
      </c>
      <c r="K66" s="333">
        <f t="shared" si="26"/>
        <v>2.6370231253958435E-3</v>
      </c>
      <c r="L66" s="74">
        <v>1000</v>
      </c>
      <c r="M66" s="74">
        <v>1000</v>
      </c>
      <c r="N66" s="334">
        <v>3.4517988237536379E-2</v>
      </c>
      <c r="O66" s="334">
        <v>0.16800000000000001</v>
      </c>
      <c r="P66" s="329">
        <f t="shared" si="30"/>
        <v>3.4517988237536358E-2</v>
      </c>
      <c r="Q66" s="329">
        <f t="shared" si="27"/>
        <v>0</v>
      </c>
      <c r="R66" s="329">
        <f t="shared" si="28"/>
        <v>2.3823796310512881E-2</v>
      </c>
      <c r="S66" s="364">
        <f t="shared" si="29"/>
        <v>0</v>
      </c>
      <c r="T66" s="144"/>
      <c r="U66" s="131"/>
      <c r="V66" s="166"/>
      <c r="W66" s="184"/>
    </row>
    <row r="67" spans="1:23" s="112" customFormat="1" ht="12.95" customHeight="1">
      <c r="A67" s="398">
        <v>56</v>
      </c>
      <c r="B67" s="396" t="s">
        <v>101</v>
      </c>
      <c r="C67" s="397" t="s">
        <v>98</v>
      </c>
      <c r="D67" s="326">
        <v>280455552.80000001</v>
      </c>
      <c r="E67" s="333">
        <f t="shared" si="31"/>
        <v>8.5622362365741329E-4</v>
      </c>
      <c r="F67" s="74">
        <v>1160.56</v>
      </c>
      <c r="G67" s="74">
        <v>1171.9000000000001</v>
      </c>
      <c r="H67" s="334">
        <v>4.7000000000000002E-3</v>
      </c>
      <c r="I67" s="334">
        <v>5.16E-2</v>
      </c>
      <c r="J67" s="326">
        <v>281329015.79000002</v>
      </c>
      <c r="K67" s="333">
        <f t="shared" si="26"/>
        <v>8.7529647135027046E-4</v>
      </c>
      <c r="L67" s="74">
        <v>1163.3499999999999</v>
      </c>
      <c r="M67" s="74">
        <v>1175.29</v>
      </c>
      <c r="N67" s="334">
        <v>2.8E-3</v>
      </c>
      <c r="O67" s="334">
        <v>5.4399999999999997E-2</v>
      </c>
      <c r="P67" s="329">
        <f t="shared" si="30"/>
        <v>3.1144435589866826E-3</v>
      </c>
      <c r="Q67" s="329">
        <f t="shared" si="27"/>
        <v>2.892738288249742E-3</v>
      </c>
      <c r="R67" s="329">
        <f t="shared" si="28"/>
        <v>-1.9000000000000002E-3</v>
      </c>
      <c r="S67" s="364">
        <f t="shared" si="29"/>
        <v>2.7999999999999969E-3</v>
      </c>
      <c r="T67" s="144"/>
      <c r="U67" s="167"/>
      <c r="V67" s="163"/>
    </row>
    <row r="68" spans="1:23" s="112" customFormat="1" ht="12.95" customHeight="1">
      <c r="A68" s="398">
        <v>57</v>
      </c>
      <c r="B68" s="396" t="s">
        <v>170</v>
      </c>
      <c r="C68" s="397" t="s">
        <v>168</v>
      </c>
      <c r="D68" s="326">
        <v>716982747.07000005</v>
      </c>
      <c r="E68" s="333">
        <f t="shared" si="31"/>
        <v>2.1889299736343893E-3</v>
      </c>
      <c r="F68" s="311">
        <v>1.0568</v>
      </c>
      <c r="G68" s="311">
        <v>1.0568</v>
      </c>
      <c r="H68" s="334">
        <v>0.11775712995225157</v>
      </c>
      <c r="I68" s="334">
        <v>0.10709574954911297</v>
      </c>
      <c r="J68" s="326">
        <v>720852198.14999998</v>
      </c>
      <c r="K68" s="333">
        <f t="shared" si="26"/>
        <v>2.2427810499175988E-3</v>
      </c>
      <c r="L68" s="311">
        <v>1.0612999999999999</v>
      </c>
      <c r="M68" s="311">
        <v>1.0612999999999999</v>
      </c>
      <c r="N68" s="334">
        <v>0.13121508766107934</v>
      </c>
      <c r="O68" s="334">
        <v>0.11145470777750439</v>
      </c>
      <c r="P68" s="329">
        <v>0.10585480093676825</v>
      </c>
      <c r="Q68" s="329">
        <f>(M68-G68)/G68</f>
        <v>4.2581377744132743E-3</v>
      </c>
      <c r="R68" s="329">
        <f t="shared" si="28"/>
        <v>1.3457957708827767E-2</v>
      </c>
      <c r="S68" s="364">
        <f t="shared" si="29"/>
        <v>4.3589582283914269E-3</v>
      </c>
      <c r="T68" s="88"/>
      <c r="U68" s="166"/>
      <c r="V68" s="186"/>
    </row>
    <row r="69" spans="1:23" s="112" customFormat="1" ht="12" customHeight="1">
      <c r="A69" s="400">
        <v>58</v>
      </c>
      <c r="B69" s="396" t="s">
        <v>251</v>
      </c>
      <c r="C69" s="397" t="s">
        <v>185</v>
      </c>
      <c r="D69" s="326">
        <v>67249605090.529999</v>
      </c>
      <c r="E69" s="333">
        <f t="shared" si="31"/>
        <v>0.20531132290044507</v>
      </c>
      <c r="F69" s="311">
        <v>1553.62</v>
      </c>
      <c r="G69" s="326">
        <v>1553.62</v>
      </c>
      <c r="H69" s="334">
        <v>2.2000000000000001E-3</v>
      </c>
      <c r="I69" s="334">
        <v>0.11840000000000001</v>
      </c>
      <c r="J69" s="326">
        <v>67394318452.419998</v>
      </c>
      <c r="K69" s="333">
        <f t="shared" si="26"/>
        <v>0.20968334519214024</v>
      </c>
      <c r="L69" s="311">
        <v>1557.09</v>
      </c>
      <c r="M69" s="326">
        <v>1557.09</v>
      </c>
      <c r="N69" s="334">
        <v>2.2000000000000001E-3</v>
      </c>
      <c r="O69" s="334">
        <v>0.1182</v>
      </c>
      <c r="P69" s="329">
        <f t="shared" ref="P69:P86" si="32">((J69-D69)/D69)</f>
        <v>2.151884188690615E-3</v>
      </c>
      <c r="Q69" s="329">
        <f t="shared" ref="Q69:Q86" si="33">((M69-G69)/G69)</f>
        <v>2.2334933896319738E-3</v>
      </c>
      <c r="R69" s="329">
        <f t="shared" si="28"/>
        <v>0</v>
      </c>
      <c r="S69" s="364">
        <f t="shared" si="29"/>
        <v>-2.0000000000000573E-4</v>
      </c>
      <c r="U69" s="166"/>
      <c r="V69" s="186"/>
    </row>
    <row r="70" spans="1:23" s="112" customFormat="1" ht="12.95" customHeight="1">
      <c r="A70" s="398">
        <v>59</v>
      </c>
      <c r="B70" s="396" t="s">
        <v>174</v>
      </c>
      <c r="C70" s="397" t="s">
        <v>175</v>
      </c>
      <c r="D70" s="326">
        <v>21761622.530000001</v>
      </c>
      <c r="E70" s="333">
        <f t="shared" si="31"/>
        <v>6.6437676534751805E-5</v>
      </c>
      <c r="F70" s="326">
        <v>0.6492</v>
      </c>
      <c r="G70" s="326">
        <v>0.6492</v>
      </c>
      <c r="H70" s="334">
        <v>2.3E-3</v>
      </c>
      <c r="I70" s="334">
        <v>-8.2400000000000001E-2</v>
      </c>
      <c r="J70" s="326">
        <v>21811589.719999999</v>
      </c>
      <c r="K70" s="333">
        <f t="shared" si="26"/>
        <v>6.7862205620151516E-5</v>
      </c>
      <c r="L70" s="326">
        <v>0.65069999999999995</v>
      </c>
      <c r="M70" s="326">
        <v>0.65069999999999995</v>
      </c>
      <c r="N70" s="334">
        <v>2.3E-3</v>
      </c>
      <c r="O70" s="334">
        <v>-4.7699999999999999E-2</v>
      </c>
      <c r="P70" s="109">
        <f t="shared" si="32"/>
        <v>2.2961150957891197E-3</v>
      </c>
      <c r="Q70" s="109">
        <f t="shared" si="33"/>
        <v>2.3105360443622085E-3</v>
      </c>
      <c r="R70" s="329">
        <f t="shared" si="28"/>
        <v>0</v>
      </c>
      <c r="S70" s="364">
        <f t="shared" si="29"/>
        <v>3.4700000000000002E-2</v>
      </c>
      <c r="U70" s="427"/>
      <c r="V70" s="427"/>
    </row>
    <row r="71" spans="1:23" s="128" customFormat="1" ht="12.95" customHeight="1">
      <c r="A71" s="398">
        <v>60</v>
      </c>
      <c r="B71" s="396" t="s">
        <v>104</v>
      </c>
      <c r="C71" s="397" t="s">
        <v>103</v>
      </c>
      <c r="D71" s="326">
        <v>974655774.58000004</v>
      </c>
      <c r="E71" s="333">
        <f t="shared" si="31"/>
        <v>2.9755991307636202E-3</v>
      </c>
      <c r="F71" s="326">
        <v>204.51091099999999</v>
      </c>
      <c r="G71" s="326">
        <v>205.39851899999999</v>
      </c>
      <c r="H71" s="334">
        <v>1.2999999999999999E-3</v>
      </c>
      <c r="I71" s="334">
        <v>0.03</v>
      </c>
      <c r="J71" s="326">
        <v>976106839.76999998</v>
      </c>
      <c r="K71" s="333">
        <f t="shared" si="26"/>
        <v>3.0369525522006761E-3</v>
      </c>
      <c r="L71" s="326">
        <v>204.746126</v>
      </c>
      <c r="M71" s="326">
        <v>205.718999</v>
      </c>
      <c r="N71" s="334">
        <v>4.0000000000000002E-4</v>
      </c>
      <c r="O71" s="334">
        <v>3.1600000000000003E-2</v>
      </c>
      <c r="P71" s="329">
        <f t="shared" si="32"/>
        <v>1.4887976122905883E-3</v>
      </c>
      <c r="Q71" s="329">
        <f t="shared" si="33"/>
        <v>1.5602838889018642E-3</v>
      </c>
      <c r="R71" s="329">
        <f t="shared" si="28"/>
        <v>-8.9999999999999998E-4</v>
      </c>
      <c r="S71" s="364">
        <f t="shared" si="29"/>
        <v>1.6000000000000042E-3</v>
      </c>
      <c r="T71" s="168"/>
      <c r="U71" s="169"/>
      <c r="V71" s="407"/>
      <c r="W71" s="129"/>
    </row>
    <row r="72" spans="1:23" s="112" customFormat="1" ht="12.95" customHeight="1">
      <c r="A72" s="401">
        <v>61</v>
      </c>
      <c r="B72" s="396" t="s">
        <v>111</v>
      </c>
      <c r="C72" s="397" t="s">
        <v>132</v>
      </c>
      <c r="D72" s="326">
        <v>1245948704.3099999</v>
      </c>
      <c r="E72" s="333">
        <f t="shared" si="31"/>
        <v>3.8038495007311798E-3</v>
      </c>
      <c r="F72" s="327">
        <v>3.5</v>
      </c>
      <c r="G72" s="327">
        <v>3.5</v>
      </c>
      <c r="H72" s="320">
        <v>-9.7000000000000003E-3</v>
      </c>
      <c r="I72" s="320">
        <v>-4.1399999999999999E-2</v>
      </c>
      <c r="J72" s="326">
        <v>1241553264.1600001</v>
      </c>
      <c r="K72" s="333">
        <f t="shared" si="26"/>
        <v>3.8628336578117252E-3</v>
      </c>
      <c r="L72" s="327">
        <v>3.51</v>
      </c>
      <c r="M72" s="327">
        <v>3.51</v>
      </c>
      <c r="N72" s="320">
        <v>-8.2000000000000007E-3</v>
      </c>
      <c r="O72" s="320">
        <v>-3.6900000000000002E-2</v>
      </c>
      <c r="P72" s="329">
        <f t="shared" si="32"/>
        <v>-3.5277858027341737E-3</v>
      </c>
      <c r="Q72" s="329">
        <f t="shared" si="33"/>
        <v>2.8571428571427964E-3</v>
      </c>
      <c r="R72" s="329">
        <f t="shared" si="28"/>
        <v>1.4999999999999996E-3</v>
      </c>
      <c r="S72" s="364">
        <f t="shared" si="29"/>
        <v>4.4999999999999971E-3</v>
      </c>
      <c r="U72" s="170"/>
      <c r="V72" s="407"/>
    </row>
    <row r="73" spans="1:23" s="112" customFormat="1" ht="12.95" customHeight="1">
      <c r="A73" s="400">
        <v>62</v>
      </c>
      <c r="B73" s="396" t="s">
        <v>85</v>
      </c>
      <c r="C73" s="397" t="s">
        <v>23</v>
      </c>
      <c r="D73" s="326">
        <v>16256989084.93</v>
      </c>
      <c r="E73" s="333">
        <f t="shared" si="31"/>
        <v>4.9632171533377394E-2</v>
      </c>
      <c r="F73" s="326">
        <v>1195.07</v>
      </c>
      <c r="G73" s="326">
        <v>1195.07</v>
      </c>
      <c r="H73" s="334">
        <v>3.9699999999999999E-2</v>
      </c>
      <c r="I73" s="334">
        <v>4.7399999999999998E-2</v>
      </c>
      <c r="J73" s="326">
        <v>16322168283.280001</v>
      </c>
      <c r="K73" s="333">
        <f t="shared" si="26"/>
        <v>5.0783017396985174E-2</v>
      </c>
      <c r="L73" s="326">
        <v>1196.8699999999999</v>
      </c>
      <c r="M73" s="326">
        <v>1196.8699999999999</v>
      </c>
      <c r="N73" s="334">
        <v>2.8E-3</v>
      </c>
      <c r="O73" s="334">
        <v>4.8899999999999999E-2</v>
      </c>
      <c r="P73" s="329">
        <f t="shared" si="32"/>
        <v>4.0093031993495391E-3</v>
      </c>
      <c r="Q73" s="329">
        <f t="shared" si="33"/>
        <v>1.5061879220463694E-3</v>
      </c>
      <c r="R73" s="329">
        <f t="shared" si="28"/>
        <v>-3.6900000000000002E-2</v>
      </c>
      <c r="S73" s="364">
        <f t="shared" si="29"/>
        <v>1.5000000000000013E-3</v>
      </c>
      <c r="T73" s="171"/>
      <c r="U73" s="130"/>
      <c r="V73" s="407"/>
    </row>
    <row r="74" spans="1:23" s="112" customFormat="1" ht="12.95" customHeight="1">
      <c r="A74" s="401">
        <v>63</v>
      </c>
      <c r="B74" s="397" t="s">
        <v>232</v>
      </c>
      <c r="C74" s="404" t="s">
        <v>9</v>
      </c>
      <c r="D74" s="326">
        <v>1226133454</v>
      </c>
      <c r="E74" s="333">
        <f t="shared" si="31"/>
        <v>3.7433540487612706E-3</v>
      </c>
      <c r="F74" s="327">
        <v>103.45</v>
      </c>
      <c r="G74" s="327">
        <v>103.45</v>
      </c>
      <c r="H74" s="334">
        <v>1.6999999999999999E-3</v>
      </c>
      <c r="I74" s="334">
        <v>0.1023</v>
      </c>
      <c r="J74" s="326">
        <v>1286495315</v>
      </c>
      <c r="K74" s="333">
        <f t="shared" si="26"/>
        <v>4.002661461940042E-3</v>
      </c>
      <c r="L74" s="327">
        <v>103.64</v>
      </c>
      <c r="M74" s="327">
        <v>103.64</v>
      </c>
      <c r="N74" s="334">
        <v>1.6999999999999999E-3</v>
      </c>
      <c r="O74" s="334">
        <v>0.1024</v>
      </c>
      <c r="P74" s="329">
        <f t="shared" si="32"/>
        <v>4.922943811954747E-2</v>
      </c>
      <c r="Q74" s="329">
        <f t="shared" si="33"/>
        <v>1.8366360560657102E-3</v>
      </c>
      <c r="R74" s="329">
        <f t="shared" si="28"/>
        <v>0</v>
      </c>
      <c r="S74" s="364">
        <f t="shared" si="29"/>
        <v>1.0000000000000286E-4</v>
      </c>
      <c r="T74" s="123"/>
      <c r="U74" s="130"/>
      <c r="V74" s="407"/>
    </row>
    <row r="75" spans="1:23" s="112" customFormat="1" ht="12.95" customHeight="1">
      <c r="A75" s="398">
        <v>64</v>
      </c>
      <c r="B75" s="396" t="s">
        <v>17</v>
      </c>
      <c r="C75" s="397" t="s">
        <v>57</v>
      </c>
      <c r="D75" s="326">
        <v>1575703570.24</v>
      </c>
      <c r="E75" s="333">
        <f t="shared" si="31"/>
        <v>4.8105826654212579E-3</v>
      </c>
      <c r="F75" s="327">
        <v>339.79730000000001</v>
      </c>
      <c r="G75" s="327">
        <v>339.79730000000001</v>
      </c>
      <c r="H75" s="334">
        <v>2.0999999999999999E-3</v>
      </c>
      <c r="I75" s="334">
        <v>9.7110314588376712E-2</v>
      </c>
      <c r="J75" s="326">
        <v>1579142949.23</v>
      </c>
      <c r="K75" s="333">
        <f t="shared" si="26"/>
        <v>4.9131734504429675E-3</v>
      </c>
      <c r="L75" s="327">
        <v>340.48169999999999</v>
      </c>
      <c r="M75" s="327">
        <v>340.48169999999999</v>
      </c>
      <c r="N75" s="334">
        <v>2E-3</v>
      </c>
      <c r="O75" s="334">
        <v>9.9199999999999997E-2</v>
      </c>
      <c r="P75" s="109">
        <f t="shared" si="32"/>
        <v>2.1827576296448623E-3</v>
      </c>
      <c r="Q75" s="109">
        <f t="shared" si="33"/>
        <v>2.0141419605158202E-3</v>
      </c>
      <c r="R75" s="329">
        <f t="shared" si="28"/>
        <v>-9.9999999999999829E-5</v>
      </c>
      <c r="S75" s="364">
        <f t="shared" si="29"/>
        <v>2.0896854116232849E-3</v>
      </c>
      <c r="T75" s="144"/>
      <c r="U75" s="172"/>
      <c r="V75" s="407"/>
    </row>
    <row r="76" spans="1:23" s="112" customFormat="1" ht="12.95" customHeight="1">
      <c r="A76" s="398">
        <v>65</v>
      </c>
      <c r="B76" s="396" t="s">
        <v>91</v>
      </c>
      <c r="C76" s="397" t="s">
        <v>90</v>
      </c>
      <c r="D76" s="326">
        <v>53346346.43</v>
      </c>
      <c r="E76" s="333">
        <f t="shared" si="31"/>
        <v>1.6286503010247517E-4</v>
      </c>
      <c r="F76" s="327">
        <v>11.619327999999999</v>
      </c>
      <c r="G76" s="326">
        <v>11.938226999999999</v>
      </c>
      <c r="H76" s="334">
        <v>2.0400000000000001E-2</v>
      </c>
      <c r="I76" s="334">
        <v>5.2600000000000001E-2</v>
      </c>
      <c r="J76" s="326">
        <v>53425232.340000004</v>
      </c>
      <c r="K76" s="333">
        <f t="shared" si="26"/>
        <v>1.6622145148077034E-4</v>
      </c>
      <c r="L76" s="327">
        <v>11.636511</v>
      </c>
      <c r="M76" s="326">
        <v>11.962932</v>
      </c>
      <c r="N76" s="334">
        <v>2.0400000000000001E-2</v>
      </c>
      <c r="O76" s="334">
        <v>5.45E-2</v>
      </c>
      <c r="P76" s="329">
        <f t="shared" si="32"/>
        <v>1.478750004061035E-3</v>
      </c>
      <c r="Q76" s="329">
        <f t="shared" si="33"/>
        <v>2.0694027680995567E-3</v>
      </c>
      <c r="R76" s="329">
        <f t="shared" si="28"/>
        <v>0</v>
      </c>
      <c r="S76" s="364">
        <f t="shared" si="29"/>
        <v>1.8999999999999989E-3</v>
      </c>
      <c r="T76" s="153"/>
      <c r="U76" s="172"/>
      <c r="V76" s="407"/>
    </row>
    <row r="77" spans="1:23" s="112" customFormat="1" ht="12.95" customHeight="1">
      <c r="A77" s="401">
        <v>66</v>
      </c>
      <c r="B77" s="396" t="s">
        <v>35</v>
      </c>
      <c r="C77" s="397" t="s">
        <v>20</v>
      </c>
      <c r="D77" s="326">
        <v>6651252133.2299995</v>
      </c>
      <c r="E77" s="333">
        <f t="shared" si="31"/>
        <v>2.0306102505428057E-2</v>
      </c>
      <c r="F77" s="327">
        <v>1.05</v>
      </c>
      <c r="G77" s="327">
        <v>1.05</v>
      </c>
      <c r="H77" s="334">
        <v>0</v>
      </c>
      <c r="I77" s="334">
        <v>0.11</v>
      </c>
      <c r="J77" s="326">
        <v>6705602451.8400002</v>
      </c>
      <c r="K77" s="333">
        <f>(J77/$J$119)</f>
        <v>7.172414808173419E-2</v>
      </c>
      <c r="L77" s="327">
        <v>1.06</v>
      </c>
      <c r="M77" s="327">
        <v>1.06</v>
      </c>
      <c r="N77" s="334">
        <v>0</v>
      </c>
      <c r="O77" s="334">
        <v>0.11</v>
      </c>
      <c r="P77" s="329">
        <f t="shared" si="32"/>
        <v>8.1714416355476299E-3</v>
      </c>
      <c r="Q77" s="329">
        <f t="shared" si="33"/>
        <v>9.5238095238095316E-3</v>
      </c>
      <c r="R77" s="329">
        <f t="shared" si="28"/>
        <v>0</v>
      </c>
      <c r="S77" s="364">
        <f t="shared" si="29"/>
        <v>0</v>
      </c>
      <c r="T77" s="144"/>
      <c r="U77" s="172"/>
      <c r="V77" s="407"/>
    </row>
    <row r="78" spans="1:23" s="112" customFormat="1" ht="12.95" customHeight="1">
      <c r="A78" s="403">
        <v>67</v>
      </c>
      <c r="B78" s="396" t="s">
        <v>68</v>
      </c>
      <c r="C78" s="397" t="s">
        <v>5</v>
      </c>
      <c r="D78" s="326">
        <v>24045984083.23</v>
      </c>
      <c r="E78" s="333">
        <f t="shared" si="31"/>
        <v>7.3411773882166728E-2</v>
      </c>
      <c r="F78" s="326">
        <v>4759.12</v>
      </c>
      <c r="G78" s="326">
        <v>4759.12</v>
      </c>
      <c r="H78" s="334">
        <v>1.6999999999999999E-3</v>
      </c>
      <c r="I78" s="334">
        <v>4.1000000000000002E-2</v>
      </c>
      <c r="J78" s="326">
        <v>23969004408.549999</v>
      </c>
      <c r="K78" s="333">
        <f t="shared" ref="K78:K86" si="34">(J78/$J$87)</f>
        <v>7.4574550803687967E-2</v>
      </c>
      <c r="L78" s="326">
        <v>4767.4799999999996</v>
      </c>
      <c r="M78" s="326">
        <v>4767.4799999999996</v>
      </c>
      <c r="N78" s="334">
        <v>1.8E-3</v>
      </c>
      <c r="O78" s="334">
        <v>4.2799999999999998E-2</v>
      </c>
      <c r="P78" s="329">
        <f t="shared" si="32"/>
        <v>-3.2013526422354655E-3</v>
      </c>
      <c r="Q78" s="329">
        <f t="shared" si="33"/>
        <v>1.75662727563072E-3</v>
      </c>
      <c r="R78" s="329">
        <f t="shared" si="28"/>
        <v>1.0000000000000005E-4</v>
      </c>
      <c r="S78" s="364">
        <f t="shared" si="29"/>
        <v>1.799999999999996E-3</v>
      </c>
      <c r="T78" s="144"/>
      <c r="U78" s="172"/>
      <c r="V78" s="407"/>
    </row>
    <row r="79" spans="1:23" s="112" customFormat="1" ht="12.95" customHeight="1">
      <c r="A79" s="403">
        <v>68</v>
      </c>
      <c r="B79" s="396" t="s">
        <v>16</v>
      </c>
      <c r="C79" s="397" t="s">
        <v>5</v>
      </c>
      <c r="D79" s="326">
        <v>43656850980.110001</v>
      </c>
      <c r="E79" s="333">
        <f t="shared" si="31"/>
        <v>0.13328324852358381</v>
      </c>
      <c r="F79" s="327">
        <v>249.82</v>
      </c>
      <c r="G79" s="327">
        <v>249.82</v>
      </c>
      <c r="H79" s="334">
        <v>8.0000000000000004E-4</v>
      </c>
      <c r="I79" s="334">
        <v>1.9400000000000001E-2</v>
      </c>
      <c r="J79" s="326">
        <v>44437097763.720001</v>
      </c>
      <c r="K79" s="333">
        <f t="shared" si="34"/>
        <v>0.13825674810118069</v>
      </c>
      <c r="L79" s="327">
        <v>250.04</v>
      </c>
      <c r="M79" s="327">
        <v>250.04</v>
      </c>
      <c r="N79" s="334">
        <v>8.9999999999999998E-4</v>
      </c>
      <c r="O79" s="334">
        <v>2.0299999999999999E-2</v>
      </c>
      <c r="P79" s="329">
        <f t="shared" si="32"/>
        <v>1.7872264400505659E-2</v>
      </c>
      <c r="Q79" s="329">
        <f t="shared" si="33"/>
        <v>8.806340565206904E-4</v>
      </c>
      <c r="R79" s="329">
        <f t="shared" si="28"/>
        <v>9.9999999999999937E-5</v>
      </c>
      <c r="S79" s="364">
        <f t="shared" si="29"/>
        <v>8.9999999999999802E-4</v>
      </c>
      <c r="T79" s="144"/>
      <c r="U79" s="172"/>
      <c r="V79" s="407"/>
    </row>
    <row r="80" spans="1:23" s="112" customFormat="1" ht="12.95" customHeight="1">
      <c r="A80" s="403">
        <v>69</v>
      </c>
      <c r="B80" s="396" t="s">
        <v>69</v>
      </c>
      <c r="C80" s="397" t="s">
        <v>5</v>
      </c>
      <c r="D80" s="326">
        <v>268567070.63999999</v>
      </c>
      <c r="E80" s="333">
        <f t="shared" si="31"/>
        <v>8.1992839194174538E-4</v>
      </c>
      <c r="F80" s="326">
        <v>4757.92</v>
      </c>
      <c r="G80" s="326">
        <v>4778.4799999999996</v>
      </c>
      <c r="H80" s="334">
        <v>5.0000000000000001E-4</v>
      </c>
      <c r="I80" s="334">
        <v>0.122</v>
      </c>
      <c r="J80" s="326">
        <v>272413827.91000003</v>
      </c>
      <c r="K80" s="333">
        <f t="shared" si="34"/>
        <v>8.4755872637975657E-4</v>
      </c>
      <c r="L80" s="326">
        <v>4826.07</v>
      </c>
      <c r="M80" s="326">
        <v>4847.71</v>
      </c>
      <c r="N80" s="334">
        <v>1.4500000000000001E-2</v>
      </c>
      <c r="O80" s="334">
        <v>0.13830000000000001</v>
      </c>
      <c r="P80" s="329">
        <f t="shared" si="32"/>
        <v>1.4323264802468713E-2</v>
      </c>
      <c r="Q80" s="329">
        <f t="shared" si="33"/>
        <v>1.4487870619946192E-2</v>
      </c>
      <c r="R80" s="329">
        <f t="shared" si="28"/>
        <v>1.4E-2</v>
      </c>
      <c r="S80" s="364">
        <f t="shared" si="29"/>
        <v>1.6300000000000009E-2</v>
      </c>
      <c r="T80" s="144"/>
      <c r="U80" s="172"/>
      <c r="V80" s="407"/>
    </row>
    <row r="81" spans="1:22" s="112" customFormat="1" ht="12.95" customHeight="1">
      <c r="A81" s="403">
        <v>70</v>
      </c>
      <c r="B81" s="396" t="s">
        <v>166</v>
      </c>
      <c r="C81" s="397" t="s">
        <v>5</v>
      </c>
      <c r="D81" s="326">
        <v>19235455121.529999</v>
      </c>
      <c r="E81" s="333">
        <f t="shared" si="31"/>
        <v>5.8725352100983487E-2</v>
      </c>
      <c r="F81" s="327">
        <v>119.98</v>
      </c>
      <c r="G81" s="327">
        <v>119.98</v>
      </c>
      <c r="H81" s="334">
        <v>1.8E-3</v>
      </c>
      <c r="I81" s="334">
        <v>4.3299999999999998E-2</v>
      </c>
      <c r="J81" s="326">
        <v>18866705976.860001</v>
      </c>
      <c r="K81" s="333">
        <f t="shared" si="34"/>
        <v>5.8699814952168236E-2</v>
      </c>
      <c r="L81" s="327">
        <v>120.13</v>
      </c>
      <c r="M81" s="327">
        <v>120.13</v>
      </c>
      <c r="N81" s="334">
        <v>1.2999999999999999E-3</v>
      </c>
      <c r="O81" s="334">
        <v>4.4600000000000001E-2</v>
      </c>
      <c r="P81" s="329">
        <f t="shared" si="32"/>
        <v>-1.91702843702025E-2</v>
      </c>
      <c r="Q81" s="329">
        <f t="shared" si="33"/>
        <v>1.2502083680612725E-3</v>
      </c>
      <c r="R81" s="329">
        <f t="shared" si="28"/>
        <v>-5.0000000000000001E-4</v>
      </c>
      <c r="S81" s="364">
        <f t="shared" si="29"/>
        <v>1.3000000000000025E-3</v>
      </c>
      <c r="T81" s="144"/>
      <c r="U81" s="172"/>
      <c r="V81" s="407"/>
    </row>
    <row r="82" spans="1:22" s="112" customFormat="1" ht="12.95" customHeight="1">
      <c r="A82" s="403">
        <v>71</v>
      </c>
      <c r="B82" s="396" t="s">
        <v>63</v>
      </c>
      <c r="C82" s="397" t="s">
        <v>5</v>
      </c>
      <c r="D82" s="326">
        <v>14472172652.34</v>
      </c>
      <c r="E82" s="333">
        <f t="shared" si="31"/>
        <v>4.4183172652027709E-2</v>
      </c>
      <c r="F82" s="327">
        <v>341.7</v>
      </c>
      <c r="G82" s="327">
        <v>341.7</v>
      </c>
      <c r="H82" s="334">
        <v>8.0000000000000004E-4</v>
      </c>
      <c r="I82" s="334">
        <v>2.76E-2</v>
      </c>
      <c r="J82" s="326">
        <v>14426908306.959999</v>
      </c>
      <c r="K82" s="333">
        <f t="shared" si="34"/>
        <v>4.4886311844214877E-2</v>
      </c>
      <c r="L82" s="327">
        <v>342.1</v>
      </c>
      <c r="M82" s="327">
        <v>342.1</v>
      </c>
      <c r="N82" s="334">
        <v>1.1999999999999999E-3</v>
      </c>
      <c r="O82" s="334">
        <v>2.8799999999999999E-2</v>
      </c>
      <c r="P82" s="329">
        <f t="shared" si="32"/>
        <v>-3.1276814108959854E-3</v>
      </c>
      <c r="Q82" s="329">
        <f t="shared" si="33"/>
        <v>1.1706175007317357E-3</v>
      </c>
      <c r="R82" s="329">
        <f t="shared" si="28"/>
        <v>3.9999999999999986E-4</v>
      </c>
      <c r="S82" s="364">
        <f t="shared" si="29"/>
        <v>1.1999999999999997E-3</v>
      </c>
      <c r="T82" s="144"/>
      <c r="U82" s="172"/>
      <c r="V82" s="407"/>
    </row>
    <row r="83" spans="1:22" s="112" customFormat="1" ht="12.95" customHeight="1">
      <c r="A83" s="392">
        <v>72</v>
      </c>
      <c r="B83" s="396" t="s">
        <v>247</v>
      </c>
      <c r="C83" s="397" t="s">
        <v>246</v>
      </c>
      <c r="D83" s="326">
        <v>69859876.75</v>
      </c>
      <c r="E83" s="333">
        <f t="shared" si="31"/>
        <v>2.1328041545963384E-4</v>
      </c>
      <c r="F83" s="74">
        <v>106.3017</v>
      </c>
      <c r="G83" s="74">
        <v>106.3017</v>
      </c>
      <c r="H83" s="334">
        <v>3.95E-2</v>
      </c>
      <c r="I83" s="334">
        <v>4.2799999999999998E-2</v>
      </c>
      <c r="J83" s="326">
        <v>69991061.420000002</v>
      </c>
      <c r="K83" s="333">
        <f t="shared" si="34"/>
        <v>2.1776256855324225E-4</v>
      </c>
      <c r="L83" s="74">
        <v>106.5013</v>
      </c>
      <c r="M83" s="74">
        <v>106.5013</v>
      </c>
      <c r="N83" s="334">
        <v>3.9907999999999999E-2</v>
      </c>
      <c r="O83" s="334">
        <v>4.48E-2</v>
      </c>
      <c r="P83" s="329">
        <f t="shared" si="32"/>
        <v>1.8778256719441148E-3</v>
      </c>
      <c r="Q83" s="329">
        <f t="shared" si="33"/>
        <v>1.8776745809333602E-3</v>
      </c>
      <c r="R83" s="329">
        <f t="shared" si="28"/>
        <v>4.0799999999999864E-4</v>
      </c>
      <c r="S83" s="364">
        <f t="shared" si="29"/>
        <v>2.0000000000000018E-3</v>
      </c>
      <c r="T83" s="144"/>
      <c r="U83" s="172"/>
      <c r="V83" s="407"/>
    </row>
    <row r="84" spans="1:22" s="330" customFormat="1" ht="12.95" customHeight="1">
      <c r="A84" s="401">
        <v>73</v>
      </c>
      <c r="B84" s="396" t="s">
        <v>157</v>
      </c>
      <c r="C84" s="397" t="s">
        <v>41</v>
      </c>
      <c r="D84" s="326">
        <v>108873034819.67999</v>
      </c>
      <c r="E84" s="333">
        <f t="shared" si="31"/>
        <v>0.33238658839592827</v>
      </c>
      <c r="F84" s="326">
        <v>1.883</v>
      </c>
      <c r="G84" s="326">
        <v>1.883</v>
      </c>
      <c r="H84" s="334">
        <v>5.8500000000000003E-2</v>
      </c>
      <c r="I84" s="334">
        <v>7.3400000000000007E-2</v>
      </c>
      <c r="J84" s="326">
        <v>102047324014.97</v>
      </c>
      <c r="K84" s="333">
        <f t="shared" si="34"/>
        <v>0.31749893401580637</v>
      </c>
      <c r="L84" s="326">
        <v>1.8851</v>
      </c>
      <c r="M84" s="326">
        <v>1.8851</v>
      </c>
      <c r="N84" s="334">
        <v>5.8599999999999999E-2</v>
      </c>
      <c r="O84" s="334">
        <v>7.2300000000000003E-2</v>
      </c>
      <c r="P84" s="109">
        <f t="shared" si="32"/>
        <v>-6.2694227418341145E-2</v>
      </c>
      <c r="Q84" s="109">
        <f t="shared" si="33"/>
        <v>1.1152416356877274E-3</v>
      </c>
      <c r="R84" s="329">
        <f t="shared" si="28"/>
        <v>9.9999999999995925E-5</v>
      </c>
      <c r="S84" s="364">
        <f t="shared" si="29"/>
        <v>-1.1000000000000038E-3</v>
      </c>
      <c r="T84" s="144"/>
      <c r="U84" s="172"/>
      <c r="V84" s="338"/>
    </row>
    <row r="85" spans="1:22" s="330" customFormat="1" ht="12.95" customHeight="1">
      <c r="A85" s="400">
        <v>74</v>
      </c>
      <c r="B85" s="396" t="s">
        <v>276</v>
      </c>
      <c r="C85" s="397" t="s">
        <v>243</v>
      </c>
      <c r="D85" s="326">
        <v>9596445122.3099995</v>
      </c>
      <c r="E85" s="333">
        <f t="shared" si="31"/>
        <v>2.9297701310671914E-2</v>
      </c>
      <c r="F85" s="327">
        <v>1</v>
      </c>
      <c r="G85" s="327">
        <v>1</v>
      </c>
      <c r="H85" s="334">
        <v>0.06</v>
      </c>
      <c r="I85" s="334">
        <v>0.06</v>
      </c>
      <c r="J85" s="326">
        <v>9587506111.8400002</v>
      </c>
      <c r="K85" s="333">
        <f t="shared" si="34"/>
        <v>2.9829522721562796E-2</v>
      </c>
      <c r="L85" s="327">
        <v>1</v>
      </c>
      <c r="M85" s="327">
        <v>1</v>
      </c>
      <c r="N85" s="334">
        <v>0.06</v>
      </c>
      <c r="O85" s="334">
        <v>0.06</v>
      </c>
      <c r="P85" s="329">
        <f t="shared" si="32"/>
        <v>-9.3149185516809042E-4</v>
      </c>
      <c r="Q85" s="329">
        <f t="shared" si="33"/>
        <v>0</v>
      </c>
      <c r="R85" s="329">
        <f t="shared" si="28"/>
        <v>0</v>
      </c>
      <c r="S85" s="364">
        <f t="shared" si="29"/>
        <v>0</v>
      </c>
      <c r="T85" s="144"/>
      <c r="U85" s="172"/>
      <c r="V85" s="339"/>
    </row>
    <row r="86" spans="1:22" s="112" customFormat="1" ht="12.95" customHeight="1">
      <c r="A86" s="401">
        <v>75</v>
      </c>
      <c r="B86" s="396" t="s">
        <v>19</v>
      </c>
      <c r="C86" s="397" t="s">
        <v>12</v>
      </c>
      <c r="D86" s="326">
        <v>2564626168.6799998</v>
      </c>
      <c r="E86" s="333">
        <f t="shared" si="31"/>
        <v>7.8297380442303652E-3</v>
      </c>
      <c r="F86" s="327">
        <v>24.3658</v>
      </c>
      <c r="G86" s="327">
        <v>24.3658</v>
      </c>
      <c r="H86" s="334">
        <v>1E-3</v>
      </c>
      <c r="I86" s="334">
        <v>3.4299999999999997E-2</v>
      </c>
      <c r="J86" s="326">
        <v>2568682014.5999999</v>
      </c>
      <c r="K86" s="333">
        <f t="shared" si="34"/>
        <v>7.9919175670048418E-3</v>
      </c>
      <c r="L86" s="327">
        <v>24.4055</v>
      </c>
      <c r="M86" s="327">
        <v>24.4055</v>
      </c>
      <c r="N86" s="334">
        <v>1.1999999999999999E-3</v>
      </c>
      <c r="O86" s="334">
        <v>3.5999999999999997E-2</v>
      </c>
      <c r="P86" s="329">
        <f t="shared" si="32"/>
        <v>1.5814569661384995E-3</v>
      </c>
      <c r="Q86" s="329">
        <f t="shared" si="33"/>
        <v>1.629332917449862E-3</v>
      </c>
      <c r="R86" s="329">
        <f t="shared" si="28"/>
        <v>1.9999999999999987E-4</v>
      </c>
      <c r="S86" s="364">
        <f t="shared" si="29"/>
        <v>1.7000000000000001E-3</v>
      </c>
      <c r="T86" s="144"/>
      <c r="U86" s="172"/>
      <c r="V86" s="291"/>
    </row>
    <row r="87" spans="1:22" s="112" customFormat="1" ht="12.95" customHeight="1">
      <c r="A87" s="214"/>
      <c r="C87" s="244" t="s">
        <v>42</v>
      </c>
      <c r="D87" s="76">
        <f>SUM(D57:D86)</f>
        <v>327549421729.35663</v>
      </c>
      <c r="E87" s="262">
        <f>(D87/$D$168)</f>
        <v>0.17468991559337613</v>
      </c>
      <c r="F87" s="327"/>
      <c r="G87" s="327"/>
      <c r="H87" s="334"/>
      <c r="I87" s="334"/>
      <c r="J87" s="76">
        <f>SUM(J57:J86)</f>
        <v>321409973646.99713</v>
      </c>
      <c r="K87" s="262">
        <f>(J87/$J$168)</f>
        <v>0.17114707199309104</v>
      </c>
      <c r="L87" s="264"/>
      <c r="M87" s="73"/>
      <c r="N87" s="279"/>
      <c r="O87" s="279"/>
      <c r="P87" s="266">
        <f t="shared" ref="P87" si="35">((J87-D87)/D87)</f>
        <v>-1.874357783917055E-2</v>
      </c>
      <c r="Q87" s="266"/>
      <c r="R87" s="266">
        <f t="shared" ref="R87:S87" si="36">N87-H87</f>
        <v>0</v>
      </c>
      <c r="S87" s="364">
        <f t="shared" si="36"/>
        <v>0</v>
      </c>
      <c r="T87" s="88"/>
      <c r="U87" s="173"/>
      <c r="V87" s="185"/>
    </row>
    <row r="88" spans="1:22" s="112" customFormat="1" ht="5.25" customHeight="1">
      <c r="A88" s="410"/>
      <c r="B88" s="411"/>
      <c r="C88" s="412"/>
      <c r="D88" s="412"/>
      <c r="E88" s="412"/>
      <c r="F88" s="412"/>
      <c r="G88" s="412"/>
      <c r="H88" s="412"/>
      <c r="I88" s="412"/>
      <c r="J88" s="412"/>
      <c r="K88" s="412"/>
      <c r="L88" s="412"/>
      <c r="M88" s="412"/>
      <c r="N88" s="412"/>
      <c r="O88" s="412"/>
      <c r="P88" s="412"/>
      <c r="Q88" s="412"/>
      <c r="R88" s="412"/>
      <c r="S88" s="425"/>
      <c r="T88" s="88"/>
      <c r="U88" s="173"/>
      <c r="V88" s="185"/>
    </row>
    <row r="89" spans="1:22" s="112" customFormat="1" ht="12" customHeight="1">
      <c r="A89" s="417" t="s">
        <v>195</v>
      </c>
      <c r="B89" s="418"/>
      <c r="C89" s="419"/>
      <c r="D89" s="419"/>
      <c r="E89" s="419"/>
      <c r="F89" s="419"/>
      <c r="G89" s="419"/>
      <c r="H89" s="419"/>
      <c r="I89" s="419"/>
      <c r="J89" s="419"/>
      <c r="K89" s="419"/>
      <c r="L89" s="419"/>
      <c r="M89" s="419"/>
      <c r="N89" s="419"/>
      <c r="O89" s="419"/>
      <c r="P89" s="419"/>
      <c r="Q89" s="419"/>
      <c r="R89" s="419"/>
      <c r="S89" s="420"/>
      <c r="T89" s="88"/>
      <c r="U89" s="173"/>
      <c r="V89" s="185"/>
    </row>
    <row r="90" spans="1:22" s="112" customFormat="1" ht="12.95" customHeight="1">
      <c r="A90" s="421" t="s">
        <v>196</v>
      </c>
      <c r="B90" s="422"/>
      <c r="C90" s="423"/>
      <c r="D90" s="423"/>
      <c r="E90" s="423"/>
      <c r="F90" s="423"/>
      <c r="G90" s="423"/>
      <c r="H90" s="423"/>
      <c r="I90" s="423"/>
      <c r="J90" s="423"/>
      <c r="K90" s="423"/>
      <c r="L90" s="423"/>
      <c r="M90" s="423"/>
      <c r="N90" s="423"/>
      <c r="O90" s="423"/>
      <c r="P90" s="423"/>
      <c r="Q90" s="423"/>
      <c r="R90" s="423"/>
      <c r="S90" s="424"/>
      <c r="T90" s="88"/>
      <c r="U90" s="173"/>
      <c r="V90" s="185"/>
    </row>
    <row r="91" spans="1:22" s="112" customFormat="1" ht="12.95" customHeight="1">
      <c r="A91" s="398">
        <v>76</v>
      </c>
      <c r="B91" s="396" t="s">
        <v>145</v>
      </c>
      <c r="C91" s="397" t="s">
        <v>57</v>
      </c>
      <c r="D91" s="326">
        <v>1274486249.7</v>
      </c>
      <c r="E91" s="333">
        <f t="shared" ref="E91:E100" si="37">(D91/$D$112)</f>
        <v>2.3150607171071873E-3</v>
      </c>
      <c r="F91" s="326">
        <f>108.8704*742.77</f>
        <v>80865.667008000004</v>
      </c>
      <c r="G91" s="326">
        <f>108.8704*742.77</f>
        <v>80865.667008000004</v>
      </c>
      <c r="H91" s="334">
        <v>1.1999999999999999E-3</v>
      </c>
      <c r="I91" s="334">
        <v>8.48E-2</v>
      </c>
      <c r="J91" s="326">
        <v>1327238436.2</v>
      </c>
      <c r="K91" s="333">
        <f t="shared" ref="K91:K100" si="38">(J91/$J$112)</f>
        <v>2.3973680900789989E-3</v>
      </c>
      <c r="L91" s="326">
        <f>108.9958*770.38</f>
        <v>83968.184404</v>
      </c>
      <c r="M91" s="326">
        <f>108.9958*770.38</f>
        <v>83968.184404</v>
      </c>
      <c r="N91" s="334">
        <v>1.1999999999999999E-3</v>
      </c>
      <c r="O91" s="334">
        <v>8.48E-2</v>
      </c>
      <c r="P91" s="329">
        <f t="shared" ref="P91:P100" si="39">((J91-D91)/D91)</f>
        <v>4.1390942046190989E-2</v>
      </c>
      <c r="Q91" s="329">
        <f t="shared" ref="Q91:Q100" si="40">((M91-G91)/G91)</f>
        <v>3.8366311820479573E-2</v>
      </c>
      <c r="R91" s="329">
        <f t="shared" ref="R91:R100" si="41">N91-H91</f>
        <v>0</v>
      </c>
      <c r="S91" s="364">
        <f t="shared" ref="S91:S100" si="42">O91-I91</f>
        <v>0</v>
      </c>
      <c r="T91" s="88"/>
      <c r="U91" s="173"/>
      <c r="V91" s="185"/>
    </row>
    <row r="92" spans="1:22" s="112" customFormat="1" ht="12.95" customHeight="1">
      <c r="A92" s="401">
        <v>77</v>
      </c>
      <c r="B92" s="396" t="s">
        <v>146</v>
      </c>
      <c r="C92" s="397" t="s">
        <v>6</v>
      </c>
      <c r="D92" s="326">
        <f>11794314.09*742.77</f>
        <v>8760462676.6292992</v>
      </c>
      <c r="E92" s="333">
        <f t="shared" si="37"/>
        <v>1.591308106393623E-2</v>
      </c>
      <c r="F92" s="326">
        <f>1.1397*742.77</f>
        <v>846.53496899999993</v>
      </c>
      <c r="G92" s="326">
        <f>1.1397*742.77</f>
        <v>846.53496899999993</v>
      </c>
      <c r="H92" s="334">
        <v>0.61099999999999999</v>
      </c>
      <c r="I92" s="334">
        <v>2.6800000000000001E-2</v>
      </c>
      <c r="J92" s="326">
        <f>11518943.61*770.38</f>
        <v>8873963778.2717991</v>
      </c>
      <c r="K92" s="333">
        <f t="shared" si="38"/>
        <v>1.6028889018204942E-2</v>
      </c>
      <c r="L92" s="326">
        <f>1.1409*770.38</f>
        <v>878.92654200000004</v>
      </c>
      <c r="M92" s="326">
        <f>1.1409*770.38</f>
        <v>878.92654200000004</v>
      </c>
      <c r="N92" s="334">
        <v>2.8000000000000001E-2</v>
      </c>
      <c r="O92" s="334">
        <v>5.4899999999999997E-2</v>
      </c>
      <c r="P92" s="329">
        <f t="shared" si="39"/>
        <v>1.2956062462921299E-2</v>
      </c>
      <c r="Q92" s="329">
        <f t="shared" si="40"/>
        <v>3.826371524647567E-2</v>
      </c>
      <c r="R92" s="329">
        <f t="shared" si="41"/>
        <v>-0.58299999999999996</v>
      </c>
      <c r="S92" s="364">
        <f t="shared" si="42"/>
        <v>2.8099999999999997E-2</v>
      </c>
      <c r="U92" s="164"/>
      <c r="V92" s="163"/>
    </row>
    <row r="93" spans="1:22" s="112" customFormat="1" ht="12.95" customHeight="1">
      <c r="A93" s="398">
        <v>78</v>
      </c>
      <c r="B93" s="396" t="s">
        <v>171</v>
      </c>
      <c r="C93" s="397" t="s">
        <v>168</v>
      </c>
      <c r="D93" s="326">
        <v>1805383438.0857</v>
      </c>
      <c r="E93" s="333">
        <f t="shared" si="37"/>
        <v>3.2794173164378548E-3</v>
      </c>
      <c r="F93" s="326">
        <v>77283.059116999997</v>
      </c>
      <c r="G93" s="326">
        <v>77283.059116999997</v>
      </c>
      <c r="H93" s="334">
        <v>5.848752095083342E-2</v>
      </c>
      <c r="I93" s="334">
        <v>5.1682526837977999E-2</v>
      </c>
      <c r="J93" s="326">
        <v>1874623925.7504001</v>
      </c>
      <c r="K93" s="333">
        <f>(J93/$J$112)</f>
        <v>3.3861011389632566E-3</v>
      </c>
      <c r="L93" s="326">
        <v>80247.06624</v>
      </c>
      <c r="M93" s="326">
        <v>80247.06624</v>
      </c>
      <c r="N93" s="334">
        <v>5.8560721853149679E-2</v>
      </c>
      <c r="O93" s="334">
        <v>5.2006108064372954E-2</v>
      </c>
      <c r="P93" s="329">
        <f>((J93-D93)/D93)</f>
        <v>3.8352233771523747E-2</v>
      </c>
      <c r="Q93" s="329">
        <f t="shared" si="40"/>
        <v>3.8352611256145384E-2</v>
      </c>
      <c r="R93" s="329">
        <f t="shared" si="41"/>
        <v>7.3200902316258865E-5</v>
      </c>
      <c r="S93" s="364">
        <f t="shared" si="42"/>
        <v>3.2358122639495474E-4</v>
      </c>
      <c r="T93" s="380">
        <v>770.88</v>
      </c>
      <c r="U93" s="174"/>
      <c r="V93" s="163"/>
    </row>
    <row r="94" spans="1:22" s="112" customFormat="1" ht="12.95" customHeight="1">
      <c r="A94" s="400">
        <v>79</v>
      </c>
      <c r="B94" s="396" t="s">
        <v>239</v>
      </c>
      <c r="C94" s="397" t="s">
        <v>185</v>
      </c>
      <c r="D94" s="326">
        <v>21968043746.759998</v>
      </c>
      <c r="E94" s="333">
        <f t="shared" si="37"/>
        <v>3.9904200709727174E-2</v>
      </c>
      <c r="F94" s="326">
        <v>95470.27</v>
      </c>
      <c r="G94" s="326">
        <v>95470.27</v>
      </c>
      <c r="H94" s="334">
        <v>1.1000000000000001E-3</v>
      </c>
      <c r="I94" s="334">
        <v>7.1900000000000006E-2</v>
      </c>
      <c r="J94" s="326">
        <v>21941802007.599998</v>
      </c>
      <c r="K94" s="333">
        <f t="shared" si="38"/>
        <v>3.9633101737512465E-2</v>
      </c>
      <c r="L94" s="326">
        <v>95356.23</v>
      </c>
      <c r="M94" s="326">
        <v>95356.23</v>
      </c>
      <c r="N94" s="334">
        <v>1.1999999999999999E-3</v>
      </c>
      <c r="O94" s="334">
        <v>7.1499999999999994E-2</v>
      </c>
      <c r="P94" s="329">
        <f t="shared" si="39"/>
        <v>-1.1945414649800197E-3</v>
      </c>
      <c r="Q94" s="329">
        <f t="shared" si="40"/>
        <v>-1.1945079866225177E-3</v>
      </c>
      <c r="R94" s="329">
        <f t="shared" si="41"/>
        <v>9.9999999999999829E-5</v>
      </c>
      <c r="S94" s="364">
        <f t="shared" si="42"/>
        <v>-4.0000000000001146E-4</v>
      </c>
      <c r="U94" s="174"/>
      <c r="V94" s="163"/>
    </row>
    <row r="95" spans="1:22" s="330" customFormat="1" ht="12.95" customHeight="1">
      <c r="A95" s="400">
        <v>80</v>
      </c>
      <c r="B95" s="402" t="s">
        <v>267</v>
      </c>
      <c r="C95" s="402" t="s">
        <v>185</v>
      </c>
      <c r="D95" s="326">
        <v>13829499913.58</v>
      </c>
      <c r="E95" s="333">
        <f t="shared" si="37"/>
        <v>2.5120813970886342E-2</v>
      </c>
      <c r="F95" s="326">
        <v>84025.55</v>
      </c>
      <c r="G95" s="326">
        <v>84025.55</v>
      </c>
      <c r="H95" s="334">
        <v>1.9E-3</v>
      </c>
      <c r="I95" s="334">
        <v>9.7299999999999998E-2</v>
      </c>
      <c r="J95" s="326">
        <v>13801704321.75</v>
      </c>
      <c r="K95" s="333">
        <f t="shared" si="38"/>
        <v>2.4929782492136104E-2</v>
      </c>
      <c r="L95" s="326">
        <v>83925.18</v>
      </c>
      <c r="M95" s="326">
        <v>83925.18</v>
      </c>
      <c r="N95" s="334">
        <v>2E-3</v>
      </c>
      <c r="O95" s="334">
        <v>9.7199999999999995E-2</v>
      </c>
      <c r="P95" s="329">
        <f t="shared" si="39"/>
        <v>-2.0098768577094966E-3</v>
      </c>
      <c r="Q95" s="329">
        <f t="shared" si="40"/>
        <v>-1.1945176199383389E-3</v>
      </c>
      <c r="R95" s="329">
        <f t="shared" si="41"/>
        <v>1.0000000000000005E-4</v>
      </c>
      <c r="S95" s="364">
        <f t="shared" si="42"/>
        <v>-1.0000000000000286E-4</v>
      </c>
      <c r="U95" s="332"/>
      <c r="V95" s="163"/>
    </row>
    <row r="96" spans="1:22" s="112" customFormat="1" ht="12.95" customHeight="1">
      <c r="A96" s="398">
        <v>81</v>
      </c>
      <c r="B96" s="396" t="s">
        <v>236</v>
      </c>
      <c r="C96" s="397" t="s">
        <v>218</v>
      </c>
      <c r="D96" s="326">
        <f>80066.12*743.27</f>
        <v>59510745.012399994</v>
      </c>
      <c r="E96" s="333">
        <f t="shared" si="37"/>
        <v>1.0809923453973667E-4</v>
      </c>
      <c r="F96" s="326">
        <f>101.32*743.27</f>
        <v>75308.116399999999</v>
      </c>
      <c r="G96" s="326">
        <f>101.32*743.27</f>
        <v>75308.116399999999</v>
      </c>
      <c r="H96" s="334">
        <v>-8.0000000000000002E-3</v>
      </c>
      <c r="I96" s="334">
        <v>3.2000000000000001E-2</v>
      </c>
      <c r="J96" s="326">
        <f>80095.63*770.88</f>
        <v>61744119.2544</v>
      </c>
      <c r="K96" s="333">
        <f t="shared" si="38"/>
        <v>1.1152734671724456E-4</v>
      </c>
      <c r="L96" s="326">
        <f>101.35*770.88</f>
        <v>78128.687999999995</v>
      </c>
      <c r="M96" s="326">
        <f>101.35*770.88</f>
        <v>78128.687999999995</v>
      </c>
      <c r="N96" s="334">
        <v>0</v>
      </c>
      <c r="O96" s="334">
        <v>3.3000000000000002E-2</v>
      </c>
      <c r="P96" s="329">
        <f t="shared" si="39"/>
        <v>3.752892425619353E-2</v>
      </c>
      <c r="Q96" s="329">
        <f t="shared" si="40"/>
        <v>3.7453753125605935E-2</v>
      </c>
      <c r="R96" s="329">
        <f t="shared" si="41"/>
        <v>8.0000000000000002E-3</v>
      </c>
      <c r="S96" s="364">
        <f t="shared" si="42"/>
        <v>1.0000000000000009E-3</v>
      </c>
      <c r="T96" s="124"/>
      <c r="U96" s="174"/>
      <c r="V96" s="131"/>
    </row>
    <row r="97" spans="1:43" s="112" customFormat="1" ht="12.95" customHeight="1">
      <c r="A97" s="400">
        <v>82</v>
      </c>
      <c r="B97" s="396" t="s">
        <v>120</v>
      </c>
      <c r="C97" s="397" t="s">
        <v>132</v>
      </c>
      <c r="D97" s="326">
        <v>9530705087.2399998</v>
      </c>
      <c r="E97" s="333">
        <f t="shared" si="37"/>
        <v>1.7312200079833431E-2</v>
      </c>
      <c r="F97" s="326">
        <v>742.77</v>
      </c>
      <c r="G97" s="326">
        <v>742.77</v>
      </c>
      <c r="H97" s="320">
        <v>1.0200000000000001E-2</v>
      </c>
      <c r="I97" s="320">
        <v>5.6300000000000003E-2</v>
      </c>
      <c r="J97" s="326">
        <v>9918831535.8400002</v>
      </c>
      <c r="K97" s="333">
        <f t="shared" si="38"/>
        <v>1.7916215780318798E-2</v>
      </c>
      <c r="L97" s="326">
        <v>770.38</v>
      </c>
      <c r="M97" s="326">
        <v>770.38</v>
      </c>
      <c r="N97" s="320">
        <v>1.11E-2</v>
      </c>
      <c r="O97" s="320">
        <v>5.6099999999999997E-2</v>
      </c>
      <c r="P97" s="329">
        <f t="shared" si="39"/>
        <v>4.0723791686686009E-2</v>
      </c>
      <c r="Q97" s="329">
        <f t="shared" si="40"/>
        <v>3.7171668214925228E-2</v>
      </c>
      <c r="R97" s="329">
        <f t="shared" si="41"/>
        <v>8.9999999999999976E-4</v>
      </c>
      <c r="S97" s="364">
        <f t="shared" si="42"/>
        <v>-2.0000000000000573E-4</v>
      </c>
      <c r="U97" s="174"/>
      <c r="V97" s="131"/>
    </row>
    <row r="98" spans="1:43" s="330" customFormat="1" ht="12.95" customHeight="1">
      <c r="A98" s="398">
        <v>83</v>
      </c>
      <c r="B98" s="396" t="s">
        <v>250</v>
      </c>
      <c r="C98" s="397" t="s">
        <v>172</v>
      </c>
      <c r="D98" s="326">
        <f>2020647.39*743.27</f>
        <v>1501886585.5653</v>
      </c>
      <c r="E98" s="333">
        <f t="shared" si="37"/>
        <v>2.7281256558169269E-3</v>
      </c>
      <c r="F98" s="326">
        <f>102.61*743.27</f>
        <v>76266.934699999998</v>
      </c>
      <c r="G98" s="326">
        <f>102.61*743.27</f>
        <v>76266.934699999998</v>
      </c>
      <c r="H98" s="334">
        <v>2E-3</v>
      </c>
      <c r="I98" s="334">
        <v>0.05</v>
      </c>
      <c r="J98" s="326">
        <f>2046075.55*770.88</f>
        <v>1577278719.984</v>
      </c>
      <c r="K98" s="333">
        <f t="shared" si="38"/>
        <v>2.8490115787156781E-3</v>
      </c>
      <c r="L98" s="326">
        <f>102.81*770.88</f>
        <v>79254.1728</v>
      </c>
      <c r="M98" s="326">
        <f>102.81*770.88</f>
        <v>79254.1728</v>
      </c>
      <c r="N98" s="334">
        <v>2E-3</v>
      </c>
      <c r="O98" s="334">
        <v>5.21E-2</v>
      </c>
      <c r="P98" s="329">
        <f t="shared" si="39"/>
        <v>5.0198287369563853E-2</v>
      </c>
      <c r="Q98" s="329">
        <f t="shared" si="40"/>
        <v>3.9168194077164119E-2</v>
      </c>
      <c r="R98" s="329">
        <f t="shared" si="41"/>
        <v>0</v>
      </c>
      <c r="S98" s="364">
        <f t="shared" si="42"/>
        <v>2.0999999999999977E-3</v>
      </c>
      <c r="U98" s="332"/>
      <c r="V98" s="331"/>
    </row>
    <row r="99" spans="1:43" s="330" customFormat="1" ht="12.95" customHeight="1">
      <c r="A99" s="398">
        <v>84</v>
      </c>
      <c r="B99" s="396" t="s">
        <v>127</v>
      </c>
      <c r="C99" s="397" t="s">
        <v>90</v>
      </c>
      <c r="D99" s="326">
        <f>1702290.92*743.27</f>
        <v>1265261772.1083999</v>
      </c>
      <c r="E99" s="333">
        <f t="shared" si="37"/>
        <v>2.2983047688078817E-3</v>
      </c>
      <c r="F99" s="326">
        <f>126.63*743.27</f>
        <v>94120.280099999989</v>
      </c>
      <c r="G99" s="326">
        <f>130.28*743.27</f>
        <v>96833.215599999996</v>
      </c>
      <c r="H99" s="334">
        <v>1.6799999999999999E-2</v>
      </c>
      <c r="I99" s="334">
        <v>0.13950000000000001</v>
      </c>
      <c r="J99" s="326">
        <f>1703890.93*770.88</f>
        <v>1313495440.1183999</v>
      </c>
      <c r="K99" s="333">
        <f t="shared" si="38"/>
        <v>2.3725443512770702E-3</v>
      </c>
      <c r="L99" s="326">
        <f>126.2*770.88</f>
        <v>97285.055999999997</v>
      </c>
      <c r="M99" s="326">
        <f>126.2*770.88</f>
        <v>97285.055999999997</v>
      </c>
      <c r="N99" s="334">
        <v>1.6799999999999999E-2</v>
      </c>
      <c r="O99" s="334">
        <v>0.1358</v>
      </c>
      <c r="P99" s="329">
        <f t="shared" si="39"/>
        <v>3.8121493174985158E-2</v>
      </c>
      <c r="Q99" s="329">
        <f t="shared" si="40"/>
        <v>4.6661715941198273E-3</v>
      </c>
      <c r="R99" s="329">
        <f t="shared" si="41"/>
        <v>0</v>
      </c>
      <c r="S99" s="364">
        <f t="shared" si="42"/>
        <v>-3.7000000000000088E-3</v>
      </c>
      <c r="U99" s="332"/>
      <c r="V99" s="331"/>
    </row>
    <row r="100" spans="1:43" s="330" customFormat="1" ht="12.95" customHeight="1">
      <c r="A100" s="401">
        <v>85</v>
      </c>
      <c r="B100" s="396" t="s">
        <v>252</v>
      </c>
      <c r="C100" s="397" t="s">
        <v>41</v>
      </c>
      <c r="D100" s="326">
        <v>115594181627.23</v>
      </c>
      <c r="E100" s="333">
        <f t="shared" si="37"/>
        <v>0.20997288050329721</v>
      </c>
      <c r="F100" s="326">
        <v>92516.67</v>
      </c>
      <c r="G100" s="326">
        <v>92516.67</v>
      </c>
      <c r="H100" s="334">
        <v>4.4699999999999997E-2</v>
      </c>
      <c r="I100" s="334">
        <v>5.9299999999999999E-2</v>
      </c>
      <c r="J100" s="326">
        <v>115362369025.59</v>
      </c>
      <c r="K100" s="333">
        <f t="shared" si="38"/>
        <v>0.20837707434822353</v>
      </c>
      <c r="L100" s="326">
        <v>93090.25</v>
      </c>
      <c r="M100" s="326">
        <v>93090.25</v>
      </c>
      <c r="N100" s="334">
        <v>4.5600000000000002E-2</v>
      </c>
      <c r="O100" s="334">
        <v>5.8700000000000002E-2</v>
      </c>
      <c r="P100" s="329">
        <f t="shared" si="39"/>
        <v>-2.0054002578395549E-3</v>
      </c>
      <c r="Q100" s="329">
        <f t="shared" si="40"/>
        <v>6.1997475698163558E-3</v>
      </c>
      <c r="R100" s="329">
        <f t="shared" si="41"/>
        <v>9.0000000000000496E-4</v>
      </c>
      <c r="S100" s="364">
        <f t="shared" si="42"/>
        <v>-5.9999999999999637E-4</v>
      </c>
      <c r="U100" s="332"/>
      <c r="V100" s="331"/>
    </row>
    <row r="101" spans="1:43" s="112" customFormat="1" ht="4.5" customHeight="1">
      <c r="A101" s="410"/>
      <c r="B101" s="411"/>
      <c r="C101" s="412"/>
      <c r="D101" s="412"/>
      <c r="E101" s="412"/>
      <c r="F101" s="412"/>
      <c r="G101" s="412"/>
      <c r="H101" s="412"/>
      <c r="I101" s="412"/>
      <c r="J101" s="412"/>
      <c r="K101" s="412"/>
      <c r="L101" s="412"/>
      <c r="M101" s="412"/>
      <c r="N101" s="412"/>
      <c r="O101" s="412"/>
      <c r="P101" s="412"/>
      <c r="Q101" s="412"/>
      <c r="R101" s="412"/>
      <c r="S101" s="425"/>
      <c r="U101" s="175"/>
      <c r="V101" s="131"/>
    </row>
    <row r="102" spans="1:43" s="112" customFormat="1" ht="12.95" customHeight="1">
      <c r="A102" s="421" t="s">
        <v>197</v>
      </c>
      <c r="B102" s="422"/>
      <c r="C102" s="423"/>
      <c r="D102" s="423"/>
      <c r="E102" s="423"/>
      <c r="F102" s="423"/>
      <c r="G102" s="423"/>
      <c r="H102" s="423"/>
      <c r="I102" s="423"/>
      <c r="J102" s="423"/>
      <c r="K102" s="423"/>
      <c r="L102" s="423"/>
      <c r="M102" s="423"/>
      <c r="N102" s="423"/>
      <c r="O102" s="423"/>
      <c r="P102" s="423"/>
      <c r="Q102" s="423"/>
      <c r="R102" s="423"/>
      <c r="S102" s="424"/>
      <c r="T102" s="176"/>
      <c r="U102" s="175"/>
      <c r="V102" s="131"/>
      <c r="AQ102" s="121">
        <v>185280902</v>
      </c>
    </row>
    <row r="103" spans="1:43" s="112" customFormat="1" ht="12.95" customHeight="1">
      <c r="A103" s="401">
        <v>86</v>
      </c>
      <c r="B103" s="396" t="s">
        <v>148</v>
      </c>
      <c r="C103" s="397" t="s">
        <v>147</v>
      </c>
      <c r="D103" s="325">
        <v>404929163.23000002</v>
      </c>
      <c r="E103" s="333">
        <f>(D103/$D$112)</f>
        <v>7.3553998658323623E-4</v>
      </c>
      <c r="F103" s="326">
        <v>44879.519999999997</v>
      </c>
      <c r="G103" s="326">
        <v>44879.519999999997</v>
      </c>
      <c r="H103" s="334">
        <v>-5.1000000000000004E-3</v>
      </c>
      <c r="I103" s="334">
        <v>4.7899999999999998E-2</v>
      </c>
      <c r="J103" s="325">
        <v>672003049.42999995</v>
      </c>
      <c r="K103" s="333">
        <f t="shared" ref="K103:K111" si="43">(J103/$J$112)</f>
        <v>1.2138276161981919E-3</v>
      </c>
      <c r="L103" s="326">
        <v>74477.78</v>
      </c>
      <c r="M103" s="326">
        <v>74477.78</v>
      </c>
      <c r="N103" s="334">
        <v>4.4999999999999997E-3</v>
      </c>
      <c r="O103" s="334">
        <v>4.7800000000000002E-2</v>
      </c>
      <c r="P103" s="329">
        <f t="shared" ref="P103:P111" si="44">((J103-D103)/D103)</f>
        <v>0.65955705454660418</v>
      </c>
      <c r="Q103" s="329">
        <f t="shared" ref="Q103:Q111" si="45">((M103-G103)/G103)</f>
        <v>0.65950482536355126</v>
      </c>
      <c r="R103" s="329">
        <f t="shared" ref="R103:R111" si="46">N103-H103</f>
        <v>9.6000000000000009E-3</v>
      </c>
      <c r="S103" s="364">
        <f t="shared" ref="S103:S111" si="47">O103-I103</f>
        <v>-9.9999999999995925E-5</v>
      </c>
      <c r="T103"/>
      <c r="U103" s="426"/>
      <c r="V103" s="131"/>
    </row>
    <row r="104" spans="1:43" s="112" customFormat="1" ht="12.95" customHeight="1">
      <c r="A104" s="401">
        <v>87</v>
      </c>
      <c r="B104" s="397" t="s">
        <v>227</v>
      </c>
      <c r="C104" s="397" t="s">
        <v>80</v>
      </c>
      <c r="D104" s="326">
        <f>6337526.48 *743.27</f>
        <v>4710493306.7896004</v>
      </c>
      <c r="E104" s="333">
        <f>(D104/$J$112)</f>
        <v>8.5084835054659268E-3</v>
      </c>
      <c r="F104" s="325">
        <f>126.58*743.27</f>
        <v>94083.116599999994</v>
      </c>
      <c r="G104" s="325">
        <f>127.47*743.27</f>
        <v>94744.626900000003</v>
      </c>
      <c r="H104" s="334">
        <v>8.0000000000000004E-4</v>
      </c>
      <c r="I104" s="334">
        <v>2.1700000000000001E-2</v>
      </c>
      <c r="J104" s="326">
        <f>6248376.41*770.88</f>
        <v>4816748406.9407997</v>
      </c>
      <c r="K104" s="333">
        <f t="shared" si="43"/>
        <v>8.7004102757905991E-3</v>
      </c>
      <c r="L104" s="325">
        <f>126.68*770.88</f>
        <v>97655.078399999999</v>
      </c>
      <c r="M104" s="325">
        <f>127.57*770.88</f>
        <v>98341.161599999992</v>
      </c>
      <c r="N104" s="334">
        <v>8.0000000000000004E-4</v>
      </c>
      <c r="O104" s="334">
        <v>2.2499999999999999E-2</v>
      </c>
      <c r="P104" s="329">
        <f t="shared" si="44"/>
        <v>2.2557106704311755E-2</v>
      </c>
      <c r="Q104" s="329">
        <f t="shared" si="45"/>
        <v>3.7960302527720327E-2</v>
      </c>
      <c r="R104" s="329">
        <f t="shared" si="46"/>
        <v>0</v>
      </c>
      <c r="S104" s="364">
        <f t="shared" si="47"/>
        <v>7.9999999999999863E-4</v>
      </c>
      <c r="U104" s="426"/>
      <c r="V104" s="132"/>
    </row>
    <row r="105" spans="1:43" s="112" customFormat="1" ht="12.75" customHeight="1">
      <c r="A105" s="400">
        <v>88</v>
      </c>
      <c r="B105" s="396" t="s">
        <v>142</v>
      </c>
      <c r="C105" s="397" t="s">
        <v>88</v>
      </c>
      <c r="D105" s="325">
        <v>6799890710.54</v>
      </c>
      <c r="E105" s="333">
        <f t="shared" ref="E105:E111" si="48">(D105/$D$112)</f>
        <v>1.235176908993625E-2</v>
      </c>
      <c r="F105" s="325">
        <v>70718.38</v>
      </c>
      <c r="G105" s="325">
        <v>70718.38</v>
      </c>
      <c r="H105" s="334">
        <v>2.5000000000000001E-3</v>
      </c>
      <c r="I105" s="334">
        <v>7.3999999999999996E-2</v>
      </c>
      <c r="J105" s="325">
        <v>8122121440.2700005</v>
      </c>
      <c r="K105" s="333">
        <f t="shared" si="43"/>
        <v>1.4670849060398675E-2</v>
      </c>
      <c r="L105" s="325">
        <v>86063.69</v>
      </c>
      <c r="M105" s="325">
        <v>86063.69</v>
      </c>
      <c r="N105" s="334">
        <v>1.1000000000000001E-3</v>
      </c>
      <c r="O105" s="334">
        <v>7.3599999999999999E-2</v>
      </c>
      <c r="P105" s="329">
        <f t="shared" si="44"/>
        <v>0.19444882072597283</v>
      </c>
      <c r="Q105" s="329">
        <f t="shared" si="45"/>
        <v>0.21699182023117605</v>
      </c>
      <c r="R105" s="329">
        <f t="shared" si="46"/>
        <v>-1.4E-3</v>
      </c>
      <c r="S105" s="364">
        <f t="shared" si="47"/>
        <v>-3.9999999999999758E-4</v>
      </c>
      <c r="T105" s="177"/>
      <c r="U105" s="178"/>
      <c r="V105" s="179"/>
      <c r="W105" s="186"/>
      <c r="X105" s="184"/>
      <c r="Y105" s="142"/>
    </row>
    <row r="106" spans="1:43" s="112" customFormat="1" ht="12.95" customHeight="1" thickBot="1">
      <c r="A106" s="392">
        <v>89</v>
      </c>
      <c r="B106" s="396" t="s">
        <v>153</v>
      </c>
      <c r="C106" s="397" t="s">
        <v>7</v>
      </c>
      <c r="D106" s="325">
        <v>2696126232.9686165</v>
      </c>
      <c r="E106" s="333">
        <f t="shared" si="48"/>
        <v>4.8974211622738583E-3</v>
      </c>
      <c r="F106" s="325">
        <v>878.07767162177015</v>
      </c>
      <c r="G106" s="325">
        <v>878.07767162177015</v>
      </c>
      <c r="H106" s="334">
        <v>5.4217504182889252E-2</v>
      </c>
      <c r="I106" s="334">
        <v>5.5369038748182886E-2</v>
      </c>
      <c r="J106" s="325">
        <v>2706177805.1107197</v>
      </c>
      <c r="K106" s="333">
        <f t="shared" si="43"/>
        <v>4.8881226907708684E-3</v>
      </c>
      <c r="L106" s="325">
        <v>878.88684938200913</v>
      </c>
      <c r="M106" s="325">
        <v>878.88684938200913</v>
      </c>
      <c r="N106" s="334">
        <v>5.5642881257890353E-2</v>
      </c>
      <c r="O106" s="334">
        <v>5.543642987966986E-2</v>
      </c>
      <c r="P106" s="329">
        <f t="shared" si="44"/>
        <v>3.7281533851016083E-3</v>
      </c>
      <c r="Q106" s="329">
        <f t="shared" si="45"/>
        <v>9.215332383346749E-4</v>
      </c>
      <c r="R106" s="329">
        <f t="shared" si="46"/>
        <v>1.4253770750011011E-3</v>
      </c>
      <c r="S106" s="364">
        <f t="shared" si="47"/>
        <v>6.7391131486974065E-5</v>
      </c>
      <c r="T106" s="166"/>
      <c r="U106" s="160"/>
      <c r="V106" s="179"/>
      <c r="W106" s="186"/>
      <c r="X106" s="184"/>
      <c r="Y106" s="143"/>
    </row>
    <row r="107" spans="1:43" s="112" customFormat="1" ht="12.75" customHeight="1">
      <c r="A107" s="401">
        <v>90</v>
      </c>
      <c r="B107" s="397" t="s">
        <v>192</v>
      </c>
      <c r="C107" s="404" t="s">
        <v>9</v>
      </c>
      <c r="D107" s="326">
        <v>7796972792.04</v>
      </c>
      <c r="E107" s="333">
        <f t="shared" si="48"/>
        <v>1.4162934615774968E-2</v>
      </c>
      <c r="F107" s="325">
        <f>1.0122*743.27</f>
        <v>752.33789400000001</v>
      </c>
      <c r="G107" s="325">
        <f>1.0122*743.27</f>
        <v>752.33789400000001</v>
      </c>
      <c r="H107" s="334">
        <v>1.6000000000000001E-3</v>
      </c>
      <c r="I107" s="334">
        <v>9.0399999999999994E-2</v>
      </c>
      <c r="J107" s="326">
        <v>7886932022.4499998</v>
      </c>
      <c r="K107" s="333">
        <f t="shared" si="43"/>
        <v>1.4246030436986716E-2</v>
      </c>
      <c r="L107" s="325">
        <f>1.0124*770.88</f>
        <v>780.43891199999996</v>
      </c>
      <c r="M107" s="325">
        <f>1.0124*770.88</f>
        <v>780.43891199999996</v>
      </c>
      <c r="N107" s="334">
        <v>1.6000000000000001E-3</v>
      </c>
      <c r="O107" s="334">
        <v>9.01E-2</v>
      </c>
      <c r="P107" s="329">
        <f t="shared" si="44"/>
        <v>1.1537712495526474E-2</v>
      </c>
      <c r="Q107" s="329">
        <f t="shared" si="45"/>
        <v>3.7351591916490588E-2</v>
      </c>
      <c r="R107" s="329">
        <f t="shared" si="46"/>
        <v>0</v>
      </c>
      <c r="S107" s="364">
        <f t="shared" si="47"/>
        <v>-2.9999999999999472E-4</v>
      </c>
      <c r="U107" s="184"/>
      <c r="V107" s="184"/>
      <c r="W107" s="184"/>
      <c r="X107" s="186"/>
    </row>
    <row r="108" spans="1:43" s="112" customFormat="1" ht="12.75" customHeight="1">
      <c r="A108" s="401">
        <v>91</v>
      </c>
      <c r="B108" s="396" t="s">
        <v>161</v>
      </c>
      <c r="C108" s="397" t="s">
        <v>160</v>
      </c>
      <c r="D108" s="325">
        <v>183968364.40000001</v>
      </c>
      <c r="E108" s="333">
        <f t="shared" si="48"/>
        <v>3.3417224682741927E-4</v>
      </c>
      <c r="F108" s="325">
        <v>756.35</v>
      </c>
      <c r="G108" s="325">
        <v>756.35</v>
      </c>
      <c r="H108" s="334">
        <v>1.5380000000000001E-3</v>
      </c>
      <c r="I108" s="334">
        <v>0.104379</v>
      </c>
      <c r="J108" s="325">
        <v>184445181.5</v>
      </c>
      <c r="K108" s="333">
        <f t="shared" si="43"/>
        <v>3.3316017712909068E-4</v>
      </c>
      <c r="L108" s="325">
        <v>756.24</v>
      </c>
      <c r="M108" s="325">
        <v>756.24</v>
      </c>
      <c r="N108" s="334">
        <v>3.1199999999999999E-3</v>
      </c>
      <c r="O108" s="334">
        <v>0.107824</v>
      </c>
      <c r="P108" s="329">
        <f t="shared" si="44"/>
        <v>2.5918429049206354E-3</v>
      </c>
      <c r="Q108" s="329">
        <f t="shared" si="45"/>
        <v>-1.454353143386179E-4</v>
      </c>
      <c r="R108" s="329">
        <f t="shared" si="46"/>
        <v>1.5819999999999999E-3</v>
      </c>
      <c r="S108" s="364">
        <f t="shared" si="47"/>
        <v>3.4450000000000036E-3</v>
      </c>
      <c r="U108" s="184"/>
      <c r="V108" s="184"/>
      <c r="W108" s="184"/>
      <c r="X108" s="186"/>
    </row>
    <row r="109" spans="1:43" s="112" customFormat="1" ht="12.75" customHeight="1">
      <c r="A109" s="403">
        <v>92</v>
      </c>
      <c r="B109" s="396" t="s">
        <v>93</v>
      </c>
      <c r="C109" s="397" t="s">
        <v>5</v>
      </c>
      <c r="D109" s="326">
        <v>331639905466.70001</v>
      </c>
      <c r="E109" s="333">
        <f t="shared" si="48"/>
        <v>0.60241255451113895</v>
      </c>
      <c r="F109" s="325">
        <v>1086.17</v>
      </c>
      <c r="G109" s="325">
        <v>1086.17</v>
      </c>
      <c r="H109" s="334">
        <v>1.5E-3</v>
      </c>
      <c r="I109" s="334">
        <v>3.3300000000000003E-2</v>
      </c>
      <c r="J109" s="326">
        <v>332095652853</v>
      </c>
      <c r="K109" s="333">
        <f t="shared" si="43"/>
        <v>0.59985869854944673</v>
      </c>
      <c r="L109" s="325">
        <v>1086.4100000000001</v>
      </c>
      <c r="M109" s="325">
        <v>1086.4100000000001</v>
      </c>
      <c r="N109" s="334">
        <v>1.4E-3</v>
      </c>
      <c r="O109" s="334">
        <v>3.4799999999999998E-2</v>
      </c>
      <c r="P109" s="329">
        <f t="shared" si="44"/>
        <v>1.3742236045407069E-3</v>
      </c>
      <c r="Q109" s="329">
        <f t="shared" si="45"/>
        <v>2.2095988657393326E-4</v>
      </c>
      <c r="R109" s="329">
        <f t="shared" si="46"/>
        <v>-1.0000000000000005E-4</v>
      </c>
      <c r="S109" s="364">
        <f t="shared" si="47"/>
        <v>1.4999999999999944E-3</v>
      </c>
      <c r="T109"/>
      <c r="U109" s="292"/>
      <c r="V109" s="292"/>
      <c r="W109" s="292"/>
      <c r="X109" s="293"/>
    </row>
    <row r="110" spans="1:43" s="330" customFormat="1" ht="12.75" customHeight="1">
      <c r="A110" s="401">
        <v>93</v>
      </c>
      <c r="B110" s="396" t="s">
        <v>253</v>
      </c>
      <c r="C110" s="397" t="s">
        <v>41</v>
      </c>
      <c r="D110" s="326">
        <v>9654825881.5300007</v>
      </c>
      <c r="E110" s="333">
        <f t="shared" si="48"/>
        <v>1.7537661260842299E-2</v>
      </c>
      <c r="F110" s="326">
        <v>800.9</v>
      </c>
      <c r="G110" s="326">
        <v>800.9</v>
      </c>
      <c r="H110" s="334">
        <v>8.3599999999999994E-2</v>
      </c>
      <c r="I110" s="334">
        <v>8.7599999999999997E-2</v>
      </c>
      <c r="J110" s="326">
        <v>9659057378.0900002</v>
      </c>
      <c r="K110" s="333">
        <f t="shared" si="43"/>
        <v>1.7446990161597224E-2</v>
      </c>
      <c r="L110" s="326">
        <v>801.25</v>
      </c>
      <c r="M110" s="326">
        <v>801.25</v>
      </c>
      <c r="N110" s="334">
        <v>8.8900000000000007E-2</v>
      </c>
      <c r="O110" s="334">
        <v>8.77E-2</v>
      </c>
      <c r="P110" s="329">
        <f t="shared" si="44"/>
        <v>4.3827787387595027E-4</v>
      </c>
      <c r="Q110" s="329">
        <f t="shared" si="45"/>
        <v>4.370083655887411E-4</v>
      </c>
      <c r="R110" s="329">
        <f t="shared" si="46"/>
        <v>5.300000000000013E-3</v>
      </c>
      <c r="S110" s="364">
        <f t="shared" si="47"/>
        <v>1.0000000000000286E-4</v>
      </c>
      <c r="T110" s="356"/>
      <c r="U110" s="355"/>
      <c r="V110" s="355"/>
      <c r="W110" s="355"/>
      <c r="X110" s="354"/>
    </row>
    <row r="111" spans="1:43" s="112" customFormat="1" ht="12.95" customHeight="1">
      <c r="A111" s="400">
        <v>94</v>
      </c>
      <c r="B111" s="396" t="s">
        <v>277</v>
      </c>
      <c r="C111" s="397" t="s">
        <v>243</v>
      </c>
      <c r="D111" s="325">
        <v>11043044530.93</v>
      </c>
      <c r="E111" s="333">
        <f t="shared" si="48"/>
        <v>2.0059312995208228E-2</v>
      </c>
      <c r="F111" s="325">
        <v>742.77</v>
      </c>
      <c r="G111" s="325">
        <v>742.77</v>
      </c>
      <c r="H111" s="334">
        <v>1.2999999999999999E-3</v>
      </c>
      <c r="I111" s="334">
        <v>3.7100000000000001E-2</v>
      </c>
      <c r="J111" s="325">
        <v>11426944894.42</v>
      </c>
      <c r="K111" s="333">
        <f t="shared" si="43"/>
        <v>2.0640295149533767E-2</v>
      </c>
      <c r="L111" s="325">
        <v>759.28</v>
      </c>
      <c r="M111" s="325">
        <v>759.28</v>
      </c>
      <c r="N111" s="334">
        <v>1E-3</v>
      </c>
      <c r="O111" s="334">
        <v>3.95E-2</v>
      </c>
      <c r="P111" s="329">
        <f t="shared" si="44"/>
        <v>3.4763996687213326E-2</v>
      </c>
      <c r="Q111" s="329">
        <f t="shared" si="45"/>
        <v>2.2227607469337739E-2</v>
      </c>
      <c r="R111" s="329">
        <f t="shared" si="46"/>
        <v>-2.9999999999999992E-4</v>
      </c>
      <c r="S111" s="364">
        <f t="shared" si="47"/>
        <v>2.3999999999999994E-3</v>
      </c>
      <c r="U111" s="184"/>
      <c r="V111" s="184"/>
      <c r="W111" s="184"/>
      <c r="X111" s="186"/>
    </row>
    <row r="112" spans="1:43" s="112" customFormat="1" ht="13.5" customHeight="1">
      <c r="A112" s="214"/>
      <c r="C112" s="286" t="s">
        <v>42</v>
      </c>
      <c r="D112" s="76">
        <f>SUM(D91:D111)</f>
        <v>550519578291.03943</v>
      </c>
      <c r="E112" s="262">
        <f>(D112/$D$168)</f>
        <v>0.29360521583709281</v>
      </c>
      <c r="F112" s="264"/>
      <c r="G112" s="73"/>
      <c r="H112" s="276"/>
      <c r="I112" s="276"/>
      <c r="J112" s="76">
        <f>SUM(J91:J111)</f>
        <v>553623134341.57056</v>
      </c>
      <c r="K112" s="262">
        <f>(J112/$J$168)</f>
        <v>0.29479787871879165</v>
      </c>
      <c r="L112" s="264"/>
      <c r="M112" s="73"/>
      <c r="N112" s="278"/>
      <c r="O112" s="278"/>
      <c r="P112" s="266">
        <f t="shared" ref="P112" si="49">((J112-D112)/D112)</f>
        <v>5.6375035019924254E-3</v>
      </c>
      <c r="Q112" s="266"/>
      <c r="R112" s="266">
        <f t="shared" ref="R112:S112" si="50">N112-H112</f>
        <v>0</v>
      </c>
      <c r="S112" s="364">
        <f t="shared" si="50"/>
        <v>0</v>
      </c>
      <c r="U112" s="184"/>
      <c r="V112" s="184"/>
      <c r="W112" s="184"/>
      <c r="X112" s="184"/>
    </row>
    <row r="113" spans="1:23" s="112" customFormat="1" ht="4.5" customHeight="1">
      <c r="A113" s="410"/>
      <c r="B113" s="411"/>
      <c r="C113" s="412"/>
      <c r="D113" s="412"/>
      <c r="E113" s="412"/>
      <c r="F113" s="412"/>
      <c r="G113" s="412"/>
      <c r="H113" s="412"/>
      <c r="I113" s="412"/>
      <c r="J113" s="412"/>
      <c r="K113" s="412"/>
      <c r="L113" s="412"/>
      <c r="M113" s="412"/>
      <c r="N113" s="412"/>
      <c r="O113" s="412"/>
      <c r="P113" s="412"/>
      <c r="Q113" s="412"/>
      <c r="R113" s="412"/>
      <c r="S113" s="425"/>
      <c r="T113" s="118"/>
      <c r="U113" s="133"/>
    </row>
    <row r="114" spans="1:23" s="112" customFormat="1" ht="12.95" customHeight="1">
      <c r="A114" s="413" t="s">
        <v>211</v>
      </c>
      <c r="B114" s="414"/>
      <c r="C114" s="415"/>
      <c r="D114" s="415"/>
      <c r="E114" s="415"/>
      <c r="F114" s="415"/>
      <c r="G114" s="415"/>
      <c r="H114" s="415"/>
      <c r="I114" s="415"/>
      <c r="J114" s="415"/>
      <c r="K114" s="415"/>
      <c r="L114" s="415"/>
      <c r="M114" s="415"/>
      <c r="N114" s="415"/>
      <c r="O114" s="415"/>
      <c r="P114" s="415"/>
      <c r="Q114" s="415"/>
      <c r="R114" s="415"/>
      <c r="S114" s="416"/>
    </row>
    <row r="115" spans="1:23" s="112" customFormat="1" ht="12.95" customHeight="1">
      <c r="A115" s="401">
        <v>95</v>
      </c>
      <c r="B115" s="396" t="s">
        <v>224</v>
      </c>
      <c r="C115" s="397" t="s">
        <v>9</v>
      </c>
      <c r="D115" s="326">
        <v>54330953714</v>
      </c>
      <c r="E115" s="333">
        <f>(D115/$D$119)</f>
        <v>0.58130837251405565</v>
      </c>
      <c r="F115" s="327">
        <v>101.72</v>
      </c>
      <c r="G115" s="327">
        <v>101.72</v>
      </c>
      <c r="H115" s="334">
        <v>0</v>
      </c>
      <c r="I115" s="334">
        <v>7.6999999999999999E-2</v>
      </c>
      <c r="J115" s="326">
        <v>54330953714</v>
      </c>
      <c r="K115" s="333">
        <f>(J115/$J$119)</f>
        <v>0.58113217978430842</v>
      </c>
      <c r="L115" s="327">
        <v>101.72</v>
      </c>
      <c r="M115" s="327">
        <v>101.72</v>
      </c>
      <c r="N115" s="334">
        <v>0</v>
      </c>
      <c r="O115" s="334">
        <v>7.6999999999999999E-2</v>
      </c>
      <c r="P115" s="329">
        <f>((J115-D115)/D115)</f>
        <v>0</v>
      </c>
      <c r="Q115" s="329">
        <f>((M115-G115)/G115)</f>
        <v>0</v>
      </c>
      <c r="R115" s="329">
        <f t="shared" ref="R115:S118" si="51">N115-H115</f>
        <v>0</v>
      </c>
      <c r="S115" s="364">
        <f t="shared" si="51"/>
        <v>0</v>
      </c>
    </row>
    <row r="116" spans="1:23" s="112" customFormat="1" ht="12.95" customHeight="1">
      <c r="A116" s="401">
        <v>96</v>
      </c>
      <c r="B116" s="396" t="s">
        <v>140</v>
      </c>
      <c r="C116" s="397" t="s">
        <v>20</v>
      </c>
      <c r="D116" s="326">
        <v>2392753042.1500001</v>
      </c>
      <c r="E116" s="333">
        <f>(D116/$D$119)</f>
        <v>2.5601011609002147E-2</v>
      </c>
      <c r="F116" s="327">
        <v>77</v>
      </c>
      <c r="G116" s="327">
        <v>77</v>
      </c>
      <c r="H116" s="334">
        <v>0.1048</v>
      </c>
      <c r="I116" s="334">
        <v>0.13980000000000001</v>
      </c>
      <c r="J116" s="326">
        <v>2401381024.9099998</v>
      </c>
      <c r="K116" s="333">
        <f>(J116/$J$119)</f>
        <v>2.5685538244822441E-2</v>
      </c>
      <c r="L116" s="327">
        <v>77</v>
      </c>
      <c r="M116" s="327">
        <v>77</v>
      </c>
      <c r="N116" s="334">
        <v>0.18740000000000001</v>
      </c>
      <c r="O116" s="334">
        <v>0.14430000000000001</v>
      </c>
      <c r="P116" s="329">
        <f>((J116-D116)/D116)</f>
        <v>3.6058810115427156E-3</v>
      </c>
      <c r="Q116" s="329">
        <f>((M116-G116)/G116)</f>
        <v>0</v>
      </c>
      <c r="R116" s="329">
        <f t="shared" si="51"/>
        <v>8.2600000000000007E-2</v>
      </c>
      <c r="S116" s="364">
        <f t="shared" si="51"/>
        <v>4.500000000000004E-3</v>
      </c>
      <c r="T116" s="134"/>
      <c r="U116" s="165"/>
    </row>
    <row r="117" spans="1:23" s="112" customFormat="1" ht="12.95" customHeight="1">
      <c r="A117" s="392">
        <v>97</v>
      </c>
      <c r="B117" s="396" t="s">
        <v>21</v>
      </c>
      <c r="C117" s="397" t="s">
        <v>20</v>
      </c>
      <c r="D117" s="326">
        <v>9875245071.0699997</v>
      </c>
      <c r="E117" s="333">
        <f>(D117/$D$119)</f>
        <v>0.10565915464432429</v>
      </c>
      <c r="F117" s="327">
        <v>36.6</v>
      </c>
      <c r="G117" s="327">
        <v>36.6</v>
      </c>
      <c r="H117" s="334">
        <v>9.5999999999999992E-3</v>
      </c>
      <c r="I117" s="334">
        <v>0.16969999999999999</v>
      </c>
      <c r="J117" s="326">
        <v>9892265952</v>
      </c>
      <c r="K117" s="333">
        <f>(J117/$J$119)</f>
        <v>0.10580918763092738</v>
      </c>
      <c r="L117" s="327">
        <v>36.6</v>
      </c>
      <c r="M117" s="327">
        <v>36.6</v>
      </c>
      <c r="N117" s="334">
        <v>8.5999999999999993E-2</v>
      </c>
      <c r="O117" s="334">
        <v>0.17249999999999999</v>
      </c>
      <c r="P117" s="329">
        <f>((J117-D117)/D117)</f>
        <v>1.7235907369897872E-3</v>
      </c>
      <c r="Q117" s="329">
        <f>((M117-G117)/G117)</f>
        <v>0</v>
      </c>
      <c r="R117" s="329">
        <f t="shared" si="51"/>
        <v>7.6399999999999996E-2</v>
      </c>
      <c r="S117" s="364">
        <f t="shared" si="51"/>
        <v>2.7999999999999969E-3</v>
      </c>
      <c r="T117" s="135"/>
      <c r="U117" s="113"/>
    </row>
    <row r="118" spans="1:23" s="136" customFormat="1" ht="12.95" customHeight="1">
      <c r="A118" s="403">
        <v>98</v>
      </c>
      <c r="B118" s="396" t="s">
        <v>182</v>
      </c>
      <c r="C118" s="397" t="s">
        <v>5</v>
      </c>
      <c r="D118" s="326">
        <v>26864270591.25</v>
      </c>
      <c r="E118" s="333">
        <f>(D118/$D$119)</f>
        <v>0.28743146123261787</v>
      </c>
      <c r="F118" s="327">
        <v>3.6</v>
      </c>
      <c r="G118" s="327">
        <v>3.6</v>
      </c>
      <c r="H118" s="334">
        <v>4.1700000000000001E-2</v>
      </c>
      <c r="I118" s="334">
        <v>0.25</v>
      </c>
      <c r="J118" s="326">
        <v>26866958723.619999</v>
      </c>
      <c r="K118" s="333">
        <f>(J118/$J$119)</f>
        <v>0.28737309433994174</v>
      </c>
      <c r="L118" s="327">
        <v>3.75</v>
      </c>
      <c r="M118" s="327">
        <v>3.75</v>
      </c>
      <c r="N118" s="334">
        <v>0</v>
      </c>
      <c r="O118" s="334">
        <v>0.25</v>
      </c>
      <c r="P118" s="329">
        <f>((J118-D118)/D118)</f>
        <v>1.0006347877073898E-4</v>
      </c>
      <c r="Q118" s="329">
        <f>((M118-G118)/G118)</f>
        <v>4.1666666666666644E-2</v>
      </c>
      <c r="R118" s="329">
        <f t="shared" si="51"/>
        <v>-4.1700000000000001E-2</v>
      </c>
      <c r="S118" s="364">
        <f t="shared" si="51"/>
        <v>0</v>
      </c>
      <c r="T118" s="135"/>
      <c r="U118" s="160"/>
    </row>
    <row r="119" spans="1:23" s="112" customFormat="1" ht="12.75" customHeight="1">
      <c r="A119" s="214"/>
      <c r="C119" s="244" t="s">
        <v>42</v>
      </c>
      <c r="D119" s="70">
        <f>SUM(D115:D118)</f>
        <v>93463222418.470001</v>
      </c>
      <c r="E119" s="262">
        <f>(D119/$D$168)</f>
        <v>4.9846164738028442E-2</v>
      </c>
      <c r="F119" s="72"/>
      <c r="G119" s="72"/>
      <c r="H119" s="245"/>
      <c r="I119" s="245"/>
      <c r="J119" s="70">
        <f>SUM(J115:J118)</f>
        <v>93491559414.529999</v>
      </c>
      <c r="K119" s="262">
        <f>(J119/$J$168)</f>
        <v>4.9783167797519921E-2</v>
      </c>
      <c r="L119" s="264"/>
      <c r="M119" s="72"/>
      <c r="N119" s="265"/>
      <c r="O119" s="265"/>
      <c r="P119" s="266">
        <f>((J119-D119)/D119)</f>
        <v>3.0318873377939149E-4</v>
      </c>
      <c r="Q119" s="266"/>
      <c r="R119" s="266">
        <f>N119-H119</f>
        <v>0</v>
      </c>
      <c r="S119" s="364">
        <f t="shared" ref="S119" si="52">O119-I119</f>
        <v>0</v>
      </c>
      <c r="T119" s="160"/>
      <c r="U119" s="160"/>
      <c r="V119" s="180"/>
      <c r="W119" s="406"/>
    </row>
    <row r="120" spans="1:23" s="112" customFormat="1" ht="5.25" customHeight="1">
      <c r="A120" s="410"/>
      <c r="B120" s="411"/>
      <c r="C120" s="412"/>
      <c r="D120" s="412"/>
      <c r="E120" s="412"/>
      <c r="F120" s="412"/>
      <c r="G120" s="412"/>
      <c r="H120" s="412"/>
      <c r="I120" s="412"/>
      <c r="J120" s="412"/>
      <c r="K120" s="412"/>
      <c r="L120" s="412"/>
      <c r="M120" s="412"/>
      <c r="N120" s="412"/>
      <c r="O120" s="412"/>
      <c r="P120" s="412"/>
      <c r="Q120" s="412"/>
      <c r="R120" s="412"/>
      <c r="S120" s="425"/>
      <c r="T120" s="160"/>
      <c r="U120" s="160"/>
      <c r="V120" s="180"/>
      <c r="W120" s="406"/>
    </row>
    <row r="121" spans="1:23" s="112" customFormat="1" ht="12" customHeight="1">
      <c r="A121" s="417" t="s">
        <v>221</v>
      </c>
      <c r="B121" s="418"/>
      <c r="C121" s="419"/>
      <c r="D121" s="419"/>
      <c r="E121" s="419"/>
      <c r="F121" s="419"/>
      <c r="G121" s="419"/>
      <c r="H121" s="419"/>
      <c r="I121" s="419"/>
      <c r="J121" s="419"/>
      <c r="K121" s="419"/>
      <c r="L121" s="419"/>
      <c r="M121" s="419"/>
      <c r="N121" s="419"/>
      <c r="O121" s="419"/>
      <c r="P121" s="419"/>
      <c r="Q121" s="419"/>
      <c r="R121" s="419"/>
      <c r="S121" s="420"/>
      <c r="T121" s="184"/>
      <c r="U121" s="186"/>
      <c r="V121" s="180"/>
      <c r="W121" s="406"/>
    </row>
    <row r="122" spans="1:23" s="112" customFormat="1" ht="12" customHeight="1">
      <c r="A122" s="401">
        <v>99</v>
      </c>
      <c r="B122" s="396" t="s">
        <v>116</v>
      </c>
      <c r="C122" s="397" t="s">
        <v>36</v>
      </c>
      <c r="D122" s="325">
        <v>187052986.65000001</v>
      </c>
      <c r="E122" s="333">
        <f t="shared" ref="E122:E145" si="53">(D122/$D$146)</f>
        <v>5.1632013805295029E-3</v>
      </c>
      <c r="F122" s="325">
        <v>4.1900000000000004</v>
      </c>
      <c r="G122" s="325">
        <v>4.25</v>
      </c>
      <c r="H122" s="315">
        <v>4.5250000000000004E-3</v>
      </c>
      <c r="I122" s="315">
        <v>0.115048</v>
      </c>
      <c r="J122" s="325">
        <v>191306054.06</v>
      </c>
      <c r="K122" s="314">
        <f t="shared" ref="K122:K135" si="54">(J122/$J$146)</f>
        <v>5.1912163923868203E-3</v>
      </c>
      <c r="L122" s="325">
        <v>4.28</v>
      </c>
      <c r="M122" s="325">
        <v>4.3499999999999996</v>
      </c>
      <c r="N122" s="315">
        <v>2.5101999999999999E-2</v>
      </c>
      <c r="O122" s="315">
        <v>0.14015</v>
      </c>
      <c r="P122" s="329">
        <f t="shared" ref="P122:P145" si="55">((J122-D122)/D122)</f>
        <v>2.2737233369911531E-2</v>
      </c>
      <c r="Q122" s="329">
        <f t="shared" ref="Q122:Q145" si="56">((M122-G122)/G122)</f>
        <v>2.3529411764705799E-2</v>
      </c>
      <c r="R122" s="329">
        <f t="shared" ref="R122:R145" si="57">N122-H122</f>
        <v>2.0576999999999998E-2</v>
      </c>
      <c r="S122" s="364">
        <f t="shared" ref="S122:S145" si="58">O122-I122</f>
        <v>2.5101999999999999E-2</v>
      </c>
      <c r="T122" s="408"/>
      <c r="U122" s="166"/>
      <c r="V122" s="184"/>
    </row>
    <row r="123" spans="1:23" s="112" customFormat="1" ht="12" customHeight="1">
      <c r="A123" s="401">
        <v>100</v>
      </c>
      <c r="B123" s="396" t="s">
        <v>155</v>
      </c>
      <c r="C123" s="397" t="s">
        <v>6</v>
      </c>
      <c r="D123" s="325">
        <v>5379490467.0699997</v>
      </c>
      <c r="E123" s="333">
        <f t="shared" si="53"/>
        <v>0.14848943662200073</v>
      </c>
      <c r="F123" s="325">
        <v>590.50580000000002</v>
      </c>
      <c r="G123" s="325">
        <v>608.30999999999995</v>
      </c>
      <c r="H123" s="315">
        <v>-0.42799999999999999</v>
      </c>
      <c r="I123" s="315">
        <v>0.25530000000000003</v>
      </c>
      <c r="J123" s="325">
        <v>5467902900.1800003</v>
      </c>
      <c r="K123" s="314">
        <f t="shared" si="54"/>
        <v>0.14837516411525242</v>
      </c>
      <c r="L123" s="325">
        <v>600.23860000000002</v>
      </c>
      <c r="M123" s="325">
        <v>618.33630000000005</v>
      </c>
      <c r="N123" s="315">
        <v>0.85940000000000005</v>
      </c>
      <c r="O123" s="315">
        <v>0.28270000000000001</v>
      </c>
      <c r="P123" s="329">
        <f t="shared" si="55"/>
        <v>1.6435094299582512E-2</v>
      </c>
      <c r="Q123" s="329">
        <f t="shared" si="56"/>
        <v>1.6482221235883197E-2</v>
      </c>
      <c r="R123" s="329">
        <f t="shared" si="57"/>
        <v>1.2874000000000001</v>
      </c>
      <c r="S123" s="364">
        <f t="shared" si="58"/>
        <v>2.739999999999998E-2</v>
      </c>
      <c r="T123" s="408"/>
      <c r="W123" s="187"/>
    </row>
    <row r="124" spans="1:23" s="112" customFormat="1" ht="12" customHeight="1">
      <c r="A124" s="401">
        <v>101</v>
      </c>
      <c r="B124" s="396" t="s">
        <v>241</v>
      </c>
      <c r="C124" s="397" t="s">
        <v>12</v>
      </c>
      <c r="D124" s="325">
        <v>2916603768.6599998</v>
      </c>
      <c r="E124" s="333">
        <f t="shared" si="53"/>
        <v>8.0506667519723671E-2</v>
      </c>
      <c r="F124" s="325">
        <v>15.963900000000001</v>
      </c>
      <c r="G124" s="325">
        <v>16.128499999999999</v>
      </c>
      <c r="H124" s="334">
        <v>7.6E-3</v>
      </c>
      <c r="I124" s="334">
        <v>0.15160000000000001</v>
      </c>
      <c r="J124" s="325">
        <v>2975758332.46</v>
      </c>
      <c r="K124" s="314">
        <f t="shared" si="54"/>
        <v>8.0749171850061113E-2</v>
      </c>
      <c r="L124" s="325">
        <v>16.111899999999999</v>
      </c>
      <c r="M124" s="325">
        <v>16.280799999999999</v>
      </c>
      <c r="N124" s="334">
        <v>1.5900000000000001E-2</v>
      </c>
      <c r="O124" s="334">
        <v>0.1623</v>
      </c>
      <c r="P124" s="329">
        <f t="shared" si="55"/>
        <v>2.0282002113430057E-2</v>
      </c>
      <c r="Q124" s="329">
        <f t="shared" si="56"/>
        <v>9.442911616083351E-3</v>
      </c>
      <c r="R124" s="329">
        <f t="shared" si="57"/>
        <v>8.3000000000000018E-3</v>
      </c>
      <c r="S124" s="364">
        <f t="shared" si="58"/>
        <v>1.0699999999999987E-2</v>
      </c>
      <c r="T124" s="186"/>
      <c r="U124" s="113"/>
      <c r="W124" s="187"/>
    </row>
    <row r="125" spans="1:23" s="112" customFormat="1" ht="12" customHeight="1">
      <c r="A125" s="392">
        <v>102</v>
      </c>
      <c r="B125" s="396" t="s">
        <v>143</v>
      </c>
      <c r="C125" s="397" t="s">
        <v>102</v>
      </c>
      <c r="D125" s="326">
        <v>1152185540.3800001</v>
      </c>
      <c r="E125" s="333">
        <f t="shared" si="53"/>
        <v>3.1803640664917164E-2</v>
      </c>
      <c r="F125" s="325">
        <v>2.6819999999999999</v>
      </c>
      <c r="G125" s="325">
        <v>2.7435</v>
      </c>
      <c r="H125" s="334">
        <v>0.43140816824433431</v>
      </c>
      <c r="I125" s="334">
        <v>0.39175386604671253</v>
      </c>
      <c r="J125" s="326">
        <v>1172321788.9300001</v>
      </c>
      <c r="K125" s="314">
        <f t="shared" si="54"/>
        <v>3.1811727641075878E-2</v>
      </c>
      <c r="L125" s="325">
        <v>2.7349000000000001</v>
      </c>
      <c r="M125" s="325">
        <v>2.7984</v>
      </c>
      <c r="N125" s="334">
        <v>1.0425640446641744</v>
      </c>
      <c r="O125" s="334">
        <v>0.4235968125209702</v>
      </c>
      <c r="P125" s="329">
        <f t="shared" si="55"/>
        <v>1.7476567657114368E-2</v>
      </c>
      <c r="Q125" s="329">
        <f t="shared" si="56"/>
        <v>2.0010934937124091E-2</v>
      </c>
      <c r="R125" s="329">
        <f t="shared" si="57"/>
        <v>0.61115587641984015</v>
      </c>
      <c r="S125" s="364">
        <f t="shared" si="58"/>
        <v>3.1842946474257672E-2</v>
      </c>
      <c r="T125" s="186"/>
      <c r="U125" s="113"/>
      <c r="W125" s="187"/>
    </row>
    <row r="126" spans="1:23" s="112" customFormat="1" ht="12" customHeight="1">
      <c r="A126" s="392">
        <v>103</v>
      </c>
      <c r="B126" s="396" t="s">
        <v>266</v>
      </c>
      <c r="C126" s="397" t="s">
        <v>7</v>
      </c>
      <c r="D126" s="326">
        <v>2631605616.6355901</v>
      </c>
      <c r="E126" s="333">
        <f t="shared" si="53"/>
        <v>7.2639897369006126E-2</v>
      </c>
      <c r="F126" s="325">
        <v>4906.4017057730798</v>
      </c>
      <c r="G126" s="325">
        <v>4939.3351779398099</v>
      </c>
      <c r="H126" s="334">
        <v>0.24435154976356507</v>
      </c>
      <c r="I126" s="334">
        <v>0.34819161951022115</v>
      </c>
      <c r="J126" s="326">
        <v>2688150136.8913798</v>
      </c>
      <c r="K126" s="314">
        <f t="shared" si="54"/>
        <v>7.2944733110488602E-2</v>
      </c>
      <c r="L126" s="325">
        <v>5007.2430770498604</v>
      </c>
      <c r="M126" s="325">
        <v>5041.1136242656403</v>
      </c>
      <c r="N126" s="334">
        <v>1.0716931739176632</v>
      </c>
      <c r="O126" s="334">
        <v>0.38305196541497472</v>
      </c>
      <c r="P126" s="329">
        <f t="shared" si="55"/>
        <v>2.1486699944074379E-2</v>
      </c>
      <c r="Q126" s="329">
        <f t="shared" si="56"/>
        <v>2.0605697459122833E-2</v>
      </c>
      <c r="R126" s="329">
        <f t="shared" si="57"/>
        <v>0.82734162415409807</v>
      </c>
      <c r="S126" s="364">
        <f t="shared" si="58"/>
        <v>3.4860345904753565E-2</v>
      </c>
      <c r="T126" s="186"/>
      <c r="U126" s="113"/>
      <c r="W126" s="187"/>
    </row>
    <row r="127" spans="1:23" s="112" customFormat="1" ht="12" customHeight="1">
      <c r="A127" s="400">
        <v>104</v>
      </c>
      <c r="B127" s="396" t="s">
        <v>156</v>
      </c>
      <c r="C127" s="397" t="s">
        <v>88</v>
      </c>
      <c r="D127" s="325">
        <v>408833544.89999998</v>
      </c>
      <c r="E127" s="333">
        <f t="shared" si="53"/>
        <v>1.1284983796512132E-2</v>
      </c>
      <c r="F127" s="325">
        <v>148.63</v>
      </c>
      <c r="G127" s="325">
        <v>149.69999999999999</v>
      </c>
      <c r="H127" s="334">
        <v>3.8999999999999998E-3</v>
      </c>
      <c r="I127" s="334">
        <v>0.1641</v>
      </c>
      <c r="J127" s="325">
        <v>418454762.29000002</v>
      </c>
      <c r="K127" s="314">
        <f t="shared" si="54"/>
        <v>1.1355046928054224E-2</v>
      </c>
      <c r="L127" s="325">
        <v>151.9</v>
      </c>
      <c r="M127" s="325">
        <v>153.03</v>
      </c>
      <c r="N127" s="334">
        <v>2.2100000000000002E-2</v>
      </c>
      <c r="O127" s="334">
        <v>0.188</v>
      </c>
      <c r="P127" s="329">
        <f t="shared" si="55"/>
        <v>2.3533336513160582E-2</v>
      </c>
      <c r="Q127" s="329">
        <f t="shared" si="56"/>
        <v>2.2244488977955997E-2</v>
      </c>
      <c r="R127" s="329">
        <f t="shared" si="57"/>
        <v>1.8200000000000001E-2</v>
      </c>
      <c r="S127" s="364">
        <f t="shared" si="58"/>
        <v>2.3900000000000005E-2</v>
      </c>
      <c r="U127" s="113"/>
      <c r="W127" s="187"/>
    </row>
    <row r="128" spans="1:23" s="112" customFormat="1" ht="12" customHeight="1">
      <c r="A128" s="401">
        <v>105</v>
      </c>
      <c r="B128" s="396" t="s">
        <v>180</v>
      </c>
      <c r="C128" s="397" t="s">
        <v>178</v>
      </c>
      <c r="D128" s="325">
        <v>3734808.11</v>
      </c>
      <c r="E128" s="333">
        <f t="shared" si="53"/>
        <v>1.0309146480321533E-4</v>
      </c>
      <c r="F128" s="325">
        <v>102.747</v>
      </c>
      <c r="G128" s="325">
        <v>102.99</v>
      </c>
      <c r="H128" s="334">
        <v>0</v>
      </c>
      <c r="I128" s="334">
        <v>0</v>
      </c>
      <c r="J128" s="325">
        <v>3734808.11</v>
      </c>
      <c r="K128" s="314">
        <f t="shared" si="54"/>
        <v>1.0134648993894594E-4</v>
      </c>
      <c r="L128" s="325">
        <v>102.747</v>
      </c>
      <c r="M128" s="325">
        <v>102.99</v>
      </c>
      <c r="N128" s="334">
        <v>0</v>
      </c>
      <c r="O128" s="334">
        <v>0</v>
      </c>
      <c r="P128" s="329">
        <f t="shared" si="55"/>
        <v>0</v>
      </c>
      <c r="Q128" s="329">
        <f t="shared" si="56"/>
        <v>0</v>
      </c>
      <c r="R128" s="329">
        <f t="shared" si="57"/>
        <v>0</v>
      </c>
      <c r="S128" s="364">
        <f t="shared" si="58"/>
        <v>0</v>
      </c>
      <c r="U128" s="113"/>
    </row>
    <row r="129" spans="1:22" s="112" customFormat="1" ht="12" customHeight="1">
      <c r="A129" s="393">
        <v>106</v>
      </c>
      <c r="B129" s="394" t="s">
        <v>109</v>
      </c>
      <c r="C129" s="395" t="s">
        <v>107</v>
      </c>
      <c r="D129" s="325">
        <v>143228293.69</v>
      </c>
      <c r="E129" s="333">
        <f t="shared" si="53"/>
        <v>3.9535135843343835E-3</v>
      </c>
      <c r="F129" s="325">
        <v>1.3232999999999999</v>
      </c>
      <c r="G129" s="325">
        <v>1.3361000000000001</v>
      </c>
      <c r="H129" s="334">
        <v>6.7999999999999996E-3</v>
      </c>
      <c r="I129" s="334">
        <v>0.1016</v>
      </c>
      <c r="J129" s="325">
        <v>143228293.69</v>
      </c>
      <c r="K129" s="314">
        <f t="shared" si="54"/>
        <v>3.8865945445925409E-3</v>
      </c>
      <c r="L129" s="325">
        <v>1.3232999999999999</v>
      </c>
      <c r="M129" s="325">
        <v>1.3361000000000001</v>
      </c>
      <c r="N129" s="334">
        <v>6.7999999999999996E-3</v>
      </c>
      <c r="O129" s="334">
        <v>0.1016</v>
      </c>
      <c r="P129" s="329">
        <f t="shared" si="55"/>
        <v>0</v>
      </c>
      <c r="Q129" s="329">
        <f t="shared" si="56"/>
        <v>0</v>
      </c>
      <c r="R129" s="329">
        <f t="shared" si="57"/>
        <v>0</v>
      </c>
      <c r="S129" s="364">
        <f t="shared" si="58"/>
        <v>0</v>
      </c>
      <c r="U129" s="111"/>
    </row>
    <row r="130" spans="1:22" s="112" customFormat="1" ht="11.25" customHeight="1">
      <c r="A130" s="398">
        <v>107</v>
      </c>
      <c r="B130" s="396" t="s">
        <v>234</v>
      </c>
      <c r="C130" s="397" t="s">
        <v>98</v>
      </c>
      <c r="D130" s="321">
        <v>174004703.66999999</v>
      </c>
      <c r="E130" s="333">
        <f t="shared" si="53"/>
        <v>4.8030311747367703E-3</v>
      </c>
      <c r="F130" s="325">
        <v>109.61</v>
      </c>
      <c r="G130" s="325">
        <v>111.04</v>
      </c>
      <c r="H130" s="334">
        <v>2.5000000000000001E-3</v>
      </c>
      <c r="I130" s="334">
        <v>6.0999999999999999E-2</v>
      </c>
      <c r="J130" s="321">
        <v>174893840.34</v>
      </c>
      <c r="K130" s="314">
        <f t="shared" si="54"/>
        <v>4.7458601107089882E-3</v>
      </c>
      <c r="L130" s="325">
        <v>110.17</v>
      </c>
      <c r="M130" s="325">
        <v>111.67</v>
      </c>
      <c r="N130" s="334">
        <v>5.7000000000000002E-3</v>
      </c>
      <c r="O130" s="334">
        <v>6.6699999999999995E-2</v>
      </c>
      <c r="P130" s="329">
        <f t="shared" si="55"/>
        <v>5.1098427298049646E-3</v>
      </c>
      <c r="Q130" s="329">
        <f t="shared" si="56"/>
        <v>5.6736311239192674E-3</v>
      </c>
      <c r="R130" s="329">
        <f t="shared" si="57"/>
        <v>3.2000000000000002E-3</v>
      </c>
      <c r="S130" s="364">
        <f t="shared" si="58"/>
        <v>5.6999999999999967E-3</v>
      </c>
    </row>
    <row r="131" spans="1:22" s="112" customFormat="1" ht="12" customHeight="1">
      <c r="A131" s="398">
        <v>108</v>
      </c>
      <c r="B131" s="396" t="s">
        <v>264</v>
      </c>
      <c r="C131" s="397" t="s">
        <v>168</v>
      </c>
      <c r="D131" s="326">
        <v>357832515.00999999</v>
      </c>
      <c r="E131" s="333">
        <f t="shared" si="53"/>
        <v>9.8772084241295702E-3</v>
      </c>
      <c r="F131" s="325">
        <v>1.2020999999999999</v>
      </c>
      <c r="G131" s="325">
        <v>1.2020999999999999</v>
      </c>
      <c r="H131" s="334">
        <v>1.0189044856824774</v>
      </c>
      <c r="I131" s="334">
        <v>0.37801856197516359</v>
      </c>
      <c r="J131" s="326">
        <v>366328056.30000001</v>
      </c>
      <c r="K131" s="314">
        <f t="shared" si="54"/>
        <v>9.9405542610759654E-3</v>
      </c>
      <c r="L131" s="325">
        <v>1.22</v>
      </c>
      <c r="M131" s="325">
        <v>1.22</v>
      </c>
      <c r="N131" s="334">
        <v>0.99642704682505701</v>
      </c>
      <c r="O131" s="334">
        <v>0.39859690769823453</v>
      </c>
      <c r="P131" s="329">
        <f t="shared" si="55"/>
        <v>2.3741669450476309E-2</v>
      </c>
      <c r="Q131" s="329">
        <f t="shared" si="56"/>
        <v>1.4890608102487338E-2</v>
      </c>
      <c r="R131" s="329">
        <f t="shared" si="57"/>
        <v>-2.2477438857420373E-2</v>
      </c>
      <c r="S131" s="364">
        <f t="shared" si="58"/>
        <v>2.0578345723070934E-2</v>
      </c>
    </row>
    <row r="132" spans="1:22" s="112" customFormat="1" ht="12" customHeight="1">
      <c r="A132" s="400">
        <v>109</v>
      </c>
      <c r="B132" s="396" t="s">
        <v>191</v>
      </c>
      <c r="C132" s="397" t="s">
        <v>185</v>
      </c>
      <c r="D132" s="325">
        <v>5742781290.2600002</v>
      </c>
      <c r="E132" s="333">
        <f t="shared" si="53"/>
        <v>0.1585173100787238</v>
      </c>
      <c r="F132" s="325">
        <v>235.57</v>
      </c>
      <c r="G132" s="325">
        <v>237.45</v>
      </c>
      <c r="H132" s="334">
        <v>2.5000000000000001E-3</v>
      </c>
      <c r="I132" s="334">
        <v>0.17960000000000001</v>
      </c>
      <c r="J132" s="325">
        <v>5846289120.8199997</v>
      </c>
      <c r="K132" s="314">
        <f t="shared" si="54"/>
        <v>0.1586429246463624</v>
      </c>
      <c r="L132" s="325">
        <v>239.72</v>
      </c>
      <c r="M132" s="325">
        <v>241.67</v>
      </c>
      <c r="N132" s="334">
        <v>1.77E-2</v>
      </c>
      <c r="O132" s="334">
        <v>0.20039999999999999</v>
      </c>
      <c r="P132" s="329">
        <f t="shared" si="55"/>
        <v>1.80239896538552E-2</v>
      </c>
      <c r="Q132" s="329">
        <f t="shared" si="56"/>
        <v>1.7772162560539057E-2</v>
      </c>
      <c r="R132" s="329">
        <f t="shared" si="57"/>
        <v>1.52E-2</v>
      </c>
      <c r="S132" s="364">
        <f t="shared" si="58"/>
        <v>2.0799999999999985E-2</v>
      </c>
    </row>
    <row r="133" spans="1:22" s="112" customFormat="1" ht="12" customHeight="1">
      <c r="A133" s="398">
        <v>110</v>
      </c>
      <c r="B133" s="396" t="s">
        <v>181</v>
      </c>
      <c r="C133" s="397" t="s">
        <v>175</v>
      </c>
      <c r="D133" s="325">
        <v>2223045608.6399999</v>
      </c>
      <c r="E133" s="333">
        <f t="shared" si="53"/>
        <v>6.1362463979187661E-2</v>
      </c>
      <c r="F133" s="325">
        <v>1.5327</v>
      </c>
      <c r="G133" s="325">
        <v>1.5613999999999999</v>
      </c>
      <c r="H133" s="334">
        <v>-1.14E-2</v>
      </c>
      <c r="I133" s="334">
        <v>0.19209999999999999</v>
      </c>
      <c r="J133" s="325">
        <v>2276133824.9699998</v>
      </c>
      <c r="K133" s="314">
        <f t="shared" si="54"/>
        <v>6.176439779446035E-2</v>
      </c>
      <c r="L133" s="325">
        <v>1.5689</v>
      </c>
      <c r="M133" s="325">
        <v>1.599</v>
      </c>
      <c r="N133" s="334">
        <v>2.1299999999999999E-2</v>
      </c>
      <c r="O133" s="334">
        <v>0.2205</v>
      </c>
      <c r="P133" s="329">
        <f t="shared" si="55"/>
        <v>2.3880848923508089E-2</v>
      </c>
      <c r="Q133" s="329">
        <f t="shared" si="56"/>
        <v>2.4080952990905648E-2</v>
      </c>
      <c r="R133" s="329">
        <f t="shared" si="57"/>
        <v>3.27E-2</v>
      </c>
      <c r="S133" s="364">
        <f t="shared" si="58"/>
        <v>2.8400000000000009E-2</v>
      </c>
    </row>
    <row r="134" spans="1:22" s="112" customFormat="1" ht="12" customHeight="1">
      <c r="A134" s="400">
        <v>111</v>
      </c>
      <c r="B134" s="396" t="s">
        <v>256</v>
      </c>
      <c r="C134" s="397" t="s">
        <v>87</v>
      </c>
      <c r="D134" s="325">
        <v>150219813.0785183</v>
      </c>
      <c r="E134" s="333">
        <f t="shared" si="53"/>
        <v>4.1464996638688502E-3</v>
      </c>
      <c r="F134" s="325">
        <v>98.129620504952655</v>
      </c>
      <c r="G134" s="325">
        <v>102.6188722056816</v>
      </c>
      <c r="H134" s="334">
        <v>4.9000000000000002E-2</v>
      </c>
      <c r="I134" s="334">
        <v>5.0900000000000001E-2</v>
      </c>
      <c r="J134" s="325">
        <v>151153237.87724182</v>
      </c>
      <c r="K134" s="314">
        <f t="shared" si="54"/>
        <v>4.1016431502193E-3</v>
      </c>
      <c r="L134" s="325">
        <v>98.739371105699135</v>
      </c>
      <c r="M134" s="325">
        <v>103.26813547352647</v>
      </c>
      <c r="N134" s="334">
        <v>5.6000000000000001E-2</v>
      </c>
      <c r="O134" s="334">
        <v>5.0900000000000001E-2</v>
      </c>
      <c r="P134" s="329">
        <f t="shared" si="55"/>
        <v>6.2137262694876849E-3</v>
      </c>
      <c r="Q134" s="329">
        <f t="shared" si="56"/>
        <v>6.3269382511195226E-3</v>
      </c>
      <c r="R134" s="329">
        <f t="shared" si="57"/>
        <v>6.9999999999999993E-3</v>
      </c>
      <c r="S134" s="364">
        <f t="shared" si="58"/>
        <v>0</v>
      </c>
    </row>
    <row r="135" spans="1:22" s="330" customFormat="1" ht="12" customHeight="1">
      <c r="A135" s="400">
        <v>112</v>
      </c>
      <c r="B135" s="396" t="s">
        <v>278</v>
      </c>
      <c r="C135" s="397" t="s">
        <v>243</v>
      </c>
      <c r="D135" s="326">
        <v>2532068548.21</v>
      </c>
      <c r="E135" s="333">
        <f t="shared" si="53"/>
        <v>6.9892387487912933E-2</v>
      </c>
      <c r="F135" s="325">
        <v>3.58</v>
      </c>
      <c r="G135" s="325">
        <v>3.65</v>
      </c>
      <c r="H135" s="334">
        <v>-3.3E-3</v>
      </c>
      <c r="I135" s="334">
        <v>0.16420000000000001</v>
      </c>
      <c r="J135" s="326">
        <v>2511585152.25</v>
      </c>
      <c r="K135" s="314">
        <f t="shared" si="54"/>
        <v>6.8153525393118697E-2</v>
      </c>
      <c r="L135" s="325">
        <v>3.55</v>
      </c>
      <c r="M135" s="325">
        <v>3.62</v>
      </c>
      <c r="N135" s="334">
        <v>-8.0000000000000002E-3</v>
      </c>
      <c r="O135" s="334">
        <v>0.15110000000000001</v>
      </c>
      <c r="P135" s="329">
        <f t="shared" ref="P135" si="59">((J135-D135)/D135)</f>
        <v>-8.0895898234984217E-3</v>
      </c>
      <c r="Q135" s="329">
        <f t="shared" ref="Q135" si="60">((M135-G135)/G135)</f>
        <v>-8.219178082191728E-3</v>
      </c>
      <c r="R135" s="329">
        <f t="shared" ref="R135" si="61">N135-H135</f>
        <v>-4.7000000000000002E-3</v>
      </c>
      <c r="S135" s="364">
        <f t="shared" ref="S135" si="62">O135-I135</f>
        <v>-1.3100000000000001E-2</v>
      </c>
    </row>
    <row r="136" spans="1:22" s="112" customFormat="1" ht="12" customHeight="1">
      <c r="A136" s="398">
        <v>113</v>
      </c>
      <c r="B136" s="396" t="s">
        <v>129</v>
      </c>
      <c r="C136" s="397" t="s">
        <v>103</v>
      </c>
      <c r="D136" s="326">
        <v>177516001.75</v>
      </c>
      <c r="E136" s="333">
        <f t="shared" si="53"/>
        <v>4.8999531187206395E-3</v>
      </c>
      <c r="F136" s="325">
        <v>160.39124899999999</v>
      </c>
      <c r="G136" s="325">
        <v>164.988911</v>
      </c>
      <c r="H136" s="334">
        <v>3.0999999999999999E-3</v>
      </c>
      <c r="I136" s="334">
        <v>9.5699999999999993E-2</v>
      </c>
      <c r="J136" s="326">
        <v>180186804.28999999</v>
      </c>
      <c r="K136" s="314">
        <v>1.4052378000000001</v>
      </c>
      <c r="L136" s="325">
        <v>162.80440300000001</v>
      </c>
      <c r="M136" s="325">
        <v>167.496566</v>
      </c>
      <c r="N136" s="334">
        <v>1.5100000000000001E-2</v>
      </c>
      <c r="O136" s="334">
        <v>0.1123</v>
      </c>
      <c r="P136" s="329">
        <f t="shared" si="55"/>
        <v>1.5045418518164612E-2</v>
      </c>
      <c r="Q136" s="329">
        <f t="shared" si="56"/>
        <v>1.5198930551156857E-2</v>
      </c>
      <c r="R136" s="329">
        <f t="shared" si="57"/>
        <v>1.2E-2</v>
      </c>
      <c r="S136" s="364">
        <f t="shared" si="58"/>
        <v>1.6600000000000004E-2</v>
      </c>
    </row>
    <row r="137" spans="1:22" s="112" customFormat="1" ht="12" customHeight="1">
      <c r="A137" s="401">
        <v>114</v>
      </c>
      <c r="B137" s="396" t="s">
        <v>27</v>
      </c>
      <c r="C137" s="397" t="s">
        <v>56</v>
      </c>
      <c r="D137" s="326">
        <v>1337078750</v>
      </c>
      <c r="E137" s="333">
        <f t="shared" si="53"/>
        <v>3.6907225976531406E-2</v>
      </c>
      <c r="F137" s="325">
        <v>552.20000000000005</v>
      </c>
      <c r="G137" s="325">
        <v>552.20000000000005</v>
      </c>
      <c r="H137" s="334">
        <v>2.8000000000000001E-2</v>
      </c>
      <c r="I137" s="334">
        <v>0.14069999999999999</v>
      </c>
      <c r="J137" s="326">
        <v>1434795580</v>
      </c>
      <c r="K137" s="314">
        <f t="shared" ref="K137:K145" si="63">(J137/$J$146)</f>
        <v>3.8934127679430927E-2</v>
      </c>
      <c r="L137" s="325">
        <v>552.20000000000005</v>
      </c>
      <c r="M137" s="325">
        <v>552.20000000000005</v>
      </c>
      <c r="N137" s="334">
        <v>5.6099999999999997E-2</v>
      </c>
      <c r="O137" s="334">
        <v>0.24660000000000001</v>
      </c>
      <c r="P137" s="329">
        <f t="shared" si="55"/>
        <v>7.3082329668316098E-2</v>
      </c>
      <c r="Q137" s="329">
        <f t="shared" si="56"/>
        <v>0</v>
      </c>
      <c r="R137" s="329">
        <f t="shared" si="57"/>
        <v>2.8099999999999997E-2</v>
      </c>
      <c r="S137" s="364">
        <f t="shared" si="58"/>
        <v>0.10590000000000002</v>
      </c>
      <c r="T137" s="224"/>
      <c r="U137" s="224"/>
      <c r="V137" s="111"/>
    </row>
    <row r="138" spans="1:22" s="112" customFormat="1" ht="12" customHeight="1">
      <c r="A138" s="401">
        <v>115</v>
      </c>
      <c r="B138" s="396" t="s">
        <v>187</v>
      </c>
      <c r="C138" s="397" t="s">
        <v>160</v>
      </c>
      <c r="D138" s="326">
        <v>22672982.620000001</v>
      </c>
      <c r="E138" s="333">
        <f t="shared" si="53"/>
        <v>6.2583964715489575E-4</v>
      </c>
      <c r="F138" s="325">
        <v>1.4</v>
      </c>
      <c r="G138" s="325">
        <v>1.4</v>
      </c>
      <c r="H138" s="334">
        <v>4.1269999999999996E-3</v>
      </c>
      <c r="I138" s="334">
        <v>0.15693799999999999</v>
      </c>
      <c r="J138" s="326">
        <v>23142714.84</v>
      </c>
      <c r="K138" s="314">
        <f t="shared" si="63"/>
        <v>6.2799288413560692E-4</v>
      </c>
      <c r="L138" s="325">
        <v>1.43</v>
      </c>
      <c r="M138" s="325">
        <v>1.43</v>
      </c>
      <c r="N138" s="334">
        <v>2.4537E-2</v>
      </c>
      <c r="O138" s="334">
        <v>0.18532699999999999</v>
      </c>
      <c r="P138" s="329">
        <f t="shared" si="55"/>
        <v>2.0717707408536741E-2</v>
      </c>
      <c r="Q138" s="329">
        <f t="shared" si="56"/>
        <v>2.142857142857145E-2</v>
      </c>
      <c r="R138" s="329">
        <f t="shared" si="57"/>
        <v>2.0410000000000001E-2</v>
      </c>
      <c r="S138" s="364">
        <f t="shared" si="58"/>
        <v>2.8388999999999998E-2</v>
      </c>
      <c r="U138" s="219"/>
      <c r="V138" s="111"/>
    </row>
    <row r="139" spans="1:22" s="112" customFormat="1" ht="12" customHeight="1">
      <c r="A139" s="398">
        <v>116</v>
      </c>
      <c r="B139" s="396" t="s">
        <v>48</v>
      </c>
      <c r="C139" s="397" t="s">
        <v>90</v>
      </c>
      <c r="D139" s="325">
        <v>185802207.03</v>
      </c>
      <c r="E139" s="333">
        <f t="shared" si="53"/>
        <v>5.1286762591915263E-3</v>
      </c>
      <c r="F139" s="325">
        <v>1.88</v>
      </c>
      <c r="G139" s="325">
        <v>1.94</v>
      </c>
      <c r="H139" s="334">
        <v>0.01</v>
      </c>
      <c r="I139" s="334">
        <v>0.2009</v>
      </c>
      <c r="J139" s="325">
        <v>191251886.52000001</v>
      </c>
      <c r="K139" s="314">
        <f t="shared" si="63"/>
        <v>5.1897465203382597E-3</v>
      </c>
      <c r="L139" s="325">
        <v>1.9380360000000001</v>
      </c>
      <c r="M139" s="325">
        <v>1.992318</v>
      </c>
      <c r="N139" s="334">
        <v>0.01</v>
      </c>
      <c r="O139" s="334">
        <v>0.23</v>
      </c>
      <c r="P139" s="329">
        <f t="shared" si="55"/>
        <v>2.933054228532438E-2</v>
      </c>
      <c r="Q139" s="329">
        <f t="shared" si="56"/>
        <v>2.6968041237113449E-2</v>
      </c>
      <c r="R139" s="329">
        <f t="shared" si="57"/>
        <v>0</v>
      </c>
      <c r="S139" s="364">
        <f t="shared" si="58"/>
        <v>2.9100000000000015E-2</v>
      </c>
    </row>
    <row r="140" spans="1:22" s="112" customFormat="1" ht="12" customHeight="1">
      <c r="A140" s="403">
        <v>117</v>
      </c>
      <c r="B140" s="396" t="s">
        <v>22</v>
      </c>
      <c r="C140" s="397" t="s">
        <v>5</v>
      </c>
      <c r="D140" s="326">
        <v>1891175524.28</v>
      </c>
      <c r="E140" s="333">
        <f t="shared" si="53"/>
        <v>5.2201893445608355E-2</v>
      </c>
      <c r="F140" s="325">
        <v>4254.55</v>
      </c>
      <c r="G140" s="325">
        <v>4288.38</v>
      </c>
      <c r="H140" s="334">
        <v>8.5000000000000006E-3</v>
      </c>
      <c r="I140" s="334">
        <v>0.16619999999999999</v>
      </c>
      <c r="J140" s="326">
        <v>1953404536.6199999</v>
      </c>
      <c r="K140" s="333">
        <f t="shared" si="63"/>
        <v>5.3006924957451206E-2</v>
      </c>
      <c r="L140" s="325">
        <v>4373.5</v>
      </c>
      <c r="M140" s="325">
        <v>4408.6400000000003</v>
      </c>
      <c r="N140" s="334">
        <v>2.8000000000000001E-2</v>
      </c>
      <c r="O140" s="334">
        <v>0.19889999999999999</v>
      </c>
      <c r="P140" s="329">
        <f t="shared" si="55"/>
        <v>3.2904937453487541E-2</v>
      </c>
      <c r="Q140" s="329">
        <f t="shared" si="56"/>
        <v>2.8043223781474641E-2</v>
      </c>
      <c r="R140" s="329">
        <f t="shared" si="57"/>
        <v>1.95E-2</v>
      </c>
      <c r="S140" s="364">
        <f t="shared" si="58"/>
        <v>3.2700000000000007E-2</v>
      </c>
      <c r="T140" s="111"/>
      <c r="V140" s="139"/>
    </row>
    <row r="141" spans="1:22" s="112" customFormat="1" ht="12" customHeight="1">
      <c r="A141" s="392">
        <v>118</v>
      </c>
      <c r="B141" s="396" t="s">
        <v>248</v>
      </c>
      <c r="C141" s="397" t="s">
        <v>246</v>
      </c>
      <c r="D141" s="321">
        <v>76175476.219999999</v>
      </c>
      <c r="E141" s="333">
        <f t="shared" si="53"/>
        <v>2.1026626253101651E-3</v>
      </c>
      <c r="F141" s="325">
        <v>117.7109</v>
      </c>
      <c r="G141" s="325">
        <v>118.0415</v>
      </c>
      <c r="H141" s="334">
        <v>9.7799999999999998E-2</v>
      </c>
      <c r="I141" s="334">
        <v>0.13639999999999999</v>
      </c>
      <c r="J141" s="321">
        <v>82607982.299999997</v>
      </c>
      <c r="K141" s="314">
        <f t="shared" si="63"/>
        <v>2.241622273612224E-3</v>
      </c>
      <c r="L141" s="325">
        <v>119.878</v>
      </c>
      <c r="M141" s="325">
        <v>120.2045</v>
      </c>
      <c r="N141" s="334">
        <v>0.1202</v>
      </c>
      <c r="O141" s="334">
        <v>0.1202</v>
      </c>
      <c r="P141" s="329">
        <f t="shared" si="55"/>
        <v>8.4443267035475819E-2</v>
      </c>
      <c r="Q141" s="329">
        <f t="shared" si="56"/>
        <v>1.8324063994442606E-2</v>
      </c>
      <c r="R141" s="329">
        <f t="shared" si="57"/>
        <v>2.2400000000000003E-2</v>
      </c>
      <c r="S141" s="364">
        <f t="shared" si="58"/>
        <v>-1.6199999999999992E-2</v>
      </c>
      <c r="T141" s="118"/>
      <c r="V141" s="139"/>
    </row>
    <row r="142" spans="1:22" s="112" customFormat="1" ht="12" customHeight="1">
      <c r="A142" s="401">
        <v>119</v>
      </c>
      <c r="B142" s="396" t="s">
        <v>74</v>
      </c>
      <c r="C142" s="397" t="s">
        <v>41</v>
      </c>
      <c r="D142" s="325">
        <v>1452708336.0799999</v>
      </c>
      <c r="E142" s="333">
        <f t="shared" si="53"/>
        <v>4.0098935711674041E-2</v>
      </c>
      <c r="F142" s="325">
        <v>1.5984</v>
      </c>
      <c r="G142" s="325">
        <v>1.6106</v>
      </c>
      <c r="H142" s="334">
        <v>-5.3E-3</v>
      </c>
      <c r="I142" s="334">
        <v>0.23880000000000001</v>
      </c>
      <c r="J142" s="325">
        <v>1406129443.8900001</v>
      </c>
      <c r="K142" s="314">
        <f t="shared" si="63"/>
        <v>3.8156253103470303E-2</v>
      </c>
      <c r="L142" s="325">
        <v>1.6240000000000001</v>
      </c>
      <c r="M142" s="325">
        <v>1.6357999999999999</v>
      </c>
      <c r="N142" s="334">
        <v>6.1499999999999999E-2</v>
      </c>
      <c r="O142" s="334">
        <v>0.29659999999999997</v>
      </c>
      <c r="P142" s="329">
        <f t="shared" si="55"/>
        <v>-3.2063485169837105E-2</v>
      </c>
      <c r="Q142" s="329">
        <f t="shared" si="56"/>
        <v>1.564634297777219E-2</v>
      </c>
      <c r="R142" s="329">
        <f t="shared" si="57"/>
        <v>6.6799999999999998E-2</v>
      </c>
      <c r="S142" s="364">
        <f t="shared" si="58"/>
        <v>5.7799999999999963E-2</v>
      </c>
      <c r="T142" s="111"/>
      <c r="V142" s="139"/>
    </row>
    <row r="143" spans="1:22" s="112" customFormat="1" ht="12" customHeight="1">
      <c r="A143" s="401">
        <v>120</v>
      </c>
      <c r="B143" s="396" t="s">
        <v>240</v>
      </c>
      <c r="C143" s="397" t="s">
        <v>41</v>
      </c>
      <c r="D143" s="325">
        <v>809746131.21000004</v>
      </c>
      <c r="E143" s="333">
        <f t="shared" si="53"/>
        <v>2.2351326313569429E-2</v>
      </c>
      <c r="F143" s="325">
        <v>1.2383999999999999</v>
      </c>
      <c r="G143" s="325">
        <v>1.25</v>
      </c>
      <c r="H143" s="334">
        <v>-5.1000000000000004E-3</v>
      </c>
      <c r="I143" s="334">
        <v>0.16039999999999999</v>
      </c>
      <c r="J143" s="325">
        <v>758100664.39999998</v>
      </c>
      <c r="K143" s="314">
        <f t="shared" si="63"/>
        <v>2.0571563275662594E-2</v>
      </c>
      <c r="L143" s="325">
        <v>1.2555000000000001</v>
      </c>
      <c r="M143" s="325">
        <v>1.2664</v>
      </c>
      <c r="N143" s="334">
        <v>7.7799999999999994E-2</v>
      </c>
      <c r="O143" s="334">
        <v>0.25750000000000001</v>
      </c>
      <c r="P143" s="329">
        <f t="shared" si="55"/>
        <v>-6.3779825329732018E-2</v>
      </c>
      <c r="Q143" s="329">
        <f t="shared" si="56"/>
        <v>1.3119999999999975E-2</v>
      </c>
      <c r="R143" s="329">
        <f t="shared" si="57"/>
        <v>8.2900000000000001E-2</v>
      </c>
      <c r="S143" s="364">
        <f t="shared" si="58"/>
        <v>9.710000000000002E-2</v>
      </c>
      <c r="T143" s="111"/>
      <c r="U143" s="140"/>
      <c r="V143" s="139"/>
    </row>
    <row r="144" spans="1:22" s="312" customFormat="1" ht="12" customHeight="1">
      <c r="A144" s="392">
        <v>121</v>
      </c>
      <c r="B144" s="396" t="s">
        <v>158</v>
      </c>
      <c r="C144" s="397" t="s">
        <v>106</v>
      </c>
      <c r="D144" s="325">
        <v>6035042270.3100004</v>
      </c>
      <c r="E144" s="333">
        <f t="shared" si="53"/>
        <v>0.16658455520907076</v>
      </c>
      <c r="F144" s="325">
        <v>266.12</v>
      </c>
      <c r="G144" s="325">
        <v>271.95999999999998</v>
      </c>
      <c r="H144" s="334">
        <v>4.5600000000000002E-2</v>
      </c>
      <c r="I144" s="334">
        <v>0.42559999999999998</v>
      </c>
      <c r="J144" s="325">
        <v>6195349084.6000004</v>
      </c>
      <c r="K144" s="314">
        <f t="shared" si="63"/>
        <v>0.16811489778806116</v>
      </c>
      <c r="L144" s="325">
        <v>273.14</v>
      </c>
      <c r="M144" s="325">
        <v>279.22000000000003</v>
      </c>
      <c r="N144" s="334">
        <v>2.6599999999999999E-2</v>
      </c>
      <c r="O144" s="334">
        <v>0.46179999999999999</v>
      </c>
      <c r="P144" s="329">
        <f t="shared" si="55"/>
        <v>2.6562666359214337E-2</v>
      </c>
      <c r="Q144" s="329">
        <f t="shared" si="56"/>
        <v>2.6695102220915017E-2</v>
      </c>
      <c r="R144" s="329">
        <f t="shared" si="57"/>
        <v>-1.9000000000000003E-2</v>
      </c>
      <c r="S144" s="364">
        <f t="shared" si="58"/>
        <v>3.620000000000001E-2</v>
      </c>
      <c r="T144" s="111"/>
      <c r="U144" s="313"/>
      <c r="V144" s="139"/>
    </row>
    <row r="145" spans="1:25" s="112" customFormat="1" ht="12" customHeight="1">
      <c r="A145" s="401">
        <v>122</v>
      </c>
      <c r="B145" s="396" t="s">
        <v>233</v>
      </c>
      <c r="C145" s="397" t="s">
        <v>9</v>
      </c>
      <c r="D145" s="326">
        <v>237496891</v>
      </c>
      <c r="E145" s="333">
        <f t="shared" si="53"/>
        <v>6.5555984827824444E-3</v>
      </c>
      <c r="F145" s="325">
        <v>182.27</v>
      </c>
      <c r="G145" s="325">
        <v>183.89</v>
      </c>
      <c r="H145" s="334">
        <v>4.7999999999999996E-3</v>
      </c>
      <c r="I145" s="334">
        <v>0.22159999999999999</v>
      </c>
      <c r="J145" s="326">
        <v>239665313.34</v>
      </c>
      <c r="K145" s="314">
        <f t="shared" si="63"/>
        <v>6.5034768994133504E-3</v>
      </c>
      <c r="L145" s="325">
        <v>183.93</v>
      </c>
      <c r="M145" s="325">
        <v>185.58</v>
      </c>
      <c r="N145" s="334">
        <v>1.4200000000000001E-2</v>
      </c>
      <c r="O145" s="334">
        <v>0.23780000000000001</v>
      </c>
      <c r="P145" s="329">
        <f t="shared" si="55"/>
        <v>9.130318846994943E-3</v>
      </c>
      <c r="Q145" s="329">
        <f t="shared" si="56"/>
        <v>9.1902767959107408E-3</v>
      </c>
      <c r="R145" s="329">
        <f t="shared" si="57"/>
        <v>9.4000000000000021E-3</v>
      </c>
      <c r="S145" s="364">
        <f t="shared" si="58"/>
        <v>1.620000000000002E-2</v>
      </c>
      <c r="T145" s="111"/>
      <c r="U145" s="140"/>
      <c r="V145" s="139"/>
    </row>
    <row r="146" spans="1:25" s="112" customFormat="1" ht="12" customHeight="1">
      <c r="A146" s="290"/>
      <c r="C146" s="244" t="s">
        <v>42</v>
      </c>
      <c r="D146" s="216">
        <f>SUM(D122:D145)</f>
        <v>36228102075.464104</v>
      </c>
      <c r="E146" s="262">
        <f>(D146/$D$168)</f>
        <v>1.9321310537681921E-2</v>
      </c>
      <c r="F146" s="264"/>
      <c r="G146" s="183"/>
      <c r="H146" s="277"/>
      <c r="I146" s="277"/>
      <c r="J146" s="216">
        <f>SUM(J122:J145)</f>
        <v>36851874319.96862</v>
      </c>
      <c r="K146" s="262">
        <f>(J146/$J$168)</f>
        <v>1.9623194376186523E-2</v>
      </c>
      <c r="L146" s="264"/>
      <c r="M146" s="183"/>
      <c r="N146" s="277"/>
      <c r="O146" s="277"/>
      <c r="P146" s="266">
        <f t="shared" ref="P146" si="64">((J146-D146)/D146)</f>
        <v>1.7217911200680135E-2</v>
      </c>
      <c r="Q146" s="266"/>
      <c r="R146" s="266">
        <f t="shared" ref="R146:S146" si="65">N146-H146</f>
        <v>0</v>
      </c>
      <c r="S146" s="364">
        <f t="shared" si="65"/>
        <v>0</v>
      </c>
      <c r="T146" s="111"/>
      <c r="U146" s="140"/>
      <c r="V146" s="139"/>
    </row>
    <row r="147" spans="1:25" s="112" customFormat="1" ht="5.25" customHeight="1">
      <c r="A147" s="410"/>
      <c r="B147" s="411"/>
      <c r="C147" s="412"/>
      <c r="D147" s="412"/>
      <c r="E147" s="412"/>
      <c r="F147" s="412"/>
      <c r="G147" s="412"/>
      <c r="H147" s="412"/>
      <c r="I147" s="412"/>
      <c r="J147" s="412"/>
      <c r="K147" s="412"/>
      <c r="L147" s="412"/>
      <c r="M147" s="412"/>
      <c r="N147" s="412"/>
      <c r="O147" s="412"/>
      <c r="P147" s="412"/>
      <c r="Q147" s="412"/>
      <c r="R147" s="412"/>
      <c r="S147" s="425"/>
      <c r="T147" s="111"/>
      <c r="U147" s="140"/>
      <c r="V147" s="139"/>
    </row>
    <row r="148" spans="1:25" s="112" customFormat="1" ht="12" customHeight="1">
      <c r="A148" s="417" t="s">
        <v>66</v>
      </c>
      <c r="B148" s="418"/>
      <c r="C148" s="419"/>
      <c r="D148" s="419"/>
      <c r="E148" s="419"/>
      <c r="F148" s="419"/>
      <c r="G148" s="419"/>
      <c r="H148" s="419"/>
      <c r="I148" s="419"/>
      <c r="J148" s="419"/>
      <c r="K148" s="419"/>
      <c r="L148" s="419"/>
      <c r="M148" s="419"/>
      <c r="N148" s="419"/>
      <c r="O148" s="419"/>
      <c r="P148" s="419"/>
      <c r="Q148" s="419"/>
      <c r="R148" s="419"/>
      <c r="S148" s="420"/>
      <c r="U148" s="141"/>
      <c r="V148" s="139"/>
    </row>
    <row r="149" spans="1:25" s="112" customFormat="1" ht="12" customHeight="1">
      <c r="A149" s="401">
        <v>123</v>
      </c>
      <c r="B149" s="396" t="s">
        <v>26</v>
      </c>
      <c r="C149" s="397" t="s">
        <v>6</v>
      </c>
      <c r="D149" s="322">
        <v>560142407.38999999</v>
      </c>
      <c r="E149" s="333">
        <f>(D149/$D$152)</f>
        <v>0.16580018404356592</v>
      </c>
      <c r="F149" s="322">
        <v>47.575600000000001</v>
      </c>
      <c r="G149" s="322">
        <v>49.010100000000001</v>
      </c>
      <c r="H149" s="315">
        <v>-1.7726</v>
      </c>
      <c r="I149" s="315">
        <v>9.2499999999999999E-2</v>
      </c>
      <c r="J149" s="322">
        <v>564012366.02999997</v>
      </c>
      <c r="K149" s="314">
        <f>(J149/$J$152)</f>
        <v>0.16199426041090281</v>
      </c>
      <c r="L149" s="322">
        <v>48.090299999999999</v>
      </c>
      <c r="M149" s="322">
        <v>49.540300000000002</v>
      </c>
      <c r="N149" s="315">
        <v>0.56410000000000005</v>
      </c>
      <c r="O149" s="315">
        <v>0.11169999999999999</v>
      </c>
      <c r="P149" s="329">
        <f>((J149-D149)/D149)</f>
        <v>6.9088835070213158E-3</v>
      </c>
      <c r="Q149" s="329">
        <f>((M149-G149)/G149)</f>
        <v>1.0818178293861891E-2</v>
      </c>
      <c r="R149" s="329">
        <f t="shared" ref="R149:S151" si="66">N149-H149</f>
        <v>2.3367</v>
      </c>
      <c r="S149" s="364">
        <f t="shared" si="66"/>
        <v>1.9199999999999995E-2</v>
      </c>
      <c r="U149" s="113"/>
      <c r="V149" s="139"/>
    </row>
    <row r="150" spans="1:25" s="112" customFormat="1" ht="11.25" customHeight="1">
      <c r="A150" s="401">
        <v>124</v>
      </c>
      <c r="B150" s="396" t="s">
        <v>242</v>
      </c>
      <c r="C150" s="397" t="s">
        <v>190</v>
      </c>
      <c r="D150" s="321">
        <v>670148774.55999994</v>
      </c>
      <c r="E150" s="333">
        <f>(D150/$D$152)</f>
        <v>0.19836168212355523</v>
      </c>
      <c r="F150" s="322">
        <v>18.4069</v>
      </c>
      <c r="G150" s="322">
        <v>18.596599999999999</v>
      </c>
      <c r="H150" s="334">
        <v>8.6999999999999994E-3</v>
      </c>
      <c r="I150" s="334">
        <v>0.16470000000000001</v>
      </c>
      <c r="J150" s="321">
        <v>700102294.53999996</v>
      </c>
      <c r="K150" s="314">
        <f t="shared" ref="K150:K151" si="67">(J150/$J$152)</f>
        <v>0.20108167878353025</v>
      </c>
      <c r="L150" s="322">
        <v>18.441700000000001</v>
      </c>
      <c r="M150" s="322">
        <v>18.632400000000001</v>
      </c>
      <c r="N150" s="334">
        <v>7.1000000000000004E-3</v>
      </c>
      <c r="O150" s="334">
        <v>0.16470000000000001</v>
      </c>
      <c r="P150" s="329">
        <f>((J150-D150)/D150)</f>
        <v>4.4696821238935522E-2</v>
      </c>
      <c r="Q150" s="109">
        <f>((M150-G150)/G150)</f>
        <v>1.92508307970284E-3</v>
      </c>
      <c r="R150" s="329">
        <f t="shared" si="66"/>
        <v>-1.599999999999999E-3</v>
      </c>
      <c r="S150" s="364">
        <f t="shared" si="66"/>
        <v>0</v>
      </c>
    </row>
    <row r="151" spans="1:25" s="112" customFormat="1" ht="12" customHeight="1">
      <c r="A151" s="403">
        <v>125</v>
      </c>
      <c r="B151" s="396" t="s">
        <v>25</v>
      </c>
      <c r="C151" s="397" t="s">
        <v>5</v>
      </c>
      <c r="D151" s="321">
        <v>2148127307.8800001</v>
      </c>
      <c r="E151" s="333">
        <f>(D151/$D$152)</f>
        <v>0.6358381338328789</v>
      </c>
      <c r="F151" s="322">
        <v>1.74</v>
      </c>
      <c r="G151" s="322">
        <v>1.76</v>
      </c>
      <c r="H151" s="334">
        <v>5.7000000000000002E-3</v>
      </c>
      <c r="I151" s="334">
        <v>0.22220000000000001</v>
      </c>
      <c r="J151" s="321">
        <v>2217566508.8699999</v>
      </c>
      <c r="K151" s="314">
        <f t="shared" si="67"/>
        <v>0.63692406080556696</v>
      </c>
      <c r="L151" s="322">
        <v>1.8</v>
      </c>
      <c r="M151" s="322">
        <v>1.82</v>
      </c>
      <c r="N151" s="334">
        <v>3.4099999999999998E-2</v>
      </c>
      <c r="O151" s="334">
        <v>0.26390000000000002</v>
      </c>
      <c r="P151" s="329">
        <f>((J151-D151)/D151)</f>
        <v>3.2325458894021386E-2</v>
      </c>
      <c r="Q151" s="329">
        <f>((M151-G151)/G151)</f>
        <v>3.4090909090909123E-2</v>
      </c>
      <c r="R151" s="329">
        <f t="shared" si="66"/>
        <v>2.8399999999999998E-2</v>
      </c>
      <c r="S151" s="364">
        <f t="shared" si="66"/>
        <v>4.1700000000000015E-2</v>
      </c>
      <c r="W151" s="181"/>
      <c r="X151" s="182"/>
      <c r="Y151" s="110"/>
    </row>
    <row r="152" spans="1:25" s="112" customFormat="1" ht="12.75" customHeight="1">
      <c r="A152" s="214"/>
      <c r="C152" s="286" t="s">
        <v>42</v>
      </c>
      <c r="D152" s="216">
        <f>SUM(D149:D151)</f>
        <v>3378418489.8299999</v>
      </c>
      <c r="E152" s="262">
        <f>(D152/$D$168)</f>
        <v>1.8017911242571105E-3</v>
      </c>
      <c r="F152" s="11"/>
      <c r="G152" s="11"/>
      <c r="H152" s="276"/>
      <c r="I152" s="276"/>
      <c r="J152" s="216">
        <f>SUM(J149:J151)</f>
        <v>3481681169.4399996</v>
      </c>
      <c r="K152" s="262">
        <f>(J152/$J$168)</f>
        <v>1.8539547202028905E-3</v>
      </c>
      <c r="L152" s="264"/>
      <c r="M152" s="183"/>
      <c r="N152" s="277"/>
      <c r="O152" s="277"/>
      <c r="P152" s="266">
        <f>((J152-D152)/D152)</f>
        <v>3.0565390261996752E-2</v>
      </c>
      <c r="Q152" s="266"/>
      <c r="R152" s="266">
        <f>N152-H152</f>
        <v>0</v>
      </c>
      <c r="S152" s="364">
        <f t="shared" ref="S152" si="68">O152-I152</f>
        <v>0</v>
      </c>
      <c r="V152" s="111"/>
    </row>
    <row r="153" spans="1:25" s="112" customFormat="1" ht="4.5" customHeight="1">
      <c r="A153" s="410"/>
      <c r="B153" s="411"/>
      <c r="C153" s="412"/>
      <c r="D153" s="412"/>
      <c r="E153" s="412"/>
      <c r="F153" s="412"/>
      <c r="G153" s="412"/>
      <c r="H153" s="412"/>
      <c r="I153" s="412"/>
      <c r="J153" s="412"/>
      <c r="K153" s="412"/>
      <c r="L153" s="412"/>
      <c r="M153" s="412"/>
      <c r="N153" s="412"/>
      <c r="O153" s="412"/>
      <c r="P153" s="412"/>
      <c r="Q153" s="412"/>
      <c r="R153" s="412"/>
      <c r="S153" s="425"/>
      <c r="V153" s="111"/>
    </row>
    <row r="154" spans="1:25" s="112" customFormat="1" ht="12.75" customHeight="1">
      <c r="A154" s="417" t="s">
        <v>198</v>
      </c>
      <c r="B154" s="418"/>
      <c r="C154" s="419"/>
      <c r="D154" s="419"/>
      <c r="E154" s="419"/>
      <c r="F154" s="419"/>
      <c r="G154" s="419"/>
      <c r="H154" s="419"/>
      <c r="I154" s="419"/>
      <c r="J154" s="419"/>
      <c r="K154" s="419"/>
      <c r="L154" s="419"/>
      <c r="M154" s="419"/>
      <c r="N154" s="419"/>
      <c r="O154" s="419"/>
      <c r="P154" s="419"/>
      <c r="Q154" s="419"/>
      <c r="R154" s="419"/>
      <c r="S154" s="420"/>
      <c r="V154" s="111"/>
    </row>
    <row r="155" spans="1:25" s="112" customFormat="1" ht="12.75" customHeight="1">
      <c r="A155" s="421" t="s">
        <v>199</v>
      </c>
      <c r="B155" s="422"/>
      <c r="C155" s="423"/>
      <c r="D155" s="423"/>
      <c r="E155" s="423"/>
      <c r="F155" s="423"/>
      <c r="G155" s="423"/>
      <c r="H155" s="423"/>
      <c r="I155" s="423"/>
      <c r="J155" s="423"/>
      <c r="K155" s="423"/>
      <c r="L155" s="423"/>
      <c r="M155" s="423"/>
      <c r="N155" s="423"/>
      <c r="O155" s="423"/>
      <c r="P155" s="423"/>
      <c r="Q155" s="423"/>
      <c r="R155" s="423"/>
      <c r="S155" s="424"/>
      <c r="V155" s="111"/>
    </row>
    <row r="156" spans="1:25" s="112" customFormat="1" ht="12" customHeight="1">
      <c r="A156" s="400">
        <v>126</v>
      </c>
      <c r="B156" s="396" t="s">
        <v>128</v>
      </c>
      <c r="C156" s="397" t="s">
        <v>23</v>
      </c>
      <c r="D156" s="316">
        <v>3568165804.0900002</v>
      </c>
      <c r="E156" s="333">
        <f>(D156/$D$167)</f>
        <v>0.13680405186423303</v>
      </c>
      <c r="F156" s="317">
        <v>1.75</v>
      </c>
      <c r="G156" s="317">
        <v>1.78</v>
      </c>
      <c r="H156" s="320">
        <v>-3.0999999999999999E-3</v>
      </c>
      <c r="I156" s="320">
        <v>9.6799999999999997E-2</v>
      </c>
      <c r="J156" s="316">
        <v>3601471717.8099999</v>
      </c>
      <c r="K156" s="333">
        <f>(J156/$J$167)</f>
        <v>0.13846328161935068</v>
      </c>
      <c r="L156" s="317">
        <v>1.77</v>
      </c>
      <c r="M156" s="317">
        <v>1.8</v>
      </c>
      <c r="N156" s="320">
        <v>8.8000000000000005E-3</v>
      </c>
      <c r="O156" s="320">
        <v>0.1065</v>
      </c>
      <c r="P156" s="109">
        <f>((J156-D156)/D156)</f>
        <v>9.3341833167682343E-3</v>
      </c>
      <c r="Q156" s="109">
        <f>((M156-G156)/G156)</f>
        <v>1.1235955056179785E-2</v>
      </c>
      <c r="R156" s="329">
        <f>N156-H156</f>
        <v>1.1900000000000001E-2</v>
      </c>
      <c r="S156" s="364">
        <f t="shared" ref="S156:S157" si="69">O156-I156</f>
        <v>9.7000000000000003E-3</v>
      </c>
      <c r="V156" s="111"/>
    </row>
    <row r="157" spans="1:25" s="112" customFormat="1" ht="12.75" customHeight="1">
      <c r="A157" s="403">
        <v>127</v>
      </c>
      <c r="B157" s="396" t="s">
        <v>65</v>
      </c>
      <c r="C157" s="397" t="s">
        <v>5</v>
      </c>
      <c r="D157" s="316">
        <v>371936594.10000002</v>
      </c>
      <c r="E157" s="333">
        <f>(D157/$D$167)</f>
        <v>1.4260108947610772E-2</v>
      </c>
      <c r="F157" s="317">
        <v>312.01</v>
      </c>
      <c r="G157" s="317">
        <v>315.75</v>
      </c>
      <c r="H157" s="320">
        <v>-5.0000000000000001E-4</v>
      </c>
      <c r="I157" s="320">
        <v>0.1893</v>
      </c>
      <c r="J157" s="316">
        <v>378617686.86000001</v>
      </c>
      <c r="K157" s="333">
        <f>(J157/$J$167)</f>
        <v>1.4556451225901042E-2</v>
      </c>
      <c r="L157" s="317">
        <v>317.69</v>
      </c>
      <c r="M157" s="317">
        <v>321.64999999999998</v>
      </c>
      <c r="N157" s="320">
        <v>1.8700000000000001E-2</v>
      </c>
      <c r="O157" s="320">
        <v>0.21149999999999999</v>
      </c>
      <c r="P157" s="329">
        <f>((J157-D157)/D157)</f>
        <v>1.7962988493150773E-2</v>
      </c>
      <c r="Q157" s="329">
        <f>((M157-G157)/G157)</f>
        <v>1.8685669041963508E-2</v>
      </c>
      <c r="R157" s="329">
        <f>N157-H157</f>
        <v>1.9200000000000002E-2</v>
      </c>
      <c r="S157" s="364">
        <f t="shared" si="69"/>
        <v>2.2199999999999998E-2</v>
      </c>
      <c r="T157" s="188"/>
    </row>
    <row r="158" spans="1:25" s="112" customFormat="1" ht="6" customHeight="1">
      <c r="A158" s="410"/>
      <c r="B158" s="411"/>
      <c r="C158" s="412"/>
      <c r="D158" s="412"/>
      <c r="E158" s="412"/>
      <c r="F158" s="412"/>
      <c r="G158" s="412"/>
      <c r="H158" s="412"/>
      <c r="I158" s="412"/>
      <c r="J158" s="412"/>
      <c r="K158" s="412"/>
      <c r="L158" s="412"/>
      <c r="M158" s="412"/>
      <c r="N158" s="412"/>
      <c r="O158" s="412"/>
      <c r="P158" s="412"/>
      <c r="Q158" s="412"/>
      <c r="R158" s="412"/>
      <c r="S158" s="425"/>
      <c r="T158" s="188"/>
    </row>
    <row r="159" spans="1:25" s="112" customFormat="1" ht="12" customHeight="1">
      <c r="A159" s="421" t="s">
        <v>200</v>
      </c>
      <c r="B159" s="422"/>
      <c r="C159" s="423"/>
      <c r="D159" s="423"/>
      <c r="E159" s="423"/>
      <c r="F159" s="423"/>
      <c r="G159" s="423"/>
      <c r="H159" s="423"/>
      <c r="I159" s="423"/>
      <c r="J159" s="423"/>
      <c r="K159" s="423"/>
      <c r="L159" s="423"/>
      <c r="M159" s="423"/>
      <c r="N159" s="423"/>
      <c r="O159" s="423"/>
      <c r="P159" s="423"/>
      <c r="Q159" s="423"/>
      <c r="R159" s="423"/>
      <c r="S159" s="424"/>
      <c r="T159" s="188"/>
    </row>
    <row r="160" spans="1:25" s="112" customFormat="1" ht="12" customHeight="1">
      <c r="A160" s="398">
        <v>128</v>
      </c>
      <c r="B160" s="396" t="s">
        <v>228</v>
      </c>
      <c r="C160" s="397" t="s">
        <v>229</v>
      </c>
      <c r="D160" s="326">
        <v>481327602.69</v>
      </c>
      <c r="E160" s="333">
        <f t="shared" ref="E160:E166" si="70">(D160/$D$167)</f>
        <v>1.8454177843028517E-2</v>
      </c>
      <c r="F160" s="326">
        <v>1047.54</v>
      </c>
      <c r="G160" s="326">
        <v>1047.54</v>
      </c>
      <c r="H160" s="334">
        <v>-3.7000000000000002E-3</v>
      </c>
      <c r="I160" s="334">
        <v>4.7500000000000001E-2</v>
      </c>
      <c r="J160" s="326">
        <v>475808601.37</v>
      </c>
      <c r="K160" s="333">
        <f t="shared" ref="K160:K166" si="71">(J160/$J$167)</f>
        <v>1.8293082809064935E-2</v>
      </c>
      <c r="L160" s="326">
        <v>1046.3900000000001</v>
      </c>
      <c r="M160" s="326">
        <v>1046.3900000000001</v>
      </c>
      <c r="N160" s="334">
        <v>4.6399999999999997E-2</v>
      </c>
      <c r="O160" s="334">
        <v>-1.1000000000000001E-3</v>
      </c>
      <c r="P160" s="329">
        <f t="shared" ref="P160:P166" si="72">((J160-D160)/D160)</f>
        <v>-1.1466205738370082E-2</v>
      </c>
      <c r="Q160" s="329">
        <f t="shared" ref="Q160:Q166" si="73">((M160-G160)/G160)</f>
        <v>-1.0978101074897986E-3</v>
      </c>
      <c r="R160" s="329">
        <f t="shared" ref="R160:S166" si="74">N160-H160</f>
        <v>5.0099999999999999E-2</v>
      </c>
      <c r="S160" s="364">
        <f t="shared" si="74"/>
        <v>-4.8599999999999997E-2</v>
      </c>
      <c r="T160" s="188"/>
    </row>
    <row r="161" spans="1:20" s="112" customFormat="1" ht="12" customHeight="1">
      <c r="A161" s="400">
        <v>129</v>
      </c>
      <c r="B161" s="396" t="s">
        <v>231</v>
      </c>
      <c r="C161" s="397" t="s">
        <v>88</v>
      </c>
      <c r="D161" s="326">
        <v>61962424.829999998</v>
      </c>
      <c r="E161" s="333">
        <f t="shared" si="70"/>
        <v>2.3756493519332973E-3</v>
      </c>
      <c r="F161" s="326">
        <v>103.78</v>
      </c>
      <c r="G161" s="326">
        <v>103.78</v>
      </c>
      <c r="H161" s="334">
        <v>0</v>
      </c>
      <c r="I161" s="334">
        <v>5.79E-2</v>
      </c>
      <c r="J161" s="326">
        <v>62083981.990000002</v>
      </c>
      <c r="K161" s="333">
        <f t="shared" si="71"/>
        <v>2.3868997331900127E-3</v>
      </c>
      <c r="L161" s="326">
        <v>103.89</v>
      </c>
      <c r="M161" s="326">
        <v>103.89</v>
      </c>
      <c r="N161" s="334">
        <v>1.1000000000000001E-3</v>
      </c>
      <c r="O161" s="334">
        <v>5.7799999999999997E-2</v>
      </c>
      <c r="P161" s="329">
        <f t="shared" si="72"/>
        <v>1.9617882988522137E-3</v>
      </c>
      <c r="Q161" s="329">
        <f t="shared" si="73"/>
        <v>1.0599344767777937E-3</v>
      </c>
      <c r="R161" s="329">
        <f t="shared" si="74"/>
        <v>1.1000000000000001E-3</v>
      </c>
      <c r="S161" s="364">
        <f t="shared" si="74"/>
        <v>-1.0000000000000286E-4</v>
      </c>
      <c r="T161" s="188"/>
    </row>
    <row r="162" spans="1:20" s="112" customFormat="1" ht="12" customHeight="1">
      <c r="A162" s="398">
        <v>130</v>
      </c>
      <c r="B162" s="399" t="s">
        <v>235</v>
      </c>
      <c r="C162" s="397" t="s">
        <v>98</v>
      </c>
      <c r="D162" s="321">
        <v>52504594.890000001</v>
      </c>
      <c r="E162" s="333">
        <f t="shared" si="70"/>
        <v>2.0130346281018647E-3</v>
      </c>
      <c r="F162" s="322">
        <v>100.92</v>
      </c>
      <c r="G162" s="322">
        <v>105.55</v>
      </c>
      <c r="H162" s="334">
        <v>2E-3</v>
      </c>
      <c r="I162" s="334">
        <v>4.1399999999999999E-2</v>
      </c>
      <c r="J162" s="321">
        <v>52573938.920000002</v>
      </c>
      <c r="K162" s="333">
        <f t="shared" si="71"/>
        <v>2.021273712776812E-3</v>
      </c>
      <c r="L162" s="322">
        <v>101.06</v>
      </c>
      <c r="M162" s="322">
        <v>105.8</v>
      </c>
      <c r="N162" s="334">
        <v>1.9E-3</v>
      </c>
      <c r="O162" s="334">
        <v>4.3299999999999998E-2</v>
      </c>
      <c r="P162" s="329">
        <f t="shared" si="72"/>
        <v>1.3207230747190933E-3</v>
      </c>
      <c r="Q162" s="329">
        <f t="shared" si="73"/>
        <v>2.3685457129322598E-3</v>
      </c>
      <c r="R162" s="329">
        <f t="shared" si="74"/>
        <v>-1.0000000000000005E-4</v>
      </c>
      <c r="S162" s="364">
        <f t="shared" si="74"/>
        <v>1.8999999999999989E-3</v>
      </c>
      <c r="T162" s="188"/>
    </row>
    <row r="163" spans="1:20" s="112" customFormat="1" ht="12" customHeight="1">
      <c r="A163" s="400">
        <v>131</v>
      </c>
      <c r="B163" s="396" t="s">
        <v>186</v>
      </c>
      <c r="C163" s="397" t="s">
        <v>185</v>
      </c>
      <c r="D163" s="326">
        <v>9193583412.5200005</v>
      </c>
      <c r="E163" s="333">
        <f t="shared" si="70"/>
        <v>0.35248346939003822</v>
      </c>
      <c r="F163" s="322">
        <v>130</v>
      </c>
      <c r="G163" s="322">
        <v>130</v>
      </c>
      <c r="H163" s="334">
        <v>2.2000000000000001E-3</v>
      </c>
      <c r="I163" s="334">
        <v>0.12690000000000001</v>
      </c>
      <c r="J163" s="326">
        <v>9208704373.3500004</v>
      </c>
      <c r="K163" s="333">
        <f t="shared" si="71"/>
        <v>0.35404066084735392</v>
      </c>
      <c r="L163" s="322">
        <v>130.29</v>
      </c>
      <c r="M163" s="322">
        <v>130.29</v>
      </c>
      <c r="N163" s="334">
        <v>2.2000000000000001E-3</v>
      </c>
      <c r="O163" s="334">
        <v>0.12529999999999999</v>
      </c>
      <c r="P163" s="329">
        <f t="shared" si="72"/>
        <v>1.6447298242171714E-3</v>
      </c>
      <c r="Q163" s="329">
        <f t="shared" si="73"/>
        <v>2.2307692307691695E-3</v>
      </c>
      <c r="R163" s="329">
        <f t="shared" si="74"/>
        <v>0</v>
      </c>
      <c r="S163" s="364">
        <f t="shared" si="74"/>
        <v>-1.6000000000000181E-3</v>
      </c>
      <c r="T163" s="188"/>
    </row>
    <row r="164" spans="1:20" s="112" customFormat="1" ht="12" customHeight="1">
      <c r="A164" s="398">
        <v>132</v>
      </c>
      <c r="B164" s="396" t="s">
        <v>173</v>
      </c>
      <c r="C164" s="397" t="s">
        <v>172</v>
      </c>
      <c r="D164" s="326">
        <v>500101506.67000002</v>
      </c>
      <c r="E164" s="333">
        <f t="shared" si="70"/>
        <v>1.9173972346644377E-2</v>
      </c>
      <c r="F164" s="327">
        <v>103.54</v>
      </c>
      <c r="G164" s="327">
        <v>103.54</v>
      </c>
      <c r="H164" s="334">
        <v>4.7000000000000002E-3</v>
      </c>
      <c r="I164" s="334">
        <v>4.8399999999999999E-2</v>
      </c>
      <c r="J164" s="326">
        <v>513138395.72000003</v>
      </c>
      <c r="K164" s="333">
        <f t="shared" si="71"/>
        <v>1.9728275483858332E-2</v>
      </c>
      <c r="L164" s="327">
        <v>103.66</v>
      </c>
      <c r="M164" s="327">
        <v>103.66</v>
      </c>
      <c r="N164" s="334">
        <v>1.1999999999999999E-3</v>
      </c>
      <c r="O164" s="334">
        <v>4.9599999999999998E-2</v>
      </c>
      <c r="P164" s="329">
        <f t="shared" si="72"/>
        <v>2.606848584961895E-2</v>
      </c>
      <c r="Q164" s="329">
        <f t="shared" si="73"/>
        <v>1.1589723778249019E-3</v>
      </c>
      <c r="R164" s="329">
        <f t="shared" si="74"/>
        <v>-3.5000000000000005E-3</v>
      </c>
      <c r="S164" s="364">
        <f t="shared" si="74"/>
        <v>1.1999999999999997E-3</v>
      </c>
      <c r="T164" s="188"/>
    </row>
    <row r="165" spans="1:20" s="318" customFormat="1" ht="12" customHeight="1">
      <c r="A165" s="403">
        <v>133</v>
      </c>
      <c r="B165" s="396" t="s">
        <v>130</v>
      </c>
      <c r="C165" s="397" t="s">
        <v>5</v>
      </c>
      <c r="D165" s="326">
        <v>8384285564.25</v>
      </c>
      <c r="E165" s="333">
        <f t="shared" si="70"/>
        <v>0.32145485948591485</v>
      </c>
      <c r="F165" s="327">
        <v>124.47</v>
      </c>
      <c r="G165" s="327">
        <v>124.47</v>
      </c>
      <c r="H165" s="334">
        <v>1E-3</v>
      </c>
      <c r="I165" s="334">
        <v>2.8500000000000001E-2</v>
      </c>
      <c r="J165" s="326">
        <v>8375626518.8999996</v>
      </c>
      <c r="K165" s="333">
        <f t="shared" si="71"/>
        <v>0.3220118952177024</v>
      </c>
      <c r="L165" s="327">
        <v>124.58</v>
      </c>
      <c r="M165" s="327">
        <v>124.58</v>
      </c>
      <c r="N165" s="334">
        <v>8.9999999999999998E-4</v>
      </c>
      <c r="O165" s="334">
        <v>2.9399999999999999E-2</v>
      </c>
      <c r="P165" s="329">
        <f t="shared" si="72"/>
        <v>-1.0327708048163266E-3</v>
      </c>
      <c r="Q165" s="329">
        <f t="shared" si="73"/>
        <v>8.8374708765163838E-4</v>
      </c>
      <c r="R165" s="329">
        <f t="shared" si="74"/>
        <v>-1.0000000000000005E-4</v>
      </c>
      <c r="S165" s="364">
        <f t="shared" si="74"/>
        <v>8.9999999999999802E-4</v>
      </c>
      <c r="T165" s="319"/>
    </row>
    <row r="166" spans="1:20" s="112" customFormat="1" ht="12" customHeight="1">
      <c r="A166" s="401">
        <v>134</v>
      </c>
      <c r="B166" s="396" t="s">
        <v>164</v>
      </c>
      <c r="C166" s="397" t="s">
        <v>41</v>
      </c>
      <c r="D166" s="326">
        <v>3468443330.0799999</v>
      </c>
      <c r="E166" s="333">
        <f t="shared" si="70"/>
        <v>0.13298067614249498</v>
      </c>
      <c r="F166" s="327">
        <v>1.1212</v>
      </c>
      <c r="G166" s="327">
        <v>1.1212</v>
      </c>
      <c r="H166" s="334">
        <v>0.14829999999999999</v>
      </c>
      <c r="I166" s="334">
        <v>0.1318</v>
      </c>
      <c r="J166" s="326">
        <v>3342276402.1599998</v>
      </c>
      <c r="K166" s="333">
        <f t="shared" si="71"/>
        <v>0.12849817935080196</v>
      </c>
      <c r="L166" s="327">
        <v>1.1232</v>
      </c>
      <c r="M166" s="327">
        <v>1.1232</v>
      </c>
      <c r="N166" s="334">
        <v>0.12740000000000001</v>
      </c>
      <c r="O166" s="334">
        <v>0.1295</v>
      </c>
      <c r="P166" s="329">
        <f t="shared" si="72"/>
        <v>-3.6375663637292305E-2</v>
      </c>
      <c r="Q166" s="329">
        <f t="shared" si="73"/>
        <v>1.7838030681412789E-3</v>
      </c>
      <c r="R166" s="329">
        <f t="shared" si="74"/>
        <v>-2.0899999999999974E-2</v>
      </c>
      <c r="S166" s="364">
        <f t="shared" si="74"/>
        <v>-2.2999999999999965E-3</v>
      </c>
      <c r="T166" s="188"/>
    </row>
    <row r="167" spans="1:20" s="112" customFormat="1" ht="12" customHeight="1">
      <c r="A167" s="261"/>
      <c r="C167" s="286" t="s">
        <v>42</v>
      </c>
      <c r="D167" s="76">
        <f>SUM(D156:D166)</f>
        <v>26082310834.120003</v>
      </c>
      <c r="E167" s="262">
        <f>(D167/$D$168)</f>
        <v>1.3910318186601343E-2</v>
      </c>
      <c r="F167" s="263"/>
      <c r="G167" s="72"/>
      <c r="H167" s="245"/>
      <c r="I167" s="245"/>
      <c r="J167" s="76">
        <f>SUM(J156:J166)</f>
        <v>26010301617.079998</v>
      </c>
      <c r="K167" s="262">
        <f>(J167/$J$168)</f>
        <v>1.3850183032308627E-2</v>
      </c>
      <c r="L167" s="264"/>
      <c r="M167" s="72"/>
      <c r="N167" s="265"/>
      <c r="O167" s="265"/>
      <c r="P167" s="266">
        <f t="shared" ref="P167:P168" si="75">((J167-D167)/D167)</f>
        <v>-2.760844984095684E-3</v>
      </c>
      <c r="Q167" s="266"/>
      <c r="R167" s="266">
        <f t="shared" ref="R167:S167" si="76">N167-H167</f>
        <v>0</v>
      </c>
      <c r="S167" s="364">
        <f t="shared" si="76"/>
        <v>0</v>
      </c>
      <c r="T167" s="137" t="s">
        <v>261</v>
      </c>
    </row>
    <row r="168" spans="1:20" s="112" customFormat="1" ht="12" customHeight="1">
      <c r="A168" s="267"/>
      <c r="B168" s="268"/>
      <c r="C168" s="268" t="s">
        <v>28</v>
      </c>
      <c r="D168" s="269">
        <f>SUM(D22,D54,D87,D112,D119,D146,D152,D167)</f>
        <v>1875033373373.3662</v>
      </c>
      <c r="E168" s="270"/>
      <c r="F168" s="270"/>
      <c r="G168" s="271"/>
      <c r="H168" s="272"/>
      <c r="I168" s="272"/>
      <c r="J168" s="269">
        <f>SUM(J22,J54,J87,J112,J119,J146,J152,J167)</f>
        <v>1877975298694.9844</v>
      </c>
      <c r="K168" s="270"/>
      <c r="L168" s="270"/>
      <c r="M168" s="271"/>
      <c r="N168" s="273"/>
      <c r="O168" s="273"/>
      <c r="P168" s="274">
        <f t="shared" si="75"/>
        <v>1.5689989113768978E-3</v>
      </c>
      <c r="Q168" s="274"/>
      <c r="R168" s="274"/>
      <c r="S168" s="275"/>
      <c r="T168" s="138">
        <f>((J168-D168)/D168)</f>
        <v>1.5689989113768978E-3</v>
      </c>
    </row>
    <row r="169" spans="1:20" s="112" customFormat="1" ht="6.75" customHeight="1">
      <c r="A169" s="410"/>
      <c r="B169" s="411"/>
      <c r="C169" s="412"/>
      <c r="D169" s="412"/>
      <c r="E169" s="412"/>
      <c r="F169" s="412"/>
      <c r="G169" s="412"/>
      <c r="H169" s="412"/>
      <c r="I169" s="412"/>
      <c r="J169" s="412"/>
      <c r="K169" s="412"/>
      <c r="L169" s="412"/>
      <c r="M169" s="412"/>
      <c r="N169" s="412"/>
      <c r="O169" s="412"/>
      <c r="P169" s="412"/>
      <c r="Q169" s="412"/>
      <c r="R169" s="412"/>
      <c r="S169" s="365"/>
      <c r="T169" s="188"/>
    </row>
    <row r="170" spans="1:20" s="112" customFormat="1" ht="12" customHeight="1">
      <c r="A170" s="448" t="s">
        <v>201</v>
      </c>
      <c r="B170" s="449"/>
      <c r="C170" s="450"/>
      <c r="D170" s="450"/>
      <c r="E170" s="450"/>
      <c r="F170" s="450"/>
      <c r="G170" s="450"/>
      <c r="H170" s="450"/>
      <c r="I170" s="450"/>
      <c r="J170" s="450"/>
      <c r="K170" s="450"/>
      <c r="L170" s="450"/>
      <c r="M170" s="450"/>
      <c r="N170" s="450"/>
      <c r="O170" s="450"/>
      <c r="P170" s="450"/>
      <c r="Q170" s="450"/>
      <c r="R170" s="450"/>
      <c r="S170" s="451"/>
      <c r="T170" s="188"/>
    </row>
    <row r="171" spans="1:20" s="112" customFormat="1" ht="25.5" customHeight="1">
      <c r="A171" s="242"/>
      <c r="B171" s="243"/>
      <c r="C171" s="243"/>
      <c r="D171" s="257" t="s">
        <v>205</v>
      </c>
      <c r="E171" s="258"/>
      <c r="F171" s="258"/>
      <c r="G171" s="362" t="s">
        <v>206</v>
      </c>
      <c r="H171" s="259"/>
      <c r="I171" s="259"/>
      <c r="J171" s="260" t="s">
        <v>205</v>
      </c>
      <c r="K171" s="258"/>
      <c r="L171" s="256" t="s">
        <v>213</v>
      </c>
      <c r="M171" s="256" t="s">
        <v>214</v>
      </c>
      <c r="N171" s="362"/>
      <c r="O171" s="362"/>
      <c r="P171" s="409" t="s">
        <v>62</v>
      </c>
      <c r="Q171" s="409"/>
      <c r="R171" s="409"/>
      <c r="S171" s="363"/>
      <c r="T171" s="188"/>
    </row>
    <row r="172" spans="1:20" s="112" customFormat="1" ht="12" customHeight="1">
      <c r="A172" s="282" t="s">
        <v>1</v>
      </c>
      <c r="B172" s="284" t="s">
        <v>2</v>
      </c>
      <c r="C172" s="283" t="s">
        <v>194</v>
      </c>
      <c r="D172" s="198"/>
      <c r="E172" s="198"/>
      <c r="F172" s="198"/>
      <c r="G172" s="198"/>
      <c r="H172" s="198"/>
      <c r="I172" s="198"/>
      <c r="J172" s="225"/>
      <c r="K172" s="226"/>
      <c r="L172" s="226"/>
      <c r="M172" s="227"/>
      <c r="N172" s="227"/>
      <c r="O172" s="227"/>
      <c r="P172" s="299" t="s">
        <v>204</v>
      </c>
      <c r="Q172" s="297" t="s">
        <v>207</v>
      </c>
      <c r="R172" s="297" t="s">
        <v>215</v>
      </c>
      <c r="S172" s="366"/>
      <c r="T172" s="188"/>
    </row>
    <row r="173" spans="1:20" s="112" customFormat="1" ht="12" customHeight="1">
      <c r="A173" s="401">
        <v>1</v>
      </c>
      <c r="B173" s="396" t="s">
        <v>219</v>
      </c>
      <c r="C173" s="397" t="s">
        <v>117</v>
      </c>
      <c r="D173" s="326">
        <v>91842597312</v>
      </c>
      <c r="E173" s="333">
        <f>(D173/$D$175)</f>
        <v>0.97583229360231094</v>
      </c>
      <c r="F173" s="327">
        <v>107.58</v>
      </c>
      <c r="G173" s="327">
        <v>107.58</v>
      </c>
      <c r="H173" s="323">
        <v>0</v>
      </c>
      <c r="I173" s="323">
        <v>0.13800000000000001</v>
      </c>
      <c r="J173" s="326">
        <v>91842597312</v>
      </c>
      <c r="K173" s="333">
        <f>(J173/$J$175)</f>
        <v>0.97577057755274099</v>
      </c>
      <c r="L173" s="327">
        <v>107.58</v>
      </c>
      <c r="M173" s="327">
        <v>107.58</v>
      </c>
      <c r="N173" s="323">
        <v>0</v>
      </c>
      <c r="O173" s="323">
        <v>0.13800000000000001</v>
      </c>
      <c r="P173" s="329">
        <f>((J173-D173)/D173)</f>
        <v>0</v>
      </c>
      <c r="Q173" s="329">
        <f>((M173-G173)/G173)</f>
        <v>0</v>
      </c>
      <c r="R173" s="329">
        <f>N173-H173</f>
        <v>0</v>
      </c>
      <c r="S173" s="364">
        <f t="shared" ref="S173:S175" si="77">O173-I173</f>
        <v>0</v>
      </c>
      <c r="T173" s="188"/>
    </row>
    <row r="174" spans="1:20" s="112" customFormat="1" ht="12" customHeight="1">
      <c r="A174" s="401">
        <v>2</v>
      </c>
      <c r="B174" s="396" t="s">
        <v>244</v>
      </c>
      <c r="C174" s="397" t="s">
        <v>41</v>
      </c>
      <c r="D174" s="326">
        <v>2274596712.1500001</v>
      </c>
      <c r="E174" s="333">
        <f>(D174/$D$175)</f>
        <v>2.4167706397689143E-2</v>
      </c>
      <c r="F174" s="328">
        <v>1000000</v>
      </c>
      <c r="G174" s="328">
        <v>1000000</v>
      </c>
      <c r="H174" s="323">
        <v>2.5999999999999999E-3</v>
      </c>
      <c r="I174" s="323">
        <v>0.15859999999999999</v>
      </c>
      <c r="J174" s="326">
        <v>2280549485.8299999</v>
      </c>
      <c r="K174" s="333">
        <f>(J174/$J$175)</f>
        <v>2.4229422447259039E-2</v>
      </c>
      <c r="L174" s="328">
        <v>1000000</v>
      </c>
      <c r="M174" s="328">
        <v>1000000</v>
      </c>
      <c r="N174" s="323">
        <v>2.5999999999999999E-3</v>
      </c>
      <c r="O174" s="323">
        <v>0.15820000000000001</v>
      </c>
      <c r="P174" s="329">
        <f>((J174-D174)/D174)</f>
        <v>2.6170677413725496E-3</v>
      </c>
      <c r="Q174" s="329">
        <f>((M174-G174)/G174)</f>
        <v>0</v>
      </c>
      <c r="R174" s="329">
        <f>N174-H174</f>
        <v>0</v>
      </c>
      <c r="S174" s="364">
        <f t="shared" si="77"/>
        <v>-3.999999999999837E-4</v>
      </c>
      <c r="T174" s="137" t="s">
        <v>209</v>
      </c>
    </row>
    <row r="175" spans="1:20" s="112" customFormat="1" ht="12" customHeight="1">
      <c r="A175" s="268"/>
      <c r="B175" s="268"/>
      <c r="C175" s="268" t="s">
        <v>202</v>
      </c>
      <c r="D175" s="369">
        <f>SUM(D173:D174)</f>
        <v>94117194024.149994</v>
      </c>
      <c r="E175" s="369"/>
      <c r="F175" s="370"/>
      <c r="G175" s="370"/>
      <c r="H175" s="371"/>
      <c r="I175" s="371"/>
      <c r="J175" s="369">
        <f>SUM(J173:J174)</f>
        <v>94123146797.830002</v>
      </c>
      <c r="K175" s="372"/>
      <c r="L175" s="370"/>
      <c r="M175" s="370"/>
      <c r="N175" s="371"/>
      <c r="O175" s="371"/>
      <c r="P175" s="373">
        <f>((J175-D175)/D175)</f>
        <v>6.3248524796441372E-5</v>
      </c>
      <c r="Q175" s="374"/>
      <c r="R175" s="373">
        <f>N175-H175</f>
        <v>0</v>
      </c>
      <c r="S175" s="375">
        <f t="shared" si="77"/>
        <v>0</v>
      </c>
      <c r="T175" s="138">
        <f>((J175-D175)/D175)</f>
        <v>6.3248524796441372E-5</v>
      </c>
    </row>
    <row r="176" spans="1:20" s="112" customFormat="1" ht="7.5" customHeight="1">
      <c r="A176" s="452"/>
      <c r="B176" s="453"/>
      <c r="C176" s="454"/>
      <c r="D176" s="454"/>
      <c r="E176" s="454"/>
      <c r="F176" s="454"/>
      <c r="G176" s="454"/>
      <c r="H176" s="454"/>
      <c r="I176" s="454"/>
      <c r="J176" s="454"/>
      <c r="K176" s="454"/>
      <c r="L176" s="454"/>
      <c r="M176" s="454"/>
      <c r="N176" s="454"/>
      <c r="O176" s="454"/>
      <c r="P176" s="454"/>
      <c r="Q176" s="454"/>
      <c r="R176" s="454"/>
      <c r="S176" s="455"/>
      <c r="T176" s="188"/>
    </row>
    <row r="177" spans="1:20" s="112" customFormat="1" ht="12" customHeight="1">
      <c r="A177" s="448" t="s">
        <v>46</v>
      </c>
      <c r="B177" s="449"/>
      <c r="C177" s="450"/>
      <c r="D177" s="450"/>
      <c r="E177" s="450"/>
      <c r="F177" s="450"/>
      <c r="G177" s="450"/>
      <c r="H177" s="450"/>
      <c r="I177" s="450"/>
      <c r="J177" s="450"/>
      <c r="K177" s="450"/>
      <c r="L177" s="450"/>
      <c r="M177" s="450"/>
      <c r="N177" s="450"/>
      <c r="O177" s="450"/>
      <c r="P177" s="450"/>
      <c r="Q177" s="450"/>
      <c r="R177" s="450"/>
      <c r="S177" s="451"/>
      <c r="T177" s="188"/>
    </row>
    <row r="178" spans="1:20" s="112" customFormat="1" ht="25.5" customHeight="1">
      <c r="A178" s="251"/>
      <c r="B178" s="253" t="s">
        <v>46</v>
      </c>
      <c r="C178" s="252" t="s">
        <v>194</v>
      </c>
      <c r="D178" s="253" t="s">
        <v>72</v>
      </c>
      <c r="E178" s="254" t="s">
        <v>61</v>
      </c>
      <c r="F178" s="254"/>
      <c r="G178" s="254" t="s">
        <v>73</v>
      </c>
      <c r="H178" s="255"/>
      <c r="I178" s="255"/>
      <c r="J178" s="256" t="s">
        <v>72</v>
      </c>
      <c r="K178" s="254" t="s">
        <v>61</v>
      </c>
      <c r="L178" s="256" t="s">
        <v>213</v>
      </c>
      <c r="M178" s="256" t="s">
        <v>214</v>
      </c>
      <c r="N178" s="254"/>
      <c r="O178" s="254"/>
      <c r="P178" s="409" t="s">
        <v>62</v>
      </c>
      <c r="Q178" s="409"/>
      <c r="R178" s="409"/>
      <c r="S178" s="367"/>
      <c r="T178" s="188"/>
    </row>
    <row r="179" spans="1:20" s="112" customFormat="1" ht="12" customHeight="1">
      <c r="A179" s="189"/>
      <c r="B179" s="68"/>
      <c r="C179" s="68"/>
      <c r="D179" s="198"/>
      <c r="E179" s="198"/>
      <c r="F179" s="198"/>
      <c r="G179" s="198"/>
      <c r="H179" s="221"/>
      <c r="I179" s="221"/>
      <c r="J179" s="217"/>
      <c r="K179" s="198"/>
      <c r="L179" s="198"/>
      <c r="M179" s="198"/>
      <c r="N179" s="220"/>
      <c r="O179" s="220"/>
      <c r="P179" s="297" t="s">
        <v>204</v>
      </c>
      <c r="Q179" s="300" t="s">
        <v>119</v>
      </c>
      <c r="R179" s="297" t="s">
        <v>215</v>
      </c>
      <c r="S179" s="364">
        <f t="shared" ref="S179:S192" si="78">O179-I179</f>
        <v>0</v>
      </c>
      <c r="T179" s="188"/>
    </row>
    <row r="180" spans="1:20" s="112" customFormat="1" ht="12" customHeight="1">
      <c r="A180" s="400">
        <v>1</v>
      </c>
      <c r="B180" s="396" t="s">
        <v>223</v>
      </c>
      <c r="C180" s="397" t="s">
        <v>87</v>
      </c>
      <c r="D180" s="324">
        <v>601039980.77340233</v>
      </c>
      <c r="E180" s="193">
        <f t="shared" ref="E180:E191" si="79">(D180/$D$192)</f>
        <v>7.1037410388510261E-2</v>
      </c>
      <c r="F180" s="328">
        <v>138.37688057405373</v>
      </c>
      <c r="G180" s="328">
        <v>141.34869580983082</v>
      </c>
      <c r="H180" s="335">
        <v>4.2000000000000003E-2</v>
      </c>
      <c r="I180" s="335">
        <v>4.7E-2</v>
      </c>
      <c r="J180" s="324">
        <v>617211849.94737208</v>
      </c>
      <c r="K180" s="193">
        <f t="shared" ref="K180:K190" si="80">(J180/$J$192)</f>
        <v>7.0276998604046514E-2</v>
      </c>
      <c r="L180" s="328">
        <v>142.10011510242248</v>
      </c>
      <c r="M180" s="328">
        <v>145.07259860020719</v>
      </c>
      <c r="N180" s="335">
        <v>6.2E-2</v>
      </c>
      <c r="O180" s="335">
        <v>6.7000000000000004E-2</v>
      </c>
      <c r="P180" s="329">
        <f t="shared" ref="P180:P191" si="81">((J180-D180)/D180)</f>
        <v>2.690647825650502E-2</v>
      </c>
      <c r="Q180" s="329">
        <f t="shared" ref="Q180:Q191" si="82">((M180-G180)/G180)</f>
        <v>2.6345505128582684E-2</v>
      </c>
      <c r="R180" s="329">
        <f t="shared" ref="R180:R191" si="83">N180-H180</f>
        <v>1.9999999999999997E-2</v>
      </c>
      <c r="S180" s="364">
        <f t="shared" si="78"/>
        <v>2.0000000000000004E-2</v>
      </c>
      <c r="T180" s="188"/>
    </row>
    <row r="181" spans="1:20" s="112" customFormat="1" ht="12" customHeight="1">
      <c r="A181" s="400">
        <v>2</v>
      </c>
      <c r="B181" s="396" t="s">
        <v>96</v>
      </c>
      <c r="C181" s="397" t="s">
        <v>23</v>
      </c>
      <c r="D181" s="324">
        <v>663747720.25</v>
      </c>
      <c r="E181" s="193">
        <f t="shared" si="79"/>
        <v>7.8448889767973165E-2</v>
      </c>
      <c r="F181" s="328">
        <v>19.87</v>
      </c>
      <c r="G181" s="328">
        <v>19.87</v>
      </c>
      <c r="H181" s="335">
        <v>-1.2200000000000001E-2</v>
      </c>
      <c r="I181" s="335">
        <v>0.2802</v>
      </c>
      <c r="J181" s="324">
        <v>676825315.63999999</v>
      </c>
      <c r="K181" s="193">
        <f t="shared" si="80"/>
        <v>7.7064709250918254E-2</v>
      </c>
      <c r="L181" s="328">
        <v>20.260000000000002</v>
      </c>
      <c r="M181" s="328">
        <v>20.260000000000002</v>
      </c>
      <c r="N181" s="335">
        <v>1.9699999999999999E-2</v>
      </c>
      <c r="O181" s="335">
        <v>0.3054</v>
      </c>
      <c r="P181" s="329">
        <f t="shared" si="81"/>
        <v>1.9702659596441734E-2</v>
      </c>
      <c r="Q181" s="329">
        <f t="shared" si="82"/>
        <v>1.9627579265223984E-2</v>
      </c>
      <c r="R181" s="329">
        <f t="shared" si="83"/>
        <v>3.1899999999999998E-2</v>
      </c>
      <c r="S181" s="364">
        <f t="shared" si="78"/>
        <v>2.52E-2</v>
      </c>
      <c r="T181" s="188"/>
    </row>
    <row r="182" spans="1:20" s="112" customFormat="1" ht="12" customHeight="1">
      <c r="A182" s="401">
        <v>3</v>
      </c>
      <c r="B182" s="396" t="s">
        <v>184</v>
      </c>
      <c r="C182" s="397" t="s">
        <v>54</v>
      </c>
      <c r="D182" s="324">
        <v>240319338.08000001</v>
      </c>
      <c r="E182" s="193">
        <f t="shared" si="79"/>
        <v>2.8403540512424375E-2</v>
      </c>
      <c r="F182" s="328">
        <v>17.399999999999999</v>
      </c>
      <c r="G182" s="328">
        <v>17.5</v>
      </c>
      <c r="H182" s="335">
        <v>1.2999999999999999E-2</v>
      </c>
      <c r="I182" s="335">
        <v>0.26650000000000001</v>
      </c>
      <c r="J182" s="324">
        <v>246391525.16</v>
      </c>
      <c r="K182" s="193">
        <f t="shared" si="80"/>
        <v>2.8054640997567801E-2</v>
      </c>
      <c r="L182" s="328">
        <v>17.399999999999999</v>
      </c>
      <c r="M182" s="328">
        <v>17.5</v>
      </c>
      <c r="N182" s="335">
        <v>2.53E-2</v>
      </c>
      <c r="O182" s="335">
        <v>0.29849999999999999</v>
      </c>
      <c r="P182" s="329">
        <f t="shared" si="81"/>
        <v>2.5267159640638699E-2</v>
      </c>
      <c r="Q182" s="329">
        <f t="shared" si="82"/>
        <v>0</v>
      </c>
      <c r="R182" s="329">
        <f t="shared" si="83"/>
        <v>1.23E-2</v>
      </c>
      <c r="S182" s="364">
        <f t="shared" si="78"/>
        <v>3.1999999999999973E-2</v>
      </c>
      <c r="T182" s="188"/>
    </row>
    <row r="183" spans="1:20" s="112" customFormat="1" ht="12" customHeight="1">
      <c r="A183" s="401">
        <v>4</v>
      </c>
      <c r="B183" s="396" t="s">
        <v>183</v>
      </c>
      <c r="C183" s="397" t="s">
        <v>54</v>
      </c>
      <c r="D183" s="324">
        <v>327220966.83999997</v>
      </c>
      <c r="E183" s="193">
        <f t="shared" si="79"/>
        <v>3.8674515594166001E-2</v>
      </c>
      <c r="F183" s="328">
        <v>16.399999999999999</v>
      </c>
      <c r="G183" s="328">
        <v>16.5</v>
      </c>
      <c r="H183" s="335">
        <v>2.4E-2</v>
      </c>
      <c r="I183" s="335">
        <v>0.40810000000000002</v>
      </c>
      <c r="J183" s="324">
        <v>347333512.25</v>
      </c>
      <c r="K183" s="193">
        <f t="shared" si="80"/>
        <v>3.9548101284207611E-2</v>
      </c>
      <c r="L183" s="328">
        <v>16.399999999999999</v>
      </c>
      <c r="M183" s="328">
        <v>16.5</v>
      </c>
      <c r="N183" s="335">
        <v>6.1499999999999999E-2</v>
      </c>
      <c r="O183" s="335">
        <v>0.49459999999999998</v>
      </c>
      <c r="P183" s="329">
        <f t="shared" si="81"/>
        <v>6.1464720932245101E-2</v>
      </c>
      <c r="Q183" s="329">
        <f t="shared" si="82"/>
        <v>0</v>
      </c>
      <c r="R183" s="329">
        <f t="shared" si="83"/>
        <v>3.7499999999999999E-2</v>
      </c>
      <c r="S183" s="364">
        <f t="shared" si="78"/>
        <v>8.6499999999999966E-2</v>
      </c>
      <c r="T183" s="188"/>
    </row>
    <row r="184" spans="1:20" s="112" customFormat="1" ht="12" customHeight="1">
      <c r="A184" s="401">
        <v>5</v>
      </c>
      <c r="B184" s="396" t="s">
        <v>32</v>
      </c>
      <c r="C184" s="397" t="s">
        <v>31</v>
      </c>
      <c r="D184" s="324">
        <v>679289400</v>
      </c>
      <c r="E184" s="193">
        <f t="shared" si="79"/>
        <v>8.0285773698900512E-2</v>
      </c>
      <c r="F184" s="328">
        <v>15300</v>
      </c>
      <c r="G184" s="328">
        <v>15300</v>
      </c>
      <c r="H184" s="335">
        <v>0</v>
      </c>
      <c r="I184" s="335">
        <v>0</v>
      </c>
      <c r="J184" s="324">
        <v>750326200</v>
      </c>
      <c r="K184" s="193">
        <f t="shared" si="80"/>
        <v>8.54336696783701E-2</v>
      </c>
      <c r="L184" s="328">
        <v>16900</v>
      </c>
      <c r="M184" s="328">
        <v>16900</v>
      </c>
      <c r="N184" s="335">
        <v>0</v>
      </c>
      <c r="O184" s="335">
        <v>0</v>
      </c>
      <c r="P184" s="329">
        <f t="shared" si="81"/>
        <v>0.10457516339869281</v>
      </c>
      <c r="Q184" s="329">
        <f t="shared" si="82"/>
        <v>0.10457516339869281</v>
      </c>
      <c r="R184" s="329">
        <f t="shared" si="83"/>
        <v>0</v>
      </c>
      <c r="S184" s="364">
        <f t="shared" si="78"/>
        <v>0</v>
      </c>
      <c r="T184" s="188"/>
    </row>
    <row r="185" spans="1:20" s="112" customFormat="1" ht="12" customHeight="1">
      <c r="A185" s="403">
        <v>6</v>
      </c>
      <c r="B185" s="396" t="s">
        <v>94</v>
      </c>
      <c r="C185" s="397" t="s">
        <v>39</v>
      </c>
      <c r="D185" s="324">
        <v>812581911.92999995</v>
      </c>
      <c r="E185" s="193">
        <f t="shared" si="79"/>
        <v>9.6039725473460777E-2</v>
      </c>
      <c r="F185" s="328">
        <v>83</v>
      </c>
      <c r="G185" s="328">
        <v>83</v>
      </c>
      <c r="H185" s="335">
        <v>1.7000000000000001E-2</v>
      </c>
      <c r="I185" s="335">
        <v>0.33760000000000001</v>
      </c>
      <c r="J185" s="324">
        <v>848051631.63</v>
      </c>
      <c r="K185" s="193">
        <f t="shared" si="80"/>
        <v>9.6560886407645402E-2</v>
      </c>
      <c r="L185" s="328">
        <v>80</v>
      </c>
      <c r="M185" s="328">
        <v>80</v>
      </c>
      <c r="N185" s="335">
        <v>4.3700000000000003E-2</v>
      </c>
      <c r="O185" s="335">
        <v>0.39600000000000002</v>
      </c>
      <c r="P185" s="329">
        <f t="shared" si="81"/>
        <v>4.3650639005431854E-2</v>
      </c>
      <c r="Q185" s="329">
        <f t="shared" si="82"/>
        <v>-3.614457831325301E-2</v>
      </c>
      <c r="R185" s="329">
        <f t="shared" si="83"/>
        <v>2.6700000000000002E-2</v>
      </c>
      <c r="S185" s="364">
        <f t="shared" si="78"/>
        <v>5.8400000000000007E-2</v>
      </c>
      <c r="T185" s="188"/>
    </row>
    <row r="186" spans="1:20" s="112" customFormat="1" ht="12" customHeight="1">
      <c r="A186" s="403">
        <v>7</v>
      </c>
      <c r="B186" s="396" t="s">
        <v>40</v>
      </c>
      <c r="C186" s="397" t="s">
        <v>39</v>
      </c>
      <c r="D186" s="324">
        <v>534563252.25999999</v>
      </c>
      <c r="E186" s="193">
        <f t="shared" si="79"/>
        <v>6.3180471090369769E-2</v>
      </c>
      <c r="F186" s="328">
        <v>245</v>
      </c>
      <c r="G186" s="328">
        <v>245</v>
      </c>
      <c r="H186" s="335">
        <v>1.1999999999999999E-3</v>
      </c>
      <c r="I186" s="335">
        <v>0.20810000000000001</v>
      </c>
      <c r="J186" s="324">
        <v>549661896.79999995</v>
      </c>
      <c r="K186" s="193">
        <f t="shared" si="80"/>
        <v>6.2585623327557474E-2</v>
      </c>
      <c r="L186" s="328">
        <v>242.55</v>
      </c>
      <c r="M186" s="328">
        <v>242.55</v>
      </c>
      <c r="N186" s="335">
        <v>2.8199999999999999E-2</v>
      </c>
      <c r="O186" s="335">
        <v>0.2422</v>
      </c>
      <c r="P186" s="329">
        <f t="shared" si="81"/>
        <v>2.8244823182601238E-2</v>
      </c>
      <c r="Q186" s="329">
        <f t="shared" si="82"/>
        <v>-9.9999999999999534E-3</v>
      </c>
      <c r="R186" s="329">
        <f t="shared" si="83"/>
        <v>2.7E-2</v>
      </c>
      <c r="S186" s="364">
        <f t="shared" si="78"/>
        <v>3.4099999999999991E-2</v>
      </c>
      <c r="T186" s="188"/>
    </row>
    <row r="187" spans="1:20" s="112" customFormat="1" ht="12" customHeight="1">
      <c r="A187" s="401">
        <v>8</v>
      </c>
      <c r="B187" s="396" t="s">
        <v>50</v>
      </c>
      <c r="C187" s="397" t="s">
        <v>29</v>
      </c>
      <c r="D187" s="324">
        <v>197698435.84999999</v>
      </c>
      <c r="E187" s="193">
        <f t="shared" si="79"/>
        <v>2.3366140972138974E-2</v>
      </c>
      <c r="F187" s="328">
        <v>8.8000000000000007</v>
      </c>
      <c r="G187" s="328">
        <v>8.9</v>
      </c>
      <c r="H187" s="335">
        <v>0</v>
      </c>
      <c r="I187" s="335">
        <v>0.50170000000000003</v>
      </c>
      <c r="J187" s="324">
        <v>199877902</v>
      </c>
      <c r="K187" s="193">
        <f t="shared" si="80"/>
        <v>2.2758505108143142E-2</v>
      </c>
      <c r="L187" s="328">
        <v>8.9</v>
      </c>
      <c r="M187" s="328">
        <v>9</v>
      </c>
      <c r="N187" s="335">
        <v>1.2500000000000001E-2</v>
      </c>
      <c r="O187" s="335">
        <v>0.52039999999999997</v>
      </c>
      <c r="P187" s="329">
        <f t="shared" si="81"/>
        <v>1.1024195212417539E-2</v>
      </c>
      <c r="Q187" s="329">
        <f t="shared" si="82"/>
        <v>1.1235955056179735E-2</v>
      </c>
      <c r="R187" s="329">
        <f t="shared" si="83"/>
        <v>1.2500000000000001E-2</v>
      </c>
      <c r="S187" s="364">
        <f t="shared" si="78"/>
        <v>1.8699999999999939E-2</v>
      </c>
      <c r="T187" s="188"/>
    </row>
    <row r="188" spans="1:20" s="112" customFormat="1" ht="12" customHeight="1">
      <c r="A188" s="401">
        <v>9</v>
      </c>
      <c r="B188" s="396" t="s">
        <v>59</v>
      </c>
      <c r="C188" s="397" t="s">
        <v>29</v>
      </c>
      <c r="D188" s="75">
        <v>502621024</v>
      </c>
      <c r="E188" s="193">
        <f t="shared" si="79"/>
        <v>5.9405192822342946E-2</v>
      </c>
      <c r="F188" s="328">
        <v>5.94</v>
      </c>
      <c r="G188" s="328">
        <v>6.04</v>
      </c>
      <c r="H188" s="335">
        <v>2.7300000000000001E-2</v>
      </c>
      <c r="I188" s="335">
        <v>0.42320000000000002</v>
      </c>
      <c r="J188" s="75">
        <v>541984872</v>
      </c>
      <c r="K188" s="193">
        <f t="shared" si="80"/>
        <v>6.1711501644380412E-2</v>
      </c>
      <c r="L188" s="328">
        <v>6.4</v>
      </c>
      <c r="M188" s="328">
        <v>6.5</v>
      </c>
      <c r="N188" s="335">
        <v>6.6400000000000001E-2</v>
      </c>
      <c r="O188" s="335">
        <v>0.51770000000000005</v>
      </c>
      <c r="P188" s="329">
        <f t="shared" si="81"/>
        <v>7.8317153720971283E-2</v>
      </c>
      <c r="Q188" s="329">
        <f t="shared" si="82"/>
        <v>7.6158940397350994E-2</v>
      </c>
      <c r="R188" s="329">
        <f t="shared" si="83"/>
        <v>3.9099999999999996E-2</v>
      </c>
      <c r="S188" s="364">
        <f t="shared" si="78"/>
        <v>9.4500000000000028E-2</v>
      </c>
      <c r="T188" s="188"/>
    </row>
    <row r="189" spans="1:20" s="112" customFormat="1" ht="12" customHeight="1">
      <c r="A189" s="401">
        <v>10</v>
      </c>
      <c r="B189" s="396" t="s">
        <v>92</v>
      </c>
      <c r="C189" s="397" t="s">
        <v>29</v>
      </c>
      <c r="D189" s="324">
        <v>492336350.33999997</v>
      </c>
      <c r="E189" s="193">
        <f t="shared" si="79"/>
        <v>5.8189638771251016E-2</v>
      </c>
      <c r="F189" s="328">
        <v>138.85</v>
      </c>
      <c r="G189" s="328">
        <v>140.85</v>
      </c>
      <c r="H189" s="335">
        <v>-3.3000000000000002E-2</v>
      </c>
      <c r="I189" s="335">
        <v>-0.1358</v>
      </c>
      <c r="J189" s="324">
        <v>507791644.63</v>
      </c>
      <c r="K189" s="193">
        <f t="shared" si="80"/>
        <v>5.7818191118417191E-2</v>
      </c>
      <c r="L189" s="328">
        <v>143.24</v>
      </c>
      <c r="M189" s="328">
        <v>145.24</v>
      </c>
      <c r="N189" s="335">
        <v>0</v>
      </c>
      <c r="O189" s="335">
        <v>-0.1358</v>
      </c>
      <c r="P189" s="329">
        <f t="shared" si="81"/>
        <v>3.1391739162316232E-2</v>
      </c>
      <c r="Q189" s="329">
        <f t="shared" si="82"/>
        <v>3.1167909123180796E-2</v>
      </c>
      <c r="R189" s="329">
        <f t="shared" si="83"/>
        <v>3.3000000000000002E-2</v>
      </c>
      <c r="S189" s="364">
        <f t="shared" si="78"/>
        <v>0</v>
      </c>
      <c r="T189" s="188"/>
    </row>
    <row r="190" spans="1:20" s="112" customFormat="1" ht="12" customHeight="1">
      <c r="A190" s="401">
        <v>11</v>
      </c>
      <c r="B190" s="396" t="s">
        <v>30</v>
      </c>
      <c r="C190" s="397" t="s">
        <v>29</v>
      </c>
      <c r="D190" s="324">
        <v>3149429292.5500002</v>
      </c>
      <c r="E190" s="193">
        <f t="shared" si="79"/>
        <v>0.37223364218896637</v>
      </c>
      <c r="F190" s="328">
        <v>21.65</v>
      </c>
      <c r="G190" s="328">
        <v>21.85</v>
      </c>
      <c r="H190" s="335">
        <v>9.9699999999999997E-2</v>
      </c>
      <c r="I190" s="335">
        <v>0.13589999999999999</v>
      </c>
      <c r="J190" s="324">
        <v>3235566487.0500002</v>
      </c>
      <c r="K190" s="193">
        <f t="shared" si="80"/>
        <v>0.36840819163323107</v>
      </c>
      <c r="L190" s="328">
        <v>22.25</v>
      </c>
      <c r="M190" s="328">
        <v>22.45</v>
      </c>
      <c r="N190" s="335">
        <v>2.8199999999999999E-2</v>
      </c>
      <c r="O190" s="335">
        <v>0.16789999999999999</v>
      </c>
      <c r="P190" s="329">
        <f t="shared" si="81"/>
        <v>2.7350096318643574E-2</v>
      </c>
      <c r="Q190" s="329">
        <f t="shared" si="82"/>
        <v>2.7459954233409512E-2</v>
      </c>
      <c r="R190" s="329">
        <f t="shared" si="83"/>
        <v>-7.1499999999999994E-2</v>
      </c>
      <c r="S190" s="364">
        <f t="shared" si="78"/>
        <v>3.2000000000000001E-2</v>
      </c>
      <c r="T190" s="188"/>
    </row>
    <row r="191" spans="1:20" s="112" customFormat="1" ht="12" customHeight="1">
      <c r="A191" s="401">
        <v>12</v>
      </c>
      <c r="B191" s="396" t="s">
        <v>51</v>
      </c>
      <c r="C191" s="397" t="s">
        <v>29</v>
      </c>
      <c r="D191" s="75">
        <v>260046065.88</v>
      </c>
      <c r="E191" s="193">
        <f t="shared" si="79"/>
        <v>3.0735058719495778E-2</v>
      </c>
      <c r="F191" s="328">
        <v>24.66</v>
      </c>
      <c r="G191" s="328">
        <v>24.86</v>
      </c>
      <c r="H191" s="335">
        <v>2.5700000000000001E-2</v>
      </c>
      <c r="I191" s="335">
        <v>3.2099999999999997E-2</v>
      </c>
      <c r="J191" s="75">
        <v>261535641.59</v>
      </c>
      <c r="K191" s="193">
        <v>0.24610000000000001</v>
      </c>
      <c r="L191" s="328">
        <v>24.81</v>
      </c>
      <c r="M191" s="328">
        <v>25.01</v>
      </c>
      <c r="N191" s="335">
        <v>7.3000000000000001E-3</v>
      </c>
      <c r="O191" s="335">
        <v>3.9600000000000003E-2</v>
      </c>
      <c r="P191" s="329">
        <f t="shared" si="81"/>
        <v>5.728122457685567E-3</v>
      </c>
      <c r="Q191" s="329">
        <f t="shared" si="82"/>
        <v>6.0337892196300133E-3</v>
      </c>
      <c r="R191" s="329">
        <f t="shared" si="83"/>
        <v>-1.84E-2</v>
      </c>
      <c r="S191" s="364">
        <f t="shared" si="78"/>
        <v>7.5000000000000067E-3</v>
      </c>
      <c r="T191" s="190"/>
    </row>
    <row r="192" spans="1:20" s="112" customFormat="1" ht="12" customHeight="1">
      <c r="A192" s="376"/>
      <c r="B192" s="377"/>
      <c r="C192" s="377" t="s">
        <v>33</v>
      </c>
      <c r="D192" s="369">
        <f>SUM(D180:D191)</f>
        <v>8460893738.7534027</v>
      </c>
      <c r="E192" s="369"/>
      <c r="F192" s="372"/>
      <c r="G192" s="370"/>
      <c r="H192" s="371"/>
      <c r="I192" s="371"/>
      <c r="J192" s="369">
        <f>SUM(J180:J191)</f>
        <v>8782558478.6973724</v>
      </c>
      <c r="K192" s="372"/>
      <c r="L192" s="372"/>
      <c r="M192" s="370"/>
      <c r="N192" s="371"/>
      <c r="O192" s="371"/>
      <c r="P192" s="373">
        <f t="shared" ref="P192" si="84">((J192-D192)/D192)</f>
        <v>3.8017820560805514E-2</v>
      </c>
      <c r="Q192" s="374"/>
      <c r="R192" s="373">
        <f t="shared" ref="R192" si="85">N192-H192</f>
        <v>0</v>
      </c>
      <c r="S192" s="375">
        <f t="shared" si="78"/>
        <v>0</v>
      </c>
      <c r="T192" s="137" t="s">
        <v>260</v>
      </c>
    </row>
    <row r="193" spans="1:20" s="112" customFormat="1" ht="12" customHeight="1" thickBot="1">
      <c r="A193" s="246"/>
      <c r="B193" s="247"/>
      <c r="C193" s="247" t="s">
        <v>43</v>
      </c>
      <c r="D193" s="248">
        <f>SUM(D168,D175,D192)</f>
        <v>1977611461136.2695</v>
      </c>
      <c r="E193" s="248"/>
      <c r="F193" s="248"/>
      <c r="G193" s="249"/>
      <c r="H193" s="250"/>
      <c r="I193" s="250"/>
      <c r="J193" s="248">
        <f>SUM(J168,J175,J192)</f>
        <v>1980881003971.5117</v>
      </c>
      <c r="K193" s="228"/>
      <c r="L193" s="228"/>
      <c r="M193" s="229"/>
      <c r="N193" s="230"/>
      <c r="O193" s="230"/>
      <c r="P193" s="211"/>
      <c r="Q193" s="215"/>
      <c r="R193" s="215"/>
      <c r="S193" s="212"/>
      <c r="T193" s="138">
        <f>((J192-D192)/D192)</f>
        <v>3.8017820560805514E-2</v>
      </c>
    </row>
    <row r="194" spans="1:20" ht="12" customHeight="1">
      <c r="A194" s="231"/>
      <c r="B194" s="92"/>
      <c r="C194" s="232"/>
      <c r="D194" s="66"/>
      <c r="E194" s="66"/>
      <c r="F194" s="66"/>
      <c r="G194" s="233"/>
      <c r="H194" s="234"/>
      <c r="I194" s="234"/>
      <c r="J194" s="7"/>
      <c r="K194" s="66"/>
      <c r="L194" s="66"/>
      <c r="M194" s="235"/>
      <c r="N194" s="236"/>
      <c r="O194" s="236"/>
    </row>
    <row r="195" spans="1:20" ht="12" customHeight="1">
      <c r="A195" s="236"/>
      <c r="B195" s="235"/>
      <c r="C195" s="238"/>
      <c r="D195" s="235"/>
      <c r="E195" s="235"/>
      <c r="F195" s="235"/>
      <c r="G195" s="235"/>
      <c r="H195" s="237"/>
      <c r="I195" s="237"/>
      <c r="J195" s="239"/>
      <c r="K195" s="235"/>
      <c r="L195" s="235"/>
      <c r="M195" s="235"/>
      <c r="N195" s="236"/>
      <c r="O195" s="236"/>
    </row>
    <row r="196" spans="1:20" ht="12" customHeight="1">
      <c r="A196" s="236"/>
      <c r="B196" s="238"/>
      <c r="C196" s="235"/>
      <c r="D196" s="235"/>
      <c r="E196" s="235"/>
      <c r="F196" s="235"/>
      <c r="G196" s="235"/>
      <c r="H196" s="237"/>
      <c r="I196" s="237"/>
      <c r="J196" s="239"/>
      <c r="K196" s="235"/>
      <c r="L196" s="235"/>
      <c r="M196" s="235"/>
      <c r="N196" s="236"/>
      <c r="O196" s="236"/>
    </row>
    <row r="197" spans="1:20" ht="12" customHeight="1">
      <c r="A197" s="236"/>
      <c r="B197" s="241"/>
      <c r="C197" s="240"/>
      <c r="D197" s="235"/>
      <c r="E197" s="235"/>
      <c r="F197" s="235"/>
      <c r="G197" s="235"/>
      <c r="H197" s="237"/>
      <c r="I197" s="237"/>
      <c r="J197" s="239"/>
      <c r="K197" s="235"/>
      <c r="L197" s="235"/>
      <c r="M197" s="235"/>
      <c r="N197" s="236"/>
      <c r="O197" s="236"/>
    </row>
    <row r="198" spans="1:20" ht="12" customHeight="1">
      <c r="A198" s="236"/>
      <c r="B198" s="240"/>
      <c r="C198" s="240"/>
      <c r="D198" s="235"/>
      <c r="E198" s="235"/>
      <c r="F198" s="235"/>
      <c r="G198" s="235"/>
      <c r="H198" s="237"/>
      <c r="I198" s="237"/>
      <c r="J198" s="239"/>
      <c r="K198" s="235"/>
      <c r="L198" s="235"/>
      <c r="M198" s="235"/>
      <c r="N198" s="236"/>
      <c r="O198" s="236"/>
    </row>
    <row r="199" spans="1:20" ht="12" customHeight="1">
      <c r="A199" s="236"/>
      <c r="B199" s="240"/>
      <c r="C199" s="240"/>
      <c r="D199" s="235"/>
      <c r="E199" s="235"/>
      <c r="F199" s="235"/>
      <c r="G199" s="235"/>
      <c r="H199" s="237"/>
      <c r="I199" s="237"/>
      <c r="J199" s="239"/>
      <c r="K199" s="235"/>
      <c r="L199" s="235"/>
      <c r="M199" s="235"/>
      <c r="N199" s="236"/>
      <c r="O199" s="236"/>
    </row>
    <row r="200" spans="1:20" ht="12" customHeight="1">
      <c r="A200" s="236"/>
      <c r="B200" s="240"/>
      <c r="C200" s="240"/>
      <c r="D200" s="235"/>
      <c r="E200" s="235"/>
      <c r="F200" s="235"/>
      <c r="G200" s="235"/>
      <c r="H200" s="237"/>
      <c r="I200" s="237"/>
      <c r="J200" s="239"/>
      <c r="K200" s="235"/>
      <c r="L200" s="235"/>
      <c r="M200" s="235"/>
      <c r="N200" s="236"/>
      <c r="O200" s="236"/>
    </row>
    <row r="201" spans="1:20" ht="12" customHeight="1">
      <c r="A201" s="236"/>
      <c r="B201" s="241"/>
      <c r="C201" s="240"/>
      <c r="D201" s="235"/>
      <c r="E201" s="235"/>
      <c r="F201" s="235"/>
      <c r="G201" s="235"/>
      <c r="H201" s="237"/>
      <c r="I201" s="237"/>
      <c r="J201" s="239"/>
      <c r="K201" s="235"/>
      <c r="L201" s="235"/>
      <c r="M201" s="235"/>
      <c r="N201" s="236"/>
      <c r="O201" s="236"/>
    </row>
    <row r="202" spans="1:20" ht="12" customHeight="1">
      <c r="B202" s="240"/>
      <c r="C202" s="240"/>
      <c r="D202" s="235"/>
      <c r="E202" s="235"/>
      <c r="F202" s="235"/>
      <c r="G202" s="235"/>
      <c r="H202" s="237"/>
      <c r="I202" s="237"/>
      <c r="J202" s="239"/>
      <c r="K202" s="235"/>
      <c r="L202" s="235"/>
      <c r="M202" s="235"/>
      <c r="N202" s="236"/>
      <c r="O202" s="236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5 J144:J145 D135 D144:D145" name="Fund Name_1_1_1_2"/>
    <protectedRange password="CADF" sqref="N135:O135 N144:O145 H135:I135 H144:I145" name="Yield_1_1_2_2"/>
    <protectedRange password="CADF" sqref="L135:M135 L144:M145 F135:G135 F144:G145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3">
    <mergeCell ref="A148:S148"/>
    <mergeCell ref="A147:S147"/>
    <mergeCell ref="A177:S177"/>
    <mergeCell ref="A159:S159"/>
    <mergeCell ref="A158:S158"/>
    <mergeCell ref="A170:S170"/>
    <mergeCell ref="A176:S176"/>
    <mergeCell ref="A1:S1"/>
    <mergeCell ref="A56:S56"/>
    <mergeCell ref="A55:S55"/>
    <mergeCell ref="A89:S89"/>
    <mergeCell ref="A90:S90"/>
    <mergeCell ref="A88:S88"/>
    <mergeCell ref="D2:I2"/>
    <mergeCell ref="J2:O2"/>
    <mergeCell ref="U70:V70"/>
    <mergeCell ref="V29:W29"/>
    <mergeCell ref="P2:Q2"/>
    <mergeCell ref="R2:S2"/>
    <mergeCell ref="V30:W30"/>
    <mergeCell ref="V31:W31"/>
    <mergeCell ref="V34:W34"/>
    <mergeCell ref="U39:U40"/>
    <mergeCell ref="A4:S4"/>
    <mergeCell ref="A5:S5"/>
    <mergeCell ref="A24:S24"/>
    <mergeCell ref="A23:S23"/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40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152</v>
      </c>
      <c r="G6" s="102"/>
    </row>
    <row r="7" spans="1:7">
      <c r="E7" s="194" t="s">
        <v>0</v>
      </c>
      <c r="F7" s="101">
        <f>'NAV Trend'!J2</f>
        <v>20288689104.509998</v>
      </c>
      <c r="G7" s="102"/>
    </row>
    <row r="8" spans="1:7">
      <c r="E8" s="194" t="s">
        <v>44</v>
      </c>
      <c r="F8" s="101">
        <f>'NAV Trend'!J3</f>
        <v>817523630430.57593</v>
      </c>
      <c r="G8" s="102"/>
    </row>
    <row r="9" spans="1:7">
      <c r="A9" s="102"/>
      <c r="B9" s="102"/>
      <c r="E9" s="194" t="s">
        <v>193</v>
      </c>
      <c r="F9" s="101">
        <f>'NAV Trend'!J4</f>
        <v>327549421729.35663</v>
      </c>
      <c r="G9" s="102"/>
    </row>
    <row r="10" spans="1:7">
      <c r="A10" s="456"/>
      <c r="B10" s="456"/>
      <c r="E10" s="194" t="s">
        <v>195</v>
      </c>
      <c r="F10" s="101">
        <f>'NAV Trend'!J5</f>
        <v>550519578291.03943</v>
      </c>
      <c r="G10" s="102"/>
    </row>
    <row r="11" spans="1:7">
      <c r="A11" s="95"/>
      <c r="B11" s="95"/>
      <c r="E11" s="194" t="s">
        <v>211</v>
      </c>
      <c r="F11" s="101">
        <f>'NAV Trend'!J6</f>
        <v>93463222418.470001</v>
      </c>
      <c r="G11" s="102"/>
    </row>
    <row r="12" spans="1:7">
      <c r="A12" s="96"/>
      <c r="B12" s="97"/>
      <c r="E12" s="194" t="s">
        <v>60</v>
      </c>
      <c r="F12" s="101">
        <f>'NAV Trend'!J7</f>
        <v>36228102075.464104</v>
      </c>
      <c r="G12" s="102"/>
    </row>
    <row r="13" spans="1:7">
      <c r="A13" s="96"/>
      <c r="B13" s="97"/>
      <c r="E13" s="194" t="s">
        <v>66</v>
      </c>
      <c r="F13" s="101">
        <f>'NAV Trend'!J8</f>
        <v>3378418489.8299999</v>
      </c>
      <c r="G13" s="102"/>
    </row>
    <row r="14" spans="1:7">
      <c r="A14" s="96"/>
      <c r="B14" s="97"/>
      <c r="E14" s="194" t="s">
        <v>208</v>
      </c>
      <c r="F14" s="195">
        <f>'NAV Trend'!J9</f>
        <v>26082310834.120003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8" t="s">
        <v>154</v>
      </c>
      <c r="M25" s="94"/>
    </row>
    <row r="26" spans="1:13" ht="43.5" customHeight="1">
      <c r="B26" s="457" t="s">
        <v>285</v>
      </c>
      <c r="C26" s="457"/>
      <c r="D26" s="457"/>
      <c r="E26" s="457"/>
      <c r="F26" s="457"/>
      <c r="G26" s="457"/>
      <c r="H26" s="457"/>
      <c r="I26" s="457"/>
      <c r="J26" s="457"/>
      <c r="K26" s="457"/>
      <c r="L26" s="457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6" t="s">
        <v>64</v>
      </c>
      <c r="C1" s="340">
        <v>45051</v>
      </c>
      <c r="D1" s="340">
        <v>45058</v>
      </c>
      <c r="E1" s="340">
        <v>45065</v>
      </c>
      <c r="F1" s="340">
        <v>45072</v>
      </c>
      <c r="G1" s="340">
        <v>45079</v>
      </c>
      <c r="H1" s="340">
        <v>45086</v>
      </c>
      <c r="I1" s="340">
        <v>45093</v>
      </c>
      <c r="J1" s="340">
        <v>45100</v>
      </c>
      <c r="K1" s="340">
        <v>45107</v>
      </c>
      <c r="L1" s="304"/>
    </row>
    <row r="2" spans="2:24" s="108" customFormat="1" ht="16.5">
      <c r="B2" s="347" t="s">
        <v>0</v>
      </c>
      <c r="C2" s="341">
        <v>16995023834.229998</v>
      </c>
      <c r="D2" s="341">
        <v>16966112297.950001</v>
      </c>
      <c r="E2" s="341">
        <v>17079628906.379999</v>
      </c>
      <c r="F2" s="341">
        <v>17454929325.299999</v>
      </c>
      <c r="G2" s="341">
        <v>18617819180.259998</v>
      </c>
      <c r="H2" s="341">
        <v>18707350348.629997</v>
      </c>
      <c r="I2" s="341">
        <v>20030863173.209999</v>
      </c>
      <c r="J2" s="341">
        <v>20288689104.509998</v>
      </c>
      <c r="K2" s="341">
        <v>20576058059.739998</v>
      </c>
    </row>
    <row r="3" spans="2:24" s="108" customFormat="1" ht="16.5">
      <c r="B3" s="347" t="s">
        <v>44</v>
      </c>
      <c r="C3" s="342">
        <v>806100368208.14038</v>
      </c>
      <c r="D3" s="342">
        <v>813613346034.13635</v>
      </c>
      <c r="E3" s="342">
        <v>806087341383.99084</v>
      </c>
      <c r="F3" s="342">
        <v>798748175531.57666</v>
      </c>
      <c r="G3" s="342">
        <v>807261945859.45349</v>
      </c>
      <c r="H3" s="342">
        <v>810860786783.24963</v>
      </c>
      <c r="I3" s="342">
        <v>816758455712.61926</v>
      </c>
      <c r="J3" s="342">
        <v>817523630430.57593</v>
      </c>
      <c r="K3" s="342">
        <v>822530716125.65808</v>
      </c>
    </row>
    <row r="4" spans="2:24" s="108" customFormat="1" ht="16.5">
      <c r="B4" s="347" t="s">
        <v>193</v>
      </c>
      <c r="C4" s="341">
        <v>326343931654.87665</v>
      </c>
      <c r="D4" s="341">
        <v>326621734089.72247</v>
      </c>
      <c r="E4" s="341">
        <v>326437563760.66541</v>
      </c>
      <c r="F4" s="341">
        <v>323714339049.49524</v>
      </c>
      <c r="G4" s="341">
        <v>323395950269.5387</v>
      </c>
      <c r="H4" s="341">
        <v>319908980259.00153</v>
      </c>
      <c r="I4" s="341">
        <v>317665884188.13855</v>
      </c>
      <c r="J4" s="341">
        <v>327549421729.35663</v>
      </c>
      <c r="K4" s="341">
        <v>321409973646.99713</v>
      </c>
    </row>
    <row r="5" spans="2:24" s="108" customFormat="1" ht="16.5">
      <c r="B5" s="347" t="s">
        <v>195</v>
      </c>
      <c r="C5" s="342">
        <v>334539052167.92297</v>
      </c>
      <c r="D5" s="342">
        <v>331372584980.02832</v>
      </c>
      <c r="E5" s="342">
        <v>329647629846.67249</v>
      </c>
      <c r="F5" s="342">
        <v>331908642809.0658</v>
      </c>
      <c r="G5" s="342">
        <v>331906740337.94391</v>
      </c>
      <c r="H5" s="342">
        <v>338597314330.35101</v>
      </c>
      <c r="I5" s="342">
        <v>470498434802.98218</v>
      </c>
      <c r="J5" s="342">
        <v>550519578291.03943</v>
      </c>
      <c r="K5" s="342">
        <v>553623134341.57056</v>
      </c>
    </row>
    <row r="6" spans="2:24" s="108" customFormat="1" ht="16.5">
      <c r="B6" s="347" t="s">
        <v>212</v>
      </c>
      <c r="C6" s="341">
        <v>94163780372.309998</v>
      </c>
      <c r="D6" s="341">
        <v>94193238006.570007</v>
      </c>
      <c r="E6" s="341">
        <v>94202498345.429993</v>
      </c>
      <c r="F6" s="341">
        <v>94230214273.230011</v>
      </c>
      <c r="G6" s="341">
        <v>93351135037.830002</v>
      </c>
      <c r="H6" s="341">
        <v>93428704507.080002</v>
      </c>
      <c r="I6" s="341">
        <v>93449896565.160004</v>
      </c>
      <c r="J6" s="341">
        <v>93463222418.470001</v>
      </c>
      <c r="K6" s="341">
        <v>93491559414.529999</v>
      </c>
    </row>
    <row r="7" spans="2:24" s="108" customFormat="1" ht="16.5">
      <c r="B7" s="347" t="s">
        <v>221</v>
      </c>
      <c r="C7" s="343">
        <v>31685014995.591473</v>
      </c>
      <c r="D7" s="343">
        <v>31764157613.919247</v>
      </c>
      <c r="E7" s="343">
        <v>32017254793.66489</v>
      </c>
      <c r="F7" s="343">
        <v>32587344550.170525</v>
      </c>
      <c r="G7" s="343">
        <v>33634490477.322308</v>
      </c>
      <c r="H7" s="343">
        <v>33719080186.031113</v>
      </c>
      <c r="I7" s="343">
        <v>35744115521.98378</v>
      </c>
      <c r="J7" s="343">
        <v>36228102075.464104</v>
      </c>
      <c r="K7" s="343">
        <v>36851874319.96862</v>
      </c>
    </row>
    <row r="8" spans="2:24" s="285" customFormat="1" ht="16.5">
      <c r="B8" s="347" t="s">
        <v>66</v>
      </c>
      <c r="C8" s="341">
        <v>3058498106.9700003</v>
      </c>
      <c r="D8" s="341">
        <v>3052374164.9300003</v>
      </c>
      <c r="E8" s="341">
        <v>3085351470.0200005</v>
      </c>
      <c r="F8" s="341">
        <v>3105704717.4300003</v>
      </c>
      <c r="G8" s="341">
        <v>3224901792.5799999</v>
      </c>
      <c r="H8" s="341">
        <v>3226244064.04</v>
      </c>
      <c r="I8" s="341">
        <v>3394394975.1899996</v>
      </c>
      <c r="J8" s="341">
        <v>3378418489.8299999</v>
      </c>
      <c r="K8" s="341">
        <v>3481681169.4399996</v>
      </c>
    </row>
    <row r="9" spans="2:24" ht="16.5">
      <c r="B9" s="347" t="s">
        <v>208</v>
      </c>
      <c r="C9" s="341">
        <v>25223397111.16</v>
      </c>
      <c r="D9" s="341">
        <v>25289708132.780003</v>
      </c>
      <c r="E9" s="341">
        <v>25509760696.910004</v>
      </c>
      <c r="F9" s="341">
        <v>25740009095.389999</v>
      </c>
      <c r="G9" s="341">
        <v>25701609592.029999</v>
      </c>
      <c r="H9" s="341">
        <v>25776389309.68</v>
      </c>
      <c r="I9" s="341">
        <v>25810810447.57</v>
      </c>
      <c r="J9" s="341">
        <v>26082310834.120003</v>
      </c>
      <c r="K9" s="341">
        <v>26010301617.079998</v>
      </c>
    </row>
    <row r="10" spans="2:24" s="1" customFormat="1" ht="15.75">
      <c r="B10" s="348" t="s">
        <v>249</v>
      </c>
      <c r="C10" s="349">
        <f t="shared" ref="C10:J10" si="0">SUM(C2:C9)</f>
        <v>1638109066451.2014</v>
      </c>
      <c r="D10" s="349">
        <f t="shared" si="0"/>
        <v>1642873255320.0364</v>
      </c>
      <c r="E10" s="349">
        <f t="shared" si="0"/>
        <v>1634067029203.7332</v>
      </c>
      <c r="F10" s="349">
        <f t="shared" si="0"/>
        <v>1627489359351.6582</v>
      </c>
      <c r="G10" s="349">
        <f t="shared" si="0"/>
        <v>1637094592546.9585</v>
      </c>
      <c r="H10" s="349">
        <f t="shared" si="0"/>
        <v>1644224849788.0632</v>
      </c>
      <c r="I10" s="349">
        <f t="shared" si="0"/>
        <v>1783352855386.8538</v>
      </c>
      <c r="J10" s="349">
        <f t="shared" si="0"/>
        <v>1875033373373.3662</v>
      </c>
      <c r="K10" s="349">
        <f t="shared" ref="K10" si="1">SUM(K2:K9)</f>
        <v>1877975298694.9844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4"/>
      <c r="C11" s="345"/>
      <c r="D11" s="345"/>
      <c r="E11" s="345"/>
      <c r="F11" s="345"/>
      <c r="G11" s="345"/>
      <c r="H11" s="345"/>
      <c r="I11" s="345"/>
      <c r="J11" s="344"/>
      <c r="K11" s="344"/>
    </row>
    <row r="12" spans="2:24" ht="15.75">
      <c r="B12" s="350" t="s">
        <v>114</v>
      </c>
      <c r="C12" s="351" t="s">
        <v>113</v>
      </c>
      <c r="D12" s="352">
        <f>(C10+D10)/2</f>
        <v>1640491160885.6189</v>
      </c>
      <c r="E12" s="353">
        <f t="shared" ref="E12:K12" si="2">(D10+E10)/2</f>
        <v>1638470142261.8848</v>
      </c>
      <c r="F12" s="353">
        <f t="shared" si="2"/>
        <v>1630778194277.6958</v>
      </c>
      <c r="G12" s="353">
        <f t="shared" si="2"/>
        <v>1632291975949.3083</v>
      </c>
      <c r="H12" s="353">
        <f>(G10+H10)/2</f>
        <v>1640659721167.5107</v>
      </c>
      <c r="I12" s="353">
        <f t="shared" si="2"/>
        <v>1713788852587.4585</v>
      </c>
      <c r="J12" s="353">
        <f t="shared" si="2"/>
        <v>1829193114380.1099</v>
      </c>
      <c r="K12" s="353">
        <f t="shared" si="2"/>
        <v>1876504336034.1753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7"/>
      <c r="I14" s="90"/>
      <c r="J14" s="89"/>
      <c r="L14" s="387"/>
    </row>
    <row r="15" spans="2:24" ht="16.5">
      <c r="B15" s="346" t="s">
        <v>64</v>
      </c>
      <c r="C15" s="340">
        <v>45100</v>
      </c>
      <c r="D15" s="340">
        <v>45107</v>
      </c>
      <c r="E15" s="10"/>
      <c r="F15" s="10"/>
      <c r="G15" s="10"/>
      <c r="H15" s="357"/>
      <c r="I15" s="357"/>
    </row>
    <row r="16" spans="2:24" ht="16.5">
      <c r="B16" s="347" t="s">
        <v>0</v>
      </c>
      <c r="C16" s="341">
        <v>20288689104.509998</v>
      </c>
      <c r="D16" s="341">
        <v>20576058059.739998</v>
      </c>
      <c r="E16" s="10"/>
      <c r="F16" s="10"/>
      <c r="G16" s="10"/>
      <c r="H16" s="359"/>
      <c r="I16" s="359"/>
      <c r="J16" s="90"/>
    </row>
    <row r="17" spans="2:10" ht="16.5">
      <c r="B17" s="347" t="s">
        <v>44</v>
      </c>
      <c r="C17" s="342">
        <v>817523630430.57593</v>
      </c>
      <c r="D17" s="342">
        <v>822530716125.65808</v>
      </c>
      <c r="E17" s="10"/>
      <c r="F17" s="10"/>
      <c r="G17" s="10"/>
      <c r="H17" s="360"/>
      <c r="I17" s="360"/>
    </row>
    <row r="18" spans="2:10" ht="16.5">
      <c r="B18" s="347" t="s">
        <v>193</v>
      </c>
      <c r="C18" s="341">
        <v>327549421729.35663</v>
      </c>
      <c r="D18" s="341">
        <v>321409973646.99713</v>
      </c>
      <c r="E18" s="9"/>
      <c r="F18" s="9"/>
      <c r="G18" s="9"/>
      <c r="H18" s="359"/>
      <c r="I18" s="359"/>
    </row>
    <row r="19" spans="2:10" ht="16.5">
      <c r="B19" s="347" t="s">
        <v>195</v>
      </c>
      <c r="C19" s="342">
        <v>550519578291.03943</v>
      </c>
      <c r="D19" s="342">
        <v>553623134341.57056</v>
      </c>
      <c r="E19" s="8"/>
      <c r="F19" s="8"/>
      <c r="G19" s="8"/>
      <c r="H19" s="360"/>
      <c r="I19" s="360"/>
    </row>
    <row r="20" spans="2:10" ht="16.5">
      <c r="B20" s="347" t="s">
        <v>212</v>
      </c>
      <c r="C20" s="341">
        <v>93463222418.470001</v>
      </c>
      <c r="D20" s="341">
        <v>93491559414.529999</v>
      </c>
      <c r="E20" s="8"/>
      <c r="F20" s="8"/>
      <c r="G20" s="8"/>
      <c r="H20" s="359"/>
      <c r="I20" s="359"/>
      <c r="J20" s="91"/>
    </row>
    <row r="21" spans="2:10" ht="16.5">
      <c r="B21" s="347" t="s">
        <v>221</v>
      </c>
      <c r="C21" s="343">
        <v>36228102075.464104</v>
      </c>
      <c r="D21" s="343">
        <v>36851874319.96862</v>
      </c>
      <c r="E21" s="8"/>
      <c r="F21" s="8"/>
      <c r="G21" s="8"/>
      <c r="H21" s="361"/>
      <c r="I21" s="361"/>
    </row>
    <row r="22" spans="2:10" ht="16.5">
      <c r="B22" s="347" t="s">
        <v>66</v>
      </c>
      <c r="C22" s="341">
        <v>3378418489.8299999</v>
      </c>
      <c r="D22" s="341">
        <v>3481681169.4399996</v>
      </c>
      <c r="E22" s="8"/>
      <c r="F22" s="8"/>
      <c r="G22" s="8"/>
      <c r="H22" s="359"/>
      <c r="I22" s="359"/>
    </row>
    <row r="23" spans="2:10" ht="16.5">
      <c r="B23" s="347" t="s">
        <v>208</v>
      </c>
      <c r="C23" s="341">
        <v>26082310834.120003</v>
      </c>
      <c r="D23" s="341">
        <v>26010301617.079998</v>
      </c>
      <c r="E23" s="8"/>
      <c r="F23" s="8"/>
      <c r="G23" s="8"/>
      <c r="H23" s="359"/>
      <c r="I23" s="359"/>
    </row>
    <row r="24" spans="2:10" ht="16.5">
      <c r="B24" s="358"/>
      <c r="C24" s="359"/>
      <c r="D24" s="8"/>
      <c r="E24" s="8"/>
      <c r="F24" s="8"/>
      <c r="G24" s="8"/>
      <c r="H24" s="359"/>
    </row>
    <row r="25" spans="2:10" ht="16.5">
      <c r="B25" s="358"/>
      <c r="C25" s="359"/>
      <c r="D25" s="8"/>
      <c r="E25" s="8"/>
      <c r="F25" s="8"/>
      <c r="G25" s="8"/>
      <c r="H25" s="359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8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21.140625" style="368" customWidth="1"/>
    <col min="3" max="3" width="9.28515625" style="368" customWidth="1"/>
    <col min="4" max="4" width="23" style="368" customWidth="1"/>
    <col min="5" max="7" width="9.28515625" style="368" customWidth="1"/>
    <col min="8" max="8" width="21.7109375" style="368" customWidth="1"/>
    <col min="9" max="9" width="9.28515625" style="368" customWidth="1"/>
    <col min="10" max="10" width="10" style="368" customWidth="1"/>
    <col min="11" max="11" width="9.28515625" style="368" customWidth="1"/>
    <col min="12" max="12" width="21" style="368" customWidth="1"/>
    <col min="13" max="15" width="9.28515625" style="368" customWidth="1"/>
    <col min="16" max="16" width="20.7109375" style="368" customWidth="1"/>
    <col min="17" max="17" width="10" style="368" customWidth="1"/>
    <col min="18" max="19" width="9.28515625" style="368" customWidth="1"/>
    <col min="20" max="20" width="20.7109375" style="368" customWidth="1"/>
    <col min="21" max="23" width="9.28515625" style="368" customWidth="1"/>
    <col min="24" max="24" width="21.28515625" style="368" customWidth="1"/>
    <col min="25" max="27" width="9.28515625" style="368" customWidth="1"/>
    <col min="28" max="28" width="19.28515625" style="368" customWidth="1"/>
    <col min="29" max="31" width="9.28515625" style="368" customWidth="1"/>
    <col min="32" max="32" width="17.85546875" style="368" customWidth="1"/>
    <col min="33" max="35" width="9.28515625" style="368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62" t="s">
        <v>71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63"/>
      <c r="AG1" s="463"/>
      <c r="AH1" s="463"/>
      <c r="AI1" s="463"/>
      <c r="AJ1" s="463"/>
      <c r="AK1" s="463"/>
      <c r="AL1" s="463"/>
      <c r="AM1" s="463"/>
      <c r="AN1" s="463"/>
      <c r="AO1" s="464"/>
    </row>
    <row r="2" spans="1:49" ht="30.75" customHeight="1">
      <c r="A2" s="199"/>
      <c r="B2" s="458" t="s">
        <v>268</v>
      </c>
      <c r="C2" s="458"/>
      <c r="D2" s="458" t="s">
        <v>269</v>
      </c>
      <c r="E2" s="458"/>
      <c r="F2" s="458" t="s">
        <v>62</v>
      </c>
      <c r="G2" s="458"/>
      <c r="H2" s="458" t="s">
        <v>270</v>
      </c>
      <c r="I2" s="458"/>
      <c r="J2" s="458" t="s">
        <v>62</v>
      </c>
      <c r="K2" s="458"/>
      <c r="L2" s="458" t="s">
        <v>271</v>
      </c>
      <c r="M2" s="458"/>
      <c r="N2" s="458" t="s">
        <v>62</v>
      </c>
      <c r="O2" s="458"/>
      <c r="P2" s="458" t="s">
        <v>272</v>
      </c>
      <c r="Q2" s="458"/>
      <c r="R2" s="458" t="s">
        <v>62</v>
      </c>
      <c r="S2" s="458"/>
      <c r="T2" s="458" t="s">
        <v>273</v>
      </c>
      <c r="U2" s="458"/>
      <c r="V2" s="458" t="s">
        <v>62</v>
      </c>
      <c r="W2" s="458"/>
      <c r="X2" s="458" t="s">
        <v>279</v>
      </c>
      <c r="Y2" s="458"/>
      <c r="Z2" s="458" t="s">
        <v>62</v>
      </c>
      <c r="AA2" s="458"/>
      <c r="AB2" s="458" t="s">
        <v>281</v>
      </c>
      <c r="AC2" s="458"/>
      <c r="AD2" s="458" t="s">
        <v>62</v>
      </c>
      <c r="AE2" s="458"/>
      <c r="AF2" s="458" t="s">
        <v>284</v>
      </c>
      <c r="AG2" s="458"/>
      <c r="AH2" s="458" t="s">
        <v>62</v>
      </c>
      <c r="AI2" s="458"/>
      <c r="AJ2" s="458" t="s">
        <v>78</v>
      </c>
      <c r="AK2" s="458"/>
      <c r="AL2" s="458" t="s">
        <v>79</v>
      </c>
      <c r="AM2" s="458"/>
      <c r="AN2" s="458" t="s">
        <v>70</v>
      </c>
      <c r="AO2" s="465"/>
      <c r="AP2" s="14"/>
      <c r="AQ2" s="459" t="s">
        <v>83</v>
      </c>
      <c r="AR2" s="460"/>
      <c r="AS2" s="14"/>
      <c r="AT2" s="14"/>
    </row>
    <row r="3" spans="1:49" ht="27.75" customHeight="1">
      <c r="A3" s="200" t="s">
        <v>2</v>
      </c>
      <c r="B3" s="191" t="s">
        <v>58</v>
      </c>
      <c r="C3" s="192" t="s">
        <v>3</v>
      </c>
      <c r="D3" s="191" t="s">
        <v>58</v>
      </c>
      <c r="E3" s="192" t="s">
        <v>3</v>
      </c>
      <c r="F3" s="196" t="s">
        <v>58</v>
      </c>
      <c r="G3" s="197" t="s">
        <v>3</v>
      </c>
      <c r="H3" s="191" t="s">
        <v>58</v>
      </c>
      <c r="I3" s="192" t="s">
        <v>3</v>
      </c>
      <c r="J3" s="196" t="s">
        <v>58</v>
      </c>
      <c r="K3" s="197" t="s">
        <v>3</v>
      </c>
      <c r="L3" s="191" t="s">
        <v>58</v>
      </c>
      <c r="M3" s="192" t="s">
        <v>3</v>
      </c>
      <c r="N3" s="196" t="s">
        <v>58</v>
      </c>
      <c r="O3" s="197" t="s">
        <v>3</v>
      </c>
      <c r="P3" s="191" t="s">
        <v>58</v>
      </c>
      <c r="Q3" s="192" t="s">
        <v>3</v>
      </c>
      <c r="R3" s="196" t="s">
        <v>58</v>
      </c>
      <c r="S3" s="197" t="s">
        <v>3</v>
      </c>
      <c r="T3" s="191" t="s">
        <v>58</v>
      </c>
      <c r="U3" s="192" t="s">
        <v>3</v>
      </c>
      <c r="V3" s="196" t="s">
        <v>58</v>
      </c>
      <c r="W3" s="197" t="s">
        <v>3</v>
      </c>
      <c r="X3" s="191" t="s">
        <v>58</v>
      </c>
      <c r="Y3" s="192" t="s">
        <v>3</v>
      </c>
      <c r="Z3" s="196" t="s">
        <v>58</v>
      </c>
      <c r="AA3" s="197" t="s">
        <v>3</v>
      </c>
      <c r="AB3" s="191" t="s">
        <v>58</v>
      </c>
      <c r="AC3" s="192" t="s">
        <v>3</v>
      </c>
      <c r="AD3" s="196" t="s">
        <v>58</v>
      </c>
      <c r="AE3" s="197" t="s">
        <v>3</v>
      </c>
      <c r="AF3" s="191" t="s">
        <v>58</v>
      </c>
      <c r="AG3" s="192" t="s">
        <v>3</v>
      </c>
      <c r="AH3" s="196" t="s">
        <v>58</v>
      </c>
      <c r="AI3" s="197" t="s">
        <v>3</v>
      </c>
      <c r="AJ3" s="196" t="s">
        <v>58</v>
      </c>
      <c r="AK3" s="197" t="s">
        <v>3</v>
      </c>
      <c r="AL3" s="196" t="s">
        <v>58</v>
      </c>
      <c r="AM3" s="197" t="s">
        <v>3</v>
      </c>
      <c r="AN3" s="196" t="s">
        <v>58</v>
      </c>
      <c r="AO3" s="388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1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2" t="s">
        <v>13</v>
      </c>
      <c r="B5" s="326">
        <v>431434117.44999999</v>
      </c>
      <c r="C5" s="325">
        <v>204.9342</v>
      </c>
      <c r="D5" s="326">
        <v>433286355.20999998</v>
      </c>
      <c r="E5" s="325">
        <v>205.8792</v>
      </c>
      <c r="F5" s="23">
        <f t="shared" ref="F5:F20" si="0">((D5-B5)/B5)</f>
        <v>4.2932111418254983E-3</v>
      </c>
      <c r="G5" s="23">
        <f t="shared" ref="G5:G20" si="1">((E5-C5)/C5)</f>
        <v>4.6112361919093698E-3</v>
      </c>
      <c r="H5" s="326">
        <v>436714292.20999998</v>
      </c>
      <c r="I5" s="325">
        <v>207.58750000000001</v>
      </c>
      <c r="J5" s="23">
        <f t="shared" ref="J5:J20" si="2">((H5-D5)/D5)</f>
        <v>7.9114815382048884E-3</v>
      </c>
      <c r="K5" s="23">
        <f t="shared" ref="K5:K20" si="3">((I5-E5)/E5)</f>
        <v>8.2975842144325813E-3</v>
      </c>
      <c r="L5" s="326">
        <v>452265506.13999999</v>
      </c>
      <c r="M5" s="325">
        <v>214.8929</v>
      </c>
      <c r="N5" s="23">
        <f t="shared" ref="N5:N20" si="4">((L5-H5)/H5)</f>
        <v>3.5609583215843087E-2</v>
      </c>
      <c r="O5" s="23">
        <f t="shared" ref="O5:O20" si="5">((M5-I5)/I5)</f>
        <v>3.5191907027157181E-2</v>
      </c>
      <c r="P5" s="326">
        <v>471138975.60000002</v>
      </c>
      <c r="Q5" s="325">
        <v>223.21119999999999</v>
      </c>
      <c r="R5" s="23">
        <f t="shared" ref="R5:R20" si="6">((P5-L5)/L5)</f>
        <v>4.1730950523026854E-2</v>
      </c>
      <c r="S5" s="23">
        <f t="shared" ref="S5:S20" si="7">((Q5-M5)/M5)</f>
        <v>3.8709049949998318E-2</v>
      </c>
      <c r="T5" s="326">
        <v>473833554.04000002</v>
      </c>
      <c r="U5" s="325">
        <v>224.7843</v>
      </c>
      <c r="V5" s="23">
        <f t="shared" ref="V5:V20" si="8">((T5-P5)/P5)</f>
        <v>5.7192857724590205E-3</v>
      </c>
      <c r="W5" s="23">
        <f t="shared" ref="W5:W20" si="9">((U5-Q5)/Q5)</f>
        <v>7.0475854258209751E-3</v>
      </c>
      <c r="X5" s="326">
        <v>515658316.36000001</v>
      </c>
      <c r="Y5" s="325">
        <v>240.32689999999999</v>
      </c>
      <c r="Z5" s="23">
        <f t="shared" ref="Z5:Z20" si="10">((X5-T5)/T5)</f>
        <v>8.8268890971088199E-2</v>
      </c>
      <c r="AA5" s="23">
        <f t="shared" ref="AA5:AA20" si="11">((Y5-U5)/U5)</f>
        <v>6.9144508757951487E-2</v>
      </c>
      <c r="AB5" s="326">
        <v>525729217.97000003</v>
      </c>
      <c r="AC5" s="325">
        <v>244.16630000000001</v>
      </c>
      <c r="AD5" s="23">
        <f t="shared" ref="AD5:AD20" si="12">((AB5-X5)/X5)</f>
        <v>1.9530183632235163E-2</v>
      </c>
      <c r="AE5" s="23">
        <f t="shared" ref="AE5:AE20" si="13">((AC5-Y5)/Y5)</f>
        <v>1.5975739711201749E-2</v>
      </c>
      <c r="AF5" s="326">
        <v>548213517.25</v>
      </c>
      <c r="AG5" s="325">
        <v>250.09899999999999</v>
      </c>
      <c r="AH5" s="23">
        <f t="shared" ref="AH5:AH20" si="14">((AF5-AB5)/AB5)</f>
        <v>4.2767832776764186E-2</v>
      </c>
      <c r="AI5" s="23">
        <f t="shared" ref="AI5:AI20" si="15">((AG5-AC5)/AC5)</f>
        <v>2.4297783928412656E-2</v>
      </c>
      <c r="AJ5" s="24">
        <f>AVERAGE(F5,J5,N5,R5,V5,Z5,AD5,AH5)</f>
        <v>3.0728927446430861E-2</v>
      </c>
      <c r="AK5" s="24">
        <f>AVERAGE(G5,K5,O5,S5,W5,AA5,AE5,AI5)</f>
        <v>2.5409424400860539E-2</v>
      </c>
      <c r="AL5" s="25">
        <f>((AF5-D5)/D5)</f>
        <v>0.26524528330530628</v>
      </c>
      <c r="AM5" s="25">
        <f>((AG5-E5)/E5)</f>
        <v>0.21478517499582275</v>
      </c>
      <c r="AN5" s="390">
        <f>STDEV(F5,J5,N5,R5,V5,Z5,AD5,AH5)</f>
        <v>2.8211003249689458E-2</v>
      </c>
      <c r="AO5" s="391">
        <f>STDEV(G5,K5,O5,S5,W5,AA5,AE5,AI5)</f>
        <v>2.1837391259203989E-2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2" t="s">
        <v>136</v>
      </c>
      <c r="B6" s="325">
        <v>470621417.10000002</v>
      </c>
      <c r="C6" s="325">
        <v>158.98480000000001</v>
      </c>
      <c r="D6" s="325">
        <v>475053455.74000001</v>
      </c>
      <c r="E6" s="325">
        <v>160.4314</v>
      </c>
      <c r="F6" s="23">
        <f t="shared" si="0"/>
        <v>9.4174180752556857E-3</v>
      </c>
      <c r="G6" s="23">
        <f t="shared" si="1"/>
        <v>9.0989830474359143E-3</v>
      </c>
      <c r="H6" s="325">
        <v>483720953.86000001</v>
      </c>
      <c r="I6" s="325">
        <v>163.3826</v>
      </c>
      <c r="J6" s="23">
        <f t="shared" si="2"/>
        <v>1.8245311165031891E-2</v>
      </c>
      <c r="K6" s="23">
        <f t="shared" si="3"/>
        <v>1.8395401398978006E-2</v>
      </c>
      <c r="L6" s="325">
        <v>493782590.50999999</v>
      </c>
      <c r="M6" s="325">
        <v>166.67320000000001</v>
      </c>
      <c r="N6" s="23">
        <f t="shared" si="4"/>
        <v>2.0800497827745634E-2</v>
      </c>
      <c r="O6" s="23">
        <f t="shared" si="5"/>
        <v>2.0140455593190536E-2</v>
      </c>
      <c r="P6" s="325">
        <v>510795023.56999999</v>
      </c>
      <c r="Q6" s="325">
        <v>170.9237</v>
      </c>
      <c r="R6" s="23">
        <f t="shared" si="6"/>
        <v>3.4453286500904838E-2</v>
      </c>
      <c r="S6" s="23">
        <f t="shared" si="7"/>
        <v>2.5502000321587323E-2</v>
      </c>
      <c r="T6" s="325">
        <v>509891503.94</v>
      </c>
      <c r="U6" s="325">
        <v>172.1558</v>
      </c>
      <c r="V6" s="23">
        <f t="shared" si="8"/>
        <v>-1.768849711348403E-3</v>
      </c>
      <c r="W6" s="23">
        <f t="shared" si="9"/>
        <v>7.2084795730492767E-3</v>
      </c>
      <c r="X6" s="325">
        <v>536194121.19</v>
      </c>
      <c r="Y6" s="325">
        <v>181.00040000000001</v>
      </c>
      <c r="Z6" s="23">
        <f t="shared" si="10"/>
        <v>5.1584733314354425E-2</v>
      </c>
      <c r="AA6" s="23">
        <f t="shared" si="11"/>
        <v>5.1375556327466251E-2</v>
      </c>
      <c r="AB6" s="325">
        <v>540228725.09000003</v>
      </c>
      <c r="AC6" s="325">
        <v>181.00040000000001</v>
      </c>
      <c r="AD6" s="23">
        <f t="shared" si="12"/>
        <v>7.5245209534298063E-3</v>
      </c>
      <c r="AE6" s="23">
        <f t="shared" si="13"/>
        <v>0</v>
      </c>
      <c r="AF6" s="325">
        <v>551040186.23000002</v>
      </c>
      <c r="AG6" s="325">
        <v>185.6294</v>
      </c>
      <c r="AH6" s="23">
        <f t="shared" si="14"/>
        <v>2.0012747634252211E-2</v>
      </c>
      <c r="AI6" s="23">
        <f t="shared" si="15"/>
        <v>2.5574529117062671E-2</v>
      </c>
      <c r="AJ6" s="24">
        <f t="shared" ref="AJ6:AJ69" si="16">AVERAGE(F6,J6,N6,R6,V6,Z6,AD6,AH6)</f>
        <v>2.0033708219953261E-2</v>
      </c>
      <c r="AK6" s="24">
        <f t="shared" ref="AK6:AK69" si="17">AVERAGE(G6,K6,O6,S6,W6,AA6,AE6,AI6)</f>
        <v>1.9661925672346248E-2</v>
      </c>
      <c r="AL6" s="25">
        <f t="shared" ref="AL6:AL69" si="18">((AF6-D6)/D6)</f>
        <v>0.15995406321512598</v>
      </c>
      <c r="AM6" s="25">
        <f t="shared" ref="AM6:AM69" si="19">((AG6-E6)/E6)</f>
        <v>0.15706401614646515</v>
      </c>
      <c r="AN6" s="390">
        <f t="shared" ref="AN6:AN69" si="20">STDEV(F6,J6,N6,R6,V6,Z6,AD6,AH6)</f>
        <v>1.6697797574342234E-2</v>
      </c>
      <c r="AO6" s="391">
        <f t="shared" ref="AO6:AO69" si="21">STDEV(G6,K6,O6,S6,W6,AA6,AE6,AI6)</f>
        <v>1.5720360742602173E-2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2" t="s">
        <v>11</v>
      </c>
      <c r="B7" s="325">
        <v>2414176649.5999999</v>
      </c>
      <c r="C7" s="325">
        <v>23.817799999999998</v>
      </c>
      <c r="D7" s="325">
        <v>2403131631.46</v>
      </c>
      <c r="E7" s="325">
        <v>23.721499999999999</v>
      </c>
      <c r="F7" s="23">
        <f t="shared" si="0"/>
        <v>-4.575066261961358E-3</v>
      </c>
      <c r="G7" s="23">
        <f t="shared" si="1"/>
        <v>-4.0431945855620328E-3</v>
      </c>
      <c r="H7" s="325">
        <v>2402855602.7199998</v>
      </c>
      <c r="I7" s="325">
        <v>23.7805</v>
      </c>
      <c r="J7" s="23">
        <f t="shared" si="2"/>
        <v>-1.1486209760076658E-4</v>
      </c>
      <c r="K7" s="23">
        <f t="shared" si="3"/>
        <v>2.487195160508444E-3</v>
      </c>
      <c r="L7" s="325">
        <v>2456274425.3800001</v>
      </c>
      <c r="M7" s="325">
        <v>24.317499999999999</v>
      </c>
      <c r="N7" s="23">
        <f t="shared" si="4"/>
        <v>2.2231391099627854E-2</v>
      </c>
      <c r="O7" s="23">
        <f t="shared" si="5"/>
        <v>2.2581526881268226E-2</v>
      </c>
      <c r="P7" s="325">
        <v>2579025602.8000002</v>
      </c>
      <c r="Q7" s="325">
        <v>25.376300000000001</v>
      </c>
      <c r="R7" s="23">
        <f t="shared" si="6"/>
        <v>4.9974537108576432E-2</v>
      </c>
      <c r="S7" s="23">
        <f t="shared" si="7"/>
        <v>4.3540660018505255E-2</v>
      </c>
      <c r="T7" s="325">
        <v>2583689981.1999998</v>
      </c>
      <c r="U7" s="325">
        <v>25.4315</v>
      </c>
      <c r="V7" s="23">
        <f t="shared" si="8"/>
        <v>1.8085816577142894E-3</v>
      </c>
      <c r="W7" s="23">
        <f t="shared" si="9"/>
        <v>2.1752580163380496E-3</v>
      </c>
      <c r="X7" s="325">
        <v>2813464823.6100001</v>
      </c>
      <c r="Y7" s="325">
        <v>26.514299999999999</v>
      </c>
      <c r="Z7" s="23">
        <f t="shared" si="10"/>
        <v>8.8932822467841496E-2</v>
      </c>
      <c r="AA7" s="23">
        <f t="shared" si="11"/>
        <v>4.2577118927314507E-2</v>
      </c>
      <c r="AB7" s="325">
        <v>2863971512.0100002</v>
      </c>
      <c r="AC7" s="325">
        <v>26.982399999999998</v>
      </c>
      <c r="AD7" s="23">
        <f t="shared" si="12"/>
        <v>1.7951775325626494E-2</v>
      </c>
      <c r="AE7" s="23">
        <f t="shared" si="13"/>
        <v>1.7654624108499932E-2</v>
      </c>
      <c r="AF7" s="325">
        <v>2941170298.29</v>
      </c>
      <c r="AG7" s="325">
        <v>27.72</v>
      </c>
      <c r="AH7" s="23">
        <f t="shared" si="14"/>
        <v>2.6955151598494733E-2</v>
      </c>
      <c r="AI7" s="23">
        <f t="shared" si="15"/>
        <v>2.7336337760910837E-2</v>
      </c>
      <c r="AJ7" s="24">
        <f t="shared" si="16"/>
        <v>2.53955413622899E-2</v>
      </c>
      <c r="AK7" s="24">
        <f t="shared" si="17"/>
        <v>1.9288690785972902E-2</v>
      </c>
      <c r="AL7" s="25">
        <f t="shared" si="18"/>
        <v>0.22389063494749956</v>
      </c>
      <c r="AM7" s="25">
        <f t="shared" si="19"/>
        <v>0.16856016693716672</v>
      </c>
      <c r="AN7" s="390">
        <f t="shared" si="20"/>
        <v>3.1200571606765981E-2</v>
      </c>
      <c r="AO7" s="391">
        <f t="shared" si="21"/>
        <v>1.8237806782474157E-2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2" t="s">
        <v>81</v>
      </c>
      <c r="B8" s="326">
        <v>253303753.62</v>
      </c>
      <c r="C8" s="325">
        <v>134.46</v>
      </c>
      <c r="D8" s="325">
        <v>260177922.62</v>
      </c>
      <c r="E8" s="325">
        <v>139.27000000000001</v>
      </c>
      <c r="F8" s="23">
        <f t="shared" si="0"/>
        <v>2.7138046324858087E-2</v>
      </c>
      <c r="G8" s="23">
        <f t="shared" si="1"/>
        <v>3.5772720511676348E-2</v>
      </c>
      <c r="H8" s="325">
        <v>254064284.93000001</v>
      </c>
      <c r="I8" s="325">
        <v>136.21</v>
      </c>
      <c r="J8" s="23">
        <f t="shared" si="2"/>
        <v>-2.3497911077294608E-2</v>
      </c>
      <c r="K8" s="23">
        <f t="shared" si="3"/>
        <v>-2.1971709628778646E-2</v>
      </c>
      <c r="L8" s="325">
        <v>265936057.41999999</v>
      </c>
      <c r="M8" s="325">
        <v>142.16999999999999</v>
      </c>
      <c r="N8" s="23">
        <f t="shared" si="4"/>
        <v>4.6727435512122058E-2</v>
      </c>
      <c r="O8" s="23">
        <f t="shared" si="5"/>
        <v>4.3755965053960642E-2</v>
      </c>
      <c r="P8" s="325">
        <v>287532611.79000002</v>
      </c>
      <c r="Q8" s="325">
        <v>149.41999999999999</v>
      </c>
      <c r="R8" s="23">
        <f t="shared" si="6"/>
        <v>8.1209575638297199E-2</v>
      </c>
      <c r="S8" s="23">
        <f t="shared" si="7"/>
        <v>5.0995287332067249E-2</v>
      </c>
      <c r="T8" s="325">
        <v>287896938.24000001</v>
      </c>
      <c r="U8" s="325">
        <v>149.41999999999999</v>
      </c>
      <c r="V8" s="23">
        <f t="shared" si="8"/>
        <v>1.267078707114011E-3</v>
      </c>
      <c r="W8" s="23">
        <f t="shared" si="9"/>
        <v>0</v>
      </c>
      <c r="X8" s="325">
        <v>301856283.92000002</v>
      </c>
      <c r="Y8" s="325">
        <v>156.96</v>
      </c>
      <c r="Z8" s="23">
        <f t="shared" si="10"/>
        <v>4.8487301620286957E-2</v>
      </c>
      <c r="AA8" s="23">
        <f t="shared" si="11"/>
        <v>5.046178557087419E-2</v>
      </c>
      <c r="AB8" s="325">
        <v>309472758.36000001</v>
      </c>
      <c r="AC8" s="325">
        <v>157.72999999999999</v>
      </c>
      <c r="AD8" s="23">
        <f t="shared" si="12"/>
        <v>2.5232121528464078E-2</v>
      </c>
      <c r="AE8" s="23">
        <f t="shared" si="13"/>
        <v>4.905708460754216E-3</v>
      </c>
      <c r="AF8" s="325">
        <v>325028342.43000001</v>
      </c>
      <c r="AG8" s="325">
        <v>161.84</v>
      </c>
      <c r="AH8" s="23">
        <f t="shared" si="14"/>
        <v>5.0264792779934016E-2</v>
      </c>
      <c r="AI8" s="23">
        <f t="shared" si="15"/>
        <v>2.6057186331072173E-2</v>
      </c>
      <c r="AJ8" s="24">
        <f t="shared" si="16"/>
        <v>3.2103555129222729E-2</v>
      </c>
      <c r="AK8" s="24">
        <f t="shared" si="17"/>
        <v>2.3747117953953272E-2</v>
      </c>
      <c r="AL8" s="25">
        <f t="shared" si="18"/>
        <v>0.24925412255180684</v>
      </c>
      <c r="AM8" s="25">
        <f t="shared" si="19"/>
        <v>0.1620593092554031</v>
      </c>
      <c r="AN8" s="390">
        <f t="shared" si="20"/>
        <v>3.2376801725136642E-2</v>
      </c>
      <c r="AO8" s="391">
        <f t="shared" si="21"/>
        <v>2.6767723671148259E-2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2" t="s">
        <v>52</v>
      </c>
      <c r="B9" s="325">
        <v>397400267.23000002</v>
      </c>
      <c r="C9" s="325">
        <v>185.22</v>
      </c>
      <c r="D9" s="325">
        <v>403711139.06</v>
      </c>
      <c r="E9" s="325">
        <v>186.56</v>
      </c>
      <c r="F9" s="23">
        <f t="shared" si="0"/>
        <v>1.5880391510525817E-2</v>
      </c>
      <c r="G9" s="23">
        <f t="shared" si="1"/>
        <v>7.2346398877011307E-3</v>
      </c>
      <c r="H9" s="325">
        <v>415271697.45999998</v>
      </c>
      <c r="I9" s="325">
        <v>191.46</v>
      </c>
      <c r="J9" s="23">
        <f t="shared" si="2"/>
        <v>2.8635718169475213E-2</v>
      </c>
      <c r="K9" s="23">
        <f t="shared" si="3"/>
        <v>2.6265008576329362E-2</v>
      </c>
      <c r="L9" s="325">
        <v>429384434.37</v>
      </c>
      <c r="M9" s="325">
        <v>197.91</v>
      </c>
      <c r="N9" s="23">
        <f t="shared" si="4"/>
        <v>3.3984345661696343E-2</v>
      </c>
      <c r="O9" s="23">
        <f t="shared" si="5"/>
        <v>3.3688498903165089E-2</v>
      </c>
      <c r="P9" s="325">
        <v>450185756.94</v>
      </c>
      <c r="Q9" s="325">
        <v>206.68</v>
      </c>
      <c r="R9" s="23">
        <f t="shared" si="6"/>
        <v>4.8444519421203612E-2</v>
      </c>
      <c r="S9" s="23">
        <f t="shared" si="7"/>
        <v>4.4313071598201255E-2</v>
      </c>
      <c r="T9" s="325">
        <v>457605222.00999999</v>
      </c>
      <c r="U9" s="325">
        <v>207.36</v>
      </c>
      <c r="V9" s="23">
        <f t="shared" si="8"/>
        <v>1.6480896953363289E-2</v>
      </c>
      <c r="W9" s="23">
        <f t="shared" si="9"/>
        <v>3.2901103154635513E-3</v>
      </c>
      <c r="X9" s="325">
        <v>492758236.86000001</v>
      </c>
      <c r="Y9" s="325">
        <v>220.97</v>
      </c>
      <c r="Z9" s="23">
        <f t="shared" si="10"/>
        <v>7.6819522940740889E-2</v>
      </c>
      <c r="AA9" s="23">
        <f t="shared" si="11"/>
        <v>6.5634645061728322E-2</v>
      </c>
      <c r="AB9" s="325">
        <v>507848497.44</v>
      </c>
      <c r="AC9" s="325">
        <v>223.62</v>
      </c>
      <c r="AD9" s="23">
        <f t="shared" si="12"/>
        <v>3.0624065619196037E-2</v>
      </c>
      <c r="AE9" s="23">
        <f t="shared" si="13"/>
        <v>1.1992578178033243E-2</v>
      </c>
      <c r="AF9" s="325">
        <v>527436775.54000002</v>
      </c>
      <c r="AG9" s="325">
        <v>232.29</v>
      </c>
      <c r="AH9" s="23">
        <f t="shared" si="14"/>
        <v>3.8571105750518225E-2</v>
      </c>
      <c r="AI9" s="23">
        <f t="shared" si="15"/>
        <v>3.8771129594848346E-2</v>
      </c>
      <c r="AJ9" s="24">
        <f t="shared" si="16"/>
        <v>3.6180070753339927E-2</v>
      </c>
      <c r="AK9" s="24">
        <f t="shared" si="17"/>
        <v>2.8898710264433788E-2</v>
      </c>
      <c r="AL9" s="25">
        <f t="shared" si="18"/>
        <v>0.30647070271105842</v>
      </c>
      <c r="AM9" s="25">
        <f t="shared" si="19"/>
        <v>0.24512221269296736</v>
      </c>
      <c r="AN9" s="390">
        <f t="shared" si="20"/>
        <v>1.9641213618953827E-2</v>
      </c>
      <c r="AO9" s="391">
        <f t="shared" si="21"/>
        <v>2.113029038654311E-2</v>
      </c>
      <c r="AP9" s="30"/>
      <c r="AQ9" s="33"/>
      <c r="AR9" s="34"/>
      <c r="AS9" s="29"/>
      <c r="AT9" s="29"/>
    </row>
    <row r="10" spans="1:49">
      <c r="A10" s="202" t="s">
        <v>8</v>
      </c>
      <c r="B10" s="326">
        <v>268366586.72</v>
      </c>
      <c r="C10" s="325">
        <v>137.27000000000001</v>
      </c>
      <c r="D10" s="326">
        <v>271307203.51999998</v>
      </c>
      <c r="E10" s="325">
        <v>139.47999999999999</v>
      </c>
      <c r="F10" s="23">
        <f t="shared" si="0"/>
        <v>1.0957462461852868E-2</v>
      </c>
      <c r="G10" s="23">
        <f t="shared" si="1"/>
        <v>1.609965760909142E-2</v>
      </c>
      <c r="H10" s="326">
        <v>274084077.38999999</v>
      </c>
      <c r="I10" s="325">
        <v>140.93</v>
      </c>
      <c r="J10" s="23">
        <f t="shared" si="2"/>
        <v>1.0235164544001139E-2</v>
      </c>
      <c r="K10" s="23">
        <f t="shared" si="3"/>
        <v>1.0395755663894588E-2</v>
      </c>
      <c r="L10" s="326">
        <v>281264175.48000002</v>
      </c>
      <c r="M10" s="325">
        <v>143.69999999999999</v>
      </c>
      <c r="N10" s="23">
        <f t="shared" si="4"/>
        <v>2.6196699050792801E-2</v>
      </c>
      <c r="O10" s="23">
        <f t="shared" si="5"/>
        <v>1.965514794578856E-2</v>
      </c>
      <c r="P10" s="326">
        <v>285800738.51999998</v>
      </c>
      <c r="Q10" s="325">
        <v>146.21</v>
      </c>
      <c r="R10" s="23">
        <f t="shared" si="6"/>
        <v>1.6129188981348054E-2</v>
      </c>
      <c r="S10" s="23">
        <f t="shared" si="7"/>
        <v>1.7466945024356435E-2</v>
      </c>
      <c r="T10" s="326">
        <v>289501955.77999997</v>
      </c>
      <c r="U10" s="325">
        <v>148.08000000000001</v>
      </c>
      <c r="V10" s="23">
        <f t="shared" si="8"/>
        <v>1.2950341833147446E-2</v>
      </c>
      <c r="W10" s="23">
        <f t="shared" si="9"/>
        <v>1.2789822857533715E-2</v>
      </c>
      <c r="X10" s="326">
        <v>304110707.12</v>
      </c>
      <c r="Y10" s="325">
        <v>155.47</v>
      </c>
      <c r="Z10" s="23">
        <f t="shared" si="10"/>
        <v>5.0461667178171334E-2</v>
      </c>
      <c r="AA10" s="23">
        <f t="shared" si="11"/>
        <v>4.9905456509994499E-2</v>
      </c>
      <c r="AB10" s="326">
        <v>304110707.12</v>
      </c>
      <c r="AC10" s="325">
        <v>155.47</v>
      </c>
      <c r="AD10" s="23">
        <f t="shared" si="12"/>
        <v>0</v>
      </c>
      <c r="AE10" s="23">
        <f t="shared" si="13"/>
        <v>0</v>
      </c>
      <c r="AF10" s="326">
        <v>313648029.38</v>
      </c>
      <c r="AG10" s="325">
        <v>160.72999999999999</v>
      </c>
      <c r="AH10" s="23">
        <f t="shared" si="14"/>
        <v>3.1361349787124161E-2</v>
      </c>
      <c r="AI10" s="23">
        <f t="shared" si="15"/>
        <v>3.3832893805878887E-2</v>
      </c>
      <c r="AJ10" s="24">
        <f t="shared" si="16"/>
        <v>1.9786484229554722E-2</v>
      </c>
      <c r="AK10" s="24">
        <f t="shared" si="17"/>
        <v>2.0018209927067265E-2</v>
      </c>
      <c r="AL10" s="25">
        <f t="shared" si="18"/>
        <v>0.15606229879140962</v>
      </c>
      <c r="AM10" s="25">
        <f t="shared" si="19"/>
        <v>0.15235159162603959</v>
      </c>
      <c r="AN10" s="390">
        <f t="shared" si="20"/>
        <v>1.5751771593490477E-2</v>
      </c>
      <c r="AO10" s="391">
        <f t="shared" si="21"/>
        <v>1.5360704746727445E-2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2" t="s">
        <v>217</v>
      </c>
      <c r="B11" s="74">
        <v>26679738</v>
      </c>
      <c r="C11" s="325">
        <v>107.37</v>
      </c>
      <c r="D11" s="74">
        <v>27447295.370000001</v>
      </c>
      <c r="E11" s="325">
        <v>110.38</v>
      </c>
      <c r="F11" s="23">
        <f t="shared" si="0"/>
        <v>2.8769299383674646E-2</v>
      </c>
      <c r="G11" s="23">
        <f t="shared" si="1"/>
        <v>2.8033901462233314E-2</v>
      </c>
      <c r="H11" s="74">
        <v>28355131.620000001</v>
      </c>
      <c r="I11" s="325">
        <v>114.04</v>
      </c>
      <c r="J11" s="23">
        <f t="shared" si="2"/>
        <v>3.3075617752569841E-2</v>
      </c>
      <c r="K11" s="23">
        <f t="shared" si="3"/>
        <v>3.3158180829860578E-2</v>
      </c>
      <c r="L11" s="74">
        <v>30537454.09</v>
      </c>
      <c r="M11" s="325">
        <v>122.81</v>
      </c>
      <c r="N11" s="23">
        <f t="shared" si="4"/>
        <v>7.696393369800901E-2</v>
      </c>
      <c r="O11" s="23">
        <f t="shared" si="5"/>
        <v>7.6902841108382983E-2</v>
      </c>
      <c r="P11" s="74">
        <v>31765543.109999999</v>
      </c>
      <c r="Q11" s="325">
        <v>127.78</v>
      </c>
      <c r="R11" s="23">
        <f t="shared" si="6"/>
        <v>4.0215828614283793E-2</v>
      </c>
      <c r="S11" s="23">
        <f t="shared" si="7"/>
        <v>4.0469017181011306E-2</v>
      </c>
      <c r="T11" s="74">
        <v>32179037.640000001</v>
      </c>
      <c r="U11" s="325">
        <v>129.44999999999999</v>
      </c>
      <c r="V11" s="23">
        <f t="shared" si="8"/>
        <v>1.3017077295613133E-2</v>
      </c>
      <c r="W11" s="23">
        <f t="shared" si="9"/>
        <v>1.3069337924557736E-2</v>
      </c>
      <c r="X11" s="74">
        <v>35556033.340000004</v>
      </c>
      <c r="Y11" s="325">
        <v>139.05000000000001</v>
      </c>
      <c r="Z11" s="23">
        <f t="shared" si="10"/>
        <v>0.1049439618977991</v>
      </c>
      <c r="AA11" s="23">
        <f t="shared" si="11"/>
        <v>7.4159907300116054E-2</v>
      </c>
      <c r="AB11" s="74">
        <v>26309579.190000001</v>
      </c>
      <c r="AC11" s="325">
        <v>105.43</v>
      </c>
      <c r="AD11" s="23">
        <f t="shared" si="12"/>
        <v>-0.26005302845742018</v>
      </c>
      <c r="AE11" s="23">
        <f t="shared" si="13"/>
        <v>-0.24178353110391948</v>
      </c>
      <c r="AF11" s="74">
        <v>26318802.829999998</v>
      </c>
      <c r="AG11" s="325">
        <v>105.46</v>
      </c>
      <c r="AH11" s="23">
        <f t="shared" si="14"/>
        <v>3.5058105389624325E-4</v>
      </c>
      <c r="AI11" s="23">
        <f t="shared" si="15"/>
        <v>2.8454898985096202E-4</v>
      </c>
      <c r="AJ11" s="24">
        <f t="shared" si="16"/>
        <v>4.6604089048031963E-3</v>
      </c>
      <c r="AK11" s="24">
        <f t="shared" si="17"/>
        <v>3.0367754615116867E-3</v>
      </c>
      <c r="AL11" s="25">
        <f t="shared" si="18"/>
        <v>-4.111489036670074E-2</v>
      </c>
      <c r="AM11" s="25">
        <f t="shared" si="19"/>
        <v>-4.457329226309116E-2</v>
      </c>
      <c r="AN11" s="390">
        <f t="shared" si="20"/>
        <v>0.112185467422698</v>
      </c>
      <c r="AO11" s="391">
        <f t="shared" si="21"/>
        <v>0.10246479060313124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68" customFormat="1">
      <c r="A12" s="202" t="s">
        <v>274</v>
      </c>
      <c r="B12" s="326">
        <v>351847653.92000002</v>
      </c>
      <c r="C12" s="325">
        <v>1.33</v>
      </c>
      <c r="D12" s="326">
        <v>352536812.56999999</v>
      </c>
      <c r="E12" s="325">
        <v>1.33</v>
      </c>
      <c r="F12" s="23">
        <f t="shared" si="0"/>
        <v>1.9586847953139142E-3</v>
      </c>
      <c r="G12" s="23">
        <f t="shared" si="1"/>
        <v>0</v>
      </c>
      <c r="H12" s="326">
        <v>356346205.95999998</v>
      </c>
      <c r="I12" s="325">
        <v>1.34</v>
      </c>
      <c r="J12" s="23">
        <f t="shared" ref="J12" si="22">((H12-D12)/D12)</f>
        <v>1.0805661293155277E-2</v>
      </c>
      <c r="K12" s="23">
        <f t="shared" ref="K12" si="23">((I12-E12)/E12)</f>
        <v>7.5187969924812095E-3</v>
      </c>
      <c r="L12" s="326">
        <v>371448608.08999997</v>
      </c>
      <c r="M12" s="325">
        <v>1.41</v>
      </c>
      <c r="N12" s="23">
        <f t="shared" ref="N12" si="24">((L12-H12)/H12)</f>
        <v>4.2381262596339377E-2</v>
      </c>
      <c r="O12" s="23">
        <f t="shared" ref="O12" si="25">((M12-I12)/I12)</f>
        <v>5.2238805970149134E-2</v>
      </c>
      <c r="P12" s="326">
        <v>395989381.80000001</v>
      </c>
      <c r="Q12" s="325">
        <v>1.5</v>
      </c>
      <c r="R12" s="23">
        <f t="shared" ref="R12" si="26">((P12-L12)/L12)</f>
        <v>6.6067749819253438E-2</v>
      </c>
      <c r="S12" s="23">
        <f t="shared" ref="S12" si="27">((Q12-M12)/M12)</f>
        <v>6.3829787234042618E-2</v>
      </c>
      <c r="T12" s="326">
        <v>401755619.42000002</v>
      </c>
      <c r="U12" s="325">
        <v>1.51</v>
      </c>
      <c r="V12" s="23">
        <f t="shared" ref="V12" si="28">((T12-P12)/P12)</f>
        <v>1.456159656046617E-2</v>
      </c>
      <c r="W12" s="23">
        <f t="shared" ref="W12" si="29">((U12-Q12)/Q12)</f>
        <v>6.6666666666666723E-3</v>
      </c>
      <c r="X12" s="326">
        <v>431856945.29000002</v>
      </c>
      <c r="Y12" s="325">
        <v>1.62</v>
      </c>
      <c r="Z12" s="23">
        <f t="shared" ref="Z12" si="30">((X12-T12)/T12)</f>
        <v>7.4924467549343038E-2</v>
      </c>
      <c r="AA12" s="23">
        <f t="shared" ref="AA12" si="31">((Y12-U12)/U12)</f>
        <v>7.2847682119205365E-2</v>
      </c>
      <c r="AB12" s="326">
        <v>431814652.81999999</v>
      </c>
      <c r="AC12" s="325">
        <v>1.62</v>
      </c>
      <c r="AD12" s="23">
        <f t="shared" si="12"/>
        <v>-9.7931665708486933E-5</v>
      </c>
      <c r="AE12" s="23">
        <f t="shared" si="13"/>
        <v>0</v>
      </c>
      <c r="AF12" s="326">
        <v>440087889.58999997</v>
      </c>
      <c r="AG12" s="325">
        <v>1.64</v>
      </c>
      <c r="AH12" s="23">
        <f t="shared" si="14"/>
        <v>1.9159231202486877E-2</v>
      </c>
      <c r="AI12" s="23">
        <f t="shared" si="15"/>
        <v>1.2345679012345552E-2</v>
      </c>
      <c r="AJ12" s="24">
        <f t="shared" si="16"/>
        <v>2.8720090268831204E-2</v>
      </c>
      <c r="AK12" s="24">
        <f t="shared" si="17"/>
        <v>2.6930927249361317E-2</v>
      </c>
      <c r="AL12" s="25">
        <f t="shared" si="18"/>
        <v>0.24834591423729904</v>
      </c>
      <c r="AM12" s="25">
        <f t="shared" si="19"/>
        <v>0.23308270676691714</v>
      </c>
      <c r="AN12" s="390">
        <f t="shared" si="20"/>
        <v>2.8972328497512578E-2</v>
      </c>
      <c r="AO12" s="391">
        <f t="shared" si="21"/>
        <v>3.0615386375672876E-2</v>
      </c>
      <c r="AP12" s="30"/>
      <c r="AQ12" s="28"/>
      <c r="AR12" s="32"/>
      <c r="AS12" s="29"/>
      <c r="AT12" s="29"/>
    </row>
    <row r="13" spans="1:49" ht="12.75" customHeight="1">
      <c r="A13" s="202" t="s">
        <v>45</v>
      </c>
      <c r="B13" s="326">
        <v>1039769742.6900001</v>
      </c>
      <c r="C13" s="325">
        <v>2.12</v>
      </c>
      <c r="D13" s="326">
        <v>1025642836.7</v>
      </c>
      <c r="E13" s="325">
        <v>2.09</v>
      </c>
      <c r="F13" s="23">
        <f t="shared" si="0"/>
        <v>-1.3586571535975004E-2</v>
      </c>
      <c r="G13" s="23">
        <f t="shared" si="1"/>
        <v>-1.4150943396226532E-2</v>
      </c>
      <c r="H13" s="326">
        <v>1041705147.45</v>
      </c>
      <c r="I13" s="325">
        <v>2.12</v>
      </c>
      <c r="J13" s="23">
        <f t="shared" si="2"/>
        <v>1.5660725327815279E-2</v>
      </c>
      <c r="K13" s="23">
        <f t="shared" si="3"/>
        <v>1.4354066985646053E-2</v>
      </c>
      <c r="L13" s="326">
        <v>1066539663.6799999</v>
      </c>
      <c r="M13" s="325">
        <v>2.17</v>
      </c>
      <c r="N13" s="23">
        <f t="shared" si="4"/>
        <v>2.3840254884784383E-2</v>
      </c>
      <c r="O13" s="23">
        <f t="shared" si="5"/>
        <v>2.3584905660377273E-2</v>
      </c>
      <c r="P13" s="326">
        <v>1145105965.0799999</v>
      </c>
      <c r="Q13" s="325">
        <v>2.34</v>
      </c>
      <c r="R13" s="23">
        <f t="shared" si="6"/>
        <v>7.3664678469541361E-2</v>
      </c>
      <c r="S13" s="23">
        <f t="shared" si="7"/>
        <v>7.8341013824884759E-2</v>
      </c>
      <c r="T13" s="326">
        <v>1144652863.8199999</v>
      </c>
      <c r="U13" s="325">
        <v>2.33</v>
      </c>
      <c r="V13" s="23">
        <f t="shared" si="8"/>
        <v>-3.9568500542073038E-4</v>
      </c>
      <c r="W13" s="23">
        <f t="shared" si="9"/>
        <v>-4.2735042735041829E-3</v>
      </c>
      <c r="X13" s="326">
        <v>1192552480.03</v>
      </c>
      <c r="Y13" s="325">
        <v>2.4300000000000002</v>
      </c>
      <c r="Z13" s="23">
        <f t="shared" si="10"/>
        <v>4.1846412763208177E-2</v>
      </c>
      <c r="AA13" s="23">
        <f t="shared" si="11"/>
        <v>4.2918454935622352E-2</v>
      </c>
      <c r="AB13" s="326">
        <v>1203292684.5</v>
      </c>
      <c r="AC13" s="325">
        <v>2.4500000000000002</v>
      </c>
      <c r="AD13" s="23">
        <f t="shared" si="12"/>
        <v>9.0060644289045016E-3</v>
      </c>
      <c r="AE13" s="23">
        <f t="shared" si="13"/>
        <v>8.2304526748971252E-3</v>
      </c>
      <c r="AF13" s="326">
        <v>1241961282.48</v>
      </c>
      <c r="AG13" s="325">
        <v>2.5299999999999998</v>
      </c>
      <c r="AH13" s="23">
        <f t="shared" si="14"/>
        <v>3.2135654507089308E-2</v>
      </c>
      <c r="AI13" s="23">
        <f t="shared" si="15"/>
        <v>3.2653061224489639E-2</v>
      </c>
      <c r="AJ13" s="24">
        <f t="shared" si="16"/>
        <v>2.2771441729993409E-2</v>
      </c>
      <c r="AK13" s="24">
        <f t="shared" si="17"/>
        <v>2.2707188454523311E-2</v>
      </c>
      <c r="AL13" s="25">
        <f t="shared" si="18"/>
        <v>0.21091011221411474</v>
      </c>
      <c r="AM13" s="25">
        <f t="shared" si="19"/>
        <v>0.21052631578947367</v>
      </c>
      <c r="AN13" s="390">
        <f t="shared" si="20"/>
        <v>2.7101596415964796E-2</v>
      </c>
      <c r="AO13" s="391">
        <f t="shared" si="21"/>
        <v>2.9201611431754201E-2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2" t="s">
        <v>53</v>
      </c>
      <c r="B14" s="325">
        <v>327568482.69999999</v>
      </c>
      <c r="C14" s="325">
        <v>13.675599999999999</v>
      </c>
      <c r="D14" s="325">
        <v>322464418.95999998</v>
      </c>
      <c r="E14" s="325">
        <v>13.423679999999999</v>
      </c>
      <c r="F14" s="23">
        <f t="shared" si="0"/>
        <v>-1.5581669206785411E-2</v>
      </c>
      <c r="G14" s="23">
        <f t="shared" si="1"/>
        <v>-1.8421129603088723E-2</v>
      </c>
      <c r="H14" s="325">
        <v>332248869.60000002</v>
      </c>
      <c r="I14" s="325">
        <v>13.726271000000001</v>
      </c>
      <c r="J14" s="23">
        <f t="shared" si="2"/>
        <v>3.0342729506580863E-2</v>
      </c>
      <c r="K14" s="23">
        <f t="shared" si="3"/>
        <v>2.2541583232019938E-2</v>
      </c>
      <c r="L14" s="325">
        <v>308394954.04000002</v>
      </c>
      <c r="M14" s="325">
        <v>13.157444999999999</v>
      </c>
      <c r="N14" s="23">
        <f t="shared" si="4"/>
        <v>-7.1795324958420864E-2</v>
      </c>
      <c r="O14" s="23">
        <f t="shared" si="5"/>
        <v>-4.1440679700990996E-2</v>
      </c>
      <c r="P14" s="325">
        <v>330392962.49000001</v>
      </c>
      <c r="Q14" s="325">
        <v>13.706492000000001</v>
      </c>
      <c r="R14" s="23">
        <f t="shared" si="6"/>
        <v>7.1330636775421299E-2</v>
      </c>
      <c r="S14" s="23">
        <f t="shared" si="7"/>
        <v>4.1728998297161923E-2</v>
      </c>
      <c r="T14" s="325">
        <v>334193909.07999998</v>
      </c>
      <c r="U14" s="325">
        <v>13.783480000000001</v>
      </c>
      <c r="V14" s="23">
        <f t="shared" si="8"/>
        <v>1.1504320677275373E-2</v>
      </c>
      <c r="W14" s="23">
        <f t="shared" si="9"/>
        <v>5.616900371006677E-3</v>
      </c>
      <c r="X14" s="325">
        <v>355880190.25999999</v>
      </c>
      <c r="Y14" s="325">
        <v>14.683999999999999</v>
      </c>
      <c r="Z14" s="23">
        <f t="shared" si="10"/>
        <v>6.4891311872499455E-2</v>
      </c>
      <c r="AA14" s="23">
        <f t="shared" si="11"/>
        <v>6.5333283031571016E-2</v>
      </c>
      <c r="AB14" s="325">
        <v>373574712.43000001</v>
      </c>
      <c r="AC14" s="325">
        <v>14.849634999999999</v>
      </c>
      <c r="AD14" s="23">
        <f t="shared" si="12"/>
        <v>4.9720447089433947E-2</v>
      </c>
      <c r="AE14" s="23">
        <f t="shared" si="13"/>
        <v>1.127996458730591E-2</v>
      </c>
      <c r="AF14" s="325">
        <v>387991959.64999998</v>
      </c>
      <c r="AG14" s="325">
        <v>15.382543</v>
      </c>
      <c r="AH14" s="23">
        <f t="shared" si="14"/>
        <v>3.8592674344095107E-2</v>
      </c>
      <c r="AI14" s="23">
        <f t="shared" si="15"/>
        <v>3.5886942675695456E-2</v>
      </c>
      <c r="AJ14" s="24">
        <f t="shared" si="16"/>
        <v>2.2375640762512469E-2</v>
      </c>
      <c r="AK14" s="24">
        <f t="shared" si="17"/>
        <v>1.5315732861335151E-2</v>
      </c>
      <c r="AL14" s="25">
        <f t="shared" si="18"/>
        <v>0.20320859244358475</v>
      </c>
      <c r="AM14" s="25">
        <f t="shared" si="19"/>
        <v>0.14592593089227404</v>
      </c>
      <c r="AN14" s="390">
        <f t="shared" si="20"/>
        <v>4.7367096482337716E-2</v>
      </c>
      <c r="AO14" s="391">
        <f t="shared" si="21"/>
        <v>3.4110376586158814E-2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2" t="s">
        <v>125</v>
      </c>
      <c r="B15" s="325">
        <v>304563016.81999999</v>
      </c>
      <c r="C15" s="325">
        <v>1.5771029999999999</v>
      </c>
      <c r="D15" s="325">
        <v>308529932.08999997</v>
      </c>
      <c r="E15" s="325">
        <v>1.5971120000000001</v>
      </c>
      <c r="F15" s="23">
        <f t="shared" si="0"/>
        <v>1.3024940819864779E-2</v>
      </c>
      <c r="G15" s="23">
        <f t="shared" si="1"/>
        <v>1.268718656929837E-2</v>
      </c>
      <c r="H15" s="325">
        <v>315819551.70999998</v>
      </c>
      <c r="I15" s="325">
        <v>1.634835</v>
      </c>
      <c r="J15" s="23">
        <f t="shared" si="2"/>
        <v>2.3626944622908031E-2</v>
      </c>
      <c r="K15" s="23">
        <f t="shared" si="3"/>
        <v>2.3619508212323212E-2</v>
      </c>
      <c r="L15" s="325">
        <v>322080876.56</v>
      </c>
      <c r="M15" s="325">
        <v>1.667095</v>
      </c>
      <c r="N15" s="23">
        <f t="shared" si="4"/>
        <v>1.982564035728054E-2</v>
      </c>
      <c r="O15" s="23">
        <f t="shared" si="5"/>
        <v>1.9732878241535051E-2</v>
      </c>
      <c r="P15" s="325">
        <v>336511409.14999998</v>
      </c>
      <c r="Q15" s="325">
        <v>1.7410920000000001</v>
      </c>
      <c r="R15" s="23">
        <f t="shared" si="6"/>
        <v>4.480406519047625E-2</v>
      </c>
      <c r="S15" s="23">
        <f t="shared" si="7"/>
        <v>4.4386792594303316E-2</v>
      </c>
      <c r="T15" s="325">
        <v>334078728.27999997</v>
      </c>
      <c r="U15" s="325">
        <v>1.729228</v>
      </c>
      <c r="V15" s="23">
        <f t="shared" si="8"/>
        <v>-7.2291185494861993E-3</v>
      </c>
      <c r="W15" s="23">
        <f t="shared" si="9"/>
        <v>-6.8141143604129456E-3</v>
      </c>
      <c r="X15" s="325">
        <v>353832052.04000002</v>
      </c>
      <c r="Y15" s="325">
        <v>1.830408</v>
      </c>
      <c r="Z15" s="23">
        <f t="shared" si="10"/>
        <v>5.9127750700260932E-2</v>
      </c>
      <c r="AA15" s="23">
        <f t="shared" si="11"/>
        <v>5.8511659538244838E-2</v>
      </c>
      <c r="AB15" s="325">
        <v>358347283.30000001</v>
      </c>
      <c r="AC15" s="325">
        <v>1.853299</v>
      </c>
      <c r="AD15" s="23">
        <f t="shared" si="12"/>
        <v>1.2760944730607821E-2</v>
      </c>
      <c r="AE15" s="23">
        <f t="shared" si="13"/>
        <v>1.2505954956490572E-2</v>
      </c>
      <c r="AF15" s="325">
        <v>371958076.94999999</v>
      </c>
      <c r="AG15" s="325">
        <v>1.923176</v>
      </c>
      <c r="AH15" s="23">
        <f t="shared" si="14"/>
        <v>3.7982131536365898E-2</v>
      </c>
      <c r="AI15" s="23">
        <f t="shared" si="15"/>
        <v>3.7704115741712466E-2</v>
      </c>
      <c r="AJ15" s="24">
        <f t="shared" si="16"/>
        <v>2.5490412426034757E-2</v>
      </c>
      <c r="AK15" s="24">
        <f t="shared" si="17"/>
        <v>2.5291747686686857E-2</v>
      </c>
      <c r="AL15" s="25">
        <f t="shared" si="18"/>
        <v>0.20558181966441316</v>
      </c>
      <c r="AM15" s="25">
        <f t="shared" si="19"/>
        <v>0.20415850610351677</v>
      </c>
      <c r="AN15" s="390">
        <f t="shared" si="20"/>
        <v>2.0990092723837266E-2</v>
      </c>
      <c r="AO15" s="391">
        <f t="shared" si="21"/>
        <v>2.0733290735431065E-2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2" t="s">
        <v>10</v>
      </c>
      <c r="B16" s="326">
        <v>733608279.30999994</v>
      </c>
      <c r="C16" s="325">
        <v>18.79</v>
      </c>
      <c r="D16" s="326">
        <v>751036579.92999995</v>
      </c>
      <c r="E16" s="325">
        <v>18.79</v>
      </c>
      <c r="F16" s="23">
        <f t="shared" si="0"/>
        <v>2.3756957372935195E-2</v>
      </c>
      <c r="G16" s="23">
        <f t="shared" si="1"/>
        <v>0</v>
      </c>
      <c r="H16" s="326">
        <v>747894697.69000006</v>
      </c>
      <c r="I16" s="325">
        <v>18.79</v>
      </c>
      <c r="J16" s="23">
        <f t="shared" si="2"/>
        <v>-4.1833944230688846E-3</v>
      </c>
      <c r="K16" s="23">
        <f t="shared" si="3"/>
        <v>0</v>
      </c>
      <c r="L16" s="326">
        <v>771566534.01999998</v>
      </c>
      <c r="M16" s="325">
        <v>19.760000000000002</v>
      </c>
      <c r="N16" s="23">
        <f t="shared" si="4"/>
        <v>3.1651295834981066E-2</v>
      </c>
      <c r="O16" s="23">
        <f t="shared" si="5"/>
        <v>5.1623203831825573E-2</v>
      </c>
      <c r="P16" s="326">
        <v>821104735.62</v>
      </c>
      <c r="Q16" s="325">
        <v>19.760000000000002</v>
      </c>
      <c r="R16" s="23">
        <f t="shared" si="6"/>
        <v>6.420470486439725E-2</v>
      </c>
      <c r="S16" s="23">
        <f t="shared" si="7"/>
        <v>0</v>
      </c>
      <c r="T16" s="326">
        <v>848881786.79999995</v>
      </c>
      <c r="U16" s="325">
        <v>21.75</v>
      </c>
      <c r="V16" s="23">
        <f t="shared" si="8"/>
        <v>3.3828877090845227E-2</v>
      </c>
      <c r="W16" s="23">
        <f t="shared" si="9"/>
        <v>0.10070850202429141</v>
      </c>
      <c r="X16" s="326">
        <v>939005677.60000002</v>
      </c>
      <c r="Y16" s="325">
        <v>24.13</v>
      </c>
      <c r="Z16" s="23">
        <f t="shared" si="10"/>
        <v>0.10616777530324564</v>
      </c>
      <c r="AA16" s="23">
        <f t="shared" si="11"/>
        <v>0.10942528735632179</v>
      </c>
      <c r="AB16" s="326">
        <v>931787865.08000004</v>
      </c>
      <c r="AC16" s="325">
        <v>23.89</v>
      </c>
      <c r="AD16" s="23">
        <f t="shared" si="12"/>
        <v>-7.6866548224159333E-3</v>
      </c>
      <c r="AE16" s="23">
        <f t="shared" si="13"/>
        <v>-9.9461251554081413E-3</v>
      </c>
      <c r="AF16" s="326">
        <v>953773940.5</v>
      </c>
      <c r="AG16" s="325">
        <v>24.46</v>
      </c>
      <c r="AH16" s="23">
        <f t="shared" si="14"/>
        <v>2.3595580328911354E-2</v>
      </c>
      <c r="AI16" s="23">
        <f t="shared" si="15"/>
        <v>2.3859355378819599E-2</v>
      </c>
      <c r="AJ16" s="24">
        <f t="shared" si="16"/>
        <v>3.3916892693728863E-2</v>
      </c>
      <c r="AK16" s="24">
        <f t="shared" si="17"/>
        <v>3.445877792948128E-2</v>
      </c>
      <c r="AL16" s="25">
        <f t="shared" si="18"/>
        <v>0.26994339022594094</v>
      </c>
      <c r="AM16" s="25">
        <f t="shared" si="19"/>
        <v>0.30175625332623746</v>
      </c>
      <c r="AN16" s="390">
        <f t="shared" si="20"/>
        <v>3.6907070748760269E-2</v>
      </c>
      <c r="AO16" s="391">
        <f t="shared" si="21"/>
        <v>4.7734363633409417E-2</v>
      </c>
      <c r="AP16" s="30"/>
      <c r="AQ16" s="28"/>
      <c r="AR16" s="28"/>
      <c r="AS16" s="29"/>
      <c r="AT16" s="29"/>
    </row>
    <row r="17" spans="1:46" s="368" customFormat="1" ht="12.75" customHeight="1">
      <c r="A17" s="203" t="s">
        <v>67</v>
      </c>
      <c r="B17" s="326">
        <v>360902095.77999997</v>
      </c>
      <c r="C17" s="325">
        <v>3602.14</v>
      </c>
      <c r="D17" s="326">
        <v>359827802.38</v>
      </c>
      <c r="E17" s="325">
        <v>3591.3</v>
      </c>
      <c r="F17" s="23">
        <f t="shared" si="0"/>
        <v>-2.9766892810033662E-3</v>
      </c>
      <c r="G17" s="23">
        <f t="shared" si="1"/>
        <v>-3.0093222362261576E-3</v>
      </c>
      <c r="H17" s="326">
        <v>362595207.16000003</v>
      </c>
      <c r="I17" s="325">
        <v>3618.89</v>
      </c>
      <c r="J17" s="23">
        <f t="shared" si="2"/>
        <v>7.6909142698136585E-3</v>
      </c>
      <c r="K17" s="23">
        <f t="shared" si="3"/>
        <v>7.6824548213737893E-3</v>
      </c>
      <c r="L17" s="326">
        <v>357013099.50999999</v>
      </c>
      <c r="M17" s="325">
        <v>3762.39</v>
      </c>
      <c r="N17" s="23">
        <f t="shared" si="4"/>
        <v>-1.5394874338581247E-2</v>
      </c>
      <c r="O17" s="23">
        <f t="shared" si="5"/>
        <v>3.9653042783837036E-2</v>
      </c>
      <c r="P17" s="326">
        <v>374241686.24000001</v>
      </c>
      <c r="Q17" s="325">
        <v>3944.29</v>
      </c>
      <c r="R17" s="23">
        <f t="shared" si="6"/>
        <v>4.8257575852668239E-2</v>
      </c>
      <c r="S17" s="23">
        <f t="shared" si="7"/>
        <v>4.8346928415182927E-2</v>
      </c>
      <c r="T17" s="326">
        <v>377264083.42000002</v>
      </c>
      <c r="U17" s="325">
        <v>3976.39</v>
      </c>
      <c r="V17" s="23">
        <f t="shared" si="8"/>
        <v>8.0760569736791788E-3</v>
      </c>
      <c r="W17" s="23">
        <f t="shared" si="9"/>
        <v>8.1383468254108866E-3</v>
      </c>
      <c r="X17" s="326">
        <v>411312309.70999998</v>
      </c>
      <c r="Y17" s="325">
        <v>4335.5600000000004</v>
      </c>
      <c r="Z17" s="23">
        <f t="shared" si="10"/>
        <v>9.0250378412234919E-2</v>
      </c>
      <c r="AA17" s="23">
        <f t="shared" si="11"/>
        <v>9.0325647132197928E-2</v>
      </c>
      <c r="AB17" s="326">
        <v>426515600.54000002</v>
      </c>
      <c r="AC17" s="325">
        <v>4316.53</v>
      </c>
      <c r="AD17" s="23">
        <f t="shared" si="12"/>
        <v>3.6962887983389751E-2</v>
      </c>
      <c r="AE17" s="23">
        <f t="shared" si="13"/>
        <v>-4.3892830453276287E-3</v>
      </c>
      <c r="AF17" s="326">
        <v>446232271.13</v>
      </c>
      <c r="AG17" s="325">
        <v>4520.41</v>
      </c>
      <c r="AH17" s="23">
        <f t="shared" si="14"/>
        <v>4.6227313995167406E-2</v>
      </c>
      <c r="AI17" s="23">
        <f t="shared" si="15"/>
        <v>4.7232383419088975E-2</v>
      </c>
      <c r="AJ17" s="24">
        <f t="shared" si="16"/>
        <v>2.738669548342107E-2</v>
      </c>
      <c r="AK17" s="24">
        <f t="shared" si="17"/>
        <v>2.9247524764442218E-2</v>
      </c>
      <c r="AL17" s="25">
        <f t="shared" si="18"/>
        <v>0.24012727248560864</v>
      </c>
      <c r="AM17" s="25">
        <f t="shared" si="19"/>
        <v>0.25871133015899522</v>
      </c>
      <c r="AN17" s="390">
        <f t="shared" si="20"/>
        <v>3.4531830151985535E-2</v>
      </c>
      <c r="AO17" s="391">
        <f t="shared" si="21"/>
        <v>3.2971075745765591E-2</v>
      </c>
      <c r="AP17" s="30"/>
      <c r="AQ17" s="28"/>
      <c r="AR17" s="28"/>
      <c r="AS17" s="29"/>
      <c r="AT17" s="29"/>
    </row>
    <row r="18" spans="1:46" s="86" customFormat="1" ht="12.75" customHeight="1">
      <c r="A18" s="202" t="s">
        <v>225</v>
      </c>
      <c r="B18" s="326">
        <v>7561137652.1700001</v>
      </c>
      <c r="C18" s="325">
        <v>13195.08</v>
      </c>
      <c r="D18" s="326">
        <v>7527063280.2200003</v>
      </c>
      <c r="E18" s="325">
        <v>13157.36</v>
      </c>
      <c r="F18" s="23">
        <f t="shared" si="0"/>
        <v>-4.5065139027353476E-3</v>
      </c>
      <c r="G18" s="23">
        <f t="shared" si="1"/>
        <v>-2.8586412511329485E-3</v>
      </c>
      <c r="H18" s="326">
        <v>7587944673.5</v>
      </c>
      <c r="I18" s="325">
        <v>13267.36</v>
      </c>
      <c r="J18" s="23">
        <f t="shared" si="2"/>
        <v>8.0883328615008396E-3</v>
      </c>
      <c r="K18" s="23">
        <f t="shared" si="3"/>
        <v>8.3603397642080177E-3</v>
      </c>
      <c r="L18" s="326">
        <v>7777595684.5600004</v>
      </c>
      <c r="M18" s="325">
        <v>13602.44</v>
      </c>
      <c r="N18" s="23">
        <f t="shared" si="4"/>
        <v>2.4993726130125085E-2</v>
      </c>
      <c r="O18" s="23">
        <f t="shared" si="5"/>
        <v>2.5255966522352593E-2</v>
      </c>
      <c r="P18" s="326">
        <v>8187560089.1400003</v>
      </c>
      <c r="Q18" s="325">
        <v>14313.25</v>
      </c>
      <c r="R18" s="23">
        <f t="shared" si="6"/>
        <v>5.2710943228105427E-2</v>
      </c>
      <c r="S18" s="23">
        <f t="shared" si="7"/>
        <v>5.225606582348457E-2</v>
      </c>
      <c r="T18" s="326">
        <v>8210277172.0100002</v>
      </c>
      <c r="U18" s="325">
        <v>14347.53</v>
      </c>
      <c r="V18" s="23">
        <f t="shared" si="8"/>
        <v>2.774585178328264E-3</v>
      </c>
      <c r="W18" s="23">
        <f t="shared" si="9"/>
        <v>2.3949836689780906E-3</v>
      </c>
      <c r="X18" s="326">
        <v>8793551066.7700005</v>
      </c>
      <c r="Y18" s="325">
        <v>15348.97</v>
      </c>
      <c r="Z18" s="23">
        <f t="shared" si="10"/>
        <v>7.104192496064124E-2</v>
      </c>
      <c r="AA18" s="23">
        <f t="shared" si="11"/>
        <v>6.9798773726209226E-2</v>
      </c>
      <c r="AB18" s="326">
        <v>8729913197.9699993</v>
      </c>
      <c r="AC18" s="325">
        <v>15317</v>
      </c>
      <c r="AD18" s="23">
        <f t="shared" si="12"/>
        <v>-7.2368794263881226E-3</v>
      </c>
      <c r="AE18" s="23">
        <f t="shared" si="13"/>
        <v>-2.0828759193613215E-3</v>
      </c>
      <c r="AF18" s="326">
        <v>8991633705.0799999</v>
      </c>
      <c r="AG18" s="325">
        <v>15774.7</v>
      </c>
      <c r="AH18" s="23">
        <f t="shared" si="14"/>
        <v>2.9979737618795511E-2</v>
      </c>
      <c r="AI18" s="23">
        <f t="shared" si="15"/>
        <v>2.9881830645687845E-2</v>
      </c>
      <c r="AJ18" s="24">
        <f t="shared" si="16"/>
        <v>2.2230732081046613E-2</v>
      </c>
      <c r="AK18" s="24">
        <f t="shared" si="17"/>
        <v>2.2875805372553255E-2</v>
      </c>
      <c r="AL18" s="25">
        <f t="shared" si="18"/>
        <v>0.19457394874155931</v>
      </c>
      <c r="AM18" s="25">
        <f t="shared" si="19"/>
        <v>0.19892592434956557</v>
      </c>
      <c r="AN18" s="390">
        <f t="shared" si="20"/>
        <v>2.8134946758113358E-2</v>
      </c>
      <c r="AO18" s="391">
        <f t="shared" si="21"/>
        <v>2.6819701007305866E-2</v>
      </c>
      <c r="AP18" s="30"/>
      <c r="AQ18" s="28"/>
      <c r="AR18" s="28"/>
      <c r="AS18" s="29"/>
      <c r="AT18" s="29"/>
    </row>
    <row r="19" spans="1:46" s="108" customFormat="1" ht="12.75" customHeight="1">
      <c r="A19" s="202" t="s">
        <v>245</v>
      </c>
      <c r="B19" s="74">
        <v>58755040</v>
      </c>
      <c r="C19" s="325">
        <v>111.5488</v>
      </c>
      <c r="D19" s="74">
        <v>58830040.659999996</v>
      </c>
      <c r="E19" s="325">
        <v>111.6998</v>
      </c>
      <c r="F19" s="23">
        <f t="shared" si="0"/>
        <v>1.2764974715359981E-3</v>
      </c>
      <c r="G19" s="23">
        <f t="shared" si="1"/>
        <v>1.3536676324621712E-3</v>
      </c>
      <c r="H19" s="74">
        <v>59586982.670000002</v>
      </c>
      <c r="I19" s="325">
        <v>113.1404</v>
      </c>
      <c r="J19" s="23">
        <f t="shared" si="2"/>
        <v>1.2866589951461125E-2</v>
      </c>
      <c r="K19" s="23">
        <f t="shared" si="3"/>
        <v>1.2897068750346944E-2</v>
      </c>
      <c r="L19" s="74">
        <v>60471101.140000001</v>
      </c>
      <c r="M19" s="325">
        <v>114.6515</v>
      </c>
      <c r="N19" s="23">
        <f t="shared" si="4"/>
        <v>1.4837443186146125E-2</v>
      </c>
      <c r="O19" s="23">
        <f t="shared" si="5"/>
        <v>1.3355971872116406E-2</v>
      </c>
      <c r="P19" s="74">
        <v>63131251.880000003</v>
      </c>
      <c r="Q19" s="325">
        <v>118.4969</v>
      </c>
      <c r="R19" s="23">
        <f t="shared" si="6"/>
        <v>4.3990446508346846E-2</v>
      </c>
      <c r="S19" s="23">
        <f t="shared" si="7"/>
        <v>3.3539901353231295E-2</v>
      </c>
      <c r="T19" s="74">
        <v>63016916.469999999</v>
      </c>
      <c r="U19" s="325">
        <v>118.2435</v>
      </c>
      <c r="V19" s="23">
        <f t="shared" si="8"/>
        <v>-1.8110746515423587E-3</v>
      </c>
      <c r="W19" s="23">
        <f t="shared" si="9"/>
        <v>-2.138452567113563E-3</v>
      </c>
      <c r="X19" s="74">
        <v>66210201.329999998</v>
      </c>
      <c r="Y19" s="325">
        <v>124.14879999999999</v>
      </c>
      <c r="Z19" s="23">
        <f t="shared" si="10"/>
        <v>5.0673454667052822E-2</v>
      </c>
      <c r="AA19" s="23">
        <f t="shared" si="11"/>
        <v>4.9941857269109907E-2</v>
      </c>
      <c r="AB19" s="74">
        <v>66054241.280000001</v>
      </c>
      <c r="AC19" s="325">
        <v>123.6105</v>
      </c>
      <c r="AD19" s="23">
        <f t="shared" si="12"/>
        <v>-2.3555290101395774E-3</v>
      </c>
      <c r="AE19" s="23">
        <f t="shared" si="13"/>
        <v>-4.3359259211526203E-3</v>
      </c>
      <c r="AF19" s="74">
        <v>67439714.620000005</v>
      </c>
      <c r="AG19" s="325">
        <v>126.20059999999999</v>
      </c>
      <c r="AH19" s="23">
        <f t="shared" si="14"/>
        <v>2.097478243867891E-2</v>
      </c>
      <c r="AI19" s="23">
        <f t="shared" si="15"/>
        <v>2.0953721568960505E-2</v>
      </c>
      <c r="AJ19" s="24">
        <f t="shared" si="16"/>
        <v>1.7556576320192488E-2</v>
      </c>
      <c r="AK19" s="24">
        <f t="shared" si="17"/>
        <v>1.5695976244745131E-2</v>
      </c>
      <c r="AL19" s="25">
        <f t="shared" si="18"/>
        <v>0.14634825785279354</v>
      </c>
      <c r="AM19" s="25">
        <f t="shared" si="19"/>
        <v>0.12981939090311709</v>
      </c>
      <c r="AN19" s="390">
        <f t="shared" si="20"/>
        <v>2.0259705698541512E-2</v>
      </c>
      <c r="AO19" s="391">
        <f t="shared" si="21"/>
        <v>1.8735700039123018E-2</v>
      </c>
      <c r="AP19" s="30"/>
      <c r="AQ19" s="28"/>
      <c r="AR19" s="28"/>
      <c r="AS19" s="29"/>
      <c r="AT19" s="29"/>
    </row>
    <row r="20" spans="1:46" s="302" customFormat="1" ht="12.75" customHeight="1">
      <c r="A20" s="202" t="s">
        <v>75</v>
      </c>
      <c r="B20" s="325">
        <v>1994889341.1199999</v>
      </c>
      <c r="C20" s="310">
        <v>1.0508999999999999</v>
      </c>
      <c r="D20" s="325">
        <v>1986065591.46</v>
      </c>
      <c r="E20" s="310">
        <v>1.0337000000000001</v>
      </c>
      <c r="F20" s="23">
        <f t="shared" si="0"/>
        <v>-4.4231775056985815E-3</v>
      </c>
      <c r="G20" s="23">
        <f t="shared" si="1"/>
        <v>-1.6366923589304295E-2</v>
      </c>
      <c r="H20" s="325">
        <v>1980421530.45</v>
      </c>
      <c r="I20" s="310">
        <v>1.028</v>
      </c>
      <c r="J20" s="23">
        <f t="shared" si="2"/>
        <v>-2.8418301159182351E-3</v>
      </c>
      <c r="K20" s="23">
        <f t="shared" si="3"/>
        <v>-5.5141723904421382E-3</v>
      </c>
      <c r="L20" s="325">
        <v>2010374160.3099999</v>
      </c>
      <c r="M20" s="310">
        <v>1.0426</v>
      </c>
      <c r="N20" s="23">
        <f t="shared" si="4"/>
        <v>1.5124370948034446E-2</v>
      </c>
      <c r="O20" s="23">
        <f t="shared" si="5"/>
        <v>1.4202334630350142E-2</v>
      </c>
      <c r="P20" s="325">
        <v>2347537446.5300002</v>
      </c>
      <c r="Q20" s="310">
        <v>1.1678999999999999</v>
      </c>
      <c r="R20" s="23">
        <f t="shared" si="6"/>
        <v>0.16771170903231747</v>
      </c>
      <c r="S20" s="23">
        <f t="shared" si="7"/>
        <v>0.12018031843468249</v>
      </c>
      <c r="T20" s="325">
        <v>2358631076.48</v>
      </c>
      <c r="U20" s="310">
        <v>1.1733</v>
      </c>
      <c r="V20" s="23">
        <f t="shared" si="8"/>
        <v>4.7256455765584482E-3</v>
      </c>
      <c r="W20" s="23">
        <f t="shared" si="9"/>
        <v>4.623683534549252E-3</v>
      </c>
      <c r="X20" s="325">
        <v>2487063727.7800002</v>
      </c>
      <c r="Y20" s="310">
        <v>1.2363999999999999</v>
      </c>
      <c r="Z20" s="23">
        <f t="shared" si="10"/>
        <v>5.445220008364849E-2</v>
      </c>
      <c r="AA20" s="23">
        <f t="shared" si="11"/>
        <v>5.3779936930026362E-2</v>
      </c>
      <c r="AB20" s="325">
        <v>2689717869.4099998</v>
      </c>
      <c r="AC20" s="310">
        <v>1.1746000000000001</v>
      </c>
      <c r="AD20" s="23">
        <f t="shared" si="12"/>
        <v>8.1483292674165819E-2</v>
      </c>
      <c r="AE20" s="23">
        <f t="shared" si="13"/>
        <v>-4.9983824005176203E-2</v>
      </c>
      <c r="AF20" s="325">
        <v>2442123267.79</v>
      </c>
      <c r="AG20" s="310">
        <v>1.1916</v>
      </c>
      <c r="AH20" s="23">
        <f t="shared" si="14"/>
        <v>-9.2052257389475103E-2</v>
      </c>
      <c r="AI20" s="23">
        <f t="shared" si="15"/>
        <v>1.447301208922178E-2</v>
      </c>
      <c r="AJ20" s="24">
        <f t="shared" si="16"/>
        <v>2.802249416295409E-2</v>
      </c>
      <c r="AK20" s="24">
        <f t="shared" si="17"/>
        <v>1.6924295704238423E-2</v>
      </c>
      <c r="AL20" s="25">
        <f t="shared" si="18"/>
        <v>0.22962870828185589</v>
      </c>
      <c r="AM20" s="25">
        <f t="shared" si="19"/>
        <v>0.15275224920189603</v>
      </c>
      <c r="AN20" s="390">
        <f t="shared" si="20"/>
        <v>7.5783565786722643E-2</v>
      </c>
      <c r="AO20" s="391">
        <f t="shared" si="21"/>
        <v>5.1092848337970807E-2</v>
      </c>
      <c r="AP20" s="30"/>
      <c r="AQ20" s="28"/>
      <c r="AR20" s="28"/>
      <c r="AS20" s="29"/>
      <c r="AT20" s="29"/>
    </row>
    <row r="21" spans="1:46">
      <c r="A21" s="204" t="s">
        <v>42</v>
      </c>
      <c r="B21" s="70">
        <f>SUM(B5:B20)</f>
        <v>16995023834.23</v>
      </c>
      <c r="C21" s="85"/>
      <c r="D21" s="70">
        <f>SUM(D5:D20)</f>
        <v>16966112297.950001</v>
      </c>
      <c r="E21" s="85"/>
      <c r="F21" s="23">
        <f>((D21-B21)/B21)</f>
        <v>-1.7011765656819795E-3</v>
      </c>
      <c r="G21" s="23"/>
      <c r="H21" s="70">
        <f>SUM(H5:H20)</f>
        <v>17079628906.380001</v>
      </c>
      <c r="I21" s="85"/>
      <c r="J21" s="23">
        <f>((H21-D21)/D21)</f>
        <v>6.6907849268283111E-3</v>
      </c>
      <c r="K21" s="23"/>
      <c r="L21" s="70">
        <f>SUM(L5:L20)</f>
        <v>17454929325.300003</v>
      </c>
      <c r="M21" s="85"/>
      <c r="N21" s="23">
        <f>((L21-H21)/H21)</f>
        <v>2.1973569857821125E-2</v>
      </c>
      <c r="O21" s="23"/>
      <c r="P21" s="70">
        <f>SUM(P5:P20)</f>
        <v>18617819180.259998</v>
      </c>
      <c r="Q21" s="85"/>
      <c r="R21" s="23">
        <f>((P21-L21)/L21)</f>
        <v>6.6622432740214399E-2</v>
      </c>
      <c r="S21" s="23"/>
      <c r="T21" s="70">
        <f>SUM(T5:T20)</f>
        <v>18707350348.630001</v>
      </c>
      <c r="U21" s="85"/>
      <c r="V21" s="23">
        <f>((T21-P21)/P21)</f>
        <v>4.8088966544980937E-3</v>
      </c>
      <c r="W21" s="23"/>
      <c r="X21" s="70">
        <f>SUM(X5:X20)</f>
        <v>20030863173.209999</v>
      </c>
      <c r="Y21" s="85"/>
      <c r="Z21" s="23">
        <f>((X21-T21)/T21)</f>
        <v>7.0748278078670984E-2</v>
      </c>
      <c r="AA21" s="23"/>
      <c r="AB21" s="70">
        <f>SUM(AB5:AB20)</f>
        <v>20288689104.509998</v>
      </c>
      <c r="AC21" s="85"/>
      <c r="AD21" s="23">
        <f>((AB21-X21)/X21)</f>
        <v>1.2871433900303656E-2</v>
      </c>
      <c r="AE21" s="23"/>
      <c r="AF21" s="70">
        <f>SUM(AF5:AF20)</f>
        <v>20576058059.739998</v>
      </c>
      <c r="AG21" s="85"/>
      <c r="AH21" s="23">
        <f>((AF21-AB21)/AB21)</f>
        <v>1.4163998164184986E-2</v>
      </c>
      <c r="AI21" s="23"/>
      <c r="AJ21" s="24">
        <f t="shared" si="16"/>
        <v>2.4522277219604944E-2</v>
      </c>
      <c r="AK21" s="24"/>
      <c r="AL21" s="25">
        <f t="shared" si="18"/>
        <v>0.21277389294577423</v>
      </c>
      <c r="AM21" s="25"/>
      <c r="AN21" s="390">
        <f t="shared" si="20"/>
        <v>2.8165448117608596E-2</v>
      </c>
      <c r="AO21" s="391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4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90"/>
      <c r="AO22" s="391"/>
      <c r="AP22" s="30"/>
      <c r="AQ22" s="40"/>
      <c r="AR22" s="41"/>
      <c r="AS22" s="29"/>
      <c r="AT22" s="29"/>
    </row>
    <row r="23" spans="1:46">
      <c r="A23" s="201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90"/>
      <c r="AO23" s="391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2" t="s">
        <v>115</v>
      </c>
      <c r="B24" s="321">
        <v>773424588.75</v>
      </c>
      <c r="C24" s="310">
        <v>100</v>
      </c>
      <c r="D24" s="321">
        <v>780586901.72000003</v>
      </c>
      <c r="E24" s="310">
        <v>100</v>
      </c>
      <c r="F24" s="23">
        <f t="shared" ref="F24:F52" si="32">((D24-B24)/B24)</f>
        <v>9.2605188329681586E-3</v>
      </c>
      <c r="G24" s="23">
        <f t="shared" ref="G24:G52" si="33">((E24-C24)/C24)</f>
        <v>0</v>
      </c>
      <c r="H24" s="321">
        <v>789021220.91999996</v>
      </c>
      <c r="I24" s="310">
        <v>100</v>
      </c>
      <c r="J24" s="23">
        <f t="shared" ref="J24:J52" si="34">((H24-D24)/D24)</f>
        <v>1.0805099574967447E-2</v>
      </c>
      <c r="K24" s="23">
        <f t="shared" ref="K24:K52" si="35">((I24-E24)/E24)</f>
        <v>0</v>
      </c>
      <c r="L24" s="321">
        <v>786489186.38999999</v>
      </c>
      <c r="M24" s="310">
        <v>100</v>
      </c>
      <c r="N24" s="23">
        <f t="shared" ref="N24:N52" si="36">((L24-H24)/H24)</f>
        <v>-3.2090829281468695E-3</v>
      </c>
      <c r="O24" s="23">
        <f t="shared" ref="O24:O52" si="37">((M24-I24)/I24)</f>
        <v>0</v>
      </c>
      <c r="P24" s="321">
        <v>800765159.13</v>
      </c>
      <c r="Q24" s="310">
        <v>100</v>
      </c>
      <c r="R24" s="23">
        <f t="shared" ref="R24:R52" si="38">((P24-L24)/L24)</f>
        <v>1.8151518148045991E-2</v>
      </c>
      <c r="S24" s="23">
        <f t="shared" ref="S24:S52" si="39">((Q24-M24)/M24)</f>
        <v>0</v>
      </c>
      <c r="T24" s="321">
        <v>808965989.36000001</v>
      </c>
      <c r="U24" s="310">
        <v>100</v>
      </c>
      <c r="V24" s="23">
        <f t="shared" ref="V24:V52" si="40">((T24-P24)/P24)</f>
        <v>1.0241242562188771E-2</v>
      </c>
      <c r="W24" s="23">
        <f t="shared" ref="W24:W52" si="41">((U24-Q24)/Q24)</f>
        <v>0</v>
      </c>
      <c r="X24" s="321">
        <v>817828258.86000001</v>
      </c>
      <c r="Y24" s="310">
        <v>100</v>
      </c>
      <c r="Z24" s="23">
        <f t="shared" ref="Z24:Z52" si="42">((X24-T24)/T24)</f>
        <v>1.0955058205860096E-2</v>
      </c>
      <c r="AA24" s="23">
        <f t="shared" ref="AA24:AA52" si="43">((Y24-U24)/U24)</f>
        <v>0</v>
      </c>
      <c r="AB24" s="321">
        <v>818463836.38</v>
      </c>
      <c r="AC24" s="310">
        <v>100</v>
      </c>
      <c r="AD24" s="23">
        <f t="shared" ref="AD24:AD52" si="44">((AB24-X24)/X24)</f>
        <v>7.7715279841997036E-4</v>
      </c>
      <c r="AE24" s="23">
        <f t="shared" ref="AE24:AE52" si="45">((AC24-Y24)/Y24)</f>
        <v>0</v>
      </c>
      <c r="AF24" s="321">
        <v>809250351.65999997</v>
      </c>
      <c r="AG24" s="310">
        <v>100</v>
      </c>
      <c r="AH24" s="23">
        <f t="shared" ref="AH24:AH52" si="46">((AF24-AB24)/AB24)</f>
        <v>-1.1257045590127151E-2</v>
      </c>
      <c r="AI24" s="23">
        <f t="shared" ref="AI24:AI52" si="47">((AG24-AC24)/AC24)</f>
        <v>0</v>
      </c>
      <c r="AJ24" s="24">
        <f t="shared" si="16"/>
        <v>5.7155577005220523E-3</v>
      </c>
      <c r="AK24" s="24">
        <f t="shared" si="17"/>
        <v>0</v>
      </c>
      <c r="AL24" s="25">
        <f t="shared" si="18"/>
        <v>3.6720382928333642E-2</v>
      </c>
      <c r="AM24" s="25">
        <f t="shared" si="19"/>
        <v>0</v>
      </c>
      <c r="AN24" s="390">
        <f t="shared" si="20"/>
        <v>9.5106241569022885E-3</v>
      </c>
      <c r="AO24" s="391">
        <f t="shared" si="21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2" t="s">
        <v>37</v>
      </c>
      <c r="B25" s="321">
        <v>2977946608.1900001</v>
      </c>
      <c r="C25" s="310">
        <v>100</v>
      </c>
      <c r="D25" s="321">
        <v>3119190246.1599998</v>
      </c>
      <c r="E25" s="310">
        <v>100</v>
      </c>
      <c r="F25" s="23">
        <f t="shared" si="32"/>
        <v>4.7429875868677127E-2</v>
      </c>
      <c r="G25" s="23">
        <f t="shared" si="33"/>
        <v>0</v>
      </c>
      <c r="H25" s="321">
        <v>3181722069.02</v>
      </c>
      <c r="I25" s="310">
        <v>100</v>
      </c>
      <c r="J25" s="23">
        <f t="shared" si="34"/>
        <v>2.0047453962445016E-2</v>
      </c>
      <c r="K25" s="23">
        <f t="shared" si="35"/>
        <v>0</v>
      </c>
      <c r="L25" s="321">
        <v>3167908881.52</v>
      </c>
      <c r="M25" s="310">
        <v>100</v>
      </c>
      <c r="N25" s="23">
        <f t="shared" si="36"/>
        <v>-4.3414186407094288E-3</v>
      </c>
      <c r="O25" s="23">
        <f t="shared" si="37"/>
        <v>0</v>
      </c>
      <c r="P25" s="321">
        <v>3238541939.1399999</v>
      </c>
      <c r="Q25" s="310">
        <v>100</v>
      </c>
      <c r="R25" s="23">
        <f t="shared" si="38"/>
        <v>2.2296429683327668E-2</v>
      </c>
      <c r="S25" s="23">
        <f t="shared" si="39"/>
        <v>0</v>
      </c>
      <c r="T25" s="321">
        <v>3313072792.2199998</v>
      </c>
      <c r="U25" s="310">
        <v>100</v>
      </c>
      <c r="V25" s="23">
        <f t="shared" si="40"/>
        <v>2.3013706316179963E-2</v>
      </c>
      <c r="W25" s="23">
        <f t="shared" si="41"/>
        <v>0</v>
      </c>
      <c r="X25" s="321">
        <v>3317545180.6999998</v>
      </c>
      <c r="Y25" s="310">
        <v>100</v>
      </c>
      <c r="Z25" s="23">
        <f t="shared" si="42"/>
        <v>1.3499215865411739E-3</v>
      </c>
      <c r="AA25" s="23">
        <f t="shared" si="43"/>
        <v>0</v>
      </c>
      <c r="AB25" s="321">
        <v>3329801705.5900002</v>
      </c>
      <c r="AC25" s="310">
        <v>100</v>
      </c>
      <c r="AD25" s="23">
        <f t="shared" si="44"/>
        <v>3.694456057841607E-3</v>
      </c>
      <c r="AE25" s="23">
        <f t="shared" si="45"/>
        <v>0</v>
      </c>
      <c r="AF25" s="321">
        <v>3324415921.2199998</v>
      </c>
      <c r="AG25" s="310">
        <v>100</v>
      </c>
      <c r="AH25" s="23">
        <f t="shared" si="46"/>
        <v>-1.6174489793067323E-3</v>
      </c>
      <c r="AI25" s="23">
        <f t="shared" si="47"/>
        <v>0</v>
      </c>
      <c r="AJ25" s="24">
        <f t="shared" si="16"/>
        <v>1.3984121981874551E-2</v>
      </c>
      <c r="AK25" s="24">
        <f t="shared" si="17"/>
        <v>0</v>
      </c>
      <c r="AL25" s="25">
        <f t="shared" si="18"/>
        <v>6.5794536037887069E-2</v>
      </c>
      <c r="AM25" s="25">
        <f t="shared" si="19"/>
        <v>0</v>
      </c>
      <c r="AN25" s="390">
        <f t="shared" si="20"/>
        <v>1.7528527769494366E-2</v>
      </c>
      <c r="AO25" s="391">
        <f t="shared" si="21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2" t="s">
        <v>139</v>
      </c>
      <c r="B26" s="321">
        <v>445987014.75</v>
      </c>
      <c r="C26" s="310">
        <v>100</v>
      </c>
      <c r="D26" s="321">
        <v>455989204.56</v>
      </c>
      <c r="E26" s="310">
        <v>100</v>
      </c>
      <c r="F26" s="23">
        <f t="shared" si="32"/>
        <v>2.2427087514211089E-2</v>
      </c>
      <c r="G26" s="23">
        <f t="shared" si="33"/>
        <v>0</v>
      </c>
      <c r="H26" s="321">
        <v>466329515.66000003</v>
      </c>
      <c r="I26" s="310">
        <v>100</v>
      </c>
      <c r="J26" s="23">
        <f t="shared" si="34"/>
        <v>2.2676657685301461E-2</v>
      </c>
      <c r="K26" s="23">
        <f t="shared" si="35"/>
        <v>0</v>
      </c>
      <c r="L26" s="321">
        <v>476151433.67000002</v>
      </c>
      <c r="M26" s="310">
        <v>100</v>
      </c>
      <c r="N26" s="23">
        <f t="shared" si="36"/>
        <v>2.1062183885356148E-2</v>
      </c>
      <c r="O26" s="23">
        <f t="shared" si="37"/>
        <v>0</v>
      </c>
      <c r="P26" s="321">
        <v>482370119.82999998</v>
      </c>
      <c r="Q26" s="310">
        <v>100</v>
      </c>
      <c r="R26" s="23">
        <f t="shared" si="38"/>
        <v>1.3060311741725993E-2</v>
      </c>
      <c r="S26" s="23">
        <f t="shared" si="39"/>
        <v>0</v>
      </c>
      <c r="T26" s="321">
        <v>510583469.42000002</v>
      </c>
      <c r="U26" s="310">
        <v>100</v>
      </c>
      <c r="V26" s="23">
        <f t="shared" si="40"/>
        <v>5.8489007569422345E-2</v>
      </c>
      <c r="W26" s="23">
        <f t="shared" si="41"/>
        <v>0</v>
      </c>
      <c r="X26" s="321">
        <v>493551899.81</v>
      </c>
      <c r="Y26" s="310">
        <v>100</v>
      </c>
      <c r="Z26" s="23">
        <f t="shared" si="42"/>
        <v>-3.3357072114667395E-2</v>
      </c>
      <c r="AA26" s="23">
        <f t="shared" si="43"/>
        <v>0</v>
      </c>
      <c r="AB26" s="321">
        <v>485018923.54000002</v>
      </c>
      <c r="AC26" s="310">
        <v>100</v>
      </c>
      <c r="AD26" s="23">
        <f t="shared" si="44"/>
        <v>-1.7288913837197009E-2</v>
      </c>
      <c r="AE26" s="23">
        <f t="shared" si="45"/>
        <v>0</v>
      </c>
      <c r="AF26" s="321">
        <v>552902413.13999999</v>
      </c>
      <c r="AG26" s="310">
        <v>100</v>
      </c>
      <c r="AH26" s="23">
        <f t="shared" si="46"/>
        <v>0.13996049701430163</v>
      </c>
      <c r="AI26" s="23">
        <f t="shared" si="47"/>
        <v>0</v>
      </c>
      <c r="AJ26" s="24">
        <f t="shared" si="16"/>
        <v>2.8378719932306784E-2</v>
      </c>
      <c r="AK26" s="24">
        <f t="shared" si="17"/>
        <v>0</v>
      </c>
      <c r="AL26" s="25">
        <f t="shared" si="18"/>
        <v>0.21253399775881743</v>
      </c>
      <c r="AM26" s="25">
        <f t="shared" si="19"/>
        <v>0</v>
      </c>
      <c r="AN26" s="390">
        <f t="shared" si="20"/>
        <v>5.2928636542406288E-2</v>
      </c>
      <c r="AO26" s="391">
        <f t="shared" si="21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2" t="s">
        <v>15</v>
      </c>
      <c r="B27" s="321">
        <v>78231363248.449997</v>
      </c>
      <c r="C27" s="310">
        <v>1</v>
      </c>
      <c r="D27" s="321">
        <v>78641641385.800003</v>
      </c>
      <c r="E27" s="310">
        <v>1</v>
      </c>
      <c r="F27" s="23">
        <f t="shared" si="32"/>
        <v>5.2444201444761989E-3</v>
      </c>
      <c r="G27" s="23">
        <f t="shared" si="33"/>
        <v>0</v>
      </c>
      <c r="H27" s="321">
        <v>79017835302.059998</v>
      </c>
      <c r="I27" s="310">
        <v>1</v>
      </c>
      <c r="J27" s="23">
        <f t="shared" si="34"/>
        <v>4.7836478185197479E-3</v>
      </c>
      <c r="K27" s="23">
        <f t="shared" si="35"/>
        <v>0</v>
      </c>
      <c r="L27" s="321">
        <v>78591591828.949997</v>
      </c>
      <c r="M27" s="310">
        <v>1</v>
      </c>
      <c r="N27" s="23">
        <f t="shared" si="36"/>
        <v>-5.3942691732898991E-3</v>
      </c>
      <c r="O27" s="23">
        <f t="shared" si="37"/>
        <v>0</v>
      </c>
      <c r="P27" s="321">
        <v>79393393065.089996</v>
      </c>
      <c r="Q27" s="310">
        <v>1</v>
      </c>
      <c r="R27" s="23">
        <f t="shared" si="38"/>
        <v>1.0202124902687718E-2</v>
      </c>
      <c r="S27" s="23">
        <f t="shared" si="39"/>
        <v>0</v>
      </c>
      <c r="T27" s="321">
        <v>79450988647.059998</v>
      </c>
      <c r="U27" s="310">
        <v>1</v>
      </c>
      <c r="V27" s="23">
        <f t="shared" si="40"/>
        <v>7.2544552822905524E-4</v>
      </c>
      <c r="W27" s="23">
        <f t="shared" si="41"/>
        <v>0</v>
      </c>
      <c r="X27" s="321">
        <v>78884907553.710007</v>
      </c>
      <c r="Y27" s="310">
        <v>1</v>
      </c>
      <c r="Z27" s="23">
        <f t="shared" si="42"/>
        <v>-7.1249093685247442E-3</v>
      </c>
      <c r="AA27" s="23">
        <f t="shared" si="43"/>
        <v>0</v>
      </c>
      <c r="AB27" s="321">
        <v>79085463217.5</v>
      </c>
      <c r="AC27" s="310">
        <v>1</v>
      </c>
      <c r="AD27" s="23">
        <f t="shared" si="44"/>
        <v>2.5423832011648344E-3</v>
      </c>
      <c r="AE27" s="23">
        <f t="shared" si="45"/>
        <v>0</v>
      </c>
      <c r="AF27" s="321">
        <v>79847036683.710007</v>
      </c>
      <c r="AG27" s="310">
        <v>1</v>
      </c>
      <c r="AH27" s="23">
        <f t="shared" si="46"/>
        <v>9.629752867673487E-3</v>
      </c>
      <c r="AI27" s="23">
        <f t="shared" si="47"/>
        <v>0</v>
      </c>
      <c r="AJ27" s="24">
        <f t="shared" si="16"/>
        <v>2.5760744901170496E-3</v>
      </c>
      <c r="AK27" s="24">
        <f t="shared" si="17"/>
        <v>0</v>
      </c>
      <c r="AL27" s="25">
        <f t="shared" si="18"/>
        <v>1.5327697599756062E-2</v>
      </c>
      <c r="AM27" s="25">
        <f t="shared" si="19"/>
        <v>0</v>
      </c>
      <c r="AN27" s="390">
        <f t="shared" si="20"/>
        <v>6.3354546648936461E-3</v>
      </c>
      <c r="AO27" s="391">
        <f t="shared" si="21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2" t="s">
        <v>82</v>
      </c>
      <c r="B28" s="321">
        <v>38293583803.980003</v>
      </c>
      <c r="C28" s="310">
        <v>1</v>
      </c>
      <c r="D28" s="321">
        <v>38293583803.980003</v>
      </c>
      <c r="E28" s="310">
        <v>1</v>
      </c>
      <c r="F28" s="23">
        <f t="shared" si="32"/>
        <v>0</v>
      </c>
      <c r="G28" s="23">
        <f t="shared" si="33"/>
        <v>0</v>
      </c>
      <c r="H28" s="321">
        <v>39423811758.82</v>
      </c>
      <c r="I28" s="310">
        <v>1</v>
      </c>
      <c r="J28" s="23">
        <f t="shared" si="34"/>
        <v>2.9514812732741074E-2</v>
      </c>
      <c r="K28" s="23">
        <f t="shared" si="35"/>
        <v>0</v>
      </c>
      <c r="L28" s="321">
        <v>40240004312.620003</v>
      </c>
      <c r="M28" s="310">
        <v>1</v>
      </c>
      <c r="N28" s="23">
        <f t="shared" si="36"/>
        <v>2.0703034977773357E-2</v>
      </c>
      <c r="O28" s="23">
        <f t="shared" si="37"/>
        <v>0</v>
      </c>
      <c r="P28" s="321">
        <v>40173097749.93</v>
      </c>
      <c r="Q28" s="310">
        <v>1</v>
      </c>
      <c r="R28" s="23">
        <f t="shared" si="38"/>
        <v>-1.6626877614180403E-3</v>
      </c>
      <c r="S28" s="23">
        <f t="shared" si="39"/>
        <v>0</v>
      </c>
      <c r="T28" s="321">
        <v>39747093653.339996</v>
      </c>
      <c r="U28" s="310">
        <v>1</v>
      </c>
      <c r="V28" s="23">
        <f t="shared" si="40"/>
        <v>-1.0604213278293837E-2</v>
      </c>
      <c r="W28" s="23">
        <f t="shared" si="41"/>
        <v>0</v>
      </c>
      <c r="X28" s="321">
        <v>39607756062</v>
      </c>
      <c r="Y28" s="310">
        <v>1</v>
      </c>
      <c r="Z28" s="23">
        <f t="shared" si="42"/>
        <v>-3.5056045243269662E-3</v>
      </c>
      <c r="AA28" s="23">
        <f t="shared" si="43"/>
        <v>0</v>
      </c>
      <c r="AB28" s="321">
        <v>40934587170.089996</v>
      </c>
      <c r="AC28" s="310">
        <v>1</v>
      </c>
      <c r="AD28" s="23">
        <f t="shared" si="44"/>
        <v>3.3499274889823127E-2</v>
      </c>
      <c r="AE28" s="23">
        <f t="shared" si="45"/>
        <v>0</v>
      </c>
      <c r="AF28" s="321">
        <v>40777370723.519997</v>
      </c>
      <c r="AG28" s="310">
        <v>1</v>
      </c>
      <c r="AH28" s="23">
        <f t="shared" si="46"/>
        <v>-3.8406750241974908E-3</v>
      </c>
      <c r="AI28" s="23">
        <f t="shared" si="47"/>
        <v>0</v>
      </c>
      <c r="AJ28" s="24">
        <f t="shared" si="16"/>
        <v>8.0129927515126525E-3</v>
      </c>
      <c r="AK28" s="24">
        <f t="shared" si="17"/>
        <v>0</v>
      </c>
      <c r="AL28" s="25">
        <f t="shared" si="18"/>
        <v>6.4861699345096127E-2</v>
      </c>
      <c r="AM28" s="25">
        <f t="shared" si="19"/>
        <v>0</v>
      </c>
      <c r="AN28" s="390">
        <f t="shared" si="20"/>
        <v>1.7115284484774129E-2</v>
      </c>
      <c r="AO28" s="391">
        <f t="shared" si="21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2" t="s">
        <v>97</v>
      </c>
      <c r="B29" s="321">
        <v>6026943927.4200001</v>
      </c>
      <c r="C29" s="310">
        <v>100</v>
      </c>
      <c r="D29" s="321">
        <v>6122434597.0100002</v>
      </c>
      <c r="E29" s="310">
        <v>100</v>
      </c>
      <c r="F29" s="23">
        <f t="shared" si="32"/>
        <v>1.5843961838695516E-2</v>
      </c>
      <c r="G29" s="23">
        <f t="shared" si="33"/>
        <v>0</v>
      </c>
      <c r="H29" s="321">
        <v>6111307995.9700003</v>
      </c>
      <c r="I29" s="310">
        <v>100</v>
      </c>
      <c r="J29" s="23">
        <f t="shared" si="34"/>
        <v>-1.8173491057681262E-3</v>
      </c>
      <c r="K29" s="23">
        <f t="shared" si="35"/>
        <v>0</v>
      </c>
      <c r="L29" s="321">
        <v>6169003279.7700005</v>
      </c>
      <c r="M29" s="310">
        <v>100</v>
      </c>
      <c r="N29" s="23">
        <f t="shared" si="36"/>
        <v>9.4407422826744102E-3</v>
      </c>
      <c r="O29" s="23">
        <f t="shared" si="37"/>
        <v>0</v>
      </c>
      <c r="P29" s="321">
        <v>6198574769.1899996</v>
      </c>
      <c r="Q29" s="310">
        <v>100</v>
      </c>
      <c r="R29" s="23">
        <f t="shared" si="38"/>
        <v>4.7935603336397709E-3</v>
      </c>
      <c r="S29" s="23">
        <f t="shared" si="39"/>
        <v>0</v>
      </c>
      <c r="T29" s="321">
        <v>5970449846.79</v>
      </c>
      <c r="U29" s="310">
        <v>100</v>
      </c>
      <c r="V29" s="23">
        <f t="shared" si="40"/>
        <v>-3.6802802401270367E-2</v>
      </c>
      <c r="W29" s="23">
        <f t="shared" si="41"/>
        <v>0</v>
      </c>
      <c r="X29" s="321">
        <v>6027359426.3900003</v>
      </c>
      <c r="Y29" s="310">
        <v>100</v>
      </c>
      <c r="Z29" s="23">
        <f t="shared" si="42"/>
        <v>9.5318746594274962E-3</v>
      </c>
      <c r="AA29" s="23">
        <f t="shared" si="43"/>
        <v>0</v>
      </c>
      <c r="AB29" s="321">
        <v>4830806999.1300001</v>
      </c>
      <c r="AC29" s="310">
        <v>100</v>
      </c>
      <c r="AD29" s="23">
        <f t="shared" si="44"/>
        <v>-0.19852017153997037</v>
      </c>
      <c r="AE29" s="23">
        <f t="shared" si="45"/>
        <v>0</v>
      </c>
      <c r="AF29" s="321">
        <v>4830806999.1300001</v>
      </c>
      <c r="AG29" s="310">
        <v>100</v>
      </c>
      <c r="AH29" s="23">
        <f t="shared" si="46"/>
        <v>0</v>
      </c>
      <c r="AI29" s="23">
        <f t="shared" si="47"/>
        <v>0</v>
      </c>
      <c r="AJ29" s="24">
        <f t="shared" si="16"/>
        <v>-2.4691272991571457E-2</v>
      </c>
      <c r="AK29" s="24">
        <f t="shared" si="17"/>
        <v>0</v>
      </c>
      <c r="AL29" s="25">
        <f t="shared" si="18"/>
        <v>-0.21096633657969813</v>
      </c>
      <c r="AM29" s="25">
        <f t="shared" si="19"/>
        <v>0</v>
      </c>
      <c r="AN29" s="390">
        <f t="shared" si="20"/>
        <v>7.2056257219969846E-2</v>
      </c>
      <c r="AO29" s="391">
        <f t="shared" si="21"/>
        <v>0</v>
      </c>
      <c r="AP29" s="30"/>
      <c r="AQ29" s="38"/>
      <c r="AR29" s="35"/>
      <c r="AS29" s="29"/>
      <c r="AT29" s="29"/>
    </row>
    <row r="30" spans="1:46" ht="15.75" customHeight="1">
      <c r="A30" s="202" t="s">
        <v>230</v>
      </c>
      <c r="B30" s="321">
        <v>12009793803.210001</v>
      </c>
      <c r="C30" s="310">
        <v>100</v>
      </c>
      <c r="D30" s="321">
        <v>12230978720.610001</v>
      </c>
      <c r="E30" s="310">
        <v>100</v>
      </c>
      <c r="F30" s="23">
        <f t="shared" si="32"/>
        <v>1.8417045373491831E-2</v>
      </c>
      <c r="G30" s="23">
        <f t="shared" si="33"/>
        <v>0</v>
      </c>
      <c r="H30" s="321">
        <v>12425715288.98</v>
      </c>
      <c r="I30" s="310">
        <v>100</v>
      </c>
      <c r="J30" s="23">
        <f t="shared" si="34"/>
        <v>1.5921585084753279E-2</v>
      </c>
      <c r="K30" s="23">
        <f t="shared" si="35"/>
        <v>0</v>
      </c>
      <c r="L30" s="321">
        <v>12378943165.34</v>
      </c>
      <c r="M30" s="310">
        <v>100</v>
      </c>
      <c r="N30" s="23">
        <f t="shared" si="36"/>
        <v>-3.7641393313977028E-3</v>
      </c>
      <c r="O30" s="23">
        <f t="shared" si="37"/>
        <v>0</v>
      </c>
      <c r="P30" s="321">
        <v>12704071743.85</v>
      </c>
      <c r="Q30" s="310">
        <v>100</v>
      </c>
      <c r="R30" s="23">
        <f t="shared" si="38"/>
        <v>2.6264647487867374E-2</v>
      </c>
      <c r="S30" s="23">
        <f t="shared" si="39"/>
        <v>0</v>
      </c>
      <c r="T30" s="321">
        <v>12833215067.25</v>
      </c>
      <c r="U30" s="310">
        <v>100</v>
      </c>
      <c r="V30" s="23">
        <f t="shared" si="40"/>
        <v>1.0165506461541945E-2</v>
      </c>
      <c r="W30" s="23">
        <f t="shared" si="41"/>
        <v>0</v>
      </c>
      <c r="X30" s="321">
        <v>12723815789.6</v>
      </c>
      <c r="Y30" s="310">
        <v>100</v>
      </c>
      <c r="Z30" s="23">
        <f t="shared" si="42"/>
        <v>-8.5246975973451468E-3</v>
      </c>
      <c r="AA30" s="23">
        <f t="shared" si="43"/>
        <v>0</v>
      </c>
      <c r="AB30" s="321">
        <v>12501464130.220001</v>
      </c>
      <c r="AC30" s="310">
        <v>100</v>
      </c>
      <c r="AD30" s="23">
        <f t="shared" si="44"/>
        <v>-1.747523408518234E-2</v>
      </c>
      <c r="AE30" s="23">
        <f t="shared" si="45"/>
        <v>0</v>
      </c>
      <c r="AF30" s="321">
        <v>12443485136.380001</v>
      </c>
      <c r="AG30" s="310">
        <v>100</v>
      </c>
      <c r="AH30" s="23">
        <f t="shared" si="46"/>
        <v>-4.6377762825273042E-3</v>
      </c>
      <c r="AI30" s="23">
        <f t="shared" si="47"/>
        <v>0</v>
      </c>
      <c r="AJ30" s="24">
        <f t="shared" si="16"/>
        <v>4.5458671389002423E-3</v>
      </c>
      <c r="AK30" s="24">
        <f t="shared" si="17"/>
        <v>0</v>
      </c>
      <c r="AL30" s="25">
        <f t="shared" si="18"/>
        <v>1.7374440805126512E-2</v>
      </c>
      <c r="AM30" s="25">
        <f t="shared" si="19"/>
        <v>0</v>
      </c>
      <c r="AN30" s="390">
        <f t="shared" si="20"/>
        <v>1.5279614739144009E-2</v>
      </c>
      <c r="AO30" s="391">
        <f t="shared" si="21"/>
        <v>0</v>
      </c>
      <c r="AP30" s="30"/>
      <c r="AQ30" s="38"/>
      <c r="AR30" s="35"/>
      <c r="AS30" s="29"/>
      <c r="AT30" s="29"/>
    </row>
    <row r="31" spans="1:46">
      <c r="A31" s="202" t="s">
        <v>89</v>
      </c>
      <c r="B31" s="321">
        <v>5611898702.1599998</v>
      </c>
      <c r="C31" s="310">
        <v>100</v>
      </c>
      <c r="D31" s="321">
        <v>5499227227.9899998</v>
      </c>
      <c r="E31" s="310">
        <v>100</v>
      </c>
      <c r="F31" s="23">
        <f t="shared" si="32"/>
        <v>-2.0077246605793728E-2</v>
      </c>
      <c r="G31" s="23">
        <f t="shared" si="33"/>
        <v>0</v>
      </c>
      <c r="H31" s="321">
        <v>5417917408.1400003</v>
      </c>
      <c r="I31" s="310">
        <v>100</v>
      </c>
      <c r="J31" s="23">
        <f t="shared" si="34"/>
        <v>-1.4785681056448844E-2</v>
      </c>
      <c r="K31" s="23">
        <f t="shared" si="35"/>
        <v>0</v>
      </c>
      <c r="L31" s="321">
        <v>5409244964.0900002</v>
      </c>
      <c r="M31" s="310">
        <v>100</v>
      </c>
      <c r="N31" s="23">
        <f t="shared" si="36"/>
        <v>-1.6006969831194762E-3</v>
      </c>
      <c r="O31" s="23">
        <f t="shared" si="37"/>
        <v>0</v>
      </c>
      <c r="P31" s="321">
        <v>5529576671.3500004</v>
      </c>
      <c r="Q31" s="310">
        <v>100</v>
      </c>
      <c r="R31" s="23">
        <f t="shared" si="38"/>
        <v>2.2245564410345333E-2</v>
      </c>
      <c r="S31" s="23">
        <f t="shared" si="39"/>
        <v>0</v>
      </c>
      <c r="T31" s="321">
        <v>5495920720.9399996</v>
      </c>
      <c r="U31" s="310">
        <v>100</v>
      </c>
      <c r="V31" s="23">
        <f t="shared" si="40"/>
        <v>-6.0865329138810875E-3</v>
      </c>
      <c r="W31" s="23">
        <f t="shared" si="41"/>
        <v>0</v>
      </c>
      <c r="X31" s="321">
        <v>5200927057.8500004</v>
      </c>
      <c r="Y31" s="310">
        <v>100</v>
      </c>
      <c r="Z31" s="23">
        <f t="shared" si="42"/>
        <v>-5.3675021542076519E-2</v>
      </c>
      <c r="AA31" s="23">
        <f t="shared" si="43"/>
        <v>0</v>
      </c>
      <c r="AB31" s="321">
        <v>5195263385.3100004</v>
      </c>
      <c r="AC31" s="310">
        <v>100</v>
      </c>
      <c r="AD31" s="23">
        <f t="shared" si="44"/>
        <v>-1.0889736535434618E-3</v>
      </c>
      <c r="AE31" s="23">
        <f t="shared" si="45"/>
        <v>0</v>
      </c>
      <c r="AF31" s="321">
        <v>5208164199.6599998</v>
      </c>
      <c r="AG31" s="310">
        <v>100</v>
      </c>
      <c r="AH31" s="23">
        <f t="shared" si="46"/>
        <v>2.4831877410638032E-3</v>
      </c>
      <c r="AI31" s="23">
        <f t="shared" si="47"/>
        <v>0</v>
      </c>
      <c r="AJ31" s="24">
        <f t="shared" si="16"/>
        <v>-9.0731750754317469E-3</v>
      </c>
      <c r="AK31" s="24">
        <f t="shared" si="17"/>
        <v>0</v>
      </c>
      <c r="AL31" s="25">
        <f t="shared" si="18"/>
        <v>-5.292798719946424E-2</v>
      </c>
      <c r="AM31" s="25">
        <f t="shared" si="19"/>
        <v>0</v>
      </c>
      <c r="AN31" s="390">
        <f t="shared" si="20"/>
        <v>2.1993393229310629E-2</v>
      </c>
      <c r="AO31" s="391">
        <f t="shared" si="21"/>
        <v>0</v>
      </c>
      <c r="AP31" s="30"/>
      <c r="AQ31" s="38"/>
      <c r="AR31" s="35"/>
      <c r="AS31" s="29"/>
      <c r="AT31" s="29"/>
    </row>
    <row r="32" spans="1:46">
      <c r="A32" s="202" t="s">
        <v>179</v>
      </c>
      <c r="B32" s="321">
        <v>44514190.369999997</v>
      </c>
      <c r="C32" s="310">
        <v>100</v>
      </c>
      <c r="D32" s="321">
        <v>44514190.369999997</v>
      </c>
      <c r="E32" s="310">
        <v>100</v>
      </c>
      <c r="F32" s="23">
        <f t="shared" si="32"/>
        <v>0</v>
      </c>
      <c r="G32" s="23">
        <f t="shared" si="33"/>
        <v>0</v>
      </c>
      <c r="H32" s="321">
        <v>44514190.369999997</v>
      </c>
      <c r="I32" s="310">
        <v>100</v>
      </c>
      <c r="J32" s="23">
        <f t="shared" si="34"/>
        <v>0</v>
      </c>
      <c r="K32" s="23">
        <f t="shared" si="35"/>
        <v>0</v>
      </c>
      <c r="L32" s="321">
        <v>44514190.369999997</v>
      </c>
      <c r="M32" s="310">
        <v>100</v>
      </c>
      <c r="N32" s="23">
        <f t="shared" si="36"/>
        <v>0</v>
      </c>
      <c r="O32" s="23">
        <f t="shared" si="37"/>
        <v>0</v>
      </c>
      <c r="P32" s="321">
        <v>44514190.369999997</v>
      </c>
      <c r="Q32" s="310">
        <v>100</v>
      </c>
      <c r="R32" s="23">
        <f t="shared" si="38"/>
        <v>0</v>
      </c>
      <c r="S32" s="23">
        <f t="shared" si="39"/>
        <v>0</v>
      </c>
      <c r="T32" s="321">
        <v>44514190.369999997</v>
      </c>
      <c r="U32" s="310">
        <v>100</v>
      </c>
      <c r="V32" s="23">
        <f t="shared" si="40"/>
        <v>0</v>
      </c>
      <c r="W32" s="23">
        <f t="shared" si="41"/>
        <v>0</v>
      </c>
      <c r="X32" s="321">
        <v>44514190.369999997</v>
      </c>
      <c r="Y32" s="310">
        <v>100</v>
      </c>
      <c r="Z32" s="23">
        <f t="shared" si="42"/>
        <v>0</v>
      </c>
      <c r="AA32" s="23">
        <f t="shared" si="43"/>
        <v>0</v>
      </c>
      <c r="AB32" s="321">
        <v>44514190.369999997</v>
      </c>
      <c r="AC32" s="310">
        <v>100</v>
      </c>
      <c r="AD32" s="23">
        <f t="shared" si="44"/>
        <v>0</v>
      </c>
      <c r="AE32" s="23">
        <f t="shared" si="45"/>
        <v>0</v>
      </c>
      <c r="AF32" s="321">
        <v>44514190.369999997</v>
      </c>
      <c r="AG32" s="310">
        <v>100</v>
      </c>
      <c r="AH32" s="23">
        <f t="shared" si="46"/>
        <v>0</v>
      </c>
      <c r="AI32" s="23">
        <f t="shared" si="47"/>
        <v>0</v>
      </c>
      <c r="AJ32" s="24">
        <f t="shared" si="16"/>
        <v>0</v>
      </c>
      <c r="AK32" s="24">
        <f t="shared" si="17"/>
        <v>0</v>
      </c>
      <c r="AL32" s="25">
        <f t="shared" si="18"/>
        <v>0</v>
      </c>
      <c r="AM32" s="25">
        <f t="shared" si="19"/>
        <v>0</v>
      </c>
      <c r="AN32" s="390">
        <f t="shared" si="20"/>
        <v>0</v>
      </c>
      <c r="AO32" s="391">
        <f t="shared" si="21"/>
        <v>0</v>
      </c>
      <c r="AP32" s="30"/>
      <c r="AQ32" s="38"/>
      <c r="AR32" s="35"/>
      <c r="AS32" s="29"/>
      <c r="AT32" s="29"/>
    </row>
    <row r="33" spans="1:47">
      <c r="A33" s="202" t="s">
        <v>108</v>
      </c>
      <c r="B33" s="321">
        <v>5806944067.2600002</v>
      </c>
      <c r="C33" s="310">
        <v>1</v>
      </c>
      <c r="D33" s="321">
        <v>5849251583.5699997</v>
      </c>
      <c r="E33" s="310">
        <v>1</v>
      </c>
      <c r="F33" s="23">
        <f t="shared" si="32"/>
        <v>7.2856765658433865E-3</v>
      </c>
      <c r="G33" s="23">
        <f t="shared" si="33"/>
        <v>0</v>
      </c>
      <c r="H33" s="321">
        <v>5846850849.6999998</v>
      </c>
      <c r="I33" s="310">
        <v>1</v>
      </c>
      <c r="J33" s="23">
        <f t="shared" si="34"/>
        <v>-4.1043436680742579E-4</v>
      </c>
      <c r="K33" s="23">
        <f t="shared" si="35"/>
        <v>0</v>
      </c>
      <c r="L33" s="321">
        <v>5842896618.6499996</v>
      </c>
      <c r="M33" s="310">
        <v>1</v>
      </c>
      <c r="N33" s="23">
        <f t="shared" si="36"/>
        <v>-6.7630099546717203E-4</v>
      </c>
      <c r="O33" s="23">
        <f t="shared" si="37"/>
        <v>0</v>
      </c>
      <c r="P33" s="321">
        <v>5582464126.7799997</v>
      </c>
      <c r="Q33" s="310">
        <v>1</v>
      </c>
      <c r="R33" s="23">
        <f t="shared" si="38"/>
        <v>-4.4572496976708918E-2</v>
      </c>
      <c r="S33" s="23">
        <f t="shared" si="39"/>
        <v>0</v>
      </c>
      <c r="T33" s="321">
        <v>5527273124.6300001</v>
      </c>
      <c r="U33" s="310">
        <v>1</v>
      </c>
      <c r="V33" s="23">
        <f t="shared" si="40"/>
        <v>-9.886494726448718E-3</v>
      </c>
      <c r="W33" s="23">
        <f t="shared" si="41"/>
        <v>0</v>
      </c>
      <c r="X33" s="321">
        <v>5561480520.4099998</v>
      </c>
      <c r="Y33" s="310">
        <v>1</v>
      </c>
      <c r="Z33" s="23">
        <f t="shared" si="42"/>
        <v>6.188837607385215E-3</v>
      </c>
      <c r="AA33" s="23">
        <f t="shared" si="43"/>
        <v>0</v>
      </c>
      <c r="AB33" s="321">
        <v>5723289390.6999998</v>
      </c>
      <c r="AC33" s="310">
        <v>1</v>
      </c>
      <c r="AD33" s="23">
        <f t="shared" si="44"/>
        <v>2.9094567480040582E-2</v>
      </c>
      <c r="AE33" s="23">
        <f t="shared" si="45"/>
        <v>0</v>
      </c>
      <c r="AF33" s="321">
        <v>5723289390.6999998</v>
      </c>
      <c r="AG33" s="310">
        <v>1</v>
      </c>
      <c r="AH33" s="23">
        <f t="shared" si="46"/>
        <v>0</v>
      </c>
      <c r="AI33" s="23">
        <f t="shared" si="47"/>
        <v>0</v>
      </c>
      <c r="AJ33" s="24">
        <f t="shared" si="16"/>
        <v>-1.6220806765203815E-3</v>
      </c>
      <c r="AK33" s="24">
        <f t="shared" si="17"/>
        <v>0</v>
      </c>
      <c r="AL33" s="25">
        <f t="shared" si="18"/>
        <v>-2.1534753817704796E-2</v>
      </c>
      <c r="AM33" s="25">
        <f t="shared" si="19"/>
        <v>0</v>
      </c>
      <c r="AN33" s="390">
        <f t="shared" si="20"/>
        <v>2.0708533745276963E-2</v>
      </c>
      <c r="AO33" s="391">
        <f t="shared" si="21"/>
        <v>0</v>
      </c>
      <c r="AP33" s="30"/>
      <c r="AQ33" s="38"/>
      <c r="AR33" s="35"/>
      <c r="AS33" s="29"/>
      <c r="AT33" s="29"/>
    </row>
    <row r="34" spans="1:47">
      <c r="A34" s="202" t="s">
        <v>100</v>
      </c>
      <c r="B34" s="321">
        <v>12497940144.360001</v>
      </c>
      <c r="C34" s="69">
        <v>100</v>
      </c>
      <c r="D34" s="321">
        <v>12859844781.469999</v>
      </c>
      <c r="E34" s="69">
        <v>100</v>
      </c>
      <c r="F34" s="23">
        <f t="shared" si="32"/>
        <v>2.895714277150839E-2</v>
      </c>
      <c r="G34" s="23">
        <f t="shared" si="33"/>
        <v>0</v>
      </c>
      <c r="H34" s="321">
        <v>12859844781.469999</v>
      </c>
      <c r="I34" s="69">
        <v>100</v>
      </c>
      <c r="J34" s="23">
        <f t="shared" si="34"/>
        <v>0</v>
      </c>
      <c r="K34" s="23">
        <f t="shared" si="35"/>
        <v>0</v>
      </c>
      <c r="L34" s="321">
        <v>12770261098.719999</v>
      </c>
      <c r="M34" s="69">
        <v>100</v>
      </c>
      <c r="N34" s="23">
        <f t="shared" si="36"/>
        <v>-6.9661558340955148E-3</v>
      </c>
      <c r="O34" s="23">
        <f t="shared" si="37"/>
        <v>0</v>
      </c>
      <c r="P34" s="321">
        <v>12823340086.309999</v>
      </c>
      <c r="Q34" s="69">
        <v>100</v>
      </c>
      <c r="R34" s="23">
        <f t="shared" si="38"/>
        <v>4.156452807008027E-3</v>
      </c>
      <c r="S34" s="23">
        <f t="shared" si="39"/>
        <v>0</v>
      </c>
      <c r="T34" s="321">
        <v>13189150636.700001</v>
      </c>
      <c r="U34" s="69">
        <v>100</v>
      </c>
      <c r="V34" s="23">
        <f t="shared" si="40"/>
        <v>2.852693197933158E-2</v>
      </c>
      <c r="W34" s="23">
        <f t="shared" si="41"/>
        <v>0</v>
      </c>
      <c r="X34" s="321">
        <v>13178552136.25</v>
      </c>
      <c r="Y34" s="69">
        <v>100</v>
      </c>
      <c r="Z34" s="23">
        <f t="shared" si="42"/>
        <v>-8.0357717808677382E-4</v>
      </c>
      <c r="AA34" s="23">
        <f t="shared" si="43"/>
        <v>0</v>
      </c>
      <c r="AB34" s="321">
        <v>13169237396.639999</v>
      </c>
      <c r="AC34" s="69">
        <v>100</v>
      </c>
      <c r="AD34" s="23">
        <f t="shared" si="44"/>
        <v>-7.068105444132006E-4</v>
      </c>
      <c r="AE34" s="23">
        <f t="shared" si="45"/>
        <v>0</v>
      </c>
      <c r="AF34" s="321">
        <v>13321667928</v>
      </c>
      <c r="AG34" s="69">
        <v>100</v>
      </c>
      <c r="AH34" s="23">
        <f t="shared" si="46"/>
        <v>1.1574742467539673E-2</v>
      </c>
      <c r="AI34" s="23">
        <f t="shared" si="47"/>
        <v>0</v>
      </c>
      <c r="AJ34" s="24">
        <f t="shared" si="16"/>
        <v>8.0923408085990228E-3</v>
      </c>
      <c r="AK34" s="24">
        <f t="shared" si="17"/>
        <v>0</v>
      </c>
      <c r="AL34" s="25">
        <f t="shared" si="18"/>
        <v>3.5912031161950776E-2</v>
      </c>
      <c r="AM34" s="25">
        <f t="shared" si="19"/>
        <v>0</v>
      </c>
      <c r="AN34" s="390">
        <f t="shared" si="20"/>
        <v>1.3780615449667407E-2</v>
      </c>
      <c r="AO34" s="391">
        <f t="shared" si="21"/>
        <v>0</v>
      </c>
      <c r="AP34" s="30"/>
      <c r="AQ34" s="38"/>
      <c r="AR34" s="35"/>
      <c r="AS34" s="29"/>
      <c r="AT34" s="29"/>
    </row>
    <row r="35" spans="1:47">
      <c r="A35" s="202" t="s">
        <v>99</v>
      </c>
      <c r="B35" s="321">
        <v>423733184.42000002</v>
      </c>
      <c r="C35" s="69">
        <v>1000000</v>
      </c>
      <c r="D35" s="321">
        <v>492195524.19999999</v>
      </c>
      <c r="E35" s="69">
        <v>1000000</v>
      </c>
      <c r="F35" s="23">
        <f t="shared" si="32"/>
        <v>0.1615694552545141</v>
      </c>
      <c r="G35" s="23">
        <f t="shared" si="33"/>
        <v>0</v>
      </c>
      <c r="H35" s="321">
        <v>492195524.19999999</v>
      </c>
      <c r="I35" s="69">
        <v>1000000</v>
      </c>
      <c r="J35" s="23">
        <f t="shared" si="34"/>
        <v>0</v>
      </c>
      <c r="K35" s="23">
        <f t="shared" si="35"/>
        <v>0</v>
      </c>
      <c r="L35" s="321">
        <v>459944679.44</v>
      </c>
      <c r="M35" s="69">
        <v>1000000</v>
      </c>
      <c r="N35" s="23">
        <f t="shared" si="36"/>
        <v>-6.5524457607410297E-2</v>
      </c>
      <c r="O35" s="23">
        <f t="shared" si="37"/>
        <v>0</v>
      </c>
      <c r="P35" s="321">
        <v>460240597.98000002</v>
      </c>
      <c r="Q35" s="69">
        <v>1000000</v>
      </c>
      <c r="R35" s="23">
        <f t="shared" si="38"/>
        <v>6.4337854795997081E-4</v>
      </c>
      <c r="S35" s="23">
        <f t="shared" si="39"/>
        <v>0</v>
      </c>
      <c r="T35" s="321">
        <v>413141799.31</v>
      </c>
      <c r="U35" s="69">
        <v>1000000</v>
      </c>
      <c r="V35" s="23">
        <f t="shared" si="40"/>
        <v>-0.10233516746831343</v>
      </c>
      <c r="W35" s="23">
        <f t="shared" si="41"/>
        <v>0</v>
      </c>
      <c r="X35" s="321">
        <v>571960540.88</v>
      </c>
      <c r="Y35" s="69">
        <v>1000000</v>
      </c>
      <c r="Z35" s="23">
        <f t="shared" si="42"/>
        <v>0.38441702542625256</v>
      </c>
      <c r="AA35" s="23">
        <f t="shared" si="43"/>
        <v>0</v>
      </c>
      <c r="AB35" s="321">
        <v>572794721.44000006</v>
      </c>
      <c r="AC35" s="69">
        <v>1000000</v>
      </c>
      <c r="AD35" s="23">
        <f t="shared" si="44"/>
        <v>1.4584582333540331E-3</v>
      </c>
      <c r="AE35" s="23">
        <f t="shared" si="45"/>
        <v>0</v>
      </c>
      <c r="AF35" s="321">
        <v>573670747.15999997</v>
      </c>
      <c r="AG35" s="69">
        <v>1000000</v>
      </c>
      <c r="AH35" s="23">
        <f t="shared" si="46"/>
        <v>1.5293886050443861E-3</v>
      </c>
      <c r="AI35" s="23">
        <f t="shared" si="47"/>
        <v>0</v>
      </c>
      <c r="AJ35" s="24">
        <f t="shared" si="16"/>
        <v>4.7719760123925169E-2</v>
      </c>
      <c r="AK35" s="24">
        <f t="shared" si="17"/>
        <v>0</v>
      </c>
      <c r="AL35" s="25">
        <f t="shared" si="18"/>
        <v>0.16553426220692963</v>
      </c>
      <c r="AM35" s="25">
        <f t="shared" si="19"/>
        <v>0</v>
      </c>
      <c r="AN35" s="390">
        <f t="shared" si="20"/>
        <v>0.15603779549927804</v>
      </c>
      <c r="AO35" s="391">
        <f t="shared" si="21"/>
        <v>0</v>
      </c>
      <c r="AP35" s="30"/>
      <c r="AQ35" s="38"/>
      <c r="AR35" s="35"/>
      <c r="AS35" s="29"/>
      <c r="AT35" s="29"/>
    </row>
    <row r="36" spans="1:47">
      <c r="A36" s="202" t="s">
        <v>169</v>
      </c>
      <c r="B36" s="321">
        <v>1789189666.3800001</v>
      </c>
      <c r="C36" s="310">
        <v>1</v>
      </c>
      <c r="D36" s="321">
        <v>1944347523.0699999</v>
      </c>
      <c r="E36" s="310">
        <v>1</v>
      </c>
      <c r="F36" s="23">
        <f t="shared" si="32"/>
        <v>8.671962487013736E-2</v>
      </c>
      <c r="G36" s="23">
        <f t="shared" si="33"/>
        <v>0</v>
      </c>
      <c r="H36" s="321">
        <v>2000763576.29</v>
      </c>
      <c r="I36" s="310">
        <v>1</v>
      </c>
      <c r="J36" s="23">
        <f t="shared" si="34"/>
        <v>2.9015416508939053E-2</v>
      </c>
      <c r="K36" s="23">
        <f t="shared" si="35"/>
        <v>0</v>
      </c>
      <c r="L36" s="321">
        <v>2000367073.6600001</v>
      </c>
      <c r="M36" s="310">
        <v>1</v>
      </c>
      <c r="N36" s="23">
        <f t="shared" si="36"/>
        <v>-1.9817565388465723E-4</v>
      </c>
      <c r="O36" s="23">
        <f t="shared" si="37"/>
        <v>0</v>
      </c>
      <c r="P36" s="321">
        <v>2144985529.4100001</v>
      </c>
      <c r="Q36" s="310">
        <v>1</v>
      </c>
      <c r="R36" s="23">
        <f t="shared" si="38"/>
        <v>7.2295958903880964E-2</v>
      </c>
      <c r="S36" s="23">
        <f t="shared" si="39"/>
        <v>0</v>
      </c>
      <c r="T36" s="321">
        <v>2201400009.9899998</v>
      </c>
      <c r="U36" s="310">
        <v>1</v>
      </c>
      <c r="V36" s="23">
        <f t="shared" si="40"/>
        <v>2.6300634576083625E-2</v>
      </c>
      <c r="W36" s="23">
        <f t="shared" si="41"/>
        <v>0</v>
      </c>
      <c r="X36" s="321">
        <v>2203096766.54</v>
      </c>
      <c r="Y36" s="310">
        <v>1</v>
      </c>
      <c r="Z36" s="23">
        <f t="shared" si="42"/>
        <v>7.7076248855286345E-4</v>
      </c>
      <c r="AA36" s="23">
        <f t="shared" si="43"/>
        <v>0</v>
      </c>
      <c r="AB36" s="321">
        <v>2247105838.5500002</v>
      </c>
      <c r="AC36" s="310">
        <v>1</v>
      </c>
      <c r="AD36" s="23">
        <f t="shared" si="44"/>
        <v>1.9976004993696762E-2</v>
      </c>
      <c r="AE36" s="23">
        <f t="shared" si="45"/>
        <v>0</v>
      </c>
      <c r="AF36" s="321">
        <v>2183777007.1700001</v>
      </c>
      <c r="AG36" s="310">
        <v>1</v>
      </c>
      <c r="AH36" s="23">
        <f t="shared" si="46"/>
        <v>-2.8182398128992706E-2</v>
      </c>
      <c r="AI36" s="23">
        <f t="shared" si="47"/>
        <v>0</v>
      </c>
      <c r="AJ36" s="24">
        <f t="shared" si="16"/>
        <v>2.5837228569801658E-2</v>
      </c>
      <c r="AK36" s="24">
        <f t="shared" si="17"/>
        <v>0</v>
      </c>
      <c r="AL36" s="25">
        <f t="shared" si="18"/>
        <v>0.12314130126385861</v>
      </c>
      <c r="AM36" s="25">
        <f t="shared" si="19"/>
        <v>0</v>
      </c>
      <c r="AN36" s="390">
        <f t="shared" si="20"/>
        <v>3.8048914819532528E-2</v>
      </c>
      <c r="AO36" s="391">
        <f t="shared" si="21"/>
        <v>0</v>
      </c>
      <c r="AP36" s="30"/>
      <c r="AQ36" s="38"/>
      <c r="AR36" s="35"/>
      <c r="AS36" s="29"/>
      <c r="AT36" s="29"/>
      <c r="AU36" s="88"/>
    </row>
    <row r="37" spans="1:47">
      <c r="A37" s="202" t="s">
        <v>134</v>
      </c>
      <c r="B37" s="321">
        <v>312532306.63</v>
      </c>
      <c r="C37" s="310">
        <v>1</v>
      </c>
      <c r="D37" s="321">
        <v>267748658.43000001</v>
      </c>
      <c r="E37" s="310">
        <v>1</v>
      </c>
      <c r="F37" s="23">
        <f t="shared" si="32"/>
        <v>-0.14329286044984255</v>
      </c>
      <c r="G37" s="23">
        <f t="shared" si="33"/>
        <v>0</v>
      </c>
      <c r="H37" s="321">
        <v>268120563.02000001</v>
      </c>
      <c r="I37" s="310">
        <v>1</v>
      </c>
      <c r="J37" s="23">
        <f t="shared" si="34"/>
        <v>1.3890063620887721E-3</v>
      </c>
      <c r="K37" s="23">
        <f t="shared" si="35"/>
        <v>0</v>
      </c>
      <c r="L37" s="321">
        <v>240353383.80000001</v>
      </c>
      <c r="M37" s="310">
        <v>1</v>
      </c>
      <c r="N37" s="23">
        <f t="shared" si="36"/>
        <v>-0.10356228894659136</v>
      </c>
      <c r="O37" s="23">
        <f t="shared" si="37"/>
        <v>0</v>
      </c>
      <c r="P37" s="321">
        <v>266007303.19999999</v>
      </c>
      <c r="Q37" s="310">
        <v>1</v>
      </c>
      <c r="R37" s="23">
        <f t="shared" si="38"/>
        <v>0.1067341719696645</v>
      </c>
      <c r="S37" s="23">
        <f t="shared" si="39"/>
        <v>0</v>
      </c>
      <c r="T37" s="385">
        <v>266218657.97</v>
      </c>
      <c r="U37" s="310">
        <v>1</v>
      </c>
      <c r="V37" s="23">
        <f t="shared" si="40"/>
        <v>7.9454498977083246E-4</v>
      </c>
      <c r="W37" s="23">
        <f t="shared" si="41"/>
        <v>0</v>
      </c>
      <c r="X37" s="385">
        <v>266633878.59</v>
      </c>
      <c r="Y37" s="310">
        <v>1</v>
      </c>
      <c r="Z37" s="23">
        <f t="shared" si="42"/>
        <v>1.5596976679478104E-3</v>
      </c>
      <c r="AA37" s="23">
        <f t="shared" si="43"/>
        <v>0</v>
      </c>
      <c r="AB37" s="385">
        <v>286270616.13999999</v>
      </c>
      <c r="AC37" s="310">
        <v>1</v>
      </c>
      <c r="AD37" s="23">
        <f t="shared" si="44"/>
        <v>7.3646821078559105E-2</v>
      </c>
      <c r="AE37" s="23">
        <f t="shared" si="45"/>
        <v>0</v>
      </c>
      <c r="AF37" s="321">
        <v>267330946.31</v>
      </c>
      <c r="AG37" s="310">
        <v>1</v>
      </c>
      <c r="AH37" s="23">
        <f t="shared" si="46"/>
        <v>-6.6160020491720956E-2</v>
      </c>
      <c r="AI37" s="23">
        <f t="shared" si="47"/>
        <v>0</v>
      </c>
      <c r="AJ37" s="24">
        <f t="shared" si="16"/>
        <v>-1.6111365977515481E-2</v>
      </c>
      <c r="AK37" s="24">
        <f t="shared" si="17"/>
        <v>0</v>
      </c>
      <c r="AL37" s="25">
        <f t="shared" si="18"/>
        <v>-1.5600904312624635E-3</v>
      </c>
      <c r="AM37" s="25">
        <f t="shared" si="19"/>
        <v>0</v>
      </c>
      <c r="AN37" s="390">
        <f t="shared" si="20"/>
        <v>8.4835607389641715E-2</v>
      </c>
      <c r="AO37" s="391">
        <f t="shared" si="21"/>
        <v>0</v>
      </c>
      <c r="AP37" s="30"/>
      <c r="AQ37" s="38"/>
      <c r="AR37" s="35"/>
      <c r="AS37" s="29"/>
      <c r="AT37" s="29"/>
    </row>
    <row r="38" spans="1:47" s="84" customFormat="1">
      <c r="A38" s="202" t="s">
        <v>14</v>
      </c>
      <c r="B38" s="321">
        <v>192496167589.39999</v>
      </c>
      <c r="C38" s="310">
        <v>100</v>
      </c>
      <c r="D38" s="321">
        <v>191162635391.41</v>
      </c>
      <c r="E38" s="310">
        <v>100</v>
      </c>
      <c r="F38" s="23">
        <f t="shared" si="32"/>
        <v>-6.9275779081194684E-3</v>
      </c>
      <c r="G38" s="23">
        <f t="shared" si="33"/>
        <v>0</v>
      </c>
      <c r="H38" s="321">
        <v>191554928691.54001</v>
      </c>
      <c r="I38" s="310">
        <v>100</v>
      </c>
      <c r="J38" s="23">
        <f t="shared" si="34"/>
        <v>2.0521442348122847E-3</v>
      </c>
      <c r="K38" s="23">
        <f t="shared" si="35"/>
        <v>0</v>
      </c>
      <c r="L38" s="321">
        <v>187619140419.04999</v>
      </c>
      <c r="M38" s="310">
        <v>100</v>
      </c>
      <c r="N38" s="23">
        <f t="shared" si="36"/>
        <v>-2.0546525737418126E-2</v>
      </c>
      <c r="O38" s="23">
        <f t="shared" si="37"/>
        <v>0</v>
      </c>
      <c r="P38" s="321">
        <v>189048435155.34</v>
      </c>
      <c r="Q38" s="310">
        <v>100</v>
      </c>
      <c r="R38" s="23">
        <f t="shared" si="38"/>
        <v>7.6180646233516402E-3</v>
      </c>
      <c r="S38" s="23">
        <f t="shared" si="39"/>
        <v>0</v>
      </c>
      <c r="T38" s="321">
        <v>190240664187.16</v>
      </c>
      <c r="U38" s="310">
        <v>100</v>
      </c>
      <c r="V38" s="23">
        <f t="shared" si="40"/>
        <v>6.3064739511880102E-3</v>
      </c>
      <c r="W38" s="23">
        <f t="shared" si="41"/>
        <v>0</v>
      </c>
      <c r="X38" s="321">
        <v>191887392821.85001</v>
      </c>
      <c r="Y38" s="310">
        <v>100</v>
      </c>
      <c r="Z38" s="23">
        <f t="shared" si="42"/>
        <v>8.6560286241954033E-3</v>
      </c>
      <c r="AA38" s="23">
        <f t="shared" si="43"/>
        <v>0</v>
      </c>
      <c r="AB38" s="321">
        <v>191069692937.47</v>
      </c>
      <c r="AC38" s="310">
        <v>100</v>
      </c>
      <c r="AD38" s="23">
        <f t="shared" si="44"/>
        <v>-4.2613528296732081E-3</v>
      </c>
      <c r="AE38" s="23">
        <f t="shared" si="45"/>
        <v>0</v>
      </c>
      <c r="AF38" s="321">
        <v>194918601087.01999</v>
      </c>
      <c r="AG38" s="310">
        <v>100</v>
      </c>
      <c r="AH38" s="23">
        <f t="shared" si="46"/>
        <v>2.0144001334683633E-2</v>
      </c>
      <c r="AI38" s="23">
        <f t="shared" si="47"/>
        <v>0</v>
      </c>
      <c r="AJ38" s="24">
        <f t="shared" si="16"/>
        <v>1.6301570366275215E-3</v>
      </c>
      <c r="AK38" s="24">
        <f t="shared" si="17"/>
        <v>0</v>
      </c>
      <c r="AL38" s="25">
        <f t="shared" si="18"/>
        <v>1.9648011693914749E-2</v>
      </c>
      <c r="AM38" s="25">
        <f t="shared" si="19"/>
        <v>0</v>
      </c>
      <c r="AN38" s="390">
        <f t="shared" si="20"/>
        <v>1.2246144159084515E-2</v>
      </c>
      <c r="AO38" s="391">
        <f t="shared" si="21"/>
        <v>0</v>
      </c>
      <c r="AP38" s="30"/>
      <c r="AQ38" s="38"/>
      <c r="AR38" s="35"/>
      <c r="AS38" s="29"/>
      <c r="AT38" s="29"/>
    </row>
    <row r="39" spans="1:47" s="86" customFormat="1">
      <c r="A39" s="202" t="s">
        <v>122</v>
      </c>
      <c r="B39" s="321">
        <v>593191366.59000003</v>
      </c>
      <c r="C39" s="310">
        <v>10</v>
      </c>
      <c r="D39" s="321">
        <v>592894163.17999995</v>
      </c>
      <c r="E39" s="310">
        <v>10</v>
      </c>
      <c r="F39" s="23">
        <f t="shared" si="32"/>
        <v>-5.0102450362448693E-4</v>
      </c>
      <c r="G39" s="23">
        <f t="shared" si="33"/>
        <v>0</v>
      </c>
      <c r="H39" s="321">
        <v>593810224.89999998</v>
      </c>
      <c r="I39" s="310">
        <v>10</v>
      </c>
      <c r="J39" s="23">
        <f t="shared" si="34"/>
        <v>1.5450678668967035E-3</v>
      </c>
      <c r="K39" s="23">
        <f t="shared" si="35"/>
        <v>0</v>
      </c>
      <c r="L39" s="321">
        <v>560400456.76999998</v>
      </c>
      <c r="M39" s="310">
        <v>10</v>
      </c>
      <c r="N39" s="23">
        <f t="shared" si="36"/>
        <v>-5.626337629269744E-2</v>
      </c>
      <c r="O39" s="23">
        <f t="shared" si="37"/>
        <v>0</v>
      </c>
      <c r="P39" s="321">
        <v>564427991.13999999</v>
      </c>
      <c r="Q39" s="310">
        <v>10</v>
      </c>
      <c r="R39" s="23">
        <f t="shared" si="38"/>
        <v>7.1868863084331653E-3</v>
      </c>
      <c r="S39" s="23">
        <f t="shared" si="39"/>
        <v>0</v>
      </c>
      <c r="T39" s="321">
        <v>565444933.24000001</v>
      </c>
      <c r="U39" s="310">
        <v>10</v>
      </c>
      <c r="V39" s="23">
        <f t="shared" si="40"/>
        <v>1.801721594186109E-3</v>
      </c>
      <c r="W39" s="23">
        <f t="shared" si="41"/>
        <v>0</v>
      </c>
      <c r="X39" s="321">
        <v>572662387.32000005</v>
      </c>
      <c r="Y39" s="310">
        <v>10</v>
      </c>
      <c r="Z39" s="23">
        <f t="shared" si="42"/>
        <v>1.2764203294994659E-2</v>
      </c>
      <c r="AA39" s="23">
        <f t="shared" si="43"/>
        <v>0</v>
      </c>
      <c r="AB39" s="321">
        <v>587883712.46000004</v>
      </c>
      <c r="AC39" s="310">
        <v>10</v>
      </c>
      <c r="AD39" s="23">
        <f t="shared" si="44"/>
        <v>2.6579928203830868E-2</v>
      </c>
      <c r="AE39" s="23">
        <f t="shared" si="45"/>
        <v>0</v>
      </c>
      <c r="AF39" s="321">
        <v>588099068.22000003</v>
      </c>
      <c r="AG39" s="310">
        <v>10</v>
      </c>
      <c r="AH39" s="23">
        <f t="shared" si="46"/>
        <v>3.6632373960291238E-4</v>
      </c>
      <c r="AI39" s="23">
        <f t="shared" si="47"/>
        <v>0</v>
      </c>
      <c r="AJ39" s="24">
        <f t="shared" si="16"/>
        <v>-8.150337235471888E-4</v>
      </c>
      <c r="AK39" s="24">
        <f t="shared" si="17"/>
        <v>0</v>
      </c>
      <c r="AL39" s="25">
        <f t="shared" si="18"/>
        <v>-8.0876069588564151E-3</v>
      </c>
      <c r="AM39" s="25">
        <f t="shared" si="19"/>
        <v>0</v>
      </c>
      <c r="AN39" s="390">
        <f t="shared" si="20"/>
        <v>2.4164143241080863E-2</v>
      </c>
      <c r="AO39" s="391">
        <f t="shared" si="21"/>
        <v>0</v>
      </c>
      <c r="AP39" s="30"/>
      <c r="AQ39" s="38"/>
      <c r="AR39" s="35"/>
      <c r="AS39" s="29"/>
      <c r="AT39" s="29"/>
    </row>
    <row r="40" spans="1:47" s="86" customFormat="1">
      <c r="A40" s="202" t="s">
        <v>86</v>
      </c>
      <c r="B40" s="321">
        <v>2005360529.7502565</v>
      </c>
      <c r="C40" s="310">
        <v>100</v>
      </c>
      <c r="D40" s="321">
        <v>2235671285.2163291</v>
      </c>
      <c r="E40" s="310">
        <v>100</v>
      </c>
      <c r="F40" s="23">
        <f t="shared" si="32"/>
        <v>0.11484755586306218</v>
      </c>
      <c r="G40" s="23">
        <f t="shared" si="33"/>
        <v>0</v>
      </c>
      <c r="H40" s="321">
        <v>2280515769.5008807</v>
      </c>
      <c r="I40" s="310">
        <v>100</v>
      </c>
      <c r="J40" s="23">
        <f t="shared" si="34"/>
        <v>2.0058621578714044E-2</v>
      </c>
      <c r="K40" s="23">
        <f t="shared" si="35"/>
        <v>0</v>
      </c>
      <c r="L40" s="321">
        <v>2285569159.5667915</v>
      </c>
      <c r="M40" s="310">
        <v>100</v>
      </c>
      <c r="N40" s="23">
        <f t="shared" si="36"/>
        <v>2.2158978830551187E-3</v>
      </c>
      <c r="O40" s="23">
        <f t="shared" si="37"/>
        <v>0</v>
      </c>
      <c r="P40" s="321">
        <v>2273990063.543663</v>
      </c>
      <c r="Q40" s="310">
        <v>100</v>
      </c>
      <c r="R40" s="23">
        <f t="shared" si="38"/>
        <v>-5.0661761752697166E-3</v>
      </c>
      <c r="S40" s="23">
        <f t="shared" si="39"/>
        <v>0</v>
      </c>
      <c r="T40" s="321">
        <v>2291317082.7194843</v>
      </c>
      <c r="U40" s="310">
        <v>100</v>
      </c>
      <c r="V40" s="23">
        <f t="shared" si="40"/>
        <v>7.6196547441459862E-3</v>
      </c>
      <c r="W40" s="23">
        <f t="shared" si="41"/>
        <v>0</v>
      </c>
      <c r="X40" s="321">
        <v>2297935491.6891432</v>
      </c>
      <c r="Y40" s="310">
        <v>100</v>
      </c>
      <c r="Z40" s="23">
        <f t="shared" si="42"/>
        <v>2.8884736292384698E-3</v>
      </c>
      <c r="AA40" s="23">
        <f t="shared" si="43"/>
        <v>0</v>
      </c>
      <c r="AB40" s="321">
        <v>2297191442.3656645</v>
      </c>
      <c r="AC40" s="310">
        <v>100</v>
      </c>
      <c r="AD40" s="23">
        <f t="shared" si="44"/>
        <v>-3.2379034405868829E-4</v>
      </c>
      <c r="AE40" s="23">
        <f t="shared" si="45"/>
        <v>0</v>
      </c>
      <c r="AF40" s="321">
        <v>2341905565.5004201</v>
      </c>
      <c r="AG40" s="310">
        <v>100</v>
      </c>
      <c r="AH40" s="23">
        <f t="shared" si="46"/>
        <v>1.9464691670933912E-2</v>
      </c>
      <c r="AI40" s="23">
        <f t="shared" si="47"/>
        <v>0</v>
      </c>
      <c r="AJ40" s="24">
        <f t="shared" si="16"/>
        <v>2.0213116106227662E-2</v>
      </c>
      <c r="AK40" s="24">
        <f t="shared" si="17"/>
        <v>0</v>
      </c>
      <c r="AL40" s="25">
        <f t="shared" si="18"/>
        <v>4.7517844410571074E-2</v>
      </c>
      <c r="AM40" s="25">
        <f t="shared" si="19"/>
        <v>0</v>
      </c>
      <c r="AN40" s="390">
        <f t="shared" si="20"/>
        <v>3.9278686896861474E-2</v>
      </c>
      <c r="AO40" s="391">
        <f t="shared" si="21"/>
        <v>0</v>
      </c>
      <c r="AP40" s="30"/>
      <c r="AQ40" s="38"/>
      <c r="AR40" s="35"/>
      <c r="AS40" s="29"/>
      <c r="AT40" s="29"/>
    </row>
    <row r="41" spans="1:47" s="368" customFormat="1">
      <c r="A41" s="202" t="s">
        <v>275</v>
      </c>
      <c r="B41" s="321">
        <v>17614943373.200001</v>
      </c>
      <c r="C41" s="310">
        <v>100</v>
      </c>
      <c r="D41" s="321">
        <v>17528080985.630001</v>
      </c>
      <c r="E41" s="310">
        <v>100</v>
      </c>
      <c r="F41" s="23">
        <f t="shared" si="32"/>
        <v>-4.9311760889424834E-3</v>
      </c>
      <c r="G41" s="23">
        <f t="shared" si="33"/>
        <v>0</v>
      </c>
      <c r="H41" s="321">
        <v>17590388292.700001</v>
      </c>
      <c r="I41" s="310">
        <v>100</v>
      </c>
      <c r="J41" s="23">
        <f t="shared" ref="J41" si="48">((H41-D41)/D41)</f>
        <v>3.5547135548427079E-3</v>
      </c>
      <c r="K41" s="23">
        <f t="shared" ref="K41" si="49">((I41-E41)/E41)</f>
        <v>0</v>
      </c>
      <c r="L41" s="321">
        <v>17805178071.02</v>
      </c>
      <c r="M41" s="310">
        <v>100</v>
      </c>
      <c r="N41" s="23">
        <f t="shared" ref="N41" si="50">((L41-H41)/H41)</f>
        <v>1.2210633144985054E-2</v>
      </c>
      <c r="O41" s="23">
        <f t="shared" ref="O41" si="51">((M41-I41)/I41)</f>
        <v>0</v>
      </c>
      <c r="P41" s="321">
        <v>18003048287.23</v>
      </c>
      <c r="Q41" s="310">
        <v>100</v>
      </c>
      <c r="R41" s="23">
        <f t="shared" ref="R41" si="52">((P41-L41)/L41)</f>
        <v>1.1113071457120437E-2</v>
      </c>
      <c r="S41" s="23">
        <f t="shared" ref="S41" si="53">((Q41-M41)/M41)</f>
        <v>0</v>
      </c>
      <c r="T41" s="321">
        <v>18399704831.07</v>
      </c>
      <c r="U41" s="310">
        <v>100</v>
      </c>
      <c r="V41" s="23">
        <f t="shared" ref="V41" si="54">((T41-P41)/P41)</f>
        <v>2.2032743428309211E-2</v>
      </c>
      <c r="W41" s="23">
        <f t="shared" ref="W41" si="55">((U41-Q41)/Q41)</f>
        <v>0</v>
      </c>
      <c r="X41" s="321">
        <v>18624859998.630001</v>
      </c>
      <c r="Y41" s="310">
        <v>100</v>
      </c>
      <c r="Z41" s="23">
        <f t="shared" ref="Z41" si="56">((X41-T41)/T41)</f>
        <v>1.2236890190749212E-2</v>
      </c>
      <c r="AA41" s="23">
        <f t="shared" ref="AA41" si="57">((Y41-U41)/U41)</f>
        <v>0</v>
      </c>
      <c r="AB41" s="321">
        <v>19027610965</v>
      </c>
      <c r="AC41" s="310">
        <v>100</v>
      </c>
      <c r="AD41" s="23">
        <f t="shared" si="44"/>
        <v>2.1624375506695045E-2</v>
      </c>
      <c r="AE41" s="23">
        <f t="shared" si="45"/>
        <v>0</v>
      </c>
      <c r="AF41" s="321">
        <v>19621654972.389999</v>
      </c>
      <c r="AG41" s="310">
        <v>100</v>
      </c>
      <c r="AH41" s="23">
        <f t="shared" si="46"/>
        <v>3.1220104745819276E-2</v>
      </c>
      <c r="AI41" s="23">
        <f t="shared" si="47"/>
        <v>0</v>
      </c>
      <c r="AJ41" s="24">
        <f t="shared" si="16"/>
        <v>1.3632669492447309E-2</v>
      </c>
      <c r="AK41" s="24">
        <f t="shared" si="17"/>
        <v>0</v>
      </c>
      <c r="AL41" s="25">
        <f t="shared" si="18"/>
        <v>0.11944114067457626</v>
      </c>
      <c r="AM41" s="25">
        <f t="shared" si="19"/>
        <v>0</v>
      </c>
      <c r="AN41" s="390">
        <f t="shared" si="20"/>
        <v>1.1340488815868197E-2</v>
      </c>
      <c r="AO41" s="391">
        <f t="shared" si="21"/>
        <v>0</v>
      </c>
      <c r="AP41" s="30"/>
      <c r="AQ41" s="38"/>
      <c r="AR41" s="35"/>
      <c r="AS41" s="29"/>
      <c r="AT41" s="29"/>
    </row>
    <row r="42" spans="1:47" s="86" customFormat="1">
      <c r="A42" s="202" t="s">
        <v>121</v>
      </c>
      <c r="B42" s="321">
        <v>3429760394.7600002</v>
      </c>
      <c r="C42" s="310">
        <v>1</v>
      </c>
      <c r="D42" s="321">
        <v>3336785148.4099998</v>
      </c>
      <c r="E42" s="310">
        <v>1</v>
      </c>
      <c r="F42" s="23">
        <f t="shared" si="32"/>
        <v>-2.710837949264569E-2</v>
      </c>
      <c r="G42" s="23">
        <f t="shared" si="33"/>
        <v>0</v>
      </c>
      <c r="H42" s="321">
        <v>3376669786.8499999</v>
      </c>
      <c r="I42" s="310">
        <v>1</v>
      </c>
      <c r="J42" s="23">
        <f t="shared" si="34"/>
        <v>1.1953013654177091E-2</v>
      </c>
      <c r="K42" s="23">
        <f t="shared" si="35"/>
        <v>0</v>
      </c>
      <c r="L42" s="321">
        <v>3399838189.9699998</v>
      </c>
      <c r="M42" s="310">
        <v>1</v>
      </c>
      <c r="N42" s="23">
        <f t="shared" si="36"/>
        <v>6.8613173873934043E-3</v>
      </c>
      <c r="O42" s="23">
        <f t="shared" si="37"/>
        <v>0</v>
      </c>
      <c r="P42" s="321">
        <v>3390476819.2399998</v>
      </c>
      <c r="Q42" s="310">
        <v>1</v>
      </c>
      <c r="R42" s="23">
        <f t="shared" si="38"/>
        <v>-2.7534753735096503E-3</v>
      </c>
      <c r="S42" s="23">
        <f t="shared" si="39"/>
        <v>0</v>
      </c>
      <c r="T42" s="321">
        <v>3309853518.3899999</v>
      </c>
      <c r="U42" s="310">
        <v>1</v>
      </c>
      <c r="V42" s="23">
        <f t="shared" si="40"/>
        <v>-2.3779339941947225E-2</v>
      </c>
      <c r="W42" s="23">
        <f t="shared" si="41"/>
        <v>0</v>
      </c>
      <c r="X42" s="321">
        <v>3303707470.5599999</v>
      </c>
      <c r="Y42" s="310">
        <v>1</v>
      </c>
      <c r="Z42" s="23">
        <f t="shared" si="42"/>
        <v>-1.8568942087169838E-3</v>
      </c>
      <c r="AA42" s="23">
        <f t="shared" si="43"/>
        <v>0</v>
      </c>
      <c r="AB42" s="321">
        <v>3223499113.8299999</v>
      </c>
      <c r="AC42" s="310">
        <v>1</v>
      </c>
      <c r="AD42" s="23">
        <f t="shared" si="44"/>
        <v>-2.4278286574932188E-2</v>
      </c>
      <c r="AE42" s="23">
        <f t="shared" si="45"/>
        <v>0</v>
      </c>
      <c r="AF42" s="321">
        <v>3211962804.1100001</v>
      </c>
      <c r="AG42" s="310">
        <v>1</v>
      </c>
      <c r="AH42" s="23">
        <f t="shared" si="46"/>
        <v>-3.5788158496786199E-3</v>
      </c>
      <c r="AI42" s="23">
        <f t="shared" si="47"/>
        <v>0</v>
      </c>
      <c r="AJ42" s="24">
        <f t="shared" si="16"/>
        <v>-8.0676075499824841E-3</v>
      </c>
      <c r="AK42" s="24">
        <f t="shared" si="17"/>
        <v>0</v>
      </c>
      <c r="AL42" s="25">
        <f t="shared" si="18"/>
        <v>-3.7407965676027534E-2</v>
      </c>
      <c r="AM42" s="25">
        <f t="shared" si="19"/>
        <v>0</v>
      </c>
      <c r="AN42" s="390">
        <f t="shared" si="20"/>
        <v>1.5037362660531982E-2</v>
      </c>
      <c r="AO42" s="391">
        <f t="shared" si="21"/>
        <v>0</v>
      </c>
      <c r="AP42" s="30"/>
      <c r="AQ42" s="38"/>
      <c r="AR42" s="35"/>
      <c r="AS42" s="29"/>
      <c r="AT42" s="29"/>
    </row>
    <row r="43" spans="1:47" s="86" customFormat="1">
      <c r="A43" s="202" t="s">
        <v>55</v>
      </c>
      <c r="B43" s="316">
        <v>2679078960.8699999</v>
      </c>
      <c r="C43" s="310">
        <v>10</v>
      </c>
      <c r="D43" s="316">
        <v>2677023149.29</v>
      </c>
      <c r="E43" s="310">
        <v>10</v>
      </c>
      <c r="F43" s="23">
        <f t="shared" si="32"/>
        <v>-7.6735759192865397E-4</v>
      </c>
      <c r="G43" s="23">
        <f t="shared" si="33"/>
        <v>0</v>
      </c>
      <c r="H43" s="316">
        <v>2690676689.1799998</v>
      </c>
      <c r="I43" s="310">
        <v>10</v>
      </c>
      <c r="J43" s="23">
        <f t="shared" si="34"/>
        <v>5.100269638542744E-3</v>
      </c>
      <c r="K43" s="23">
        <f t="shared" si="35"/>
        <v>0</v>
      </c>
      <c r="L43" s="316">
        <v>2676146225.9000001</v>
      </c>
      <c r="M43" s="310">
        <v>10</v>
      </c>
      <c r="N43" s="23">
        <f t="shared" si="36"/>
        <v>-5.4003007267394805E-3</v>
      </c>
      <c r="O43" s="23">
        <f t="shared" si="37"/>
        <v>0</v>
      </c>
      <c r="P43" s="316">
        <v>2768537546.7199998</v>
      </c>
      <c r="Q43" s="310">
        <v>10</v>
      </c>
      <c r="R43" s="23">
        <f t="shared" si="38"/>
        <v>3.452401812943838E-2</v>
      </c>
      <c r="S43" s="23">
        <f t="shared" si="39"/>
        <v>0</v>
      </c>
      <c r="T43" s="316">
        <v>2969180321.9699998</v>
      </c>
      <c r="U43" s="310">
        <v>10</v>
      </c>
      <c r="V43" s="23">
        <f t="shared" si="40"/>
        <v>7.2472477567699867E-2</v>
      </c>
      <c r="W43" s="23">
        <f t="shared" si="41"/>
        <v>0</v>
      </c>
      <c r="X43" s="316">
        <v>3002907899.8200002</v>
      </c>
      <c r="Y43" s="310">
        <v>10</v>
      </c>
      <c r="Z43" s="23">
        <f t="shared" si="42"/>
        <v>1.1359221802878822E-2</v>
      </c>
      <c r="AA43" s="23">
        <f t="shared" si="43"/>
        <v>0</v>
      </c>
      <c r="AB43" s="316">
        <v>3071845396.8600001</v>
      </c>
      <c r="AC43" s="310">
        <v>10</v>
      </c>
      <c r="AD43" s="23">
        <f t="shared" si="44"/>
        <v>2.2956913545078155E-2</v>
      </c>
      <c r="AE43" s="23">
        <f t="shared" si="45"/>
        <v>0</v>
      </c>
      <c r="AF43" s="316">
        <v>3120273348.9200001</v>
      </c>
      <c r="AG43" s="310">
        <v>10</v>
      </c>
      <c r="AH43" s="23">
        <f t="shared" si="46"/>
        <v>1.5765100714216398E-2</v>
      </c>
      <c r="AI43" s="23">
        <f t="shared" si="47"/>
        <v>0</v>
      </c>
      <c r="AJ43" s="24">
        <f t="shared" si="16"/>
        <v>1.9501292884898276E-2</v>
      </c>
      <c r="AK43" s="24">
        <f t="shared" si="17"/>
        <v>0</v>
      </c>
      <c r="AL43" s="25">
        <f t="shared" si="18"/>
        <v>0.1655757813478598</v>
      </c>
      <c r="AM43" s="25">
        <f t="shared" si="19"/>
        <v>0</v>
      </c>
      <c r="AN43" s="390">
        <f t="shared" si="20"/>
        <v>2.4963171373483688E-2</v>
      </c>
      <c r="AO43" s="391">
        <f t="shared" si="21"/>
        <v>0</v>
      </c>
      <c r="AP43" s="30"/>
      <c r="AQ43" s="38"/>
      <c r="AR43" s="35"/>
      <c r="AS43" s="29"/>
      <c r="AT43" s="29"/>
    </row>
    <row r="44" spans="1:47" s="86" customFormat="1">
      <c r="A44" s="202" t="s">
        <v>188</v>
      </c>
      <c r="B44" s="321">
        <v>3495845153.1100001</v>
      </c>
      <c r="C44" s="310">
        <v>100</v>
      </c>
      <c r="D44" s="321">
        <v>3615054648.0999999</v>
      </c>
      <c r="E44" s="310">
        <v>100</v>
      </c>
      <c r="F44" s="23">
        <f t="shared" si="32"/>
        <v>3.4100336190219328E-2</v>
      </c>
      <c r="G44" s="23">
        <f t="shared" si="33"/>
        <v>0</v>
      </c>
      <c r="H44" s="321">
        <v>3621727581.6700001</v>
      </c>
      <c r="I44" s="310">
        <v>100</v>
      </c>
      <c r="J44" s="23">
        <f t="shared" si="34"/>
        <v>1.8458734983459605E-3</v>
      </c>
      <c r="K44" s="23">
        <f t="shared" si="35"/>
        <v>0</v>
      </c>
      <c r="L44" s="321">
        <v>3644873317.54</v>
      </c>
      <c r="M44" s="310">
        <v>100</v>
      </c>
      <c r="N44" s="23">
        <f t="shared" si="36"/>
        <v>6.3907997904489684E-3</v>
      </c>
      <c r="O44" s="23">
        <f t="shared" si="37"/>
        <v>0</v>
      </c>
      <c r="P44" s="321">
        <v>3657500971.8700004</v>
      </c>
      <c r="Q44" s="310">
        <v>100</v>
      </c>
      <c r="R44" s="23">
        <f t="shared" si="38"/>
        <v>3.4644974543376074E-3</v>
      </c>
      <c r="S44" s="23">
        <f t="shared" si="39"/>
        <v>0</v>
      </c>
      <c r="T44" s="321">
        <v>3614399783.6399999</v>
      </c>
      <c r="U44" s="310">
        <v>100</v>
      </c>
      <c r="V44" s="23">
        <f t="shared" si="40"/>
        <v>-1.1784327211802162E-2</v>
      </c>
      <c r="W44" s="23">
        <f t="shared" si="41"/>
        <v>0</v>
      </c>
      <c r="X44" s="321">
        <v>3610394554.9899998</v>
      </c>
      <c r="Y44" s="310">
        <v>100</v>
      </c>
      <c r="Z44" s="23">
        <f t="shared" si="42"/>
        <v>-1.1081310562625418E-3</v>
      </c>
      <c r="AA44" s="23">
        <f t="shared" si="43"/>
        <v>0</v>
      </c>
      <c r="AB44" s="321">
        <v>3715299710.0300002</v>
      </c>
      <c r="AC44" s="310">
        <v>100</v>
      </c>
      <c r="AD44" s="23">
        <f t="shared" si="44"/>
        <v>2.9056424011887811E-2</v>
      </c>
      <c r="AE44" s="23">
        <f t="shared" si="45"/>
        <v>0</v>
      </c>
      <c r="AF44" s="321">
        <v>3865582815.6900001</v>
      </c>
      <c r="AG44" s="310">
        <v>100</v>
      </c>
      <c r="AH44" s="23">
        <f t="shared" si="46"/>
        <v>4.0449793391980841E-2</v>
      </c>
      <c r="AI44" s="23">
        <f t="shared" si="47"/>
        <v>0</v>
      </c>
      <c r="AJ44" s="24">
        <f t="shared" si="16"/>
        <v>1.2801908258644475E-2</v>
      </c>
      <c r="AK44" s="24">
        <f t="shared" si="17"/>
        <v>0</v>
      </c>
      <c r="AL44" s="25">
        <f t="shared" si="18"/>
        <v>6.9301350042294027E-2</v>
      </c>
      <c r="AM44" s="25">
        <f t="shared" si="19"/>
        <v>0</v>
      </c>
      <c r="AN44" s="390">
        <f t="shared" si="20"/>
        <v>1.9005767115024465E-2</v>
      </c>
      <c r="AO44" s="391">
        <f t="shared" si="21"/>
        <v>0</v>
      </c>
      <c r="AP44" s="30"/>
      <c r="AQ44" s="38"/>
      <c r="AR44" s="35"/>
      <c r="AS44" s="29"/>
      <c r="AT44" s="29"/>
    </row>
    <row r="45" spans="1:47" s="86" customFormat="1">
      <c r="A45" s="202" t="s">
        <v>162</v>
      </c>
      <c r="B45" s="321">
        <v>140973409.09999999</v>
      </c>
      <c r="C45" s="310">
        <v>1</v>
      </c>
      <c r="D45" s="321">
        <v>140315263.97</v>
      </c>
      <c r="E45" s="310">
        <v>1</v>
      </c>
      <c r="F45" s="23">
        <f t="shared" si="32"/>
        <v>-4.6685763946670089E-3</v>
      </c>
      <c r="G45" s="23">
        <f t="shared" si="33"/>
        <v>0</v>
      </c>
      <c r="H45" s="321">
        <v>140315263.97</v>
      </c>
      <c r="I45" s="310">
        <v>1</v>
      </c>
      <c r="J45" s="23">
        <f t="shared" si="34"/>
        <v>0</v>
      </c>
      <c r="K45" s="23">
        <f t="shared" si="35"/>
        <v>0</v>
      </c>
      <c r="L45" s="321">
        <v>141105257.72</v>
      </c>
      <c r="M45" s="310">
        <v>1</v>
      </c>
      <c r="N45" s="23">
        <f t="shared" si="36"/>
        <v>5.630134082696121E-3</v>
      </c>
      <c r="O45" s="23">
        <f t="shared" si="37"/>
        <v>0</v>
      </c>
      <c r="P45" s="321">
        <v>140805259.80000001</v>
      </c>
      <c r="Q45" s="310">
        <v>1</v>
      </c>
      <c r="R45" s="23">
        <f t="shared" si="38"/>
        <v>-2.1260577022245552E-3</v>
      </c>
      <c r="S45" s="23">
        <f t="shared" si="39"/>
        <v>0</v>
      </c>
      <c r="T45" s="321">
        <v>140805259.68000001</v>
      </c>
      <c r="U45" s="310">
        <v>1</v>
      </c>
      <c r="V45" s="23">
        <f t="shared" si="40"/>
        <v>-8.5224092437185769E-10</v>
      </c>
      <c r="W45" s="23">
        <f t="shared" si="41"/>
        <v>0</v>
      </c>
      <c r="X45" s="321">
        <v>140805259.56</v>
      </c>
      <c r="Y45" s="310">
        <v>1</v>
      </c>
      <c r="Z45" s="23">
        <f t="shared" si="42"/>
        <v>-8.5224092509817231E-10</v>
      </c>
      <c r="AA45" s="23">
        <f t="shared" si="43"/>
        <v>0</v>
      </c>
      <c r="AB45" s="321">
        <v>140745259.96000001</v>
      </c>
      <c r="AC45" s="310">
        <v>1</v>
      </c>
      <c r="AD45" s="23">
        <f t="shared" si="44"/>
        <v>-4.261176051767227E-4</v>
      </c>
      <c r="AE45" s="23">
        <f t="shared" si="45"/>
        <v>0</v>
      </c>
      <c r="AF45" s="321">
        <v>142280248.12</v>
      </c>
      <c r="AG45" s="310">
        <v>1</v>
      </c>
      <c r="AH45" s="23">
        <f t="shared" si="46"/>
        <v>1.0906144622108354E-2</v>
      </c>
      <c r="AI45" s="23">
        <f t="shared" si="47"/>
        <v>0</v>
      </c>
      <c r="AJ45" s="24">
        <f t="shared" si="16"/>
        <v>1.1644406622817924E-3</v>
      </c>
      <c r="AK45" s="24">
        <f t="shared" si="17"/>
        <v>0</v>
      </c>
      <c r="AL45" s="25">
        <f t="shared" si="18"/>
        <v>1.4004065519344551E-2</v>
      </c>
      <c r="AM45" s="25">
        <f t="shared" si="19"/>
        <v>0</v>
      </c>
      <c r="AN45" s="390">
        <f t="shared" si="20"/>
        <v>4.8740175124128609E-3</v>
      </c>
      <c r="AO45" s="391">
        <f t="shared" si="21"/>
        <v>0</v>
      </c>
      <c r="AP45" s="30"/>
      <c r="AQ45" s="38"/>
      <c r="AR45" s="35"/>
      <c r="AS45" s="29"/>
      <c r="AT45" s="29"/>
    </row>
    <row r="46" spans="1:47" s="86" customFormat="1">
      <c r="A46" s="202" t="s">
        <v>95</v>
      </c>
      <c r="B46" s="316">
        <v>649816957.09000003</v>
      </c>
      <c r="C46" s="310">
        <v>10</v>
      </c>
      <c r="D46" s="316">
        <v>658939973.36000001</v>
      </c>
      <c r="E46" s="310">
        <v>10</v>
      </c>
      <c r="F46" s="23">
        <f t="shared" si="32"/>
        <v>1.4039363193682305E-2</v>
      </c>
      <c r="G46" s="23">
        <f t="shared" si="33"/>
        <v>0</v>
      </c>
      <c r="H46" s="316">
        <v>650289130.97000003</v>
      </c>
      <c r="I46" s="310">
        <v>10</v>
      </c>
      <c r="J46" s="23">
        <f t="shared" si="34"/>
        <v>-1.3128422526696151E-2</v>
      </c>
      <c r="K46" s="23">
        <f t="shared" si="35"/>
        <v>0</v>
      </c>
      <c r="L46" s="316">
        <v>649377694.04999995</v>
      </c>
      <c r="M46" s="310">
        <v>10</v>
      </c>
      <c r="N46" s="23">
        <f t="shared" si="36"/>
        <v>-1.4015871965144745E-3</v>
      </c>
      <c r="O46" s="23">
        <f t="shared" si="37"/>
        <v>0</v>
      </c>
      <c r="P46" s="316">
        <v>630430013.75</v>
      </c>
      <c r="Q46" s="310">
        <v>10</v>
      </c>
      <c r="R46" s="23">
        <f t="shared" si="38"/>
        <v>-2.9178212423386755E-2</v>
      </c>
      <c r="S46" s="23">
        <f t="shared" si="39"/>
        <v>0</v>
      </c>
      <c r="T46" s="316">
        <v>637722694.30999994</v>
      </c>
      <c r="U46" s="310">
        <v>10</v>
      </c>
      <c r="V46" s="23">
        <f t="shared" si="40"/>
        <v>1.1567787701954003E-2</v>
      </c>
      <c r="W46" s="23">
        <f t="shared" si="41"/>
        <v>0</v>
      </c>
      <c r="X46" s="316">
        <v>659737414.15999997</v>
      </c>
      <c r="Y46" s="310">
        <v>10</v>
      </c>
      <c r="Z46" s="23">
        <f t="shared" si="42"/>
        <v>3.4520834912139045E-2</v>
      </c>
      <c r="AA46" s="23">
        <f t="shared" si="43"/>
        <v>0</v>
      </c>
      <c r="AB46" s="316">
        <v>669207531.46000004</v>
      </c>
      <c r="AC46" s="310">
        <v>10</v>
      </c>
      <c r="AD46" s="23">
        <f t="shared" si="44"/>
        <v>1.4354373568547338E-2</v>
      </c>
      <c r="AE46" s="23">
        <f t="shared" si="45"/>
        <v>0</v>
      </c>
      <c r="AF46" s="316">
        <v>684712547.72000003</v>
      </c>
      <c r="AG46" s="310">
        <v>10</v>
      </c>
      <c r="AH46" s="23">
        <f t="shared" si="46"/>
        <v>2.3169219608411951E-2</v>
      </c>
      <c r="AI46" s="23">
        <f t="shared" si="47"/>
        <v>0</v>
      </c>
      <c r="AJ46" s="24">
        <f t="shared" si="16"/>
        <v>6.7429196047671574E-3</v>
      </c>
      <c r="AK46" s="24">
        <f t="shared" si="17"/>
        <v>0</v>
      </c>
      <c r="AL46" s="25">
        <f t="shared" si="18"/>
        <v>3.9112173190196844E-2</v>
      </c>
      <c r="AM46" s="25">
        <f t="shared" si="19"/>
        <v>0</v>
      </c>
      <c r="AN46" s="390">
        <f t="shared" si="20"/>
        <v>2.0450003627674636E-2</v>
      </c>
      <c r="AO46" s="391">
        <f t="shared" si="21"/>
        <v>0</v>
      </c>
      <c r="AP46" s="30"/>
      <c r="AQ46" s="38"/>
      <c r="AR46" s="35"/>
      <c r="AS46" s="29"/>
      <c r="AT46" s="29"/>
    </row>
    <row r="47" spans="1:47" s="93" customFormat="1">
      <c r="A47" s="202" t="s">
        <v>34</v>
      </c>
      <c r="B47" s="321">
        <v>346941578575.98999</v>
      </c>
      <c r="C47" s="310">
        <v>100</v>
      </c>
      <c r="D47" s="321">
        <v>350499771127.26001</v>
      </c>
      <c r="E47" s="310">
        <v>100</v>
      </c>
      <c r="F47" s="23">
        <f t="shared" si="32"/>
        <v>1.0255883903781441E-2</v>
      </c>
      <c r="G47" s="23">
        <f t="shared" si="33"/>
        <v>0</v>
      </c>
      <c r="H47" s="321">
        <v>340341399775.10999</v>
      </c>
      <c r="I47" s="310">
        <v>100</v>
      </c>
      <c r="J47" s="23">
        <f t="shared" si="34"/>
        <v>-2.8982533482059557E-2</v>
      </c>
      <c r="K47" s="23">
        <f t="shared" si="35"/>
        <v>0</v>
      </c>
      <c r="L47" s="321">
        <v>337020215840.06</v>
      </c>
      <c r="M47" s="310">
        <v>100</v>
      </c>
      <c r="N47" s="23">
        <f t="shared" si="36"/>
        <v>-9.7583894796358962E-3</v>
      </c>
      <c r="O47" s="23">
        <f t="shared" si="37"/>
        <v>0</v>
      </c>
      <c r="P47" s="321">
        <v>341685230744.69</v>
      </c>
      <c r="Q47" s="310">
        <v>100</v>
      </c>
      <c r="R47" s="23">
        <f t="shared" si="38"/>
        <v>1.3841943851949479E-2</v>
      </c>
      <c r="S47" s="23">
        <f t="shared" si="39"/>
        <v>0</v>
      </c>
      <c r="T47" s="321">
        <v>343799646939.75</v>
      </c>
      <c r="U47" s="310">
        <v>100</v>
      </c>
      <c r="V47" s="23">
        <f t="shared" si="40"/>
        <v>6.1881989761503817E-3</v>
      </c>
      <c r="W47" s="23">
        <f t="shared" si="41"/>
        <v>0</v>
      </c>
      <c r="X47" s="321">
        <v>347912159703.41998</v>
      </c>
      <c r="Y47" s="310">
        <v>100</v>
      </c>
      <c r="Z47" s="23">
        <f t="shared" si="42"/>
        <v>1.196194586084229E-2</v>
      </c>
      <c r="AA47" s="23">
        <f t="shared" si="43"/>
        <v>0</v>
      </c>
      <c r="AB47" s="321">
        <v>347302845839.95001</v>
      </c>
      <c r="AC47" s="310">
        <v>100</v>
      </c>
      <c r="AD47" s="23">
        <f t="shared" si="44"/>
        <v>-1.7513439713903198E-3</v>
      </c>
      <c r="AE47" s="23">
        <f t="shared" si="45"/>
        <v>0</v>
      </c>
      <c r="AF47" s="321">
        <v>348549575831.40002</v>
      </c>
      <c r="AG47" s="310">
        <v>100</v>
      </c>
      <c r="AH47" s="23">
        <f t="shared" si="46"/>
        <v>3.5897488499836579E-3</v>
      </c>
      <c r="AI47" s="23">
        <f t="shared" si="47"/>
        <v>0</v>
      </c>
      <c r="AJ47" s="24">
        <f t="shared" si="16"/>
        <v>6.6818181370268423E-4</v>
      </c>
      <c r="AK47" s="24">
        <f t="shared" si="17"/>
        <v>0</v>
      </c>
      <c r="AL47" s="25">
        <f t="shared" si="18"/>
        <v>-5.5640415672394417E-3</v>
      </c>
      <c r="AM47" s="25">
        <f t="shared" si="19"/>
        <v>0</v>
      </c>
      <c r="AN47" s="390">
        <f t="shared" si="20"/>
        <v>1.4271648712906636E-2</v>
      </c>
      <c r="AO47" s="391">
        <f t="shared" si="21"/>
        <v>0</v>
      </c>
      <c r="AP47" s="30"/>
      <c r="AQ47" s="38"/>
      <c r="AR47" s="35"/>
      <c r="AS47" s="29"/>
      <c r="AT47" s="29"/>
    </row>
    <row r="48" spans="1:47" s="93" customFormat="1">
      <c r="A48" s="202" t="s">
        <v>151</v>
      </c>
      <c r="B48" s="321">
        <v>1419447567.9300001</v>
      </c>
      <c r="C48" s="310">
        <v>1</v>
      </c>
      <c r="D48" s="321">
        <v>1469597745.29</v>
      </c>
      <c r="E48" s="310">
        <v>1</v>
      </c>
      <c r="F48" s="23">
        <f t="shared" si="32"/>
        <v>3.5330771275429773E-2</v>
      </c>
      <c r="G48" s="23">
        <f t="shared" si="33"/>
        <v>0</v>
      </c>
      <c r="H48" s="321">
        <v>1492772659.6099999</v>
      </c>
      <c r="I48" s="310">
        <v>1</v>
      </c>
      <c r="J48" s="23">
        <f t="shared" si="34"/>
        <v>1.5769563061915803E-2</v>
      </c>
      <c r="K48" s="23">
        <f t="shared" si="35"/>
        <v>0</v>
      </c>
      <c r="L48" s="321">
        <v>1544544174.45</v>
      </c>
      <c r="M48" s="310">
        <v>1</v>
      </c>
      <c r="N48" s="23">
        <f t="shared" si="36"/>
        <v>3.4681446305109796E-2</v>
      </c>
      <c r="O48" s="23">
        <f t="shared" si="37"/>
        <v>0</v>
      </c>
      <c r="P48" s="321">
        <v>1614754146.3699999</v>
      </c>
      <c r="Q48" s="310">
        <v>1</v>
      </c>
      <c r="R48" s="23">
        <f t="shared" si="38"/>
        <v>4.5456758752141911E-2</v>
      </c>
      <c r="S48" s="23">
        <f t="shared" si="39"/>
        <v>0</v>
      </c>
      <c r="T48" s="321">
        <v>1858104842.04</v>
      </c>
      <c r="U48" s="310">
        <v>1</v>
      </c>
      <c r="V48" s="23">
        <f t="shared" si="40"/>
        <v>0.15070448725402402</v>
      </c>
      <c r="W48" s="23">
        <f t="shared" si="41"/>
        <v>0</v>
      </c>
      <c r="X48" s="321">
        <v>1955331148.1600001</v>
      </c>
      <c r="Y48" s="310">
        <v>1</v>
      </c>
      <c r="Z48" s="23">
        <f t="shared" si="42"/>
        <v>5.2325522177347143E-2</v>
      </c>
      <c r="AA48" s="23">
        <f t="shared" si="43"/>
        <v>0</v>
      </c>
      <c r="AB48" s="321">
        <v>1871697039.27</v>
      </c>
      <c r="AC48" s="310">
        <v>1</v>
      </c>
      <c r="AD48" s="23">
        <f t="shared" si="44"/>
        <v>-4.2772350334980967E-2</v>
      </c>
      <c r="AE48" s="23">
        <f t="shared" si="45"/>
        <v>0</v>
      </c>
      <c r="AF48" s="321">
        <v>1893901801.0899999</v>
      </c>
      <c r="AG48" s="310">
        <v>1</v>
      </c>
      <c r="AH48" s="23">
        <f t="shared" si="46"/>
        <v>1.1863438021283746E-2</v>
      </c>
      <c r="AI48" s="23">
        <f t="shared" si="47"/>
        <v>0</v>
      </c>
      <c r="AJ48" s="24">
        <f t="shared" si="16"/>
        <v>3.7919954564033909E-2</v>
      </c>
      <c r="AK48" s="24">
        <f t="shared" si="17"/>
        <v>0</v>
      </c>
      <c r="AL48" s="25">
        <f t="shared" si="18"/>
        <v>0.28872122127288025</v>
      </c>
      <c r="AM48" s="25">
        <f t="shared" si="19"/>
        <v>0</v>
      </c>
      <c r="AN48" s="390">
        <f t="shared" si="20"/>
        <v>5.4356884678328166E-2</v>
      </c>
      <c r="AO48" s="391">
        <f t="shared" si="21"/>
        <v>0</v>
      </c>
      <c r="AP48" s="30"/>
      <c r="AQ48" s="38"/>
      <c r="AR48" s="35"/>
      <c r="AS48" s="29"/>
      <c r="AT48" s="29"/>
    </row>
    <row r="49" spans="1:48" s="103" customFormat="1">
      <c r="A49" s="202" t="s">
        <v>76</v>
      </c>
      <c r="B49" s="321">
        <v>44507670041.57</v>
      </c>
      <c r="C49" s="310">
        <v>1</v>
      </c>
      <c r="D49" s="321">
        <v>47601196591.650002</v>
      </c>
      <c r="E49" s="310">
        <v>1</v>
      </c>
      <c r="F49" s="23">
        <f t="shared" si="32"/>
        <v>6.950547056699799E-2</v>
      </c>
      <c r="G49" s="23">
        <f t="shared" si="33"/>
        <v>0</v>
      </c>
      <c r="H49" s="321">
        <v>48551316517.480003</v>
      </c>
      <c r="I49" s="310">
        <v>1</v>
      </c>
      <c r="J49" s="23">
        <f t="shared" si="34"/>
        <v>1.9960000879403687E-2</v>
      </c>
      <c r="K49" s="23">
        <f t="shared" si="35"/>
        <v>0</v>
      </c>
      <c r="L49" s="321">
        <v>47624281523.449997</v>
      </c>
      <c r="M49" s="310">
        <v>1</v>
      </c>
      <c r="N49" s="23">
        <f t="shared" si="36"/>
        <v>-1.9093920835210401E-2</v>
      </c>
      <c r="O49" s="23">
        <f t="shared" si="37"/>
        <v>0</v>
      </c>
      <c r="P49" s="321">
        <v>47992325555.459999</v>
      </c>
      <c r="Q49" s="310">
        <v>1</v>
      </c>
      <c r="R49" s="23">
        <f t="shared" si="38"/>
        <v>7.7280752640599693E-3</v>
      </c>
      <c r="S49" s="23">
        <f t="shared" si="39"/>
        <v>0</v>
      </c>
      <c r="T49" s="321">
        <v>46871670231.099998</v>
      </c>
      <c r="U49" s="310">
        <v>1</v>
      </c>
      <c r="V49" s="23">
        <f t="shared" si="40"/>
        <v>-2.335071933667748E-2</v>
      </c>
      <c r="W49" s="23">
        <f t="shared" si="41"/>
        <v>0</v>
      </c>
      <c r="X49" s="321">
        <v>47016801670.660004</v>
      </c>
      <c r="Y49" s="310">
        <v>1</v>
      </c>
      <c r="Z49" s="23">
        <f t="shared" si="42"/>
        <v>3.0963573272391833E-3</v>
      </c>
      <c r="AA49" s="23">
        <f t="shared" si="43"/>
        <v>0</v>
      </c>
      <c r="AB49" s="321">
        <v>47758737757.550003</v>
      </c>
      <c r="AC49" s="310">
        <v>1</v>
      </c>
      <c r="AD49" s="23">
        <f t="shared" si="44"/>
        <v>1.578023303428977E-2</v>
      </c>
      <c r="AE49" s="23">
        <f t="shared" si="45"/>
        <v>0</v>
      </c>
      <c r="AF49" s="321">
        <v>45539940187.550003</v>
      </c>
      <c r="AG49" s="310">
        <v>1</v>
      </c>
      <c r="AH49" s="23">
        <f t="shared" si="46"/>
        <v>-4.6458463397082525E-2</v>
      </c>
      <c r="AI49" s="23">
        <f t="shared" si="47"/>
        <v>0</v>
      </c>
      <c r="AJ49" s="24">
        <f t="shared" si="16"/>
        <v>3.3958791878775253E-3</v>
      </c>
      <c r="AK49" s="24">
        <f t="shared" si="17"/>
        <v>0</v>
      </c>
      <c r="AL49" s="25">
        <f t="shared" si="18"/>
        <v>-4.3302617406503922E-2</v>
      </c>
      <c r="AM49" s="25">
        <f t="shared" si="19"/>
        <v>0</v>
      </c>
      <c r="AN49" s="390">
        <f t="shared" si="20"/>
        <v>3.4895159648780961E-2</v>
      </c>
      <c r="AO49" s="391">
        <f t="shared" si="21"/>
        <v>0</v>
      </c>
      <c r="AP49" s="30"/>
      <c r="AQ49" s="38"/>
      <c r="AR49" s="35"/>
      <c r="AS49" s="29"/>
      <c r="AT49" s="29"/>
    </row>
    <row r="50" spans="1:48" s="103" customFormat="1">
      <c r="A50" s="202" t="s">
        <v>159</v>
      </c>
      <c r="B50" s="321">
        <v>1224875447.25</v>
      </c>
      <c r="C50" s="310">
        <v>1</v>
      </c>
      <c r="D50" s="321">
        <v>1226542907.54</v>
      </c>
      <c r="E50" s="310">
        <v>1</v>
      </c>
      <c r="F50" s="23">
        <f t="shared" si="32"/>
        <v>1.3613304877190743E-3</v>
      </c>
      <c r="G50" s="23">
        <f t="shared" si="33"/>
        <v>0</v>
      </c>
      <c r="H50" s="321">
        <v>1213657641.04</v>
      </c>
      <c r="I50" s="310">
        <v>1</v>
      </c>
      <c r="J50" s="23">
        <f t="shared" si="34"/>
        <v>-1.0505353233702332E-2</v>
      </c>
      <c r="K50" s="23">
        <f t="shared" si="35"/>
        <v>0</v>
      </c>
      <c r="L50" s="321">
        <v>1240211706.1500001</v>
      </c>
      <c r="M50" s="310">
        <v>1</v>
      </c>
      <c r="N50" s="23">
        <f t="shared" si="36"/>
        <v>2.187937043534418E-2</v>
      </c>
      <c r="O50" s="23">
        <f t="shared" si="37"/>
        <v>0</v>
      </c>
      <c r="P50" s="321">
        <v>1251653301.97</v>
      </c>
      <c r="Q50" s="310">
        <v>1</v>
      </c>
      <c r="R50" s="23">
        <f t="shared" si="38"/>
        <v>9.2255183234144587E-3</v>
      </c>
      <c r="S50" s="23">
        <f t="shared" si="39"/>
        <v>0</v>
      </c>
      <c r="T50" s="321">
        <v>1743422992.8201618</v>
      </c>
      <c r="U50" s="310">
        <v>1</v>
      </c>
      <c r="V50" s="23">
        <f t="shared" si="40"/>
        <v>0.3928960919738369</v>
      </c>
      <c r="W50" s="23">
        <f t="shared" si="41"/>
        <v>0</v>
      </c>
      <c r="X50" s="321">
        <v>1746093745.9000001</v>
      </c>
      <c r="Y50" s="310">
        <v>1</v>
      </c>
      <c r="Z50" s="23">
        <f t="shared" si="42"/>
        <v>1.5319019485443774E-3</v>
      </c>
      <c r="AA50" s="23">
        <f t="shared" si="43"/>
        <v>0</v>
      </c>
      <c r="AB50" s="321">
        <v>1747483379.8699999</v>
      </c>
      <c r="AC50" s="310">
        <v>1</v>
      </c>
      <c r="AD50" s="23">
        <f t="shared" si="44"/>
        <v>7.9585301377018704E-4</v>
      </c>
      <c r="AE50" s="23">
        <f t="shared" si="45"/>
        <v>0</v>
      </c>
      <c r="AF50" s="321">
        <v>1960264366.8476787</v>
      </c>
      <c r="AG50" s="310">
        <v>1</v>
      </c>
      <c r="AH50" s="23">
        <f t="shared" si="46"/>
        <v>0.12176424075261198</v>
      </c>
      <c r="AI50" s="23">
        <f t="shared" si="47"/>
        <v>0</v>
      </c>
      <c r="AJ50" s="24">
        <f t="shared" si="16"/>
        <v>6.7368619212692341E-2</v>
      </c>
      <c r="AK50" s="24">
        <f t="shared" si="17"/>
        <v>0</v>
      </c>
      <c r="AL50" s="25">
        <f t="shared" si="18"/>
        <v>0.59820284704043314</v>
      </c>
      <c r="AM50" s="25">
        <f t="shared" si="19"/>
        <v>0</v>
      </c>
      <c r="AN50" s="390">
        <f t="shared" si="20"/>
        <v>0.13813277018311024</v>
      </c>
      <c r="AO50" s="391">
        <f t="shared" si="21"/>
        <v>0</v>
      </c>
      <c r="AP50" s="30"/>
      <c r="AQ50" s="38"/>
      <c r="AR50" s="35"/>
      <c r="AS50" s="29"/>
      <c r="AT50" s="29"/>
    </row>
    <row r="51" spans="1:48" s="108" customFormat="1">
      <c r="A51" s="202" t="s">
        <v>131</v>
      </c>
      <c r="B51" s="321">
        <v>1326413539.1800001</v>
      </c>
      <c r="C51" s="310">
        <v>1</v>
      </c>
      <c r="D51" s="321">
        <v>1357634841.6800001</v>
      </c>
      <c r="E51" s="310">
        <v>1</v>
      </c>
      <c r="F51" s="23">
        <f t="shared" si="32"/>
        <v>2.3538136167775604E-2</v>
      </c>
      <c r="G51" s="23">
        <f t="shared" si="33"/>
        <v>0</v>
      </c>
      <c r="H51" s="321">
        <v>1381089055.55</v>
      </c>
      <c r="I51" s="310">
        <v>1</v>
      </c>
      <c r="J51" s="23">
        <f t="shared" si="34"/>
        <v>1.7275789593744189E-2</v>
      </c>
      <c r="K51" s="23">
        <f t="shared" si="35"/>
        <v>0</v>
      </c>
      <c r="L51" s="321">
        <v>1378201669.3599999</v>
      </c>
      <c r="M51" s="310">
        <v>1</v>
      </c>
      <c r="N51" s="23">
        <f t="shared" si="36"/>
        <v>-2.0906589465732859E-3</v>
      </c>
      <c r="O51" s="23">
        <f t="shared" si="37"/>
        <v>0</v>
      </c>
      <c r="P51" s="321">
        <v>1395274933.54</v>
      </c>
      <c r="Q51" s="310">
        <v>1</v>
      </c>
      <c r="R51" s="23">
        <f t="shared" si="38"/>
        <v>1.2388073936906807E-2</v>
      </c>
      <c r="S51" s="23">
        <f t="shared" si="39"/>
        <v>0</v>
      </c>
      <c r="T51" s="321">
        <v>1459418551.0699999</v>
      </c>
      <c r="U51" s="310">
        <v>1</v>
      </c>
      <c r="V51" s="23">
        <f t="shared" si="40"/>
        <v>4.5972027439250981E-2</v>
      </c>
      <c r="W51" s="23">
        <f t="shared" si="41"/>
        <v>0</v>
      </c>
      <c r="X51" s="321">
        <v>1455997321.7</v>
      </c>
      <c r="Y51" s="310">
        <v>1</v>
      </c>
      <c r="Z51" s="23">
        <f t="shared" si="42"/>
        <v>-2.3442413881141549E-3</v>
      </c>
      <c r="AA51" s="23">
        <f t="shared" si="43"/>
        <v>0</v>
      </c>
      <c r="AB51" s="321">
        <v>1502214044.52</v>
      </c>
      <c r="AC51" s="310">
        <v>1</v>
      </c>
      <c r="AD51" s="23">
        <f t="shared" si="44"/>
        <v>3.1742313073789177E-2</v>
      </c>
      <c r="AE51" s="23">
        <f t="shared" si="45"/>
        <v>0</v>
      </c>
      <c r="AF51" s="321">
        <v>1500621737.8199999</v>
      </c>
      <c r="AG51" s="310">
        <v>1</v>
      </c>
      <c r="AH51" s="23">
        <f t="shared" si="46"/>
        <v>-1.0599732480259395E-3</v>
      </c>
      <c r="AI51" s="23">
        <f t="shared" si="47"/>
        <v>0</v>
      </c>
      <c r="AJ51" s="24">
        <f t="shared" si="16"/>
        <v>1.5677683328594174E-2</v>
      </c>
      <c r="AK51" s="24">
        <f t="shared" si="17"/>
        <v>0</v>
      </c>
      <c r="AL51" s="25">
        <f t="shared" si="18"/>
        <v>0.10532058529306841</v>
      </c>
      <c r="AM51" s="25">
        <f t="shared" si="19"/>
        <v>0</v>
      </c>
      <c r="AN51" s="390">
        <f t="shared" si="20"/>
        <v>1.761344742659408E-2</v>
      </c>
      <c r="AO51" s="391">
        <f t="shared" si="21"/>
        <v>0</v>
      </c>
      <c r="AP51" s="30"/>
      <c r="AQ51" s="38"/>
      <c r="AR51" s="35"/>
      <c r="AS51" s="29"/>
      <c r="AT51" s="29"/>
    </row>
    <row r="52" spans="1:48">
      <c r="A52" s="202" t="s">
        <v>112</v>
      </c>
      <c r="B52" s="321">
        <v>22329450046.02</v>
      </c>
      <c r="C52" s="310">
        <v>1</v>
      </c>
      <c r="D52" s="321">
        <v>22909668463.209999</v>
      </c>
      <c r="E52" s="310">
        <v>1</v>
      </c>
      <c r="F52" s="23">
        <f t="shared" si="32"/>
        <v>2.5984447265570552E-2</v>
      </c>
      <c r="G52" s="23">
        <f t="shared" si="33"/>
        <v>0</v>
      </c>
      <c r="H52" s="321">
        <v>22261834259.299999</v>
      </c>
      <c r="I52" s="310">
        <v>1</v>
      </c>
      <c r="J52" s="23">
        <f t="shared" si="34"/>
        <v>-2.8277764252692648E-2</v>
      </c>
      <c r="K52" s="23">
        <f t="shared" si="35"/>
        <v>0</v>
      </c>
      <c r="L52" s="321">
        <v>22581417729.529999</v>
      </c>
      <c r="M52" s="310">
        <v>1</v>
      </c>
      <c r="N52" s="23">
        <f t="shared" si="36"/>
        <v>1.4355666586480485E-2</v>
      </c>
      <c r="O52" s="23">
        <f t="shared" si="37"/>
        <v>0</v>
      </c>
      <c r="P52" s="321">
        <v>23003112017.23</v>
      </c>
      <c r="Q52" s="310">
        <v>1</v>
      </c>
      <c r="R52" s="23">
        <f t="shared" si="38"/>
        <v>1.8674393820213773E-2</v>
      </c>
      <c r="S52" s="23">
        <f t="shared" si="39"/>
        <v>0</v>
      </c>
      <c r="T52" s="321">
        <v>23187442008.939999</v>
      </c>
      <c r="U52" s="310">
        <v>1</v>
      </c>
      <c r="V52" s="23">
        <f t="shared" si="40"/>
        <v>8.0132632302938218E-3</v>
      </c>
      <c r="W52" s="23">
        <f t="shared" si="41"/>
        <v>0</v>
      </c>
      <c r="X52" s="321">
        <v>23671739562.240002</v>
      </c>
      <c r="Y52" s="310">
        <v>1</v>
      </c>
      <c r="Z52" s="23">
        <f t="shared" si="42"/>
        <v>2.0886200086809078E-2</v>
      </c>
      <c r="AA52" s="23">
        <f t="shared" si="43"/>
        <v>0</v>
      </c>
      <c r="AB52" s="321">
        <v>24313594778.380001</v>
      </c>
      <c r="AC52" s="310">
        <v>1</v>
      </c>
      <c r="AD52" s="23">
        <f t="shared" si="44"/>
        <v>2.7114830933838735E-2</v>
      </c>
      <c r="AE52" s="23">
        <f t="shared" si="45"/>
        <v>0</v>
      </c>
      <c r="AF52" s="321">
        <v>24683657105.130001</v>
      </c>
      <c r="AG52" s="310">
        <v>1</v>
      </c>
      <c r="AH52" s="23">
        <f t="shared" si="46"/>
        <v>1.5220387199965378E-2</v>
      </c>
      <c r="AI52" s="23">
        <f t="shared" si="47"/>
        <v>0</v>
      </c>
      <c r="AJ52" s="24">
        <f t="shared" si="16"/>
        <v>1.2746428108809897E-2</v>
      </c>
      <c r="AK52" s="24">
        <f t="shared" si="17"/>
        <v>0</v>
      </c>
      <c r="AL52" s="25">
        <f t="shared" si="18"/>
        <v>7.7434059980780651E-2</v>
      </c>
      <c r="AM52" s="25">
        <f t="shared" si="19"/>
        <v>0</v>
      </c>
      <c r="AN52" s="390">
        <f t="shared" si="20"/>
        <v>1.7716780371041171E-2</v>
      </c>
      <c r="AO52" s="391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4" t="s">
        <v>42</v>
      </c>
      <c r="B53" s="76">
        <f>SUM(B24:B52)</f>
        <v>806100368208.14038</v>
      </c>
      <c r="C53" s="85"/>
      <c r="D53" s="76">
        <f>SUM(D24:D52)</f>
        <v>813613346034.13623</v>
      </c>
      <c r="E53" s="85"/>
      <c r="F53" s="23">
        <f>((D53-B53)/B53)</f>
        <v>9.3201518350577769E-3</v>
      </c>
      <c r="G53" s="23"/>
      <c r="H53" s="76">
        <f>SUM(H24:H52)</f>
        <v>806087341383.99084</v>
      </c>
      <c r="I53" s="85"/>
      <c r="J53" s="23">
        <f>((H53-D53)/D53)</f>
        <v>-9.2500998008821032E-3</v>
      </c>
      <c r="K53" s="23"/>
      <c r="L53" s="76">
        <f>SUM(L24:L52)</f>
        <v>798748175531.57666</v>
      </c>
      <c r="M53" s="85"/>
      <c r="N53" s="23">
        <f>((L53-H53)/H53)</f>
        <v>-9.1046782099485565E-3</v>
      </c>
      <c r="O53" s="23"/>
      <c r="P53" s="76">
        <f>SUM(P24:P52)</f>
        <v>807261945859.45349</v>
      </c>
      <c r="Q53" s="85"/>
      <c r="R53" s="23">
        <f>((P53-L53)/L53)</f>
        <v>1.0658891736698883E-2</v>
      </c>
      <c r="S53" s="23"/>
      <c r="T53" s="76">
        <f>SUM(T24:T52)</f>
        <v>810860786783.24963</v>
      </c>
      <c r="U53" s="85"/>
      <c r="V53" s="23">
        <f>((T53-P53)/P53)</f>
        <v>4.4580832061452214E-3</v>
      </c>
      <c r="W53" s="23"/>
      <c r="X53" s="76">
        <f>SUM(X24:X52)</f>
        <v>816758455712.61926</v>
      </c>
      <c r="Y53" s="85"/>
      <c r="Z53" s="23">
        <f>((X53-T53)/T53)</f>
        <v>7.2733433722527866E-3</v>
      </c>
      <c r="AA53" s="23"/>
      <c r="AB53" s="76">
        <f>SUM(AB24:AB52)</f>
        <v>817523630430.57593</v>
      </c>
      <c r="AC53" s="85"/>
      <c r="AD53" s="23">
        <f>((AB53-X53)/X53)</f>
        <v>9.3684333795975515E-4</v>
      </c>
      <c r="AE53" s="23"/>
      <c r="AF53" s="76">
        <f>SUM(AF24:AF52)</f>
        <v>822530716125.65808</v>
      </c>
      <c r="AG53" s="85"/>
      <c r="AH53" s="23">
        <f>((AF53-AB53)/AB53)</f>
        <v>6.1246984291389913E-3</v>
      </c>
      <c r="AI53" s="23"/>
      <c r="AJ53" s="24">
        <f t="shared" si="16"/>
        <v>2.5521542383028445E-3</v>
      </c>
      <c r="AK53" s="24"/>
      <c r="AL53" s="25">
        <f t="shared" si="18"/>
        <v>1.0960206263808892E-2</v>
      </c>
      <c r="AM53" s="25"/>
      <c r="AN53" s="390">
        <f t="shared" si="20"/>
        <v>7.8193388543942519E-3</v>
      </c>
      <c r="AO53" s="391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4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90"/>
      <c r="AO54" s="391"/>
      <c r="AP54" s="30"/>
      <c r="AQ54" s="43"/>
      <c r="AR54" s="44"/>
      <c r="AS54" s="29"/>
      <c r="AT54" s="29"/>
    </row>
    <row r="55" spans="1:48">
      <c r="A55" s="205" t="s">
        <v>193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90"/>
      <c r="AO55" s="391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2" t="s">
        <v>138</v>
      </c>
      <c r="B56" s="326">
        <v>441287934.61000001</v>
      </c>
      <c r="C56" s="327">
        <v>1.2697000000000001</v>
      </c>
      <c r="D56" s="326">
        <v>441073490.06999999</v>
      </c>
      <c r="E56" s="327">
        <v>1.2733000000000001</v>
      </c>
      <c r="F56" s="23">
        <f t="shared" ref="F56:F85" si="58">((D56-B56)/B56)</f>
        <v>-4.8595151415037563E-4</v>
      </c>
      <c r="G56" s="23">
        <f t="shared" ref="G56:G85" si="59">((E56-C56)/C56)</f>
        <v>2.8353154288414959E-3</v>
      </c>
      <c r="H56" s="326">
        <v>430159762.5</v>
      </c>
      <c r="I56" s="327">
        <v>1.2707999999999999</v>
      </c>
      <c r="J56" s="23">
        <f t="shared" ref="J56:J82" si="60">((H56-D56)/D56)</f>
        <v>-2.4743558195410801E-2</v>
      </c>
      <c r="K56" s="23">
        <f t="shared" ref="K56:K81" si="61">((I56-E56)/E56)</f>
        <v>-1.9634021833033603E-3</v>
      </c>
      <c r="L56" s="326">
        <v>431843654.76999998</v>
      </c>
      <c r="M56" s="327">
        <v>1.2755000000000001</v>
      </c>
      <c r="N56" s="23">
        <f t="shared" ref="N56:N82" si="62">((L56-H56)/H56)</f>
        <v>3.9145741112872707E-3</v>
      </c>
      <c r="O56" s="23">
        <f t="shared" ref="O56:O81" si="63">((M56-I56)/I56)</f>
        <v>3.6984576644634474E-3</v>
      </c>
      <c r="P56" s="326">
        <v>435782729.64999998</v>
      </c>
      <c r="Q56" s="327">
        <v>1.2842</v>
      </c>
      <c r="R56" s="23">
        <f t="shared" ref="R56:R82" si="64">((P56-L56)/L56)</f>
        <v>9.1215300641570088E-3</v>
      </c>
      <c r="S56" s="23">
        <f t="shared" ref="S56:S81" si="65">((Q56-M56)/M56)</f>
        <v>6.8208545668364791E-3</v>
      </c>
      <c r="T56" s="326">
        <v>437991462.02999997</v>
      </c>
      <c r="U56" s="327">
        <v>1.2892999999999999</v>
      </c>
      <c r="V56" s="23">
        <f t="shared" ref="V56:V82" si="66">((T56-P56)/P56)</f>
        <v>5.0684256849140037E-3</v>
      </c>
      <c r="W56" s="23">
        <f t="shared" ref="W56:W81" si="67">((U56-Q56)/Q56)</f>
        <v>3.9713440274099692E-3</v>
      </c>
      <c r="X56" s="326">
        <v>438176583.14999998</v>
      </c>
      <c r="Y56" s="327">
        <v>1.2897000000000001</v>
      </c>
      <c r="Z56" s="23">
        <f t="shared" ref="Z56:Z82" si="68">((X56-T56)/T56)</f>
        <v>4.2265919783460301E-4</v>
      </c>
      <c r="AA56" s="23">
        <f t="shared" ref="AA56:AA81" si="69">((Y56-U56)/U56)</f>
        <v>3.1024586985199567E-4</v>
      </c>
      <c r="AB56" s="326">
        <v>441747390.16000003</v>
      </c>
      <c r="AC56" s="327">
        <v>1.2982</v>
      </c>
      <c r="AD56" s="23">
        <f t="shared" ref="AD56:AD82" si="70">((AB56-X56)/X56)</f>
        <v>8.1492419889943411E-3</v>
      </c>
      <c r="AE56" s="23">
        <f t="shared" ref="AE56:AE81" si="71">((AC56-Y56)/Y56)</f>
        <v>6.590680003101459E-3</v>
      </c>
      <c r="AF56" s="326">
        <v>462533700.88</v>
      </c>
      <c r="AG56" s="327">
        <v>1.3594999999999999</v>
      </c>
      <c r="AH56" s="23">
        <f t="shared" ref="AH56:AH82" si="72">((AF56-AB56)/AB56)</f>
        <v>4.7054744822535813E-2</v>
      </c>
      <c r="AI56" s="23">
        <f t="shared" ref="AI56:AI81" si="73">((AG56-AC56)/AC56)</f>
        <v>4.7219226621475818E-2</v>
      </c>
      <c r="AJ56" s="24">
        <f t="shared" si="16"/>
        <v>6.0627082700202327E-3</v>
      </c>
      <c r="AK56" s="24">
        <f t="shared" si="17"/>
        <v>8.6853402498346631E-3</v>
      </c>
      <c r="AL56" s="25">
        <f t="shared" si="18"/>
        <v>4.8654501558445938E-2</v>
      </c>
      <c r="AM56" s="25">
        <f t="shared" si="19"/>
        <v>6.7698107280295156E-2</v>
      </c>
      <c r="AN56" s="390">
        <f t="shared" si="20"/>
        <v>1.972446379759718E-2</v>
      </c>
      <c r="AO56" s="391">
        <f t="shared" si="21"/>
        <v>1.5845575215211082E-2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2" t="s">
        <v>144</v>
      </c>
      <c r="B57" s="326">
        <v>1019832818.21</v>
      </c>
      <c r="C57" s="327">
        <v>1.1321000000000001</v>
      </c>
      <c r="D57" s="326">
        <v>1022492186.75</v>
      </c>
      <c r="E57" s="327">
        <v>1.1339999999999999</v>
      </c>
      <c r="F57" s="23">
        <f t="shared" si="58"/>
        <v>2.6076514625874249E-3</v>
      </c>
      <c r="G57" s="23">
        <f t="shared" si="59"/>
        <v>1.6782969702321265E-3</v>
      </c>
      <c r="H57" s="326">
        <v>1024529602.21</v>
      </c>
      <c r="I57" s="327">
        <v>1.1362000000000001</v>
      </c>
      <c r="J57" s="23">
        <f t="shared" si="60"/>
        <v>1.9925975830446005E-3</v>
      </c>
      <c r="K57" s="23">
        <f t="shared" si="61"/>
        <v>1.9400352733687848E-3</v>
      </c>
      <c r="L57" s="326">
        <v>1027984084.27</v>
      </c>
      <c r="M57" s="327">
        <v>1.1376999999999999</v>
      </c>
      <c r="N57" s="23">
        <f t="shared" si="62"/>
        <v>3.3717737901846102E-3</v>
      </c>
      <c r="O57" s="23">
        <f t="shared" si="63"/>
        <v>1.3201901073753165E-3</v>
      </c>
      <c r="P57" s="326">
        <v>1033854678.0599999</v>
      </c>
      <c r="Q57" s="327">
        <v>1.1383000000000001</v>
      </c>
      <c r="R57" s="23">
        <f t="shared" si="64"/>
        <v>5.710782763887666E-3</v>
      </c>
      <c r="S57" s="23">
        <f t="shared" si="65"/>
        <v>5.2737980135374532E-4</v>
      </c>
      <c r="T57" s="326">
        <v>1016752779.01</v>
      </c>
      <c r="U57" s="327">
        <v>1.1389</v>
      </c>
      <c r="V57" s="23">
        <f t="shared" si="66"/>
        <v>-1.6541879059918944E-2</v>
      </c>
      <c r="W57" s="23">
        <f t="shared" si="67"/>
        <v>5.2710181850121579E-4</v>
      </c>
      <c r="X57" s="326">
        <v>993025846.11000001</v>
      </c>
      <c r="Y57" s="327">
        <v>1.1324000000000001</v>
      </c>
      <c r="Z57" s="23">
        <f t="shared" si="68"/>
        <v>-2.3335990212982358E-2</v>
      </c>
      <c r="AA57" s="23">
        <f t="shared" si="69"/>
        <v>-5.7072613925717363E-3</v>
      </c>
      <c r="AB57" s="326">
        <v>572772340.07000005</v>
      </c>
      <c r="AC57" s="327">
        <v>1.1323000000000001</v>
      </c>
      <c r="AD57" s="23">
        <f t="shared" si="70"/>
        <v>-0.42320500285694218</v>
      </c>
      <c r="AE57" s="23">
        <f t="shared" si="71"/>
        <v>-8.8308018368058087E-5</v>
      </c>
      <c r="AF57" s="326">
        <v>574045627.38</v>
      </c>
      <c r="AG57" s="327">
        <v>1.1353</v>
      </c>
      <c r="AH57" s="23">
        <f t="shared" si="72"/>
        <v>2.2230251374295257E-3</v>
      </c>
      <c r="AI57" s="23">
        <f t="shared" si="73"/>
        <v>2.6494745208865949E-3</v>
      </c>
      <c r="AJ57" s="24">
        <f t="shared" si="16"/>
        <v>-5.5897130174088712E-2</v>
      </c>
      <c r="AK57" s="24">
        <f t="shared" si="17"/>
        <v>3.5586363509724871E-4</v>
      </c>
      <c r="AL57" s="25">
        <f t="shared" si="18"/>
        <v>-0.4385818935158724</v>
      </c>
      <c r="AM57" s="25">
        <f t="shared" si="19"/>
        <v>1.1463844797178827E-3</v>
      </c>
      <c r="AN57" s="390">
        <f t="shared" si="20"/>
        <v>0.14879730094610208</v>
      </c>
      <c r="AO57" s="391">
        <f t="shared" si="21"/>
        <v>2.6040221640366407E-3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2" t="s">
        <v>226</v>
      </c>
      <c r="B58" s="326">
        <v>862357715.15999997</v>
      </c>
      <c r="C58" s="327">
        <v>1.0564</v>
      </c>
      <c r="D58" s="326">
        <v>861426535.37</v>
      </c>
      <c r="E58" s="327">
        <v>1.0579000000000001</v>
      </c>
      <c r="F58" s="23">
        <f t="shared" si="58"/>
        <v>-1.0798068755344674E-3</v>
      </c>
      <c r="G58" s="23">
        <f t="shared" si="59"/>
        <v>1.4199166982204249E-3</v>
      </c>
      <c r="H58" s="326">
        <v>861288344.36000001</v>
      </c>
      <c r="I58" s="327">
        <v>1.0593999999999999</v>
      </c>
      <c r="J58" s="23">
        <f t="shared" si="60"/>
        <v>-1.6042112046227441E-4</v>
      </c>
      <c r="K58" s="23">
        <f t="shared" si="61"/>
        <v>1.417903393515299E-3</v>
      </c>
      <c r="L58" s="326">
        <v>862100586.23000002</v>
      </c>
      <c r="M58" s="327">
        <v>1.0608</v>
      </c>
      <c r="N58" s="23">
        <f t="shared" si="62"/>
        <v>9.4305452444449329E-4</v>
      </c>
      <c r="O58" s="23">
        <f t="shared" si="63"/>
        <v>1.3215027373985916E-3</v>
      </c>
      <c r="P58" s="326">
        <v>863308414.51999998</v>
      </c>
      <c r="Q58" s="327">
        <v>1.0623</v>
      </c>
      <c r="R58" s="23">
        <f t="shared" si="64"/>
        <v>1.4010294266030403E-3</v>
      </c>
      <c r="S58" s="23">
        <f t="shared" si="65"/>
        <v>1.4140271493213207E-3</v>
      </c>
      <c r="T58" s="326">
        <v>840002418.75</v>
      </c>
      <c r="U58" s="327">
        <v>1.0637000000000001</v>
      </c>
      <c r="V58" s="23">
        <f t="shared" si="66"/>
        <v>-2.6996141098610895E-2</v>
      </c>
      <c r="W58" s="23">
        <f t="shared" si="67"/>
        <v>1.3178951332016076E-3</v>
      </c>
      <c r="X58" s="326">
        <v>840701547.28999996</v>
      </c>
      <c r="Y58" s="327">
        <v>1.0261</v>
      </c>
      <c r="Z58" s="23">
        <f t="shared" si="68"/>
        <v>8.3229348439297203E-4</v>
      </c>
      <c r="AA58" s="23">
        <f t="shared" si="69"/>
        <v>-3.5348312494124352E-2</v>
      </c>
      <c r="AB58" s="326">
        <v>591074536.51999998</v>
      </c>
      <c r="AC58" s="327">
        <v>1.0271999999999999</v>
      </c>
      <c r="AD58" s="23">
        <f t="shared" si="70"/>
        <v>-0.29692702668940274</v>
      </c>
      <c r="AE58" s="23">
        <f t="shared" si="71"/>
        <v>1.0720202709286412E-3</v>
      </c>
      <c r="AF58" s="326">
        <v>593325159.47000003</v>
      </c>
      <c r="AG58" s="327">
        <v>1.0314000000000001</v>
      </c>
      <c r="AH58" s="23">
        <f t="shared" si="72"/>
        <v>3.8076804378188505E-3</v>
      </c>
      <c r="AI58" s="23">
        <f t="shared" si="73"/>
        <v>4.0887850467291702E-3</v>
      </c>
      <c r="AJ58" s="24">
        <f t="shared" si="16"/>
        <v>-3.9772417238843873E-2</v>
      </c>
      <c r="AK58" s="24">
        <f t="shared" si="17"/>
        <v>-2.9120327581011623E-3</v>
      </c>
      <c r="AL58" s="25">
        <f t="shared" si="18"/>
        <v>-0.31122953019417382</v>
      </c>
      <c r="AM58" s="25">
        <f t="shared" si="19"/>
        <v>-2.504962661877301E-2</v>
      </c>
      <c r="AN58" s="390">
        <f t="shared" si="20"/>
        <v>0.10437495904159008</v>
      </c>
      <c r="AO58" s="391">
        <f t="shared" si="21"/>
        <v>1.3142300363097917E-2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2" t="s">
        <v>167</v>
      </c>
      <c r="B59" s="326">
        <v>259095700.47</v>
      </c>
      <c r="C59" s="74">
        <v>1130.58</v>
      </c>
      <c r="D59" s="326">
        <v>259095700.47</v>
      </c>
      <c r="E59" s="74">
        <v>1130.58</v>
      </c>
      <c r="F59" s="23">
        <f t="shared" si="58"/>
        <v>0</v>
      </c>
      <c r="G59" s="23">
        <f t="shared" si="59"/>
        <v>0</v>
      </c>
      <c r="H59" s="326">
        <v>259897315.68000001</v>
      </c>
      <c r="I59" s="74">
        <v>1135.9100000000001</v>
      </c>
      <c r="J59" s="23">
        <f t="shared" si="60"/>
        <v>3.0938962265521083E-3</v>
      </c>
      <c r="K59" s="23">
        <f t="shared" si="61"/>
        <v>4.7143943816449563E-3</v>
      </c>
      <c r="L59" s="326">
        <v>259372182.41</v>
      </c>
      <c r="M59" s="74">
        <v>1138.0999999999999</v>
      </c>
      <c r="N59" s="23">
        <f t="shared" si="62"/>
        <v>-2.0205413381282626E-3</v>
      </c>
      <c r="O59" s="23">
        <f t="shared" si="63"/>
        <v>1.9279696454823244E-3</v>
      </c>
      <c r="P59" s="326">
        <v>247396258.00999999</v>
      </c>
      <c r="Q59" s="74">
        <v>1086.21</v>
      </c>
      <c r="R59" s="23">
        <f t="shared" si="64"/>
        <v>-4.6172740224968235E-2</v>
      </c>
      <c r="S59" s="23">
        <f t="shared" si="65"/>
        <v>-4.5593533081451434E-2</v>
      </c>
      <c r="T59" s="326">
        <v>250284868.36000001</v>
      </c>
      <c r="U59" s="74">
        <v>1091.99</v>
      </c>
      <c r="V59" s="23">
        <f t="shared" si="66"/>
        <v>1.1676047055987659E-2</v>
      </c>
      <c r="W59" s="23">
        <f t="shared" si="67"/>
        <v>5.3212546376851366E-3</v>
      </c>
      <c r="X59" s="326">
        <v>250569426.77000001</v>
      </c>
      <c r="Y59" s="74">
        <v>1094.24</v>
      </c>
      <c r="Z59" s="23">
        <f t="shared" si="68"/>
        <v>1.1369381291988403E-3</v>
      </c>
      <c r="AA59" s="23">
        <f t="shared" si="69"/>
        <v>2.0604584291064936E-3</v>
      </c>
      <c r="AB59" s="326">
        <v>252584086.44</v>
      </c>
      <c r="AC59" s="74">
        <v>1104.05</v>
      </c>
      <c r="AD59" s="23">
        <f t="shared" si="70"/>
        <v>8.040325174424658E-3</v>
      </c>
      <c r="AE59" s="23">
        <f t="shared" si="71"/>
        <v>8.9651264804795523E-3</v>
      </c>
      <c r="AF59" s="326">
        <v>253302524.36000001</v>
      </c>
      <c r="AG59" s="74">
        <v>1106.32</v>
      </c>
      <c r="AH59" s="23">
        <f t="shared" si="72"/>
        <v>2.8443514796435039E-3</v>
      </c>
      <c r="AI59" s="23">
        <f t="shared" si="73"/>
        <v>2.0560663013450315E-3</v>
      </c>
      <c r="AJ59" s="24">
        <f t="shared" si="16"/>
        <v>-2.6752154371612155E-3</v>
      </c>
      <c r="AK59" s="24">
        <f t="shared" si="17"/>
        <v>-2.5685329007134917E-3</v>
      </c>
      <c r="AL59" s="25">
        <f t="shared" si="18"/>
        <v>-2.2359213601349442E-2</v>
      </c>
      <c r="AM59" s="25">
        <f t="shared" si="19"/>
        <v>-2.1458012701445268E-2</v>
      </c>
      <c r="AN59" s="390">
        <f t="shared" si="20"/>
        <v>1.812134639973316E-2</v>
      </c>
      <c r="AO59" s="391">
        <f t="shared" si="21"/>
        <v>1.7603149439786931E-2</v>
      </c>
      <c r="AP59" s="30"/>
      <c r="AQ59" s="31"/>
      <c r="AR59" s="31"/>
      <c r="AS59" s="29"/>
      <c r="AT59" s="29"/>
    </row>
    <row r="60" spans="1:48">
      <c r="A60" s="202" t="s">
        <v>176</v>
      </c>
      <c r="B60" s="326">
        <v>1376899333.3199999</v>
      </c>
      <c r="C60" s="327">
        <v>1.0303</v>
      </c>
      <c r="D60" s="326">
        <v>1379199832.27</v>
      </c>
      <c r="E60" s="327">
        <v>1.0319</v>
      </c>
      <c r="F60" s="23">
        <f t="shared" si="58"/>
        <v>1.6707822382723149E-3</v>
      </c>
      <c r="G60" s="23">
        <f t="shared" si="59"/>
        <v>1.552945743958115E-3</v>
      </c>
      <c r="H60" s="326">
        <v>1376638453.21</v>
      </c>
      <c r="I60" s="327">
        <v>1.0334000000000001</v>
      </c>
      <c r="J60" s="23">
        <f t="shared" si="60"/>
        <v>-1.8571486162264213E-3</v>
      </c>
      <c r="K60" s="23">
        <f t="shared" si="61"/>
        <v>1.453629227638392E-3</v>
      </c>
      <c r="L60" s="326">
        <v>1378772797.47</v>
      </c>
      <c r="M60" s="327">
        <v>1.0347</v>
      </c>
      <c r="N60" s="23">
        <f t="shared" si="62"/>
        <v>1.5504029071853958E-3</v>
      </c>
      <c r="O60" s="23">
        <f t="shared" si="63"/>
        <v>1.2579833559123832E-3</v>
      </c>
      <c r="P60" s="326">
        <v>1390523983.53</v>
      </c>
      <c r="Q60" s="327">
        <v>1.0358000000000001</v>
      </c>
      <c r="R60" s="23">
        <f t="shared" si="64"/>
        <v>8.5229314659840683E-3</v>
      </c>
      <c r="S60" s="23">
        <f t="shared" si="65"/>
        <v>1.0631100802165855E-3</v>
      </c>
      <c r="T60" s="326">
        <v>1402292232.3599999</v>
      </c>
      <c r="U60" s="74">
        <v>1.0358000000000001</v>
      </c>
      <c r="V60" s="23">
        <f t="shared" si="66"/>
        <v>8.4631757304357413E-3</v>
      </c>
      <c r="W60" s="23">
        <f t="shared" si="67"/>
        <v>0</v>
      </c>
      <c r="X60" s="326">
        <v>1380876684.46</v>
      </c>
      <c r="Y60" s="74">
        <v>1.0422</v>
      </c>
      <c r="Z60" s="23">
        <f t="shared" si="68"/>
        <v>-1.5271815250633154E-2</v>
      </c>
      <c r="AA60" s="23">
        <f t="shared" si="69"/>
        <v>6.1787989959451251E-3</v>
      </c>
      <c r="AB60" s="326">
        <v>1375989298.0699999</v>
      </c>
      <c r="AC60" s="74">
        <v>1.044</v>
      </c>
      <c r="AD60" s="23">
        <f t="shared" si="70"/>
        <v>-3.5393358762599038E-3</v>
      </c>
      <c r="AE60" s="23">
        <f t="shared" si="71"/>
        <v>1.7271157167530454E-3</v>
      </c>
      <c r="AF60" s="326">
        <v>1384370561.9100001</v>
      </c>
      <c r="AG60" s="74">
        <v>1.0454000000000001</v>
      </c>
      <c r="AH60" s="23">
        <f t="shared" si="72"/>
        <v>6.0910821412317245E-3</v>
      </c>
      <c r="AI60" s="23">
        <f t="shared" si="73"/>
        <v>1.3409961685824404E-3</v>
      </c>
      <c r="AJ60" s="24">
        <f t="shared" si="16"/>
        <v>7.0375934249872099E-4</v>
      </c>
      <c r="AK60" s="24">
        <f t="shared" si="17"/>
        <v>1.8218224111257607E-3</v>
      </c>
      <c r="AL60" s="25">
        <f t="shared" si="18"/>
        <v>3.7490793712537615E-3</v>
      </c>
      <c r="AM60" s="25">
        <f t="shared" si="19"/>
        <v>1.3082663048745098E-2</v>
      </c>
      <c r="AN60" s="390">
        <f t="shared" si="20"/>
        <v>7.8540641991595196E-3</v>
      </c>
      <c r="AO60" s="391">
        <f t="shared" si="21"/>
        <v>1.8378506412030382E-3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2" t="s">
        <v>105</v>
      </c>
      <c r="B61" s="326">
        <v>422419220.49000001</v>
      </c>
      <c r="C61" s="327">
        <v>2.1812999999999998</v>
      </c>
      <c r="D61" s="326">
        <v>423265978.16000003</v>
      </c>
      <c r="E61" s="327">
        <v>2.1854</v>
      </c>
      <c r="F61" s="23">
        <f t="shared" si="58"/>
        <v>2.0045434225691491E-3</v>
      </c>
      <c r="G61" s="23">
        <f t="shared" si="59"/>
        <v>1.8796130747720235E-3</v>
      </c>
      <c r="H61" s="326">
        <v>424193315.27999997</v>
      </c>
      <c r="I61" s="327">
        <v>2.1901999999999999</v>
      </c>
      <c r="J61" s="23">
        <f t="shared" si="60"/>
        <v>2.1909087142586254E-3</v>
      </c>
      <c r="K61" s="23">
        <f t="shared" si="61"/>
        <v>2.1963942527683331E-3</v>
      </c>
      <c r="L61" s="326">
        <v>425068746.30000001</v>
      </c>
      <c r="M61" s="327">
        <v>2.1947000000000001</v>
      </c>
      <c r="N61" s="23">
        <f t="shared" si="62"/>
        <v>2.0637548694566045E-3</v>
      </c>
      <c r="O61" s="23">
        <f t="shared" si="63"/>
        <v>2.0546068852160398E-3</v>
      </c>
      <c r="P61" s="326">
        <v>425928273.67000002</v>
      </c>
      <c r="Q61" s="327">
        <v>2.1989000000000001</v>
      </c>
      <c r="R61" s="23">
        <f t="shared" si="64"/>
        <v>2.022090255945041E-3</v>
      </c>
      <c r="S61" s="23">
        <f t="shared" si="65"/>
        <v>1.9137011892285877E-3</v>
      </c>
      <c r="T61" s="326">
        <v>426817161.36000001</v>
      </c>
      <c r="U61" s="327">
        <v>2.2035</v>
      </c>
      <c r="V61" s="23">
        <f t="shared" si="66"/>
        <v>2.0869422035332845E-3</v>
      </c>
      <c r="W61" s="23">
        <f t="shared" si="67"/>
        <v>2.091955068443284E-3</v>
      </c>
      <c r="X61" s="326">
        <v>427641327.52999997</v>
      </c>
      <c r="Y61" s="74">
        <v>2.2075999999999998</v>
      </c>
      <c r="Z61" s="23">
        <f t="shared" si="68"/>
        <v>1.9309583695600564E-3</v>
      </c>
      <c r="AA61" s="23">
        <f t="shared" si="69"/>
        <v>1.8606761969592787E-3</v>
      </c>
      <c r="AB61" s="326">
        <v>426641143.81999999</v>
      </c>
      <c r="AC61" s="74">
        <v>2.2023999999999999</v>
      </c>
      <c r="AD61" s="23">
        <f t="shared" si="70"/>
        <v>-2.3388378194804231E-3</v>
      </c>
      <c r="AE61" s="23">
        <f t="shared" si="71"/>
        <v>-2.3554991846348396E-3</v>
      </c>
      <c r="AF61" s="326">
        <v>428293032.39999998</v>
      </c>
      <c r="AG61" s="74">
        <v>2.2084000000000001</v>
      </c>
      <c r="AH61" s="23">
        <f t="shared" si="72"/>
        <v>3.871845469964602E-3</v>
      </c>
      <c r="AI61" s="23">
        <f t="shared" si="73"/>
        <v>2.7243007628043169E-3</v>
      </c>
      <c r="AJ61" s="24">
        <f t="shared" si="16"/>
        <v>1.7290256857258675E-3</v>
      </c>
      <c r="AK61" s="24">
        <f t="shared" si="17"/>
        <v>1.545718530694628E-3</v>
      </c>
      <c r="AL61" s="25">
        <f t="shared" si="18"/>
        <v>1.1876820957482338E-2</v>
      </c>
      <c r="AM61" s="25">
        <f t="shared" si="19"/>
        <v>1.0524389127848508E-2</v>
      </c>
      <c r="AN61" s="390">
        <f t="shared" si="20"/>
        <v>1.7645415265062335E-3</v>
      </c>
      <c r="AO61" s="391">
        <f t="shared" si="21"/>
        <v>1.6006860798315587E-3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3" t="s">
        <v>18</v>
      </c>
      <c r="B62" s="326">
        <v>3340289973.44666</v>
      </c>
      <c r="C62" s="326">
        <v>3809.01802943763</v>
      </c>
      <c r="D62" s="326">
        <v>3341682810.9524202</v>
      </c>
      <c r="E62" s="326">
        <v>3814.4232717916202</v>
      </c>
      <c r="F62" s="23">
        <f t="shared" si="58"/>
        <v>4.1698101567002612E-4</v>
      </c>
      <c r="G62" s="23">
        <f t="shared" si="59"/>
        <v>1.4190645232488438E-3</v>
      </c>
      <c r="H62" s="326">
        <v>3342075495.10537</v>
      </c>
      <c r="I62" s="326">
        <v>3819.8758769675501</v>
      </c>
      <c r="J62" s="23">
        <f t="shared" si="60"/>
        <v>1.1751089949733747E-4</v>
      </c>
      <c r="K62" s="23">
        <f t="shared" si="61"/>
        <v>1.4294704041507189E-3</v>
      </c>
      <c r="L62" s="326">
        <v>3344790402.9352102</v>
      </c>
      <c r="M62" s="326">
        <v>3825.32820687699</v>
      </c>
      <c r="N62" s="23">
        <f t="shared" si="62"/>
        <v>8.1234186176114092E-4</v>
      </c>
      <c r="O62" s="23">
        <f t="shared" si="63"/>
        <v>1.4273578736721307E-3</v>
      </c>
      <c r="P62" s="326">
        <v>3342183904.2787499</v>
      </c>
      <c r="Q62" s="326">
        <v>3830.741920294</v>
      </c>
      <c r="R62" s="23">
        <f t="shared" si="64"/>
        <v>-7.7927114780434689E-4</v>
      </c>
      <c r="S62" s="23">
        <f t="shared" si="65"/>
        <v>1.4152284782460093E-3</v>
      </c>
      <c r="T62" s="326">
        <v>3349479690.7715502</v>
      </c>
      <c r="U62" s="326">
        <v>3836.1960200561998</v>
      </c>
      <c r="V62" s="23">
        <f t="shared" si="66"/>
        <v>2.1829398685871181E-3</v>
      </c>
      <c r="W62" s="23">
        <f t="shared" si="67"/>
        <v>1.4237711325072022E-3</v>
      </c>
      <c r="X62" s="326">
        <v>3349492057.9685998</v>
      </c>
      <c r="Y62" s="326">
        <v>3841.8106843473502</v>
      </c>
      <c r="Z62" s="23">
        <f t="shared" si="68"/>
        <v>3.6922740817601414E-6</v>
      </c>
      <c r="AA62" s="23">
        <f t="shared" si="69"/>
        <v>1.4636020322726089E-3</v>
      </c>
      <c r="AB62" s="326">
        <v>3355160303.19665</v>
      </c>
      <c r="AC62" s="326">
        <v>3847.2670315517398</v>
      </c>
      <c r="AD62" s="23">
        <f t="shared" si="70"/>
        <v>1.6922700904948285E-3</v>
      </c>
      <c r="AE62" s="23">
        <f t="shared" si="71"/>
        <v>1.4202540553651948E-3</v>
      </c>
      <c r="AF62" s="326">
        <v>3358973503.3470702</v>
      </c>
      <c r="AG62" s="326">
        <v>3852.9402117873801</v>
      </c>
      <c r="AH62" s="23">
        <f t="shared" si="72"/>
        <v>1.1365180217431455E-3</v>
      </c>
      <c r="AI62" s="23">
        <f t="shared" si="73"/>
        <v>1.474600070417287E-3</v>
      </c>
      <c r="AJ62" s="24">
        <f t="shared" si="16"/>
        <v>6.9787286050387626E-4</v>
      </c>
      <c r="AK62" s="24">
        <f t="shared" si="17"/>
        <v>1.4341685712349994E-3</v>
      </c>
      <c r="AL62" s="25">
        <f t="shared" si="18"/>
        <v>5.1742470404370676E-3</v>
      </c>
      <c r="AM62" s="25">
        <f t="shared" si="19"/>
        <v>1.0097709994745458E-2</v>
      </c>
      <c r="AN62" s="390">
        <f t="shared" si="20"/>
        <v>9.6209027950025906E-4</v>
      </c>
      <c r="AO62" s="391">
        <f t="shared" si="21"/>
        <v>2.2226345377930933E-5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2" t="s">
        <v>222</v>
      </c>
      <c r="B63" s="326">
        <v>375569073.83999997</v>
      </c>
      <c r="C63" s="327">
        <v>109.19</v>
      </c>
      <c r="D63" s="326">
        <v>376692688.17000002</v>
      </c>
      <c r="E63" s="327">
        <v>109.34</v>
      </c>
      <c r="F63" s="23">
        <f t="shared" si="58"/>
        <v>2.991764786465686E-3</v>
      </c>
      <c r="G63" s="23">
        <f t="shared" si="59"/>
        <v>1.3737521751076627E-3</v>
      </c>
      <c r="H63" s="326">
        <v>362121819.01999998</v>
      </c>
      <c r="I63" s="327">
        <v>105.2</v>
      </c>
      <c r="J63" s="23">
        <f t="shared" si="60"/>
        <v>-3.868105117937478E-2</v>
      </c>
      <c r="K63" s="23">
        <f t="shared" si="61"/>
        <v>-3.7863544905798428E-2</v>
      </c>
      <c r="L63" s="326">
        <v>332691911.61000001</v>
      </c>
      <c r="M63" s="327">
        <v>105.39</v>
      </c>
      <c r="N63" s="23">
        <f t="shared" si="62"/>
        <v>-8.1270737813162686E-2</v>
      </c>
      <c r="O63" s="23">
        <f t="shared" si="63"/>
        <v>1.8060836501900923E-3</v>
      </c>
      <c r="P63" s="326">
        <v>333551556.69</v>
      </c>
      <c r="Q63" s="327">
        <v>105.59</v>
      </c>
      <c r="R63" s="23">
        <f t="shared" si="64"/>
        <v>2.5839073629409636E-3</v>
      </c>
      <c r="S63" s="23">
        <f t="shared" si="65"/>
        <v>1.8977132555271169E-3</v>
      </c>
      <c r="T63" s="326">
        <v>333742498.25</v>
      </c>
      <c r="U63" s="327">
        <v>105.8</v>
      </c>
      <c r="V63" s="23">
        <f t="shared" si="66"/>
        <v>5.7244991417462299E-4</v>
      </c>
      <c r="W63" s="23">
        <f t="shared" si="67"/>
        <v>1.9888246993085873E-3</v>
      </c>
      <c r="X63" s="326">
        <v>334531774.12</v>
      </c>
      <c r="Y63" s="327">
        <v>106</v>
      </c>
      <c r="Z63" s="23">
        <f t="shared" si="68"/>
        <v>2.3649246773743918E-3</v>
      </c>
      <c r="AA63" s="23">
        <f t="shared" si="69"/>
        <v>1.8903591682419929E-3</v>
      </c>
      <c r="AB63" s="326">
        <v>325338460.38999999</v>
      </c>
      <c r="AC63" s="327">
        <v>106.19</v>
      </c>
      <c r="AD63" s="23">
        <f t="shared" si="70"/>
        <v>-2.7481137641359839E-2</v>
      </c>
      <c r="AE63" s="23">
        <f t="shared" si="71"/>
        <v>1.7924528301886578E-3</v>
      </c>
      <c r="AF63" s="326">
        <v>326126178.5</v>
      </c>
      <c r="AG63" s="327">
        <v>106.39</v>
      </c>
      <c r="AH63" s="23">
        <f t="shared" si="72"/>
        <v>2.4212265253107058E-3</v>
      </c>
      <c r="AI63" s="23">
        <f t="shared" si="73"/>
        <v>1.8834165175628857E-3</v>
      </c>
      <c r="AJ63" s="24">
        <f t="shared" si="16"/>
        <v>-1.7062331670953865E-2</v>
      </c>
      <c r="AK63" s="24">
        <f t="shared" si="17"/>
        <v>-3.1538678262089293E-3</v>
      </c>
      <c r="AL63" s="25">
        <f t="shared" si="18"/>
        <v>-0.13423809714931217</v>
      </c>
      <c r="AM63" s="25">
        <f t="shared" si="19"/>
        <v>-2.6980062191329823E-2</v>
      </c>
      <c r="AN63" s="390">
        <f t="shared" si="20"/>
        <v>3.060064031548099E-2</v>
      </c>
      <c r="AO63" s="391">
        <f t="shared" si="21"/>
        <v>1.4026059674246995E-2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2" t="s">
        <v>110</v>
      </c>
      <c r="B64" s="326">
        <v>341383129.22000003</v>
      </c>
      <c r="C64" s="327">
        <v>1.3942000000000001</v>
      </c>
      <c r="D64" s="326">
        <v>342481464.06</v>
      </c>
      <c r="E64" s="327">
        <v>1.3987000000000001</v>
      </c>
      <c r="F64" s="23">
        <f t="shared" si="58"/>
        <v>3.2173084900518497E-3</v>
      </c>
      <c r="G64" s="23">
        <f t="shared" si="59"/>
        <v>3.2276574379572144E-3</v>
      </c>
      <c r="H64" s="326">
        <v>343261374.44</v>
      </c>
      <c r="I64" s="327">
        <v>1.4018999999999999</v>
      </c>
      <c r="J64" s="23">
        <f t="shared" si="60"/>
        <v>2.2772338413718099E-3</v>
      </c>
      <c r="K64" s="23">
        <f t="shared" si="61"/>
        <v>2.2878387073710371E-3</v>
      </c>
      <c r="L64" s="326">
        <v>344514187.93000001</v>
      </c>
      <c r="M64" s="327">
        <v>1.407</v>
      </c>
      <c r="N64" s="23">
        <f t="shared" si="62"/>
        <v>3.6497362747086293E-3</v>
      </c>
      <c r="O64" s="23">
        <f t="shared" si="63"/>
        <v>3.637919965760828E-3</v>
      </c>
      <c r="P64" s="326">
        <v>345660860.52999997</v>
      </c>
      <c r="Q64" s="327">
        <v>1.4116</v>
      </c>
      <c r="R64" s="23">
        <f t="shared" si="64"/>
        <v>3.3283755507710774E-3</v>
      </c>
      <c r="S64" s="23">
        <f t="shared" si="65"/>
        <v>3.2693674484718816E-3</v>
      </c>
      <c r="T64" s="326">
        <v>348318948.70999998</v>
      </c>
      <c r="U64" s="327">
        <v>1.4225000000000001</v>
      </c>
      <c r="V64" s="23">
        <f t="shared" si="66"/>
        <v>7.6898731777858059E-3</v>
      </c>
      <c r="W64" s="23">
        <f t="shared" si="67"/>
        <v>7.7217342023236978E-3</v>
      </c>
      <c r="X64" s="326">
        <v>348172202.95999998</v>
      </c>
      <c r="Y64" s="327">
        <v>1.4218999999999999</v>
      </c>
      <c r="Z64" s="23">
        <f t="shared" si="68"/>
        <v>-4.2129706277385486E-4</v>
      </c>
      <c r="AA64" s="23">
        <f t="shared" si="69"/>
        <v>-4.2179261862928359E-4</v>
      </c>
      <c r="AB64" s="326">
        <v>352998746.98000002</v>
      </c>
      <c r="AC64" s="327">
        <v>1.4416</v>
      </c>
      <c r="AD64" s="23">
        <f t="shared" si="70"/>
        <v>1.3862519692746815E-2</v>
      </c>
      <c r="AE64" s="23">
        <f t="shared" si="71"/>
        <v>1.3854701455798616E-2</v>
      </c>
      <c r="AF64" s="326">
        <v>352998746.98000002</v>
      </c>
      <c r="AG64" s="327">
        <v>1.4416</v>
      </c>
      <c r="AH64" s="23">
        <f t="shared" si="72"/>
        <v>0</v>
      </c>
      <c r="AI64" s="23">
        <f t="shared" si="73"/>
        <v>0</v>
      </c>
      <c r="AJ64" s="24">
        <f t="shared" si="16"/>
        <v>4.2004687455827663E-3</v>
      </c>
      <c r="AK64" s="24">
        <f t="shared" si="17"/>
        <v>4.1971783248817493E-3</v>
      </c>
      <c r="AL64" s="25">
        <f t="shared" si="18"/>
        <v>3.0709057346699129E-2</v>
      </c>
      <c r="AM64" s="25">
        <f t="shared" si="19"/>
        <v>3.067133767069417E-2</v>
      </c>
      <c r="AN64" s="390">
        <f t="shared" si="20"/>
        <v>4.633189553131481E-3</v>
      </c>
      <c r="AO64" s="391">
        <f t="shared" si="21"/>
        <v>4.6352777245362116E-3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2" t="s">
        <v>238</v>
      </c>
      <c r="B65" s="326">
        <v>531561966.30000001</v>
      </c>
      <c r="C65" s="74">
        <v>1000</v>
      </c>
      <c r="D65" s="326">
        <v>538228101.69000006</v>
      </c>
      <c r="E65" s="74">
        <v>1000</v>
      </c>
      <c r="F65" s="23">
        <f t="shared" si="58"/>
        <v>1.2540655300078125E-2</v>
      </c>
      <c r="G65" s="23">
        <f t="shared" si="59"/>
        <v>0</v>
      </c>
      <c r="H65" s="326">
        <v>538882249.6500001</v>
      </c>
      <c r="I65" s="74">
        <v>1000</v>
      </c>
      <c r="J65" s="23">
        <f t="shared" si="60"/>
        <v>1.2153731065807556E-3</v>
      </c>
      <c r="K65" s="23">
        <f t="shared" si="61"/>
        <v>0</v>
      </c>
      <c r="L65" s="326">
        <v>544459590.16000009</v>
      </c>
      <c r="M65" s="74">
        <v>1000</v>
      </c>
      <c r="N65" s="23">
        <f t="shared" si="62"/>
        <v>1.0349831551554037E-2</v>
      </c>
      <c r="O65" s="23">
        <f t="shared" si="63"/>
        <v>0</v>
      </c>
      <c r="P65" s="326">
        <v>767024906.98000002</v>
      </c>
      <c r="Q65" s="74">
        <v>1000</v>
      </c>
      <c r="R65" s="23">
        <f t="shared" si="64"/>
        <v>0.40878206728729816</v>
      </c>
      <c r="S65" s="23">
        <f t="shared" si="65"/>
        <v>0</v>
      </c>
      <c r="T65" s="326">
        <v>766811976.88999999</v>
      </c>
      <c r="U65" s="74">
        <v>1000</v>
      </c>
      <c r="V65" s="23">
        <f t="shared" si="66"/>
        <v>-2.7760518343322255E-4</v>
      </c>
      <c r="W65" s="23">
        <f t="shared" si="67"/>
        <v>0</v>
      </c>
      <c r="X65" s="326">
        <v>766103183.28000009</v>
      </c>
      <c r="Y65" s="74">
        <v>1000</v>
      </c>
      <c r="Z65" s="23">
        <f t="shared" si="68"/>
        <v>-9.2433820983676724E-4</v>
      </c>
      <c r="AA65" s="23">
        <f t="shared" si="69"/>
        <v>0</v>
      </c>
      <c r="AB65" s="326">
        <v>819285447.79000008</v>
      </c>
      <c r="AC65" s="74">
        <v>1000</v>
      </c>
      <c r="AD65" s="23">
        <f t="shared" si="70"/>
        <v>6.9419192702352486E-2</v>
      </c>
      <c r="AE65" s="23">
        <f t="shared" si="71"/>
        <v>0</v>
      </c>
      <c r="AF65" s="326">
        <v>847565533.24000001</v>
      </c>
      <c r="AG65" s="74">
        <v>1000</v>
      </c>
      <c r="AH65" s="23">
        <f t="shared" si="72"/>
        <v>3.4517988237536358E-2</v>
      </c>
      <c r="AI65" s="23">
        <f t="shared" si="73"/>
        <v>0</v>
      </c>
      <c r="AJ65" s="24">
        <f t="shared" si="16"/>
        <v>6.6952895599016238E-2</v>
      </c>
      <c r="AK65" s="24">
        <f t="shared" si="17"/>
        <v>0</v>
      </c>
      <c r="AL65" s="25">
        <f t="shared" si="18"/>
        <v>0.57473296280647779</v>
      </c>
      <c r="AM65" s="25">
        <f t="shared" si="19"/>
        <v>0</v>
      </c>
      <c r="AN65" s="390">
        <f t="shared" si="20"/>
        <v>0.14016244054484028</v>
      </c>
      <c r="AO65" s="391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2" t="s">
        <v>101</v>
      </c>
      <c r="B66" s="326">
        <v>314541731.98000002</v>
      </c>
      <c r="C66" s="74">
        <v>1151.0999999999999</v>
      </c>
      <c r="D66" s="326">
        <v>312162311.66000003</v>
      </c>
      <c r="E66" s="74">
        <v>1153.1600000000001</v>
      </c>
      <c r="F66" s="23">
        <f t="shared" si="58"/>
        <v>-7.5647206016888312E-3</v>
      </c>
      <c r="G66" s="23">
        <f t="shared" si="59"/>
        <v>1.7895925636349343E-3</v>
      </c>
      <c r="H66" s="326">
        <v>312162311.66000003</v>
      </c>
      <c r="I66" s="74">
        <v>1157.52</v>
      </c>
      <c r="J66" s="23">
        <f t="shared" si="60"/>
        <v>0</v>
      </c>
      <c r="K66" s="23">
        <f t="shared" si="61"/>
        <v>3.7809150508167988E-3</v>
      </c>
      <c r="L66" s="326">
        <v>283455163.86000001</v>
      </c>
      <c r="M66" s="74">
        <v>1157.52</v>
      </c>
      <c r="N66" s="23">
        <f t="shared" si="62"/>
        <v>-9.1962247611964046E-2</v>
      </c>
      <c r="O66" s="23">
        <f t="shared" si="63"/>
        <v>0</v>
      </c>
      <c r="P66" s="326">
        <v>283455163.86000001</v>
      </c>
      <c r="Q66" s="74">
        <v>1159.02</v>
      </c>
      <c r="R66" s="23">
        <f t="shared" si="64"/>
        <v>0</v>
      </c>
      <c r="S66" s="23">
        <f t="shared" si="65"/>
        <v>1.2958739373833713E-3</v>
      </c>
      <c r="T66" s="326">
        <v>279531751.57999998</v>
      </c>
      <c r="U66" s="74">
        <v>1163.6099999999999</v>
      </c>
      <c r="V66" s="23">
        <f t="shared" si="66"/>
        <v>-1.3841385800040761E-2</v>
      </c>
      <c r="W66" s="23">
        <f t="shared" si="67"/>
        <v>3.9602422736449054E-3</v>
      </c>
      <c r="X66" s="326">
        <v>279255206.41000003</v>
      </c>
      <c r="Y66" s="74">
        <v>1166.33</v>
      </c>
      <c r="Z66" s="23">
        <f t="shared" si="68"/>
        <v>-9.8931576980732308E-4</v>
      </c>
      <c r="AA66" s="23">
        <f t="shared" si="69"/>
        <v>2.3375529601842777E-3</v>
      </c>
      <c r="AB66" s="326">
        <v>280455552.80000001</v>
      </c>
      <c r="AC66" s="74">
        <v>1171.9000000000001</v>
      </c>
      <c r="AD66" s="23">
        <f t="shared" si="70"/>
        <v>4.2983849985509231E-3</v>
      </c>
      <c r="AE66" s="23">
        <f t="shared" si="71"/>
        <v>4.7756638344209311E-3</v>
      </c>
      <c r="AF66" s="326">
        <v>281329015.79000002</v>
      </c>
      <c r="AG66" s="74">
        <v>1175.29</v>
      </c>
      <c r="AH66" s="23">
        <f t="shared" si="72"/>
        <v>3.1144435589866826E-3</v>
      </c>
      <c r="AI66" s="23">
        <f t="shared" si="73"/>
        <v>2.892738288249742E-3</v>
      </c>
      <c r="AJ66" s="24">
        <f t="shared" si="16"/>
        <v>-1.3368105153245418E-2</v>
      </c>
      <c r="AK66" s="24">
        <f t="shared" si="17"/>
        <v>2.60407236354187E-3</v>
      </c>
      <c r="AL66" s="25">
        <f t="shared" si="18"/>
        <v>-9.8773281457445503E-2</v>
      </c>
      <c r="AM66" s="25">
        <f t="shared" si="19"/>
        <v>1.9190745429948905E-2</v>
      </c>
      <c r="AN66" s="390">
        <f t="shared" si="20"/>
        <v>3.2305171366993748E-2</v>
      </c>
      <c r="AO66" s="391">
        <f t="shared" si="21"/>
        <v>1.5698170503839035E-3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2" t="s">
        <v>170</v>
      </c>
      <c r="B67" s="326">
        <v>703767099.83000004</v>
      </c>
      <c r="C67" s="311">
        <v>1.1048</v>
      </c>
      <c r="D67" s="326">
        <v>705652857.17999995</v>
      </c>
      <c r="E67" s="311">
        <v>1.0418000000000001</v>
      </c>
      <c r="F67" s="23">
        <f t="shared" si="58"/>
        <v>2.6795190489231776E-3</v>
      </c>
      <c r="G67" s="23">
        <f t="shared" si="59"/>
        <v>-5.7023895727733476E-2</v>
      </c>
      <c r="H67" s="326">
        <v>707276606.19000006</v>
      </c>
      <c r="I67" s="311">
        <v>1.0438000000000001</v>
      </c>
      <c r="J67" s="23">
        <f t="shared" si="60"/>
        <v>2.3010592155597539E-3</v>
      </c>
      <c r="K67" s="23">
        <f t="shared" si="61"/>
        <v>1.9197542714532556E-3</v>
      </c>
      <c r="L67" s="326">
        <v>710216995.62</v>
      </c>
      <c r="M67" s="311">
        <v>1.0475000000000001</v>
      </c>
      <c r="N67" s="23">
        <f t="shared" si="62"/>
        <v>4.1573401470740186E-3</v>
      </c>
      <c r="O67" s="23">
        <f t="shared" si="63"/>
        <v>3.544740371718755E-3</v>
      </c>
      <c r="P67" s="326">
        <v>711641333.46000004</v>
      </c>
      <c r="Q67" s="311">
        <v>1.0494000000000001</v>
      </c>
      <c r="R67" s="23">
        <f t="shared" si="64"/>
        <v>2.0054966985922737E-3</v>
      </c>
      <c r="S67" s="23">
        <f t="shared" si="65"/>
        <v>1.8138424821002508E-3</v>
      </c>
      <c r="T67" s="326">
        <v>712878368.46000004</v>
      </c>
      <c r="U67" s="311">
        <v>1.0510999999999999</v>
      </c>
      <c r="V67" s="23">
        <f t="shared" si="66"/>
        <v>1.7382843601643206E-3</v>
      </c>
      <c r="W67" s="23">
        <f t="shared" si="67"/>
        <v>1.619973318086347E-3</v>
      </c>
      <c r="X67" s="326">
        <v>714449304</v>
      </c>
      <c r="Y67" s="311">
        <v>1.0529999999999999</v>
      </c>
      <c r="Z67" s="23">
        <f t="shared" si="68"/>
        <v>2.2036515757850603E-3</v>
      </c>
      <c r="AA67" s="23">
        <f t="shared" si="69"/>
        <v>1.8076301017981285E-3</v>
      </c>
      <c r="AB67" s="326">
        <v>716982747.07000005</v>
      </c>
      <c r="AC67" s="311">
        <v>1.0568</v>
      </c>
      <c r="AD67" s="23">
        <f t="shared" si="70"/>
        <v>3.5460081713510247E-3</v>
      </c>
      <c r="AE67" s="23">
        <f t="shared" si="71"/>
        <v>3.6087369420702998E-3</v>
      </c>
      <c r="AF67" s="326">
        <v>720852198.14999998</v>
      </c>
      <c r="AG67" s="311">
        <v>1.0612999999999999</v>
      </c>
      <c r="AH67" s="23">
        <f t="shared" si="72"/>
        <v>5.3968538236278422E-3</v>
      </c>
      <c r="AI67" s="23">
        <f t="shared" si="73"/>
        <v>4.2581377744132743E-3</v>
      </c>
      <c r="AJ67" s="24">
        <f t="shared" si="16"/>
        <v>3.0035266301346839E-3</v>
      </c>
      <c r="AK67" s="24">
        <f t="shared" si="17"/>
        <v>-4.8063850582616453E-3</v>
      </c>
      <c r="AL67" s="25">
        <f t="shared" si="18"/>
        <v>2.1539402576418589E-2</v>
      </c>
      <c r="AM67" s="25">
        <f t="shared" si="19"/>
        <v>1.8717604146669082E-2</v>
      </c>
      <c r="AN67" s="390">
        <f t="shared" si="20"/>
        <v>1.2642745033820467E-3</v>
      </c>
      <c r="AO67" s="391">
        <f t="shared" si="21"/>
        <v>2.112378892696197E-2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2" t="s">
        <v>210</v>
      </c>
      <c r="B68" s="326">
        <v>65196292622.389999</v>
      </c>
      <c r="C68" s="326">
        <v>1529.95</v>
      </c>
      <c r="D68" s="326">
        <v>66292805221.339996</v>
      </c>
      <c r="E68" s="326">
        <v>1533.3</v>
      </c>
      <c r="F68" s="23">
        <f t="shared" si="58"/>
        <v>1.681863423279114E-2</v>
      </c>
      <c r="G68" s="23">
        <f t="shared" si="59"/>
        <v>2.1896140396744398E-3</v>
      </c>
      <c r="H68" s="326">
        <v>66728090200.639999</v>
      </c>
      <c r="I68" s="326">
        <v>1536.72</v>
      </c>
      <c r="J68" s="23">
        <f t="shared" si="60"/>
        <v>6.5660968463570552E-3</v>
      </c>
      <c r="K68" s="23">
        <f t="shared" si="61"/>
        <v>2.230483271375512E-3</v>
      </c>
      <c r="L68" s="326">
        <v>67040704989.099998</v>
      </c>
      <c r="M68" s="326">
        <v>1540.08</v>
      </c>
      <c r="N68" s="23">
        <f t="shared" si="62"/>
        <v>4.6849053752328245E-3</v>
      </c>
      <c r="O68" s="23">
        <f t="shared" si="63"/>
        <v>2.1864750898015904E-3</v>
      </c>
      <c r="P68" s="326">
        <v>67119433047.849998</v>
      </c>
      <c r="Q68" s="326">
        <v>1543.44</v>
      </c>
      <c r="R68" s="23">
        <f t="shared" si="64"/>
        <v>1.174332202544711E-3</v>
      </c>
      <c r="S68" s="23">
        <f t="shared" si="65"/>
        <v>2.1817048465015633E-3</v>
      </c>
      <c r="T68" s="326">
        <v>66573844982.93</v>
      </c>
      <c r="U68" s="326">
        <v>1546.83</v>
      </c>
      <c r="V68" s="23">
        <f t="shared" si="66"/>
        <v>-8.1286155163295837E-3</v>
      </c>
      <c r="W68" s="23">
        <f t="shared" si="67"/>
        <v>2.1963924739542015E-3</v>
      </c>
      <c r="X68" s="326">
        <v>66586071668.029999</v>
      </c>
      <c r="Y68" s="326">
        <v>1550.28</v>
      </c>
      <c r="Z68" s="23">
        <f t="shared" si="68"/>
        <v>1.8365598536682811E-4</v>
      </c>
      <c r="AA68" s="23">
        <f t="shared" si="69"/>
        <v>2.2303679137332774E-3</v>
      </c>
      <c r="AB68" s="326">
        <v>67249605090.529999</v>
      </c>
      <c r="AC68" s="326">
        <v>1553.62</v>
      </c>
      <c r="AD68" s="23">
        <f t="shared" si="70"/>
        <v>9.9650483333526135E-3</v>
      </c>
      <c r="AE68" s="23">
        <f t="shared" si="71"/>
        <v>2.1544495187965518E-3</v>
      </c>
      <c r="AF68" s="326">
        <v>67394318452.419998</v>
      </c>
      <c r="AG68" s="326">
        <v>1557.09</v>
      </c>
      <c r="AH68" s="23">
        <f t="shared" si="72"/>
        <v>2.151884188690615E-3</v>
      </c>
      <c r="AI68" s="23">
        <f t="shared" si="73"/>
        <v>2.2334933896319738E-3</v>
      </c>
      <c r="AJ68" s="24">
        <f t="shared" si="16"/>
        <v>4.1769927060007744E-3</v>
      </c>
      <c r="AK68" s="24">
        <f t="shared" si="17"/>
        <v>2.2003725679336388E-3</v>
      </c>
      <c r="AL68" s="25">
        <f t="shared" si="18"/>
        <v>1.6615879014355225E-2</v>
      </c>
      <c r="AM68" s="25">
        <f t="shared" si="19"/>
        <v>1.5515554685971411E-2</v>
      </c>
      <c r="AN68" s="390">
        <f t="shared" si="20"/>
        <v>7.3656562970312147E-3</v>
      </c>
      <c r="AO68" s="391">
        <f t="shared" si="21"/>
        <v>2.8499376694211623E-5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2" t="s">
        <v>174</v>
      </c>
      <c r="B69" s="326">
        <v>21256349.329999998</v>
      </c>
      <c r="C69" s="326">
        <v>0.63560000000000005</v>
      </c>
      <c r="D69" s="326">
        <v>21343973.510000002</v>
      </c>
      <c r="E69" s="326">
        <v>0.63670000000000004</v>
      </c>
      <c r="F69" s="23">
        <f t="shared" si="58"/>
        <v>4.1222591254809525E-3</v>
      </c>
      <c r="G69" s="23">
        <f t="shared" si="59"/>
        <v>1.7306482064191155E-3</v>
      </c>
      <c r="H69" s="326">
        <v>21385156.890000001</v>
      </c>
      <c r="I69" s="326">
        <v>0.63800000000000001</v>
      </c>
      <c r="J69" s="23">
        <f t="shared" si="60"/>
        <v>1.9295085791173733E-3</v>
      </c>
      <c r="K69" s="23">
        <f t="shared" si="61"/>
        <v>2.0417779173864735E-3</v>
      </c>
      <c r="L69" s="326">
        <v>21525033.219999999</v>
      </c>
      <c r="M69" s="326">
        <v>0.6421</v>
      </c>
      <c r="N69" s="23">
        <f t="shared" si="62"/>
        <v>6.5408138326731825E-3</v>
      </c>
      <c r="O69" s="23">
        <f t="shared" si="63"/>
        <v>6.426332288401242E-3</v>
      </c>
      <c r="P69" s="326">
        <v>21606986.210000001</v>
      </c>
      <c r="Q69" s="326">
        <v>0.64459999999999995</v>
      </c>
      <c r="R69" s="23">
        <f t="shared" si="64"/>
        <v>3.8073339614572771E-3</v>
      </c>
      <c r="S69" s="23">
        <f t="shared" si="65"/>
        <v>3.8934745366764473E-3</v>
      </c>
      <c r="T69" s="326">
        <v>21647941.760000002</v>
      </c>
      <c r="U69" s="326">
        <v>0.64580000000000004</v>
      </c>
      <c r="V69" s="23">
        <f t="shared" si="66"/>
        <v>1.8954772128769153E-3</v>
      </c>
      <c r="W69" s="23">
        <f t="shared" si="67"/>
        <v>1.8616196090600217E-3</v>
      </c>
      <c r="X69" s="326">
        <v>21711622.109999999</v>
      </c>
      <c r="Y69" s="326">
        <v>0.64770000000000005</v>
      </c>
      <c r="Z69" s="23">
        <f t="shared" si="68"/>
        <v>2.9416353160032598E-3</v>
      </c>
      <c r="AA69" s="23">
        <f t="shared" si="69"/>
        <v>2.942087333539815E-3</v>
      </c>
      <c r="AB69" s="326">
        <v>21761622.530000001</v>
      </c>
      <c r="AC69" s="326">
        <v>0.6492</v>
      </c>
      <c r="AD69" s="23">
        <f t="shared" si="70"/>
        <v>2.3029334126524088E-3</v>
      </c>
      <c r="AE69" s="23">
        <f t="shared" si="71"/>
        <v>2.3158869847150622E-3</v>
      </c>
      <c r="AF69" s="326">
        <v>21811589.719999999</v>
      </c>
      <c r="AG69" s="326">
        <v>0.65069999999999995</v>
      </c>
      <c r="AH69" s="23">
        <f t="shared" si="72"/>
        <v>2.2961150957891197E-3</v>
      </c>
      <c r="AI69" s="23">
        <f t="shared" si="73"/>
        <v>2.3105360443622085E-3</v>
      </c>
      <c r="AJ69" s="24">
        <f t="shared" si="16"/>
        <v>3.229509567006311E-3</v>
      </c>
      <c r="AK69" s="24">
        <f t="shared" si="17"/>
        <v>2.9402953650700487E-3</v>
      </c>
      <c r="AL69" s="25">
        <f t="shared" si="18"/>
        <v>2.1908582756669525E-2</v>
      </c>
      <c r="AM69" s="25">
        <f t="shared" si="19"/>
        <v>2.198837757185472E-2</v>
      </c>
      <c r="AN69" s="390">
        <f t="shared" si="20"/>
        <v>1.5756134328429401E-3</v>
      </c>
      <c r="AO69" s="391">
        <f t="shared" si="21"/>
        <v>1.5712420492567333E-3</v>
      </c>
      <c r="AP69" s="30"/>
      <c r="AQ69" s="28"/>
      <c r="AR69" s="28"/>
      <c r="AS69" s="29"/>
      <c r="AT69" s="29"/>
    </row>
    <row r="70" spans="1:46">
      <c r="A70" s="202" t="s">
        <v>104</v>
      </c>
      <c r="B70" s="326">
        <v>757080412.45000005</v>
      </c>
      <c r="C70" s="327">
        <v>200.50473099999999</v>
      </c>
      <c r="D70" s="326">
        <v>742098925.64999998</v>
      </c>
      <c r="E70" s="327">
        <v>202.98336800000001</v>
      </c>
      <c r="F70" s="23">
        <f t="shared" si="58"/>
        <v>-1.9788501397781832E-2</v>
      </c>
      <c r="G70" s="23">
        <f t="shared" si="59"/>
        <v>1.2361987608162824E-2</v>
      </c>
      <c r="H70" s="326">
        <v>745411120.92999995</v>
      </c>
      <c r="I70" s="327">
        <v>204.46580700000001</v>
      </c>
      <c r="J70" s="23">
        <f t="shared" si="60"/>
        <v>4.4632799826503445E-3</v>
      </c>
      <c r="K70" s="23">
        <f t="shared" si="61"/>
        <v>7.3032535355310457E-3</v>
      </c>
      <c r="L70" s="326">
        <v>740491563.21000004</v>
      </c>
      <c r="M70" s="327">
        <v>203.61999900000001</v>
      </c>
      <c r="N70" s="23">
        <f t="shared" si="62"/>
        <v>-6.5997911513073536E-3</v>
      </c>
      <c r="O70" s="23">
        <f t="shared" si="63"/>
        <v>-4.1366721038105176E-3</v>
      </c>
      <c r="P70" s="326">
        <v>732213641.27999997</v>
      </c>
      <c r="Q70" s="327">
        <v>204.84912299999999</v>
      </c>
      <c r="R70" s="23">
        <f t="shared" si="64"/>
        <v>-1.1178955090474793E-2</v>
      </c>
      <c r="S70" s="23">
        <f t="shared" si="65"/>
        <v>6.0363618801509986E-3</v>
      </c>
      <c r="T70" s="326">
        <v>756899028.12</v>
      </c>
      <c r="U70" s="327">
        <v>204.426231</v>
      </c>
      <c r="V70" s="23">
        <f t="shared" si="66"/>
        <v>3.371336649348259E-2</v>
      </c>
      <c r="W70" s="23">
        <f t="shared" si="67"/>
        <v>-2.0644071783504307E-3</v>
      </c>
      <c r="X70" s="326">
        <v>905766915.50999999</v>
      </c>
      <c r="Y70" s="326">
        <v>204.76953</v>
      </c>
      <c r="Z70" s="23">
        <f t="shared" si="68"/>
        <v>0.19668130339625464</v>
      </c>
      <c r="AA70" s="23">
        <f t="shared" si="69"/>
        <v>1.6793294985710605E-3</v>
      </c>
      <c r="AB70" s="326">
        <v>974655774.58000004</v>
      </c>
      <c r="AC70" s="326">
        <v>205.39851899999999</v>
      </c>
      <c r="AD70" s="23">
        <f t="shared" si="70"/>
        <v>7.6055834995045687E-2</v>
      </c>
      <c r="AE70" s="23">
        <f t="shared" si="71"/>
        <v>3.0716923557913621E-3</v>
      </c>
      <c r="AF70" s="326">
        <v>976106839.76999998</v>
      </c>
      <c r="AG70" s="326">
        <v>205.718999</v>
      </c>
      <c r="AH70" s="23">
        <f t="shared" si="72"/>
        <v>1.4887976122905883E-3</v>
      </c>
      <c r="AI70" s="23">
        <f t="shared" si="73"/>
        <v>1.5602838889018642E-3</v>
      </c>
      <c r="AJ70" s="24">
        <f t="shared" ref="AJ70:AJ133" si="74">AVERAGE(F70,J70,N70,R70,V70,Z70,AD70,AH70)</f>
        <v>3.4354416855019984E-2</v>
      </c>
      <c r="AK70" s="24">
        <f t="shared" ref="AK70:AK133" si="75">AVERAGE(G70,K70,O70,S70,W70,AA70,AE70,AI70)</f>
        <v>3.226478685618526E-3</v>
      </c>
      <c r="AL70" s="25">
        <f t="shared" ref="AL70:AL133" si="76">((AF70-D70)/D70)</f>
        <v>0.31533250626260356</v>
      </c>
      <c r="AM70" s="25">
        <f t="shared" ref="AM70:AM133" si="77">((AG70-E70)/E70)</f>
        <v>1.3477118972624316E-2</v>
      </c>
      <c r="AN70" s="390">
        <f t="shared" ref="AN70:AN133" si="78">STDEV(F70,J70,N70,R70,V70,Z70,AD70,AH70)</f>
        <v>7.2452010735618105E-2</v>
      </c>
      <c r="AO70" s="391">
        <f t="shared" ref="AO70:AO133" si="79">STDEV(G70,K70,O70,S70,W70,AA70,AE70,AI70)</f>
        <v>5.2830775298735883E-3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2" t="s">
        <v>111</v>
      </c>
      <c r="B71" s="326">
        <v>1355220008.55</v>
      </c>
      <c r="C71" s="327">
        <v>3.55</v>
      </c>
      <c r="D71" s="326">
        <v>1355564768.8499999</v>
      </c>
      <c r="E71" s="327">
        <v>3.56</v>
      </c>
      <c r="F71" s="23">
        <f t="shared" si="58"/>
        <v>2.5439434027307796E-4</v>
      </c>
      <c r="G71" s="23">
        <f t="shared" si="59"/>
        <v>2.8169014084507694E-3</v>
      </c>
      <c r="H71" s="326">
        <v>1356912544.1400001</v>
      </c>
      <c r="I71" s="327">
        <v>3.56</v>
      </c>
      <c r="J71" s="23">
        <f t="shared" si="60"/>
        <v>9.9425370219941023E-4</v>
      </c>
      <c r="K71" s="23">
        <f t="shared" si="61"/>
        <v>0</v>
      </c>
      <c r="L71" s="326">
        <v>1242357846.8699999</v>
      </c>
      <c r="M71" s="327">
        <v>3.49</v>
      </c>
      <c r="N71" s="23">
        <f t="shared" si="62"/>
        <v>-8.442305126053945E-2</v>
      </c>
      <c r="O71" s="23">
        <f t="shared" si="63"/>
        <v>-1.9662921348314561E-2</v>
      </c>
      <c r="P71" s="326">
        <v>1243441877.8900001</v>
      </c>
      <c r="Q71" s="327">
        <v>3.49</v>
      </c>
      <c r="R71" s="23">
        <f t="shared" si="64"/>
        <v>8.7255940205258119E-4</v>
      </c>
      <c r="S71" s="23">
        <f t="shared" si="65"/>
        <v>0</v>
      </c>
      <c r="T71" s="326">
        <v>1244741221.6400001</v>
      </c>
      <c r="U71" s="327">
        <v>3.5</v>
      </c>
      <c r="V71" s="23">
        <f t="shared" si="66"/>
        <v>1.0449573664069124E-3</v>
      </c>
      <c r="W71" s="23">
        <f t="shared" si="67"/>
        <v>2.8653295128939216E-3</v>
      </c>
      <c r="X71" s="326">
        <v>1245630004.48</v>
      </c>
      <c r="Y71" s="327">
        <v>3.5</v>
      </c>
      <c r="Z71" s="23">
        <f t="shared" si="68"/>
        <v>7.1403021330723228E-4</v>
      </c>
      <c r="AA71" s="23">
        <f t="shared" si="69"/>
        <v>0</v>
      </c>
      <c r="AB71" s="326">
        <v>1245948704.3099999</v>
      </c>
      <c r="AC71" s="327">
        <v>3.5</v>
      </c>
      <c r="AD71" s="23">
        <f t="shared" si="70"/>
        <v>2.5585432982000781E-4</v>
      </c>
      <c r="AE71" s="23">
        <f t="shared" si="71"/>
        <v>0</v>
      </c>
      <c r="AF71" s="326">
        <v>1241553264.1600001</v>
      </c>
      <c r="AG71" s="327">
        <v>3.51</v>
      </c>
      <c r="AH71" s="23">
        <f t="shared" si="72"/>
        <v>-3.5277858027341737E-3</v>
      </c>
      <c r="AI71" s="23">
        <f t="shared" si="73"/>
        <v>2.8571428571427964E-3</v>
      </c>
      <c r="AJ71" s="24">
        <f t="shared" si="74"/>
        <v>-1.04768484636518E-2</v>
      </c>
      <c r="AK71" s="24">
        <f t="shared" si="75"/>
        <v>-1.3904434462283842E-3</v>
      </c>
      <c r="AL71" s="25">
        <f t="shared" si="76"/>
        <v>-8.4106276077624859E-2</v>
      </c>
      <c r="AM71" s="25">
        <f t="shared" si="77"/>
        <v>-1.4044943820224793E-2</v>
      </c>
      <c r="AN71" s="390">
        <f t="shared" si="78"/>
        <v>2.9916703123035952E-2</v>
      </c>
      <c r="AO71" s="391">
        <f t="shared" si="79"/>
        <v>7.5163832887256898E-3</v>
      </c>
      <c r="AP71" s="30"/>
      <c r="AQ71" s="28"/>
      <c r="AR71" s="28"/>
      <c r="AS71" s="29"/>
      <c r="AT71" s="29"/>
    </row>
    <row r="72" spans="1:46">
      <c r="A72" s="202" t="s">
        <v>85</v>
      </c>
      <c r="B72" s="326">
        <v>15911278976.85</v>
      </c>
      <c r="C72" s="326">
        <v>1175.8</v>
      </c>
      <c r="D72" s="326">
        <v>15915159275.120001</v>
      </c>
      <c r="E72" s="326">
        <v>1177.8599999999999</v>
      </c>
      <c r="F72" s="23">
        <f t="shared" si="58"/>
        <v>2.4387092173080928E-4</v>
      </c>
      <c r="G72" s="23">
        <f t="shared" si="59"/>
        <v>1.7519986392243116E-3</v>
      </c>
      <c r="H72" s="326">
        <v>16286957930.43</v>
      </c>
      <c r="I72" s="326">
        <v>1179.81</v>
      </c>
      <c r="J72" s="23">
        <f t="shared" si="60"/>
        <v>2.3361290256845142E-2</v>
      </c>
      <c r="K72" s="23">
        <f t="shared" si="61"/>
        <v>1.6555448015893618E-3</v>
      </c>
      <c r="L72" s="326">
        <v>16337580274.32</v>
      </c>
      <c r="M72" s="326">
        <v>1181.3599999999999</v>
      </c>
      <c r="N72" s="23">
        <f t="shared" si="62"/>
        <v>3.1081521857079472E-3</v>
      </c>
      <c r="O72" s="23">
        <f t="shared" si="63"/>
        <v>1.3137708614098496E-3</v>
      </c>
      <c r="P72" s="326">
        <v>15929112292.889999</v>
      </c>
      <c r="Q72" s="326">
        <v>1183.05</v>
      </c>
      <c r="R72" s="23">
        <f t="shared" si="64"/>
        <v>-2.5001742887962735E-2</v>
      </c>
      <c r="S72" s="23">
        <f t="shared" si="65"/>
        <v>1.4305546150200233E-3</v>
      </c>
      <c r="T72" s="326">
        <v>15988388198.799999</v>
      </c>
      <c r="U72" s="326">
        <v>1191.53</v>
      </c>
      <c r="V72" s="23">
        <f t="shared" si="66"/>
        <v>3.7212309650461691E-3</v>
      </c>
      <c r="W72" s="23">
        <f t="shared" si="67"/>
        <v>7.1679134440640873E-3</v>
      </c>
      <c r="X72" s="326">
        <v>16074541304.75</v>
      </c>
      <c r="Y72" s="326">
        <v>1193.5</v>
      </c>
      <c r="Z72" s="23">
        <f t="shared" si="68"/>
        <v>5.3884797440974658E-3</v>
      </c>
      <c r="AA72" s="23">
        <f t="shared" si="69"/>
        <v>1.6533364665598242E-3</v>
      </c>
      <c r="AB72" s="326">
        <v>16256989084.93</v>
      </c>
      <c r="AC72" s="326">
        <v>1195.07</v>
      </c>
      <c r="AD72" s="23">
        <f t="shared" si="70"/>
        <v>1.1350108019946254E-2</v>
      </c>
      <c r="AE72" s="23">
        <f t="shared" si="71"/>
        <v>1.3154587348135202E-3</v>
      </c>
      <c r="AF72" s="326">
        <v>16322168283.280001</v>
      </c>
      <c r="AG72" s="326">
        <v>1196.8699999999999</v>
      </c>
      <c r="AH72" s="23">
        <f t="shared" si="72"/>
        <v>4.0093031993495391E-3</v>
      </c>
      <c r="AI72" s="23">
        <f t="shared" si="73"/>
        <v>1.5061879220463694E-3</v>
      </c>
      <c r="AJ72" s="24">
        <f t="shared" si="74"/>
        <v>3.2725865505950744E-3</v>
      </c>
      <c r="AK72" s="24">
        <f t="shared" si="75"/>
        <v>2.2243456855909182E-3</v>
      </c>
      <c r="AL72" s="25">
        <f t="shared" si="76"/>
        <v>2.5573668546080636E-2</v>
      </c>
      <c r="AM72" s="25">
        <f t="shared" si="77"/>
        <v>1.6139439322160522E-2</v>
      </c>
      <c r="AN72" s="390">
        <f t="shared" si="78"/>
        <v>1.3536518169876593E-2</v>
      </c>
      <c r="AO72" s="391">
        <f t="shared" si="79"/>
        <v>2.0040187027024815E-3</v>
      </c>
      <c r="AP72" s="30"/>
      <c r="AQ72" s="28"/>
      <c r="AR72" s="28"/>
      <c r="AS72" s="29"/>
      <c r="AT72" s="29"/>
    </row>
    <row r="73" spans="1:46">
      <c r="A73" s="202" t="s">
        <v>17</v>
      </c>
      <c r="B73" s="326">
        <v>2080171735.4400001</v>
      </c>
      <c r="C73" s="327">
        <v>103.17</v>
      </c>
      <c r="D73" s="326">
        <v>2180810306</v>
      </c>
      <c r="E73" s="327">
        <v>103.36</v>
      </c>
      <c r="F73" s="23">
        <f t="shared" si="58"/>
        <v>4.8379933659041266E-2</v>
      </c>
      <c r="G73" s="23">
        <f t="shared" si="59"/>
        <v>1.8416206261509908E-3</v>
      </c>
      <c r="H73" s="326">
        <v>2185516775</v>
      </c>
      <c r="I73" s="327">
        <v>103.56</v>
      </c>
      <c r="J73" s="23">
        <f t="shared" si="60"/>
        <v>2.1581285575601092E-3</v>
      </c>
      <c r="K73" s="23">
        <f t="shared" si="61"/>
        <v>1.9349845201238666E-3</v>
      </c>
      <c r="L73" s="326">
        <v>1928845437</v>
      </c>
      <c r="M73" s="327">
        <v>103.76</v>
      </c>
      <c r="N73" s="23">
        <f t="shared" si="62"/>
        <v>-0.11744194367943024</v>
      </c>
      <c r="O73" s="23">
        <f t="shared" si="63"/>
        <v>1.9312475859405451E-3</v>
      </c>
      <c r="P73" s="326">
        <v>1996672494</v>
      </c>
      <c r="Q73" s="327">
        <v>103.95</v>
      </c>
      <c r="R73" s="23">
        <f t="shared" si="64"/>
        <v>3.5164588981009159E-2</v>
      </c>
      <c r="S73" s="23">
        <f t="shared" si="65"/>
        <v>1.8311488049344421E-3</v>
      </c>
      <c r="T73" s="326">
        <v>1752480340</v>
      </c>
      <c r="U73" s="327">
        <v>104.15</v>
      </c>
      <c r="V73" s="23">
        <f t="shared" si="66"/>
        <v>-0.12229955324861605</v>
      </c>
      <c r="W73" s="23">
        <f t="shared" si="67"/>
        <v>1.9240019240019514E-3</v>
      </c>
      <c r="X73" s="326">
        <v>1752480340</v>
      </c>
      <c r="Y73" s="327">
        <v>104.31</v>
      </c>
      <c r="Z73" s="23">
        <f t="shared" si="68"/>
        <v>0</v>
      </c>
      <c r="AA73" s="23">
        <f t="shared" si="69"/>
        <v>1.5362457993278596E-3</v>
      </c>
      <c r="AB73" s="326">
        <v>1226133454</v>
      </c>
      <c r="AC73" s="327">
        <v>103.45</v>
      </c>
      <c r="AD73" s="23">
        <f t="shared" si="70"/>
        <v>-0.300343960492019</v>
      </c>
      <c r="AE73" s="23">
        <f t="shared" si="71"/>
        <v>-8.2446553542325704E-3</v>
      </c>
      <c r="AF73" s="326">
        <v>1286495315</v>
      </c>
      <c r="AG73" s="327">
        <v>103.64</v>
      </c>
      <c r="AH73" s="23">
        <f t="shared" si="72"/>
        <v>4.922943811954747E-2</v>
      </c>
      <c r="AI73" s="23">
        <f t="shared" si="73"/>
        <v>1.8366360560657102E-3</v>
      </c>
      <c r="AJ73" s="24">
        <f t="shared" si="74"/>
        <v>-5.0644171012863407E-2</v>
      </c>
      <c r="AK73" s="24">
        <f t="shared" si="75"/>
        <v>5.7390374528909949E-4</v>
      </c>
      <c r="AL73" s="25">
        <f t="shared" si="76"/>
        <v>-0.41008380625288554</v>
      </c>
      <c r="AM73" s="25">
        <f t="shared" si="77"/>
        <v>2.7089783281733855E-3</v>
      </c>
      <c r="AN73" s="390">
        <f t="shared" si="78"/>
        <v>0.12214920056980529</v>
      </c>
      <c r="AO73" s="391">
        <f t="shared" si="79"/>
        <v>3.5655702651284076E-3</v>
      </c>
      <c r="AP73" s="30"/>
      <c r="AQ73" s="28"/>
      <c r="AR73" s="28"/>
      <c r="AS73" s="29"/>
      <c r="AT73" s="29"/>
    </row>
    <row r="74" spans="1:46">
      <c r="A74" s="202" t="s">
        <v>220</v>
      </c>
      <c r="B74" s="326">
        <v>1552767234.51</v>
      </c>
      <c r="C74" s="327">
        <v>335.15839999999997</v>
      </c>
      <c r="D74" s="326">
        <v>1555885335.6700001</v>
      </c>
      <c r="E74" s="327">
        <v>335.8014</v>
      </c>
      <c r="F74" s="23">
        <f t="shared" si="58"/>
        <v>2.0080930938654509E-3</v>
      </c>
      <c r="G74" s="23">
        <f t="shared" si="59"/>
        <v>1.9184958515138786E-3</v>
      </c>
      <c r="H74" s="326">
        <v>1559022409.8199999</v>
      </c>
      <c r="I74" s="327">
        <v>336.4341</v>
      </c>
      <c r="J74" s="23">
        <f t="shared" si="60"/>
        <v>2.0162630741994625E-3</v>
      </c>
      <c r="K74" s="23">
        <f t="shared" si="61"/>
        <v>1.8841493811520733E-3</v>
      </c>
      <c r="L74" s="326">
        <v>1561516246.0999999</v>
      </c>
      <c r="M74" s="327">
        <v>336.9554</v>
      </c>
      <c r="N74" s="23">
        <f t="shared" si="62"/>
        <v>1.5996154155910448E-3</v>
      </c>
      <c r="O74" s="23">
        <f t="shared" si="63"/>
        <v>1.5494862143878893E-3</v>
      </c>
      <c r="P74" s="326">
        <v>1565314267.6199999</v>
      </c>
      <c r="Q74" s="327">
        <v>337.70100000000002</v>
      </c>
      <c r="R74" s="23">
        <f t="shared" si="64"/>
        <v>2.4322651329986575E-3</v>
      </c>
      <c r="S74" s="23">
        <f t="shared" si="65"/>
        <v>2.212755753432129E-3</v>
      </c>
      <c r="T74" s="326">
        <v>1568546174.75</v>
      </c>
      <c r="U74" s="327">
        <v>338.38470000000001</v>
      </c>
      <c r="V74" s="23">
        <f t="shared" si="66"/>
        <v>2.064701764275173E-3</v>
      </c>
      <c r="W74" s="23">
        <f t="shared" si="67"/>
        <v>2.0245720326560702E-3</v>
      </c>
      <c r="X74" s="326">
        <v>1571852032.3800001</v>
      </c>
      <c r="Y74" s="327">
        <v>339.07859999999999</v>
      </c>
      <c r="Z74" s="23">
        <f t="shared" si="68"/>
        <v>2.1075934411220075E-3</v>
      </c>
      <c r="AA74" s="23">
        <f t="shared" si="69"/>
        <v>2.0506246293050044E-3</v>
      </c>
      <c r="AB74" s="326">
        <v>1575703570.24</v>
      </c>
      <c r="AC74" s="327">
        <v>339.79730000000001</v>
      </c>
      <c r="AD74" s="23">
        <f t="shared" si="70"/>
        <v>2.4503183382777686E-3</v>
      </c>
      <c r="AE74" s="23">
        <f t="shared" si="71"/>
        <v>2.1195675574926065E-3</v>
      </c>
      <c r="AF74" s="326">
        <v>1579142949.23</v>
      </c>
      <c r="AG74" s="327">
        <v>340.48169999999999</v>
      </c>
      <c r="AH74" s="23">
        <f t="shared" si="72"/>
        <v>2.1827576296448623E-3</v>
      </c>
      <c r="AI74" s="23">
        <f t="shared" si="73"/>
        <v>2.0141419605158202E-3</v>
      </c>
      <c r="AJ74" s="24">
        <f t="shared" si="74"/>
        <v>2.1077009862468035E-3</v>
      </c>
      <c r="AK74" s="24">
        <f t="shared" si="75"/>
        <v>1.9717241725569342E-3</v>
      </c>
      <c r="AL74" s="25">
        <f t="shared" si="76"/>
        <v>1.4948153971760829E-2</v>
      </c>
      <c r="AM74" s="25">
        <f t="shared" si="77"/>
        <v>1.3937702463420309E-2</v>
      </c>
      <c r="AN74" s="390">
        <f t="shared" si="78"/>
        <v>2.6903121187395776E-4</v>
      </c>
      <c r="AO74" s="391">
        <f t="shared" si="79"/>
        <v>1.9984237651041081E-4</v>
      </c>
      <c r="AP74" s="30"/>
      <c r="AQ74" s="28"/>
      <c r="AR74" s="28"/>
      <c r="AS74" s="29"/>
      <c r="AT74" s="29"/>
    </row>
    <row r="75" spans="1:46" s="86" customFormat="1">
      <c r="A75" s="203" t="s">
        <v>91</v>
      </c>
      <c r="B75" s="326">
        <v>53101176.450000003</v>
      </c>
      <c r="C75" s="326">
        <v>11.818387</v>
      </c>
      <c r="D75" s="326">
        <v>96156931.060000002</v>
      </c>
      <c r="E75" s="326">
        <v>21.393173000000001</v>
      </c>
      <c r="F75" s="23">
        <f t="shared" si="58"/>
        <v>0.81082487222371125</v>
      </c>
      <c r="G75" s="23">
        <f t="shared" si="59"/>
        <v>0.81016013437366718</v>
      </c>
      <c r="H75" s="326">
        <v>96115700.5</v>
      </c>
      <c r="I75" s="326">
        <v>21.398900000000001</v>
      </c>
      <c r="J75" s="23">
        <f t="shared" si="60"/>
        <v>-4.2878406731050242E-4</v>
      </c>
      <c r="K75" s="23">
        <f t="shared" si="61"/>
        <v>2.6770222444329596E-4</v>
      </c>
      <c r="L75" s="326">
        <v>52716343.340000004</v>
      </c>
      <c r="M75" s="326">
        <v>11.873955</v>
      </c>
      <c r="N75" s="23">
        <f t="shared" si="62"/>
        <v>-0.45153244406724163</v>
      </c>
      <c r="O75" s="23">
        <f t="shared" si="63"/>
        <v>-0.44511376753010667</v>
      </c>
      <c r="P75" s="326">
        <v>52783144.090000004</v>
      </c>
      <c r="Q75" s="326">
        <v>11.89617</v>
      </c>
      <c r="R75" s="23">
        <f t="shared" si="64"/>
        <v>1.2671734374510961E-3</v>
      </c>
      <c r="S75" s="23">
        <f t="shared" si="65"/>
        <v>1.8709014814355628E-3</v>
      </c>
      <c r="T75" s="326">
        <v>52850900.829999998</v>
      </c>
      <c r="U75" s="326">
        <v>11.917521000000001</v>
      </c>
      <c r="V75" s="23">
        <f t="shared" si="66"/>
        <v>1.2836813942811612E-3</v>
      </c>
      <c r="W75" s="23">
        <f t="shared" si="67"/>
        <v>1.7947793281367875E-3</v>
      </c>
      <c r="X75" s="326">
        <v>52941217.170000002</v>
      </c>
      <c r="Y75" s="326">
        <v>11.94599</v>
      </c>
      <c r="Z75" s="23">
        <f t="shared" si="68"/>
        <v>1.7088893203639946E-3</v>
      </c>
      <c r="AA75" s="23">
        <f t="shared" si="69"/>
        <v>2.3888357318606287E-3</v>
      </c>
      <c r="AB75" s="326">
        <v>53346346.43</v>
      </c>
      <c r="AC75" s="326">
        <v>11.938226999999999</v>
      </c>
      <c r="AD75" s="23">
        <f t="shared" si="70"/>
        <v>7.6524356948402573E-3</v>
      </c>
      <c r="AE75" s="23">
        <f t="shared" si="71"/>
        <v>-6.4984149492847642E-4</v>
      </c>
      <c r="AF75" s="326">
        <v>53425232.340000004</v>
      </c>
      <c r="AG75" s="326">
        <v>11.962932</v>
      </c>
      <c r="AH75" s="23">
        <f t="shared" si="72"/>
        <v>1.478750004061035E-3</v>
      </c>
      <c r="AI75" s="23">
        <f t="shared" si="73"/>
        <v>2.0694027680995567E-3</v>
      </c>
      <c r="AJ75" s="24">
        <f t="shared" si="74"/>
        <v>4.6531821742519582E-2</v>
      </c>
      <c r="AK75" s="24">
        <f t="shared" si="75"/>
        <v>4.6598518360325976E-2</v>
      </c>
      <c r="AL75" s="25">
        <f t="shared" si="76"/>
        <v>-0.44439540913942305</v>
      </c>
      <c r="AM75" s="25">
        <f t="shared" si="77"/>
        <v>-0.44080609267264842</v>
      </c>
      <c r="AN75" s="390">
        <f t="shared" si="78"/>
        <v>0.34724712118174772</v>
      </c>
      <c r="AO75" s="391">
        <f t="shared" si="79"/>
        <v>0.34581818891554506</v>
      </c>
      <c r="AP75" s="30"/>
      <c r="AQ75" s="28"/>
      <c r="AR75" s="28"/>
      <c r="AS75" s="29"/>
      <c r="AT75" s="29"/>
    </row>
    <row r="76" spans="1:46" s="86" customFormat="1">
      <c r="A76" s="202" t="s">
        <v>35</v>
      </c>
      <c r="B76" s="326">
        <v>6755116533.3999996</v>
      </c>
      <c r="C76" s="327">
        <v>1.04</v>
      </c>
      <c r="D76" s="326">
        <v>6821437756.9899998</v>
      </c>
      <c r="E76" s="327">
        <v>1.04</v>
      </c>
      <c r="F76" s="23">
        <f t="shared" si="58"/>
        <v>9.8179244224850127E-3</v>
      </c>
      <c r="G76" s="23">
        <f t="shared" si="59"/>
        <v>0</v>
      </c>
      <c r="H76" s="326">
        <v>6816381535.5600004</v>
      </c>
      <c r="I76" s="327">
        <v>1.04</v>
      </c>
      <c r="J76" s="23">
        <f t="shared" si="60"/>
        <v>-7.4122518010491078E-4</v>
      </c>
      <c r="K76" s="23">
        <f t="shared" si="61"/>
        <v>0</v>
      </c>
      <c r="L76" s="326">
        <v>6806397092.5</v>
      </c>
      <c r="M76" s="327">
        <v>1.04</v>
      </c>
      <c r="N76" s="23">
        <f t="shared" si="62"/>
        <v>-1.4647717425899851E-3</v>
      </c>
      <c r="O76" s="23">
        <f t="shared" si="63"/>
        <v>0</v>
      </c>
      <c r="P76" s="326">
        <v>6721544185.1700001</v>
      </c>
      <c r="Q76" s="327">
        <v>1.05</v>
      </c>
      <c r="R76" s="23">
        <f t="shared" si="64"/>
        <v>-1.246664074646772E-2</v>
      </c>
      <c r="S76" s="23">
        <f t="shared" si="65"/>
        <v>9.6153846153846229E-3</v>
      </c>
      <c r="T76" s="326">
        <v>6627638303.2700005</v>
      </c>
      <c r="U76" s="327">
        <v>1.05</v>
      </c>
      <c r="V76" s="23">
        <f t="shared" si="66"/>
        <v>-1.3970879207665965E-2</v>
      </c>
      <c r="W76" s="23">
        <f t="shared" si="67"/>
        <v>0</v>
      </c>
      <c r="X76" s="326">
        <v>6574211292.6000004</v>
      </c>
      <c r="Y76" s="327">
        <v>1.05</v>
      </c>
      <c r="Z76" s="23">
        <f t="shared" si="68"/>
        <v>-8.061244175567004E-3</v>
      </c>
      <c r="AA76" s="23">
        <f t="shared" si="69"/>
        <v>0</v>
      </c>
      <c r="AB76" s="326">
        <v>6651252133.2299995</v>
      </c>
      <c r="AC76" s="327">
        <v>1.05</v>
      </c>
      <c r="AD76" s="23">
        <f t="shared" si="70"/>
        <v>1.1718643834389248E-2</v>
      </c>
      <c r="AE76" s="23">
        <f t="shared" si="71"/>
        <v>0</v>
      </c>
      <c r="AF76" s="326">
        <v>6705602451.8400002</v>
      </c>
      <c r="AG76" s="327">
        <v>1.06</v>
      </c>
      <c r="AH76" s="23">
        <f t="shared" si="72"/>
        <v>8.1714416355476299E-3</v>
      </c>
      <c r="AI76" s="23">
        <f t="shared" si="73"/>
        <v>9.5238095238095316E-3</v>
      </c>
      <c r="AJ76" s="24">
        <f t="shared" si="74"/>
        <v>-8.7459389499671184E-4</v>
      </c>
      <c r="AK76" s="24">
        <f t="shared" si="75"/>
        <v>2.3923992673992693E-3</v>
      </c>
      <c r="AL76" s="25">
        <f t="shared" si="76"/>
        <v>-1.698106898817657E-2</v>
      </c>
      <c r="AM76" s="25">
        <f t="shared" si="77"/>
        <v>1.9230769230769246E-2</v>
      </c>
      <c r="AN76" s="390">
        <f t="shared" si="78"/>
        <v>1.0089971130194017E-2</v>
      </c>
      <c r="AO76" s="391">
        <f t="shared" si="79"/>
        <v>4.429930265661396E-3</v>
      </c>
      <c r="AP76" s="30"/>
      <c r="AQ76" s="28"/>
      <c r="AR76" s="28"/>
      <c r="AS76" s="29"/>
      <c r="AT76" s="29"/>
    </row>
    <row r="77" spans="1:46" s="86" customFormat="1">
      <c r="A77" s="203" t="s">
        <v>68</v>
      </c>
      <c r="B77" s="326">
        <v>32079223039.369999</v>
      </c>
      <c r="C77" s="326">
        <v>4707.3599999999997</v>
      </c>
      <c r="D77" s="326">
        <v>32114586818.380001</v>
      </c>
      <c r="E77" s="326">
        <v>4715.96</v>
      </c>
      <c r="F77" s="23">
        <f t="shared" si="58"/>
        <v>1.1023888878668004E-3</v>
      </c>
      <c r="G77" s="23">
        <f t="shared" si="59"/>
        <v>1.8269263451277074E-3</v>
      </c>
      <c r="H77" s="326">
        <v>31296332331.400002</v>
      </c>
      <c r="I77" s="326">
        <v>4720.1899999999996</v>
      </c>
      <c r="J77" s="23">
        <f t="shared" si="60"/>
        <v>-2.5479215772182737E-2</v>
      </c>
      <c r="K77" s="23">
        <f t="shared" si="61"/>
        <v>8.969541726392004E-4</v>
      </c>
      <c r="L77" s="326">
        <v>27356775137.779999</v>
      </c>
      <c r="M77" s="326">
        <v>4725.96</v>
      </c>
      <c r="N77" s="23">
        <f t="shared" si="62"/>
        <v>-0.12587919734183661</v>
      </c>
      <c r="O77" s="23">
        <f t="shared" si="63"/>
        <v>1.2224084200001351E-3</v>
      </c>
      <c r="P77" s="326">
        <v>26653243225.68</v>
      </c>
      <c r="Q77" s="326">
        <v>4733.92</v>
      </c>
      <c r="R77" s="23">
        <f t="shared" si="64"/>
        <v>-2.5716916871843326E-2</v>
      </c>
      <c r="S77" s="23">
        <f t="shared" si="65"/>
        <v>1.6843138748529477E-3</v>
      </c>
      <c r="T77" s="326">
        <v>25031085356.98</v>
      </c>
      <c r="U77" s="326">
        <v>4742.32</v>
      </c>
      <c r="V77" s="23">
        <f t="shared" si="66"/>
        <v>-6.0861556507955321E-2</v>
      </c>
      <c r="W77" s="23">
        <f t="shared" si="67"/>
        <v>1.7744279582248192E-3</v>
      </c>
      <c r="X77" s="326">
        <v>24783269491.759998</v>
      </c>
      <c r="Y77" s="326">
        <v>4750.82</v>
      </c>
      <c r="Z77" s="23">
        <f t="shared" si="68"/>
        <v>-9.9003244040673198E-3</v>
      </c>
      <c r="AA77" s="23">
        <f t="shared" si="69"/>
        <v>1.7923716661887011E-3</v>
      </c>
      <c r="AB77" s="326">
        <v>24045984083.23</v>
      </c>
      <c r="AC77" s="326">
        <v>4759.12</v>
      </c>
      <c r="AD77" s="23">
        <f t="shared" si="70"/>
        <v>-2.9749319748757653E-2</v>
      </c>
      <c r="AE77" s="23">
        <f t="shared" si="71"/>
        <v>1.7470668221486359E-3</v>
      </c>
      <c r="AF77" s="326">
        <v>23969004408.549999</v>
      </c>
      <c r="AG77" s="326">
        <v>4767.4799999999996</v>
      </c>
      <c r="AH77" s="23">
        <f t="shared" si="72"/>
        <v>-3.2013526422354655E-3</v>
      </c>
      <c r="AI77" s="23">
        <f t="shared" si="73"/>
        <v>1.75662727563072E-3</v>
      </c>
      <c r="AJ77" s="24">
        <f t="shared" si="74"/>
        <v>-3.4960686800126456E-2</v>
      </c>
      <c r="AK77" s="24">
        <f t="shared" si="75"/>
        <v>1.5876370668516083E-3</v>
      </c>
      <c r="AL77" s="25">
        <f t="shared" si="76"/>
        <v>-0.25364120223300135</v>
      </c>
      <c r="AM77" s="25">
        <f t="shared" si="77"/>
        <v>1.0924604958481311E-2</v>
      </c>
      <c r="AN77" s="390">
        <f t="shared" si="78"/>
        <v>4.1536140941666994E-2</v>
      </c>
      <c r="AO77" s="391">
        <f t="shared" si="79"/>
        <v>3.3971063727506324E-4</v>
      </c>
      <c r="AP77" s="30"/>
      <c r="AQ77" s="28"/>
      <c r="AR77" s="28"/>
      <c r="AS77" s="29"/>
      <c r="AT77" s="29"/>
    </row>
    <row r="78" spans="1:46" s="103" customFormat="1" ht="15.75" customHeight="1">
      <c r="A78" s="202" t="s">
        <v>16</v>
      </c>
      <c r="B78" s="326">
        <v>40603770319.120003</v>
      </c>
      <c r="C78" s="327">
        <v>248.58</v>
      </c>
      <c r="D78" s="326">
        <v>40527889205.389999</v>
      </c>
      <c r="E78" s="327">
        <v>248.87</v>
      </c>
      <c r="F78" s="23">
        <f t="shared" si="58"/>
        <v>-1.8688194010956546E-3</v>
      </c>
      <c r="G78" s="23">
        <f t="shared" si="59"/>
        <v>1.1666264381687667E-3</v>
      </c>
      <c r="H78" s="326">
        <v>40608967761.57</v>
      </c>
      <c r="I78" s="327">
        <v>249.03</v>
      </c>
      <c r="J78" s="23">
        <f t="shared" si="60"/>
        <v>2.0005620270304447E-3</v>
      </c>
      <c r="K78" s="23">
        <f t="shared" si="61"/>
        <v>6.4290593482539714E-4</v>
      </c>
      <c r="L78" s="326">
        <v>42314478538.550003</v>
      </c>
      <c r="M78" s="327">
        <v>249.03</v>
      </c>
      <c r="N78" s="23">
        <f t="shared" si="62"/>
        <v>4.1998377968966771E-2</v>
      </c>
      <c r="O78" s="23">
        <f t="shared" si="63"/>
        <v>0</v>
      </c>
      <c r="P78" s="326">
        <v>42706600755.720001</v>
      </c>
      <c r="Q78" s="327">
        <v>249.23</v>
      </c>
      <c r="R78" s="23">
        <f t="shared" si="64"/>
        <v>9.26685689421319E-3</v>
      </c>
      <c r="S78" s="23">
        <f t="shared" si="65"/>
        <v>8.0311609043082612E-4</v>
      </c>
      <c r="T78" s="326">
        <v>42032636728.5</v>
      </c>
      <c r="U78" s="327">
        <v>249.41</v>
      </c>
      <c r="V78" s="23">
        <f t="shared" si="66"/>
        <v>-1.578126133416817E-2</v>
      </c>
      <c r="W78" s="23">
        <f t="shared" si="67"/>
        <v>7.2222445131006228E-4</v>
      </c>
      <c r="X78" s="326">
        <v>39948050523.889999</v>
      </c>
      <c r="Y78" s="327">
        <v>249.63</v>
      </c>
      <c r="Z78" s="23">
        <f t="shared" si="68"/>
        <v>-4.9594466749133495E-2</v>
      </c>
      <c r="AA78" s="23">
        <f t="shared" si="69"/>
        <v>8.8208171284230325E-4</v>
      </c>
      <c r="AB78" s="326">
        <v>43656850980.110001</v>
      </c>
      <c r="AC78" s="327">
        <v>249.82</v>
      </c>
      <c r="AD78" s="23">
        <f t="shared" si="70"/>
        <v>9.2840586901782346E-2</v>
      </c>
      <c r="AE78" s="23">
        <f t="shared" si="71"/>
        <v>7.6112646717140463E-4</v>
      </c>
      <c r="AF78" s="326">
        <v>44437097763.720001</v>
      </c>
      <c r="AG78" s="327">
        <v>250.04</v>
      </c>
      <c r="AH78" s="23">
        <f t="shared" si="72"/>
        <v>1.7872264400505659E-2</v>
      </c>
      <c r="AI78" s="23">
        <f t="shared" si="73"/>
        <v>8.806340565206904E-4</v>
      </c>
      <c r="AJ78" s="24">
        <f t="shared" si="74"/>
        <v>1.2091762588512635E-2</v>
      </c>
      <c r="AK78" s="24">
        <f t="shared" si="75"/>
        <v>7.3233939390868132E-4</v>
      </c>
      <c r="AL78" s="25">
        <f t="shared" si="76"/>
        <v>9.6457245491336802E-2</v>
      </c>
      <c r="AM78" s="25">
        <f t="shared" si="77"/>
        <v>4.7012496484107663E-3</v>
      </c>
      <c r="AN78" s="390">
        <f t="shared" si="78"/>
        <v>4.1977883795469351E-2</v>
      </c>
      <c r="AO78" s="391">
        <f t="shared" si="79"/>
        <v>3.3451008649036071E-4</v>
      </c>
      <c r="AP78" s="30"/>
      <c r="AQ78" s="28"/>
      <c r="AR78" s="28"/>
      <c r="AS78" s="29"/>
      <c r="AT78" s="29"/>
    </row>
    <row r="79" spans="1:46" s="103" customFormat="1" ht="15.75" customHeight="1">
      <c r="A79" s="203" t="s">
        <v>69</v>
      </c>
      <c r="B79" s="326">
        <v>251502426.25</v>
      </c>
      <c r="C79" s="326">
        <v>4462.28</v>
      </c>
      <c r="D79" s="326">
        <v>251564123.09999999</v>
      </c>
      <c r="E79" s="326">
        <v>4463.32</v>
      </c>
      <c r="F79" s="23">
        <f t="shared" si="58"/>
        <v>2.453131403935871E-4</v>
      </c>
      <c r="G79" s="23">
        <f t="shared" si="59"/>
        <v>2.3306471131349078E-4</v>
      </c>
      <c r="H79" s="326">
        <v>252413526.38999999</v>
      </c>
      <c r="I79" s="326">
        <v>4478.3999999999996</v>
      </c>
      <c r="J79" s="23">
        <f t="shared" si="60"/>
        <v>3.3764881873173261E-3</v>
      </c>
      <c r="K79" s="23">
        <f t="shared" si="61"/>
        <v>3.3786508697561295E-3</v>
      </c>
      <c r="L79" s="326">
        <v>255238723.50999999</v>
      </c>
      <c r="M79" s="326">
        <v>4528.68</v>
      </c>
      <c r="N79" s="23">
        <f t="shared" si="62"/>
        <v>1.1192732657420424E-2</v>
      </c>
      <c r="O79" s="23">
        <f t="shared" si="63"/>
        <v>1.1227224008574638E-2</v>
      </c>
      <c r="P79" s="326">
        <v>259970569.11000001</v>
      </c>
      <c r="Q79" s="326">
        <v>4613.05</v>
      </c>
      <c r="R79" s="23">
        <f t="shared" si="64"/>
        <v>1.8538901679684333E-2</v>
      </c>
      <c r="S79" s="23">
        <f t="shared" si="65"/>
        <v>1.8630152715581556E-2</v>
      </c>
      <c r="T79" s="326">
        <v>261789070.74000001</v>
      </c>
      <c r="U79" s="326">
        <v>4645.55</v>
      </c>
      <c r="V79" s="23">
        <f t="shared" si="66"/>
        <v>6.9950288458634794E-3</v>
      </c>
      <c r="W79" s="23">
        <f t="shared" si="67"/>
        <v>7.0452303790333945E-3</v>
      </c>
      <c r="X79" s="326">
        <v>269116980.75</v>
      </c>
      <c r="Y79" s="326">
        <v>4776.09</v>
      </c>
      <c r="Z79" s="23">
        <f t="shared" si="68"/>
        <v>2.7991657517581477E-2</v>
      </c>
      <c r="AA79" s="23">
        <f t="shared" si="69"/>
        <v>2.8100009686689402E-2</v>
      </c>
      <c r="AB79" s="326">
        <v>268567070.63999999</v>
      </c>
      <c r="AC79" s="326">
        <v>4778.4799999999996</v>
      </c>
      <c r="AD79" s="23">
        <f t="shared" si="70"/>
        <v>-2.0433868887331976E-3</v>
      </c>
      <c r="AE79" s="23">
        <f t="shared" si="71"/>
        <v>5.0040933064481985E-4</v>
      </c>
      <c r="AF79" s="326">
        <v>272413827.91000003</v>
      </c>
      <c r="AG79" s="326">
        <v>4847.71</v>
      </c>
      <c r="AH79" s="23">
        <f t="shared" si="72"/>
        <v>1.4323264802468713E-2</v>
      </c>
      <c r="AI79" s="23">
        <f t="shared" si="73"/>
        <v>1.4487870619946192E-2</v>
      </c>
      <c r="AJ79" s="24">
        <f t="shared" si="74"/>
        <v>1.0077499992749518E-2</v>
      </c>
      <c r="AK79" s="24">
        <f t="shared" si="75"/>
        <v>1.0450326540192453E-2</v>
      </c>
      <c r="AL79" s="25">
        <f t="shared" si="76"/>
        <v>8.2880279401812806E-2</v>
      </c>
      <c r="AM79" s="25">
        <f t="shared" si="77"/>
        <v>8.6121989908857166E-2</v>
      </c>
      <c r="AN79" s="390">
        <f t="shared" si="78"/>
        <v>1.0069583660915414E-2</v>
      </c>
      <c r="AO79" s="391">
        <f t="shared" si="79"/>
        <v>9.7124571829536287E-3</v>
      </c>
      <c r="AP79" s="30"/>
      <c r="AQ79" s="28"/>
      <c r="AR79" s="28"/>
      <c r="AS79" s="29"/>
      <c r="AT79" s="29"/>
    </row>
    <row r="80" spans="1:46" s="285" customFormat="1" ht="15.75" customHeight="1">
      <c r="A80" s="202" t="s">
        <v>166</v>
      </c>
      <c r="B80" s="326">
        <v>19932872774.810001</v>
      </c>
      <c r="C80" s="327">
        <v>118.54</v>
      </c>
      <c r="D80" s="326">
        <v>19942192679.689999</v>
      </c>
      <c r="E80" s="327">
        <v>118.76</v>
      </c>
      <c r="F80" s="23">
        <f t="shared" si="58"/>
        <v>4.6756455957393174E-4</v>
      </c>
      <c r="G80" s="23">
        <f t="shared" si="59"/>
        <v>1.8559136156571525E-3</v>
      </c>
      <c r="H80" s="326">
        <v>19587138388.970001</v>
      </c>
      <c r="I80" s="327">
        <v>118.83</v>
      </c>
      <c r="J80" s="23">
        <f t="shared" si="60"/>
        <v>-1.7804175118696964E-2</v>
      </c>
      <c r="K80" s="23">
        <f t="shared" si="61"/>
        <v>5.8942404850112137E-4</v>
      </c>
      <c r="L80" s="326">
        <v>19265404051.09</v>
      </c>
      <c r="M80" s="327">
        <v>119.03</v>
      </c>
      <c r="N80" s="23">
        <f t="shared" si="62"/>
        <v>-1.6425795922347573E-2</v>
      </c>
      <c r="O80" s="23">
        <f t="shared" si="63"/>
        <v>1.6830766641420757E-3</v>
      </c>
      <c r="P80" s="326">
        <v>19263384265.110001</v>
      </c>
      <c r="Q80" s="327">
        <v>119.33</v>
      </c>
      <c r="R80" s="23">
        <f t="shared" si="64"/>
        <v>-1.04840052907443E-4</v>
      </c>
      <c r="S80" s="23">
        <f t="shared" si="65"/>
        <v>2.5203730152062267E-3</v>
      </c>
      <c r="T80" s="326">
        <v>19182276418.849998</v>
      </c>
      <c r="U80" s="327">
        <v>119.54</v>
      </c>
      <c r="V80" s="23">
        <f t="shared" si="66"/>
        <v>-4.2104671299583287E-3</v>
      </c>
      <c r="W80" s="23">
        <f t="shared" si="67"/>
        <v>1.7598256934551911E-3</v>
      </c>
      <c r="X80" s="326">
        <v>19129113536.549999</v>
      </c>
      <c r="Y80" s="327">
        <v>119.76</v>
      </c>
      <c r="Z80" s="23">
        <f t="shared" si="68"/>
        <v>-2.7714584619246362E-3</v>
      </c>
      <c r="AA80" s="23">
        <f t="shared" si="69"/>
        <v>1.8403881545925953E-3</v>
      </c>
      <c r="AB80" s="326">
        <v>19235455121.529999</v>
      </c>
      <c r="AC80" s="327">
        <v>119.98</v>
      </c>
      <c r="AD80" s="23">
        <f t="shared" si="70"/>
        <v>5.5591486127578608E-3</v>
      </c>
      <c r="AE80" s="23">
        <f t="shared" si="71"/>
        <v>1.8370073480293825E-3</v>
      </c>
      <c r="AF80" s="326">
        <v>18866705976.860001</v>
      </c>
      <c r="AG80" s="327">
        <v>120.13</v>
      </c>
      <c r="AH80" s="23">
        <f t="shared" si="72"/>
        <v>-1.91702843702025E-2</v>
      </c>
      <c r="AI80" s="23">
        <f t="shared" si="73"/>
        <v>1.2502083680612725E-3</v>
      </c>
      <c r="AJ80" s="24">
        <f t="shared" si="74"/>
        <v>-6.807538485463208E-3</v>
      </c>
      <c r="AK80" s="24">
        <f t="shared" si="75"/>
        <v>1.6670271134556275E-3</v>
      </c>
      <c r="AL80" s="25">
        <f t="shared" si="76"/>
        <v>-5.3930213196932988E-2</v>
      </c>
      <c r="AM80" s="25">
        <f t="shared" si="77"/>
        <v>1.153587066352299E-2</v>
      </c>
      <c r="AN80" s="390">
        <f t="shared" si="78"/>
        <v>9.5625560027281925E-3</v>
      </c>
      <c r="AO80" s="391">
        <f t="shared" si="79"/>
        <v>5.563477928311897E-4</v>
      </c>
      <c r="AP80" s="30"/>
      <c r="AQ80" s="28"/>
      <c r="AR80" s="28"/>
      <c r="AS80" s="29"/>
      <c r="AT80" s="29"/>
    </row>
    <row r="81" spans="1:46" s="285" customFormat="1" ht="15.75" customHeight="1">
      <c r="A81" s="202" t="s">
        <v>63</v>
      </c>
      <c r="B81" s="326">
        <v>14916045769.65</v>
      </c>
      <c r="C81" s="327">
        <v>339.32</v>
      </c>
      <c r="D81" s="326">
        <v>14885535672.709999</v>
      </c>
      <c r="E81" s="327">
        <v>339.72</v>
      </c>
      <c r="F81" s="23">
        <f t="shared" si="58"/>
        <v>-2.0454547680512007E-3</v>
      </c>
      <c r="G81" s="23">
        <f t="shared" si="59"/>
        <v>1.1788282447248442E-3</v>
      </c>
      <c r="H81" s="326">
        <v>14862305342.799999</v>
      </c>
      <c r="I81" s="327">
        <v>339.99</v>
      </c>
      <c r="J81" s="23">
        <f t="shared" si="60"/>
        <v>-1.5605975102789586E-3</v>
      </c>
      <c r="K81" s="23">
        <f t="shared" si="61"/>
        <v>7.9477216531255673E-4</v>
      </c>
      <c r="L81" s="326">
        <v>14728727076.33</v>
      </c>
      <c r="M81" s="327">
        <v>340.28</v>
      </c>
      <c r="N81" s="23">
        <f t="shared" si="62"/>
        <v>-8.9877218499424053E-3</v>
      </c>
      <c r="O81" s="23">
        <f t="shared" si="63"/>
        <v>8.5296626371353162E-4</v>
      </c>
      <c r="P81" s="326">
        <v>14723295772.879999</v>
      </c>
      <c r="Q81" s="327">
        <v>340.45</v>
      </c>
      <c r="R81" s="23">
        <f t="shared" si="64"/>
        <v>-3.6875579416019005E-4</v>
      </c>
      <c r="S81" s="23">
        <f t="shared" si="65"/>
        <v>4.995885741154812E-4</v>
      </c>
      <c r="T81" s="326">
        <v>14501808658.77</v>
      </c>
      <c r="U81" s="327">
        <v>341</v>
      </c>
      <c r="V81" s="23">
        <f t="shared" si="66"/>
        <v>-1.5043310786296456E-2</v>
      </c>
      <c r="W81" s="23">
        <f t="shared" si="67"/>
        <v>1.6155088852989026E-3</v>
      </c>
      <c r="X81" s="326">
        <v>14470501789.379999</v>
      </c>
      <c r="Y81" s="327">
        <v>341.43</v>
      </c>
      <c r="Z81" s="23">
        <f t="shared" si="68"/>
        <v>-2.1588251594443979E-3</v>
      </c>
      <c r="AA81" s="23">
        <f t="shared" si="69"/>
        <v>1.2609970674487003E-3</v>
      </c>
      <c r="AB81" s="326">
        <v>14472172652.34</v>
      </c>
      <c r="AC81" s="327">
        <v>341.7</v>
      </c>
      <c r="AD81" s="23">
        <f t="shared" si="70"/>
        <v>1.1546682930009032E-4</v>
      </c>
      <c r="AE81" s="23">
        <f t="shared" si="71"/>
        <v>7.9079167032768594E-4</v>
      </c>
      <c r="AF81" s="326">
        <v>14426908306.959999</v>
      </c>
      <c r="AG81" s="327">
        <v>342.1</v>
      </c>
      <c r="AH81" s="23">
        <f t="shared" si="72"/>
        <v>-3.1276814108959854E-3</v>
      </c>
      <c r="AI81" s="23">
        <f t="shared" si="73"/>
        <v>1.1706175007317357E-3</v>
      </c>
      <c r="AJ81" s="24">
        <f t="shared" si="74"/>
        <v>-4.1471100562211882E-3</v>
      </c>
      <c r="AK81" s="24">
        <f t="shared" si="75"/>
        <v>1.0205087964591797E-3</v>
      </c>
      <c r="AL81" s="25">
        <f t="shared" si="76"/>
        <v>-3.0810269501473989E-2</v>
      </c>
      <c r="AM81" s="25">
        <f t="shared" si="77"/>
        <v>7.0057694572000333E-3</v>
      </c>
      <c r="AN81" s="390">
        <f t="shared" si="78"/>
        <v>5.2195203558576993E-3</v>
      </c>
      <c r="AO81" s="391">
        <f t="shared" si="79"/>
        <v>3.5104186726398791E-4</v>
      </c>
      <c r="AP81" s="30"/>
      <c r="AQ81" s="28"/>
      <c r="AR81" s="28"/>
      <c r="AS81" s="29"/>
      <c r="AT81" s="29"/>
    </row>
    <row r="82" spans="1:46" s="288" customFormat="1" ht="15.75" customHeight="1">
      <c r="A82" s="202" t="s">
        <v>247</v>
      </c>
      <c r="B82" s="326">
        <v>57549172.159999996</v>
      </c>
      <c r="C82" s="74">
        <v>105.04559999999999</v>
      </c>
      <c r="D82" s="326">
        <v>57752216.039999999</v>
      </c>
      <c r="E82" s="74">
        <v>105.1422</v>
      </c>
      <c r="F82" s="23">
        <f t="shared" si="58"/>
        <v>3.5281807257886138E-3</v>
      </c>
      <c r="G82" s="23">
        <f t="shared" si="59"/>
        <v>9.1960063058337861E-4</v>
      </c>
      <c r="H82" s="326">
        <v>65607962.390000001</v>
      </c>
      <c r="I82" s="74">
        <v>105.3723</v>
      </c>
      <c r="J82" s="23">
        <f t="shared" si="60"/>
        <v>0.13602502014050857</v>
      </c>
      <c r="K82" s="23">
        <f>((I82-E82)/E82)</f>
        <v>2.1884647648612362E-3</v>
      </c>
      <c r="L82" s="326">
        <v>68535470.450000003</v>
      </c>
      <c r="M82" s="74">
        <v>105.5107</v>
      </c>
      <c r="N82" s="23">
        <f t="shared" si="62"/>
        <v>4.4621231224919351E-2</v>
      </c>
      <c r="O82" s="23">
        <f>((M82-I82)/I82)</f>
        <v>1.3134381616421423E-3</v>
      </c>
      <c r="P82" s="326">
        <v>70603254.359999999</v>
      </c>
      <c r="Q82" s="74">
        <v>105.7029</v>
      </c>
      <c r="R82" s="23">
        <f t="shared" si="64"/>
        <v>3.0171003371291461E-2</v>
      </c>
      <c r="S82" s="23">
        <f>((Q82-M82)/M82)</f>
        <v>1.8216161962720341E-3</v>
      </c>
      <c r="T82" s="326">
        <v>69509898.75</v>
      </c>
      <c r="U82" s="74">
        <v>105.9015</v>
      </c>
      <c r="V82" s="23">
        <f t="shared" si="66"/>
        <v>-1.5485909536479324E-2</v>
      </c>
      <c r="W82" s="23">
        <f>((U82-Q82)/Q82)</f>
        <v>1.8788510059799589E-3</v>
      </c>
      <c r="X82" s="326">
        <v>69603613.450000003</v>
      </c>
      <c r="Y82" s="74">
        <v>106.10169999999999</v>
      </c>
      <c r="Z82" s="23">
        <f t="shared" si="68"/>
        <v>1.3482209251528075E-3</v>
      </c>
      <c r="AA82" s="23">
        <f>((Y82-U82)/U82)</f>
        <v>1.8904359239481526E-3</v>
      </c>
      <c r="AB82" s="326">
        <v>69859876.75</v>
      </c>
      <c r="AC82" s="74">
        <v>106.3017</v>
      </c>
      <c r="AD82" s="23">
        <f t="shared" si="70"/>
        <v>3.6817528185384319E-3</v>
      </c>
      <c r="AE82" s="23">
        <f>((AC82-Y82)/Y82)</f>
        <v>1.8849839352244389E-3</v>
      </c>
      <c r="AF82" s="326">
        <v>69991061.420000002</v>
      </c>
      <c r="AG82" s="74">
        <v>106.5013</v>
      </c>
      <c r="AH82" s="23">
        <f t="shared" si="72"/>
        <v>1.8778256719441148E-3</v>
      </c>
      <c r="AI82" s="23">
        <f>((AG82-AC82)/AC82)</f>
        <v>1.8776745809333602E-3</v>
      </c>
      <c r="AJ82" s="24">
        <f t="shared" si="74"/>
        <v>2.5720915667708004E-2</v>
      </c>
      <c r="AK82" s="24">
        <f t="shared" si="75"/>
        <v>1.7218831499305879E-3</v>
      </c>
      <c r="AL82" s="25">
        <f t="shared" si="76"/>
        <v>0.21191992652755015</v>
      </c>
      <c r="AM82" s="25">
        <f t="shared" si="77"/>
        <v>1.2926303615484533E-2</v>
      </c>
      <c r="AN82" s="390">
        <f t="shared" si="78"/>
        <v>4.8377660854898544E-2</v>
      </c>
      <c r="AO82" s="391">
        <f t="shared" si="79"/>
        <v>4.0391855876985283E-4</v>
      </c>
      <c r="AP82" s="30"/>
      <c r="AQ82" s="28"/>
      <c r="AR82" s="28"/>
      <c r="AS82" s="29"/>
      <c r="AT82" s="29"/>
    </row>
    <row r="83" spans="1:46" s="302" customFormat="1" ht="15.75" customHeight="1">
      <c r="A83" s="202" t="s">
        <v>157</v>
      </c>
      <c r="B83" s="326">
        <v>102523698297.03999</v>
      </c>
      <c r="C83" s="326">
        <v>2</v>
      </c>
      <c r="D83" s="326">
        <v>101582871782.85001</v>
      </c>
      <c r="E83" s="326">
        <v>2.0026999999999999</v>
      </c>
      <c r="F83" s="23">
        <f t="shared" si="58"/>
        <v>-9.1766735868632834E-3</v>
      </c>
      <c r="G83" s="23">
        <f t="shared" si="59"/>
        <v>1.3499999999999623E-3</v>
      </c>
      <c r="H83" s="326">
        <v>101704149704.03999</v>
      </c>
      <c r="I83" s="326">
        <v>2.0053999999999998</v>
      </c>
      <c r="J83" s="23">
        <f>((H83-D83)/D83)</f>
        <v>1.1938815969806265E-3</v>
      </c>
      <c r="K83" s="23">
        <f>((I83-E83)/E83)</f>
        <v>1.3481799570579341E-3</v>
      </c>
      <c r="L83" s="326">
        <v>101812954660.95</v>
      </c>
      <c r="M83" s="326">
        <v>2.0081000000000002</v>
      </c>
      <c r="N83" s="23">
        <f>((L83-H83)/H83)</f>
        <v>1.0698182643149477E-3</v>
      </c>
      <c r="O83" s="23">
        <f>((M83-I83)/I83)</f>
        <v>1.3463648149996854E-3</v>
      </c>
      <c r="P83" s="326">
        <v>101950254232.06</v>
      </c>
      <c r="Q83" s="326">
        <v>2.0108000000000001</v>
      </c>
      <c r="R83" s="23">
        <f>((P83-L83)/L83)</f>
        <v>1.3485471624630238E-3</v>
      </c>
      <c r="S83" s="23">
        <f>((Q83-M83)/M83)</f>
        <v>1.3445545540560352E-3</v>
      </c>
      <c r="T83" s="326">
        <v>101900839195.67999</v>
      </c>
      <c r="U83" s="326">
        <v>2.0137</v>
      </c>
      <c r="V83" s="23">
        <f>((T83-P83)/P83)</f>
        <v>-4.8469752971410914E-4</v>
      </c>
      <c r="W83" s="23">
        <f>((U83-Q83)/Q83)</f>
        <v>1.4422120549034724E-3</v>
      </c>
      <c r="X83" s="326">
        <v>101928161772.24001</v>
      </c>
      <c r="Y83" s="326">
        <v>2.0165000000000002</v>
      </c>
      <c r="Z83" s="23">
        <f>((X83-T83)/T83)</f>
        <v>2.6812906327047342E-4</v>
      </c>
      <c r="AA83" s="23">
        <f>((Y83-U83)/U83)</f>
        <v>1.3904752445747309E-3</v>
      </c>
      <c r="AB83" s="326">
        <v>108873034819.67999</v>
      </c>
      <c r="AC83" s="326">
        <v>1.883</v>
      </c>
      <c r="AD83" s="23">
        <f>((AB83-X83)/X83)</f>
        <v>6.813497787744284E-2</v>
      </c>
      <c r="AE83" s="23">
        <f>((AC83-Y83)/Y83)</f>
        <v>-6.6203818497396566E-2</v>
      </c>
      <c r="AF83" s="326">
        <v>102047324014.97</v>
      </c>
      <c r="AG83" s="326">
        <v>1.8851</v>
      </c>
      <c r="AH83" s="23">
        <f>((AF83-AB83)/AB83)</f>
        <v>-6.2694227418341145E-2</v>
      </c>
      <c r="AI83" s="23">
        <f>((AG83-AC83)/AC83)</f>
        <v>1.1152416356877274E-3</v>
      </c>
      <c r="AJ83" s="24">
        <f t="shared" si="74"/>
        <v>-4.2530571305827991E-5</v>
      </c>
      <c r="AK83" s="24">
        <f t="shared" si="75"/>
        <v>-7.1083487795146269E-3</v>
      </c>
      <c r="AL83" s="25">
        <f t="shared" si="76"/>
        <v>4.5721510326350856E-3</v>
      </c>
      <c r="AM83" s="25">
        <f t="shared" si="77"/>
        <v>-5.872072701852496E-2</v>
      </c>
      <c r="AN83" s="390">
        <f t="shared" si="78"/>
        <v>3.5176764851637329E-2</v>
      </c>
      <c r="AO83" s="391">
        <f t="shared" si="79"/>
        <v>2.3878365521803505E-2</v>
      </c>
      <c r="AP83" s="30"/>
      <c r="AQ83" s="28"/>
      <c r="AR83" s="28"/>
      <c r="AS83" s="29"/>
      <c r="AT83" s="29"/>
    </row>
    <row r="84" spans="1:46" s="302" customFormat="1" ht="15.75" customHeight="1">
      <c r="A84" s="202" t="s">
        <v>49</v>
      </c>
      <c r="B84" s="326">
        <v>9688464346.5499992</v>
      </c>
      <c r="C84" s="327">
        <v>1</v>
      </c>
      <c r="D84" s="326">
        <v>9651379398.7800007</v>
      </c>
      <c r="E84" s="327">
        <v>1</v>
      </c>
      <c r="F84" s="23">
        <f t="shared" si="58"/>
        <v>-3.8277426064125698E-3</v>
      </c>
      <c r="G84" s="23">
        <f t="shared" si="59"/>
        <v>0</v>
      </c>
      <c r="H84" s="326">
        <v>9656763576.3600006</v>
      </c>
      <c r="I84" s="327">
        <v>1</v>
      </c>
      <c r="J84" s="23">
        <f>((H84-D84)/D84)</f>
        <v>5.5786612022324191E-4</v>
      </c>
      <c r="K84" s="23">
        <f>((I84-E84)/E84)</f>
        <v>0</v>
      </c>
      <c r="L84" s="326">
        <v>9652344448.9799995</v>
      </c>
      <c r="M84" s="327">
        <v>1</v>
      </c>
      <c r="N84" s="23">
        <f>((L84-H84)/H84)</f>
        <v>-4.5761992048963513E-4</v>
      </c>
      <c r="O84" s="23">
        <f>((M84-I84)/I84)</f>
        <v>0</v>
      </c>
      <c r="P84" s="326">
        <v>9641773970.1900005</v>
      </c>
      <c r="Q84" s="327">
        <v>1</v>
      </c>
      <c r="R84" s="23">
        <f>((P84-L84)/L84)</f>
        <v>-1.0951203457224355E-3</v>
      </c>
      <c r="S84" s="23">
        <f>((Q84-M84)/M84)</f>
        <v>0</v>
      </c>
      <c r="T84" s="326">
        <v>9612697205.5799999</v>
      </c>
      <c r="U84" s="327">
        <v>1</v>
      </c>
      <c r="V84" s="23">
        <f>((T84-P84)/P84)</f>
        <v>-3.0157069331742097E-3</v>
      </c>
      <c r="W84" s="23">
        <f>((U84-Q84)/Q84)</f>
        <v>0</v>
      </c>
      <c r="X84" s="326">
        <v>9592351018.3799992</v>
      </c>
      <c r="Y84" s="327">
        <v>1</v>
      </c>
      <c r="Z84" s="23">
        <f>((X84-T84)/T84)</f>
        <v>-2.1165950372586543E-3</v>
      </c>
      <c r="AA84" s="23">
        <f>((Y84-U84)/U84)</f>
        <v>0</v>
      </c>
      <c r="AB84" s="326">
        <v>9596445122.3099995</v>
      </c>
      <c r="AC84" s="327">
        <v>1</v>
      </c>
      <c r="AD84" s="23">
        <f>((AB84-X84)/X84)</f>
        <v>4.2680922770190041E-4</v>
      </c>
      <c r="AE84" s="23">
        <f>((AC84-Y84)/Y84)</f>
        <v>0</v>
      </c>
      <c r="AF84" s="326">
        <v>9587506111.8400002</v>
      </c>
      <c r="AG84" s="327">
        <v>1</v>
      </c>
      <c r="AH84" s="23">
        <f>((AF84-AB84)/AB84)</f>
        <v>-9.3149185516809042E-4</v>
      </c>
      <c r="AI84" s="23">
        <f>((AG84-AC84)/AC84)</f>
        <v>0</v>
      </c>
      <c r="AJ84" s="24">
        <f t="shared" si="74"/>
        <v>-1.3074501687875563E-3</v>
      </c>
      <c r="AK84" s="24">
        <f t="shared" si="75"/>
        <v>0</v>
      </c>
      <c r="AL84" s="25">
        <f t="shared" si="76"/>
        <v>-6.6180474625289884E-3</v>
      </c>
      <c r="AM84" s="25">
        <f t="shared" si="77"/>
        <v>0</v>
      </c>
      <c r="AN84" s="390">
        <f t="shared" si="78"/>
        <v>1.5730058183990685E-3</v>
      </c>
      <c r="AO84" s="391">
        <f t="shared" si="79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2" t="s">
        <v>19</v>
      </c>
      <c r="B85" s="326">
        <v>2619514763.6799998</v>
      </c>
      <c r="C85" s="327">
        <v>24.122399999999999</v>
      </c>
      <c r="D85" s="326">
        <v>2623245741.79</v>
      </c>
      <c r="E85" s="327">
        <v>24.156099999999999</v>
      </c>
      <c r="F85" s="23">
        <f t="shared" si="58"/>
        <v>1.4243012338509232E-3</v>
      </c>
      <c r="G85" s="23">
        <f t="shared" si="59"/>
        <v>1.3970417537226654E-3</v>
      </c>
      <c r="H85" s="326">
        <v>2625605143.5300002</v>
      </c>
      <c r="I85" s="327">
        <v>24.1905</v>
      </c>
      <c r="J85" s="23">
        <f>((H85-D85)/D85)</f>
        <v>8.9942078334997501E-4</v>
      </c>
      <c r="K85" s="23">
        <f>((I85-E85)/E85)</f>
        <v>1.4240709386035635E-3</v>
      </c>
      <c r="L85" s="326">
        <v>2582475812.6300001</v>
      </c>
      <c r="M85" s="327">
        <v>24.225300000000001</v>
      </c>
      <c r="N85" s="23">
        <f>((L85-H85)/H85)</f>
        <v>-1.6426434495026461E-2</v>
      </c>
      <c r="O85" s="23">
        <f>((M85-I85)/I85)</f>
        <v>1.4385812612389413E-3</v>
      </c>
      <c r="P85" s="326">
        <v>2564390224.1900001</v>
      </c>
      <c r="Q85" s="327">
        <v>24.280799999999999</v>
      </c>
      <c r="R85" s="23">
        <f>((P85-L85)/L85)</f>
        <v>-7.003197610428594E-3</v>
      </c>
      <c r="S85" s="23">
        <f>((Q85-M85)/M85)</f>
        <v>2.290993300392505E-3</v>
      </c>
      <c r="T85" s="326">
        <v>2564396476.52</v>
      </c>
      <c r="U85" s="327">
        <v>24.290900000000001</v>
      </c>
      <c r="V85" s="23">
        <f>((T85-P85)/P85)</f>
        <v>2.4381351718413275E-6</v>
      </c>
      <c r="W85" s="23">
        <f>((U85-Q85)/Q85)</f>
        <v>4.1596652499099413E-4</v>
      </c>
      <c r="X85" s="326">
        <v>2567513920.6599998</v>
      </c>
      <c r="Y85" s="327">
        <v>24.331099999999999</v>
      </c>
      <c r="Z85" s="23">
        <f>((X85-T85)/T85)</f>
        <v>1.215663868104505E-3</v>
      </c>
      <c r="AA85" s="23">
        <f>((Y85-U85)/U85)</f>
        <v>1.6549407391244738E-3</v>
      </c>
      <c r="AB85" s="326">
        <v>2564626168.6799998</v>
      </c>
      <c r="AC85" s="327">
        <v>24.3658</v>
      </c>
      <c r="AD85" s="23">
        <f>((AB85-X85)/X85)</f>
        <v>-1.1247269028468207E-3</v>
      </c>
      <c r="AE85" s="23">
        <f>((AC85-Y85)/Y85)</f>
        <v>1.4261582912404635E-3</v>
      </c>
      <c r="AF85" s="326">
        <v>2568682014.5999999</v>
      </c>
      <c r="AG85" s="327">
        <v>24.4055</v>
      </c>
      <c r="AH85" s="23">
        <f>((AF85-AB85)/AB85)</f>
        <v>1.5814569661384995E-3</v>
      </c>
      <c r="AI85" s="23">
        <f>((AG85-AC85)/AC85)</f>
        <v>1.629332917449862E-3</v>
      </c>
      <c r="AJ85" s="24">
        <f t="shared" si="74"/>
        <v>-2.4288847527107666E-3</v>
      </c>
      <c r="AK85" s="24">
        <f t="shared" si="75"/>
        <v>1.4596357158454334E-3</v>
      </c>
      <c r="AL85" s="25">
        <f t="shared" si="76"/>
        <v>-2.0800082249544761E-2</v>
      </c>
      <c r="AM85" s="25">
        <f t="shared" si="77"/>
        <v>1.0324514304875432E-2</v>
      </c>
      <c r="AN85" s="390">
        <f t="shared" si="78"/>
        <v>6.321823097484568E-3</v>
      </c>
      <c r="AO85" s="391">
        <f t="shared" si="79"/>
        <v>5.1465507050347397E-4</v>
      </c>
      <c r="AP85" s="30"/>
      <c r="AQ85" s="28"/>
      <c r="AR85" s="28"/>
      <c r="AS85" s="29"/>
      <c r="AT85" s="29"/>
    </row>
    <row r="86" spans="1:46">
      <c r="A86" s="204" t="s">
        <v>42</v>
      </c>
      <c r="B86" s="76">
        <f>SUM(B56:B85)</f>
        <v>326343931654.87665</v>
      </c>
      <c r="C86" s="85"/>
      <c r="D86" s="76">
        <f>SUM(D56:D85)</f>
        <v>326621734089.72247</v>
      </c>
      <c r="E86" s="85"/>
      <c r="F86" s="23">
        <f>((D85-B86)/B86)</f>
        <v>-0.99196171435305203</v>
      </c>
      <c r="G86" s="23"/>
      <c r="H86" s="76">
        <f>SUM(H56:H85)</f>
        <v>326437563760.66541</v>
      </c>
      <c r="I86" s="85"/>
      <c r="J86" s="23">
        <f>((H85-D86)/D86)</f>
        <v>-0.99196132752510346</v>
      </c>
      <c r="K86" s="23"/>
      <c r="L86" s="76">
        <f>SUM(L56:L85)</f>
        <v>323714339049.49524</v>
      </c>
      <c r="M86" s="85"/>
      <c r="N86" s="23">
        <f>((L85-H86)/H86)</f>
        <v>-0.99208891347282757</v>
      </c>
      <c r="O86" s="23"/>
      <c r="P86" s="76">
        <f>SUM(P56:P85)</f>
        <v>323395950269.5387</v>
      </c>
      <c r="Q86" s="85"/>
      <c r="R86" s="23">
        <f>((P85-L86)/L86)</f>
        <v>-0.99207823097450776</v>
      </c>
      <c r="S86" s="23"/>
      <c r="T86" s="76">
        <f>SUM(T56:T85)</f>
        <v>319908980259.00153</v>
      </c>
      <c r="U86" s="85"/>
      <c r="V86" s="23">
        <f>((T85-P86)/P86)</f>
        <v>-0.99207041252562778</v>
      </c>
      <c r="W86" s="23"/>
      <c r="X86" s="76">
        <f>SUM(X56:X85)</f>
        <v>317665884188.13855</v>
      </c>
      <c r="Y86" s="85"/>
      <c r="Z86" s="23">
        <f>((X85-T86)/T86)</f>
        <v>-0.99197423617623581</v>
      </c>
      <c r="AA86" s="23"/>
      <c r="AB86" s="76">
        <f>SUM(AB56:AB85)</f>
        <v>327549421729.35663</v>
      </c>
      <c r="AC86" s="85"/>
      <c r="AD86" s="23">
        <f>((AB85-X86)/X86)</f>
        <v>-0.99192665534344537</v>
      </c>
      <c r="AE86" s="23"/>
      <c r="AF86" s="76">
        <f>SUM(AF56:AF85)</f>
        <v>321409973646.99713</v>
      </c>
      <c r="AG86" s="85"/>
      <c r="AH86" s="23">
        <f>((AF85-AB86)/AB86)</f>
        <v>-0.99215787956199664</v>
      </c>
      <c r="AI86" s="23"/>
      <c r="AJ86" s="24">
        <f t="shared" si="74"/>
        <v>-0.99202742124159948</v>
      </c>
      <c r="AK86" s="24"/>
      <c r="AL86" s="25">
        <f t="shared" si="76"/>
        <v>-1.5956563506865955E-2</v>
      </c>
      <c r="AM86" s="25"/>
      <c r="AN86" s="390">
        <f t="shared" si="78"/>
        <v>8.185242757046951E-5</v>
      </c>
      <c r="AO86" s="391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4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90"/>
      <c r="AO87" s="391"/>
      <c r="AP87" s="30"/>
      <c r="AQ87" s="40"/>
      <c r="AR87" s="13"/>
      <c r="AS87" s="29"/>
      <c r="AT87" s="29"/>
    </row>
    <row r="88" spans="1:46" s="108" customFormat="1">
      <c r="A88" s="201" t="s">
        <v>195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90"/>
      <c r="AO88" s="391"/>
      <c r="AP88" s="30"/>
      <c r="AQ88" s="40"/>
      <c r="AR88" s="13"/>
      <c r="AS88" s="29"/>
      <c r="AT88" s="29"/>
    </row>
    <row r="89" spans="1:46" s="108" customFormat="1">
      <c r="A89" s="200" t="s">
        <v>196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90"/>
      <c r="AO89" s="391"/>
      <c r="AP89" s="30"/>
      <c r="AQ89" s="40"/>
      <c r="AR89" s="13"/>
      <c r="AS89" s="29"/>
      <c r="AT89" s="29"/>
    </row>
    <row r="90" spans="1:46">
      <c r="A90" s="202" t="s">
        <v>145</v>
      </c>
      <c r="B90" s="326">
        <v>795010939.25999999</v>
      </c>
      <c r="C90" s="326">
        <f>108.026*460.5</f>
        <v>49745.972999999998</v>
      </c>
      <c r="D90" s="326">
        <v>792032015.80999994</v>
      </c>
      <c r="E90" s="326">
        <f>108.1469*461.03</f>
        <v>49858.965306999999</v>
      </c>
      <c r="F90" s="23">
        <f>((D103-B90)/B90)</f>
        <v>2.7341729791113165</v>
      </c>
      <c r="G90" s="23">
        <f t="shared" ref="G90:G99" si="80">((E90-C90)/C90)</f>
        <v>2.2713860074663819E-3</v>
      </c>
      <c r="H90" s="326">
        <v>799837469.70000005</v>
      </c>
      <c r="I90" s="326">
        <f>108.2735*460.53</f>
        <v>49863.194954999999</v>
      </c>
      <c r="J90" s="23">
        <f>((H103-D90)/D90)</f>
        <v>2.638621936865666</v>
      </c>
      <c r="K90" s="23">
        <f t="shared" ref="K90:K99" si="81">((I90-E90)/E90)</f>
        <v>8.4832245794852601E-5</v>
      </c>
      <c r="L90" s="326">
        <v>801937693.36000001</v>
      </c>
      <c r="M90" s="326">
        <f>108.3965*460.95</f>
        <v>49965.366674999997</v>
      </c>
      <c r="N90" s="23">
        <f>((L103-H90)/H90)</f>
        <v>2.6719622832743615</v>
      </c>
      <c r="O90" s="23">
        <f t="shared" ref="O90:O99" si="82">((M90-I90)/I90)</f>
        <v>2.0490407823286353E-3</v>
      </c>
      <c r="P90" s="326">
        <v>800455327.80999994</v>
      </c>
      <c r="Q90" s="326">
        <f>108.0555*461.55</f>
        <v>49873.016024999997</v>
      </c>
      <c r="R90" s="23">
        <f>((P103-L90)/L90)</f>
        <v>2.6648731369509844</v>
      </c>
      <c r="S90" s="23">
        <f t="shared" ref="S90:S99" si="83">((Q90-M90)/M90)</f>
        <v>-1.8482932508170234E-3</v>
      </c>
      <c r="T90" s="326">
        <v>792240227.33000004</v>
      </c>
      <c r="U90" s="326">
        <f>108.6188*462.88</f>
        <v>50277.470143999999</v>
      </c>
      <c r="V90" s="23">
        <f>((T103-P90)/P90)</f>
        <v>2.6381530492220659</v>
      </c>
      <c r="W90" s="23">
        <f t="shared" ref="W90:W99" si="84">((U90-Q90)/Q90)</f>
        <v>8.1096783638924079E-3</v>
      </c>
      <c r="X90" s="326">
        <v>1009385874.39</v>
      </c>
      <c r="Y90" s="326">
        <f>108.7447*588.95</f>
        <v>64045.191064999999</v>
      </c>
      <c r="Z90" s="23">
        <f>((X103-T90)/T90)</f>
        <v>3.5477748605717219</v>
      </c>
      <c r="AA90" s="23">
        <f t="shared" ref="AA90:AA99" si="85">((Y90-U90)/U90)</f>
        <v>0.27383479879890116</v>
      </c>
      <c r="AB90" s="326">
        <v>1274486249.7</v>
      </c>
      <c r="AC90" s="326">
        <f>108.8704*742.77</f>
        <v>80865.667008000004</v>
      </c>
      <c r="AD90" s="23">
        <f>((AB103-X90)/X90)</f>
        <v>3.6666923188679283</v>
      </c>
      <c r="AE90" s="23">
        <f t="shared" ref="AE90:AE99" si="86">((AC90-Y90)/Y90)</f>
        <v>0.26263448766869574</v>
      </c>
      <c r="AF90" s="326">
        <v>1327238436.2</v>
      </c>
      <c r="AG90" s="326">
        <f>108.9958*770.38</f>
        <v>83968.184404</v>
      </c>
      <c r="AH90" s="23">
        <f>((AF103-AB90)/AB90)</f>
        <v>2.7793647503647914</v>
      </c>
      <c r="AI90" s="23">
        <f t="shared" ref="AI90:AI99" si="87">((AG90-AC90)/AC90)</f>
        <v>3.8366311820479573E-2</v>
      </c>
      <c r="AJ90" s="24">
        <f t="shared" si="74"/>
        <v>2.917701914403604</v>
      </c>
      <c r="AK90" s="24">
        <f t="shared" si="75"/>
        <v>7.318778030459272E-2</v>
      </c>
      <c r="AL90" s="25">
        <f t="shared" si="76"/>
        <v>0.67573836626118211</v>
      </c>
      <c r="AM90" s="25">
        <f t="shared" si="77"/>
        <v>0.6841140582636841</v>
      </c>
      <c r="AN90" s="390">
        <f t="shared" si="78"/>
        <v>0.4294751187569415</v>
      </c>
      <c r="AO90" s="391">
        <f t="shared" si="79"/>
        <v>0.1211028391620538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2" t="s">
        <v>146</v>
      </c>
      <c r="B91" s="326">
        <f>11799004.44*461</f>
        <v>5439341046.8400002</v>
      </c>
      <c r="C91" s="326">
        <f>1.146*461</f>
        <v>528.30599999999993</v>
      </c>
      <c r="D91" s="326">
        <f>11820551.48*460.57</f>
        <v>5444191395.1436005</v>
      </c>
      <c r="E91" s="326">
        <f>1.1471*460.57</f>
        <v>528.31984699999998</v>
      </c>
      <c r="F91" s="23">
        <f>((D104-B91)/B91)</f>
        <v>4.5381615249774659E-2</v>
      </c>
      <c r="G91" s="23">
        <f t="shared" si="80"/>
        <v>2.6210188792206096E-5</v>
      </c>
      <c r="H91" s="326">
        <f>11850638.38*460.81</f>
        <v>5460892671.8878002</v>
      </c>
      <c r="I91" s="326">
        <f>1.1486*460.81</f>
        <v>529.28636600000004</v>
      </c>
      <c r="J91" s="23">
        <f>((H104-D91)/D91)</f>
        <v>4.3436196987369606E-2</v>
      </c>
      <c r="K91" s="23">
        <f t="shared" si="81"/>
        <v>1.8294201996921424E-3</v>
      </c>
      <c r="L91" s="326">
        <f>11640485.65*461.06</f>
        <v>5366962313.7890005</v>
      </c>
      <c r="M91" s="326">
        <f>1.1503*461.06</f>
        <v>530.35731800000008</v>
      </c>
      <c r="N91" s="23">
        <f>((L104-H91)/H91)</f>
        <v>3.1122603139066403E-2</v>
      </c>
      <c r="O91" s="23">
        <f t="shared" si="82"/>
        <v>2.0233886017007922E-3</v>
      </c>
      <c r="P91" s="326">
        <f>11667826.53*461.55</f>
        <v>5385285334.9215002</v>
      </c>
      <c r="Q91" s="326">
        <f>1.1521*461.55</f>
        <v>531.751755</v>
      </c>
      <c r="R91" s="23">
        <f>((P104-L91)/L91)</f>
        <v>2.6400661934398263E-2</v>
      </c>
      <c r="S91" s="23">
        <f t="shared" si="83"/>
        <v>2.6292406132122515E-3</v>
      </c>
      <c r="T91" s="326">
        <f>11659795.11*462.88</f>
        <v>5397085960.5167999</v>
      </c>
      <c r="U91" s="326">
        <f>1.1539*462.88</f>
        <v>534.11723199999994</v>
      </c>
      <c r="V91" s="23">
        <f>((T104-P91)/P91)</f>
        <v>-5.1867957820209379E-2</v>
      </c>
      <c r="W91" s="23">
        <f t="shared" si="84"/>
        <v>4.4484611056900825E-3</v>
      </c>
      <c r="X91" s="326">
        <f>11684243.38*589.45</f>
        <v>6887277260.3410006</v>
      </c>
      <c r="Y91" s="326">
        <f>1.1265*589.45</f>
        <v>664.01542500000005</v>
      </c>
      <c r="Z91" s="23">
        <f>((X104-T91)/T91)</f>
        <v>0.30236253085673276</v>
      </c>
      <c r="AA91" s="23">
        <f t="shared" si="85"/>
        <v>0.24320165165538063</v>
      </c>
      <c r="AB91" s="326">
        <f>11794314.09*742.77</f>
        <v>8760462676.6292992</v>
      </c>
      <c r="AC91" s="326">
        <f>1.1397*742.77</f>
        <v>846.53496899999993</v>
      </c>
      <c r="AD91" s="23">
        <f>((AB104-X91)/X91)</f>
        <v>-1.2688112660165207E-2</v>
      </c>
      <c r="AE91" s="23">
        <f t="shared" si="86"/>
        <v>0.27487244592247218</v>
      </c>
      <c r="AF91" s="326">
        <f>11518943.61*770.38</f>
        <v>8873963778.2717991</v>
      </c>
      <c r="AG91" s="326">
        <f>1.1409*770.38</f>
        <v>878.92654200000004</v>
      </c>
      <c r="AH91" s="23">
        <f>((AF104-AB91)/AB91)</f>
        <v>-7.2866155581283606E-2</v>
      </c>
      <c r="AI91" s="23">
        <f t="shared" si="87"/>
        <v>3.826371524647567E-2</v>
      </c>
      <c r="AJ91" s="24">
        <f t="shared" si="74"/>
        <v>3.8910172763210432E-2</v>
      </c>
      <c r="AK91" s="24">
        <f t="shared" si="75"/>
        <v>7.0911816691676996E-2</v>
      </c>
      <c r="AL91" s="25">
        <f t="shared" si="76"/>
        <v>0.62998747365635777</v>
      </c>
      <c r="AM91" s="25">
        <f t="shared" si="77"/>
        <v>0.66362582626959321</v>
      </c>
      <c r="AN91" s="390">
        <f t="shared" si="78"/>
        <v>0.11531549467131334</v>
      </c>
      <c r="AO91" s="391">
        <f t="shared" si="79"/>
        <v>0.11709109646933903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2" t="s">
        <v>171</v>
      </c>
      <c r="B92" s="326">
        <v>1013070328.72</v>
      </c>
      <c r="C92" s="326">
        <v>49193.263900000005</v>
      </c>
      <c r="D92" s="326">
        <v>1112084505.4552</v>
      </c>
      <c r="E92" s="326">
        <v>47605.035739999992</v>
      </c>
      <c r="F92" s="23">
        <f t="shared" ref="F92:F97" si="88">((D92-B92)/B92)</f>
        <v>9.7736725603545155E-2</v>
      </c>
      <c r="G92" s="23">
        <f t="shared" si="80"/>
        <v>-3.2285480451725287E-2</v>
      </c>
      <c r="H92" s="326">
        <v>1114031644.3122001</v>
      </c>
      <c r="I92" s="326">
        <v>47688.382560000005</v>
      </c>
      <c r="J92" s="23">
        <f>((H92-D92)/D92)</f>
        <v>1.7508910945603967E-3</v>
      </c>
      <c r="K92" s="23">
        <f t="shared" si="81"/>
        <v>1.7507983914815438E-3</v>
      </c>
      <c r="L92" s="326">
        <v>1115907348.6300001</v>
      </c>
      <c r="M92" s="326">
        <v>47768.644483999997</v>
      </c>
      <c r="N92" s="23">
        <f>((L92-H92)/H92)</f>
        <v>1.6837082926473776E-3</v>
      </c>
      <c r="O92" s="23">
        <f t="shared" si="82"/>
        <v>1.6830498266324774E-3</v>
      </c>
      <c r="P92" s="326">
        <v>1118303214.3695002</v>
      </c>
      <c r="Q92" s="326">
        <v>47871.244709999999</v>
      </c>
      <c r="R92" s="23">
        <f>((P92-L92)/L92)</f>
        <v>2.1470113468124849E-3</v>
      </c>
      <c r="S92" s="23">
        <f t="shared" si="83"/>
        <v>2.1478571792919103E-3</v>
      </c>
      <c r="T92" s="326">
        <v>1122848825.0646</v>
      </c>
      <c r="U92" s="326">
        <v>48065.805006000002</v>
      </c>
      <c r="V92" s="23">
        <f>((T92-P92)/P92)</f>
        <v>4.0647390052103603E-3</v>
      </c>
      <c r="W92" s="23">
        <f t="shared" si="84"/>
        <v>4.0642414288292131E-3</v>
      </c>
      <c r="X92" s="326">
        <v>1430072390.3730001</v>
      </c>
      <c r="Y92" s="326">
        <v>61217.152914999999</v>
      </c>
      <c r="Z92" s="23">
        <f>((X92-T92)/T92)</f>
        <v>0.27361080000304128</v>
      </c>
      <c r="AA92" s="23">
        <f t="shared" si="85"/>
        <v>0.27361131073032746</v>
      </c>
      <c r="AB92" s="326">
        <v>1805383438.0857</v>
      </c>
      <c r="AC92" s="326">
        <v>77283.059116999997</v>
      </c>
      <c r="AD92" s="23">
        <f>((AB92-X92)/X92)</f>
        <v>0.26244199261465989</v>
      </c>
      <c r="AE92" s="23">
        <f t="shared" si="86"/>
        <v>0.26244125113605832</v>
      </c>
      <c r="AF92" s="326">
        <v>1874623925.7504001</v>
      </c>
      <c r="AG92" s="326">
        <v>80247.06624</v>
      </c>
      <c r="AH92" s="23">
        <f>((AF92-AB92)/AB92)</f>
        <v>3.8352233771523747E-2</v>
      </c>
      <c r="AI92" s="23">
        <f t="shared" si="87"/>
        <v>3.8352611256145384E-2</v>
      </c>
      <c r="AJ92" s="24">
        <f t="shared" si="74"/>
        <v>8.5223512716500097E-2</v>
      </c>
      <c r="AK92" s="24">
        <f t="shared" si="75"/>
        <v>6.8970704937130131E-2</v>
      </c>
      <c r="AL92" s="25">
        <f t="shared" si="76"/>
        <v>0.68568478074701389</v>
      </c>
      <c r="AM92" s="25">
        <f t="shared" si="77"/>
        <v>0.68568440276524434</v>
      </c>
      <c r="AN92" s="390">
        <f t="shared" si="78"/>
        <v>0.11752488248941381</v>
      </c>
      <c r="AO92" s="391">
        <f t="shared" si="79"/>
        <v>0.12434008598538747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2" t="s">
        <v>239</v>
      </c>
      <c r="B93" s="326">
        <v>13184477272.639999</v>
      </c>
      <c r="C93" s="326">
        <v>56919</v>
      </c>
      <c r="D93" s="326">
        <v>13187329635.59</v>
      </c>
      <c r="E93" s="326">
        <v>57009.91</v>
      </c>
      <c r="F93" s="23">
        <f t="shared" si="88"/>
        <v>2.163425133220787E-4</v>
      </c>
      <c r="G93" s="23">
        <f t="shared" si="80"/>
        <v>1.5971819603296526E-3</v>
      </c>
      <c r="H93" s="326">
        <v>13206440467.370001</v>
      </c>
      <c r="I93" s="326">
        <v>57152.72</v>
      </c>
      <c r="J93" s="23">
        <f>((H93-D93)/D93)</f>
        <v>1.4491813208660775E-3</v>
      </c>
      <c r="K93" s="23">
        <f t="shared" si="81"/>
        <v>2.5050030775350752E-3</v>
      </c>
      <c r="L93" s="326">
        <v>13249511147.940001</v>
      </c>
      <c r="M93" s="326">
        <v>57376.28</v>
      </c>
      <c r="N93" s="23">
        <f>((L93-H93)/H93)</f>
        <v>3.2613390925751102E-3</v>
      </c>
      <c r="O93" s="23">
        <f t="shared" si="82"/>
        <v>3.9116248535502364E-3</v>
      </c>
      <c r="P93" s="326">
        <v>13254074928.66</v>
      </c>
      <c r="Q93" s="326">
        <v>57423.92</v>
      </c>
      <c r="R93" s="23">
        <f>((P93-L93)/L93)</f>
        <v>3.4444898902620102E-4</v>
      </c>
      <c r="S93" s="23">
        <f t="shared" si="83"/>
        <v>8.3030827373261945E-4</v>
      </c>
      <c r="T93" s="326">
        <v>13477414947.799999</v>
      </c>
      <c r="U93" s="326">
        <v>58448.25</v>
      </c>
      <c r="V93" s="23">
        <f>((T93-P93)/P93)</f>
        <v>1.6850668216539143E-2</v>
      </c>
      <c r="W93" s="23">
        <f t="shared" si="84"/>
        <v>1.7838036832037968E-2</v>
      </c>
      <c r="X93" s="326">
        <v>18912307316.380001</v>
      </c>
      <c r="Y93" s="326">
        <v>82097.61</v>
      </c>
      <c r="Z93" s="23">
        <f>((X93-T93)/T93)</f>
        <v>0.40325925925929679</v>
      </c>
      <c r="AA93" s="23">
        <f t="shared" si="85"/>
        <v>0.40462049761968921</v>
      </c>
      <c r="AB93" s="326">
        <v>21968043746.759998</v>
      </c>
      <c r="AC93" s="326">
        <v>95470.27</v>
      </c>
      <c r="AD93" s="23">
        <f>((AB93-X93)/X93)</f>
        <v>0.16157396235484264</v>
      </c>
      <c r="AE93" s="23">
        <f t="shared" si="86"/>
        <v>0.16288732400370734</v>
      </c>
      <c r="AF93" s="326">
        <v>21941802007.599998</v>
      </c>
      <c r="AG93" s="326">
        <v>95356.23</v>
      </c>
      <c r="AH93" s="23">
        <f>((AF93-AB93)/AB93)</f>
        <v>-1.1945414649800197E-3</v>
      </c>
      <c r="AI93" s="23">
        <f t="shared" si="87"/>
        <v>-1.1945079866225177E-3</v>
      </c>
      <c r="AJ93" s="24">
        <f t="shared" si="74"/>
        <v>7.3220082535186012E-2</v>
      </c>
      <c r="AK93" s="24">
        <f t="shared" si="75"/>
        <v>7.4124433579244947E-2</v>
      </c>
      <c r="AL93" s="25">
        <f t="shared" si="76"/>
        <v>0.66385482231242665</v>
      </c>
      <c r="AM93" s="25">
        <f t="shared" si="77"/>
        <v>0.67262551370454693</v>
      </c>
      <c r="AN93" s="390">
        <f t="shared" si="78"/>
        <v>0.14448579043072876</v>
      </c>
      <c r="AO93" s="391">
        <f t="shared" si="79"/>
        <v>0.14473572608938529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8" customFormat="1">
      <c r="A94" s="202" t="s">
        <v>267</v>
      </c>
      <c r="B94" s="326">
        <v>7470822431.4300003</v>
      </c>
      <c r="C94" s="326">
        <v>49740.57</v>
      </c>
      <c r="D94" s="326">
        <v>7636845106.1330996</v>
      </c>
      <c r="E94" s="326">
        <v>49848.42</v>
      </c>
      <c r="F94" s="23">
        <f t="shared" si="88"/>
        <v>2.22228109725425E-2</v>
      </c>
      <c r="G94" s="23">
        <f t="shared" si="80"/>
        <v>2.1682501828989603E-3</v>
      </c>
      <c r="H94" s="326">
        <v>7852544963.21</v>
      </c>
      <c r="I94" s="326">
        <v>50022.52</v>
      </c>
      <c r="J94" s="23">
        <f>((H94-D94)/D94)</f>
        <v>2.824462904238733E-2</v>
      </c>
      <c r="K94" s="23">
        <f t="shared" si="81"/>
        <v>3.4925881301754108E-3</v>
      </c>
      <c r="L94" s="326">
        <v>7966051854.75</v>
      </c>
      <c r="M94" s="326">
        <v>50283.21</v>
      </c>
      <c r="N94" s="23">
        <f>((L94-H94)/H94)</f>
        <v>1.4454790398755015E-2</v>
      </c>
      <c r="O94" s="23">
        <f t="shared" si="82"/>
        <v>5.2114527616761884E-3</v>
      </c>
      <c r="P94" s="326">
        <v>7968795753.2600002</v>
      </c>
      <c r="Q94" s="326">
        <v>50398.11</v>
      </c>
      <c r="R94" s="23">
        <f>((P94-L94)/L94)</f>
        <v>3.4444898928998264E-4</v>
      </c>
      <c r="S94" s="23">
        <f t="shared" si="83"/>
        <v>2.2850569802524831E-3</v>
      </c>
      <c r="T94" s="326">
        <v>8220705391.6599998</v>
      </c>
      <c r="U94" s="326">
        <v>51351.3</v>
      </c>
      <c r="V94" s="23">
        <f>((T94-P94)/P94)</f>
        <v>3.1612008413811392E-2</v>
      </c>
      <c r="W94" s="23">
        <f t="shared" si="84"/>
        <v>1.8913209245346747E-2</v>
      </c>
      <c r="X94" s="326">
        <v>11797150548.02</v>
      </c>
      <c r="Y94" s="326">
        <v>72198.429999999993</v>
      </c>
      <c r="Z94" s="23">
        <f>((X94-T94)/T94)</f>
        <v>0.43505331792918223</v>
      </c>
      <c r="AA94" s="23">
        <f t="shared" si="85"/>
        <v>0.40597083228662156</v>
      </c>
      <c r="AB94" s="326">
        <v>13829499913.58</v>
      </c>
      <c r="AC94" s="326">
        <v>84025.55</v>
      </c>
      <c r="AD94" s="23">
        <f>((AB94-X94)/X94)</f>
        <v>0.17227459777574028</v>
      </c>
      <c r="AE94" s="23">
        <f t="shared" si="86"/>
        <v>0.16381408847810142</v>
      </c>
      <c r="AF94" s="326">
        <v>13801704321.75</v>
      </c>
      <c r="AG94" s="326">
        <v>83925.18</v>
      </c>
      <c r="AH94" s="23">
        <f>((AF94-AB94)/AB94)</f>
        <v>-2.0098768577094966E-3</v>
      </c>
      <c r="AI94" s="23">
        <f t="shared" si="87"/>
        <v>-1.1945176199383389E-3</v>
      </c>
      <c r="AJ94" s="24">
        <f t="shared" si="74"/>
        <v>8.7774590832999905E-2</v>
      </c>
      <c r="AK94" s="24">
        <f t="shared" si="75"/>
        <v>7.5082620055641799E-2</v>
      </c>
      <c r="AL94" s="25">
        <f t="shared" si="76"/>
        <v>0.80725209558930855</v>
      </c>
      <c r="AM94" s="25">
        <f t="shared" si="77"/>
        <v>0.68360762487557269</v>
      </c>
      <c r="AN94" s="390">
        <f t="shared" si="78"/>
        <v>0.15110021594083012</v>
      </c>
      <c r="AO94" s="391">
        <f t="shared" si="79"/>
        <v>0.14489236898881677</v>
      </c>
      <c r="AP94" s="30"/>
      <c r="AQ94" s="28"/>
      <c r="AR94" s="28"/>
      <c r="AS94" s="29"/>
      <c r="AT94" s="29"/>
    </row>
    <row r="95" spans="1:46">
      <c r="A95" s="202" t="s">
        <v>236</v>
      </c>
      <c r="B95" s="326">
        <f>84375.74*461</f>
        <v>38897216.140000001</v>
      </c>
      <c r="C95" s="326">
        <f>101.72*461</f>
        <v>46892.92</v>
      </c>
      <c r="D95" s="326">
        <f>84427.53*461.03</f>
        <v>38923624.155899994</v>
      </c>
      <c r="E95" s="326">
        <f>101.78*461.03</f>
        <v>46923.633399999999</v>
      </c>
      <c r="F95" s="23">
        <f t="shared" si="88"/>
        <v>6.7891788977763787E-4</v>
      </c>
      <c r="G95" s="23">
        <f t="shared" si="80"/>
        <v>6.5496880979048751E-4</v>
      </c>
      <c r="H95" s="326">
        <f>84479.3*461.31</f>
        <v>38971145.883000001</v>
      </c>
      <c r="I95" s="326">
        <f>101.84*461.31</f>
        <v>46979.810400000002</v>
      </c>
      <c r="J95" s="23">
        <f>((H95-D95)/D95)</f>
        <v>1.220896772347545E-3</v>
      </c>
      <c r="K95" s="23">
        <f t="shared" si="81"/>
        <v>1.1972005560848859E-3</v>
      </c>
      <c r="L95" s="326">
        <f>84531.06*461.45</f>
        <v>39006857.636999995</v>
      </c>
      <c r="M95" s="326">
        <f>101.9*461.45</f>
        <v>47021.755000000005</v>
      </c>
      <c r="N95" s="23">
        <f>((L95-H95)/H95)</f>
        <v>9.1636397110846546E-4</v>
      </c>
      <c r="O95" s="23">
        <f t="shared" si="82"/>
        <v>8.9282182373393601E-4</v>
      </c>
      <c r="P95" s="326">
        <f>84582.8*462.05</f>
        <v>39081482.740000002</v>
      </c>
      <c r="Q95" s="326">
        <f>101.97*462.05</f>
        <v>47115.238499999999</v>
      </c>
      <c r="R95" s="23">
        <f>((P95-L95)/L95)</f>
        <v>1.9131277811320502E-3</v>
      </c>
      <c r="S95" s="23">
        <f t="shared" si="83"/>
        <v>1.9880904062384488E-3</v>
      </c>
      <c r="T95" s="326">
        <f>84634.53*462.9</f>
        <v>39177323.936999999</v>
      </c>
      <c r="U95" s="326">
        <f>102.03*462.9</f>
        <v>47229.686999999998</v>
      </c>
      <c r="V95" s="23">
        <f>((T95-P95)/P95)</f>
        <v>2.4523429071922898E-3</v>
      </c>
      <c r="W95" s="23">
        <f t="shared" si="84"/>
        <v>2.4291185536500807E-3</v>
      </c>
      <c r="X95" s="326">
        <f>84686.24*589.45</f>
        <v>49918304.168000005</v>
      </c>
      <c r="Y95" s="326">
        <f>102.09*589.45</f>
        <v>60176.950500000006</v>
      </c>
      <c r="Z95" s="23">
        <f>((X95-T95)/T95)</f>
        <v>0.27416319318471799</v>
      </c>
      <c r="AA95" s="23">
        <f t="shared" si="85"/>
        <v>0.27413401024656397</v>
      </c>
      <c r="AB95" s="326">
        <f>80066.12*743.27</f>
        <v>59510745.012399994</v>
      </c>
      <c r="AC95" s="326">
        <f>101.32*743.27</f>
        <v>75308.116399999999</v>
      </c>
      <c r="AD95" s="23">
        <f>((AB95-X95)/X95)</f>
        <v>0.19216279487613677</v>
      </c>
      <c r="AE95" s="23">
        <f t="shared" si="86"/>
        <v>0.25144454436919317</v>
      </c>
      <c r="AF95" s="326">
        <f>80095.63*770.88</f>
        <v>61744119.2544</v>
      </c>
      <c r="AG95" s="326">
        <f>101.35*770.88</f>
        <v>78128.687999999995</v>
      </c>
      <c r="AH95" s="23">
        <f>((AF95-AB95)/AB95)</f>
        <v>3.752892425619353E-2</v>
      </c>
      <c r="AI95" s="23">
        <f t="shared" si="87"/>
        <v>3.7453753125605935E-2</v>
      </c>
      <c r="AJ95" s="24">
        <f t="shared" si="74"/>
        <v>6.3879570204825792E-2</v>
      </c>
      <c r="AK95" s="24">
        <f t="shared" si="75"/>
        <v>7.1274313486357613E-2</v>
      </c>
      <c r="AL95" s="25">
        <f t="shared" si="76"/>
        <v>0.58628906206414755</v>
      </c>
      <c r="AM95" s="25">
        <f t="shared" si="77"/>
        <v>0.66501786709466526</v>
      </c>
      <c r="AN95" s="390">
        <f t="shared" si="78"/>
        <v>0.10748294599360464</v>
      </c>
      <c r="AO95" s="391">
        <f t="shared" si="79"/>
        <v>0.11901313763675053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2" t="s">
        <v>120</v>
      </c>
      <c r="B96" s="326">
        <v>5848133666.3100004</v>
      </c>
      <c r="C96" s="326">
        <v>460.5</v>
      </c>
      <c r="D96" s="326">
        <v>5891862899.6499996</v>
      </c>
      <c r="E96" s="326">
        <v>460.53</v>
      </c>
      <c r="F96" s="23">
        <f t="shared" si="88"/>
        <v>7.4774681693606116E-3</v>
      </c>
      <c r="G96" s="23">
        <f t="shared" si="80"/>
        <v>6.5146579804501004E-5</v>
      </c>
      <c r="H96" s="326">
        <v>5904820210.9300003</v>
      </c>
      <c r="I96" s="326">
        <v>460.81</v>
      </c>
      <c r="J96" s="23">
        <f t="shared" ref="J96" si="89">((H96-D96)/D96)</f>
        <v>2.1991875066832262E-3</v>
      </c>
      <c r="K96" s="23">
        <f t="shared" si="81"/>
        <v>6.0799513603897594E-4</v>
      </c>
      <c r="L96" s="326">
        <v>5911798377.3400002</v>
      </c>
      <c r="M96" s="326">
        <v>461.06</v>
      </c>
      <c r="N96" s="23">
        <f t="shared" ref="N96" si="90">((L96-H96)/H96)</f>
        <v>1.1817745775024701E-3</v>
      </c>
      <c r="O96" s="23">
        <f t="shared" si="82"/>
        <v>5.4252294872073092E-4</v>
      </c>
      <c r="P96" s="326">
        <v>5849124867.54</v>
      </c>
      <c r="Q96" s="326">
        <v>461.55</v>
      </c>
      <c r="R96" s="23">
        <f t="shared" ref="R96" si="91">((P96-L96)/L96)</f>
        <v>-1.0601428837666143E-2</v>
      </c>
      <c r="S96" s="23">
        <f t="shared" si="83"/>
        <v>1.0627684032447167E-3</v>
      </c>
      <c r="T96" s="326">
        <v>5919393244.4200001</v>
      </c>
      <c r="U96" s="326">
        <v>462.88</v>
      </c>
      <c r="V96" s="23">
        <f t="shared" ref="V96" si="92">((T96-P96)/P96)</f>
        <v>1.201348551643304E-2</v>
      </c>
      <c r="W96" s="23">
        <f t="shared" si="84"/>
        <v>2.8815946268009622E-3</v>
      </c>
      <c r="X96" s="326">
        <v>7169191969.5200005</v>
      </c>
      <c r="Y96" s="326">
        <v>588.95000000000005</v>
      </c>
      <c r="Z96" s="23">
        <f t="shared" ref="Z96" si="93">((X96-T96)/T96)</f>
        <v>0.21113628939556278</v>
      </c>
      <c r="AA96" s="23">
        <f t="shared" si="85"/>
        <v>0.27236000691323897</v>
      </c>
      <c r="AB96" s="326">
        <v>9530705087.2399998</v>
      </c>
      <c r="AC96" s="326">
        <v>742.77</v>
      </c>
      <c r="AD96" s="23">
        <f t="shared" ref="AD96" si="94">((AB96-X96)/X96)</f>
        <v>0.32939738923996337</v>
      </c>
      <c r="AE96" s="23">
        <f t="shared" si="86"/>
        <v>0.26117667034553005</v>
      </c>
      <c r="AF96" s="326">
        <v>9918831535.8400002</v>
      </c>
      <c r="AG96" s="326">
        <v>770.38</v>
      </c>
      <c r="AH96" s="23">
        <f t="shared" ref="AH96" si="95">((AF96-AB96)/AB96)</f>
        <v>4.0723791686686009E-2</v>
      </c>
      <c r="AI96" s="23">
        <f t="shared" si="87"/>
        <v>3.7171668214925228E-2</v>
      </c>
      <c r="AJ96" s="24">
        <f t="shared" si="74"/>
        <v>7.4190994656815668E-2</v>
      </c>
      <c r="AK96" s="24">
        <f t="shared" si="75"/>
        <v>7.198354664603801E-2</v>
      </c>
      <c r="AL96" s="25">
        <f t="shared" si="76"/>
        <v>0.68347969136030284</v>
      </c>
      <c r="AM96" s="25">
        <f t="shared" si="77"/>
        <v>0.67281176036306001</v>
      </c>
      <c r="AN96" s="390">
        <f t="shared" si="78"/>
        <v>0.1259387777093918</v>
      </c>
      <c r="AO96" s="391">
        <f t="shared" si="79"/>
        <v>0.12090847353744394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2" customFormat="1">
      <c r="A97" s="213" t="s">
        <v>250</v>
      </c>
      <c r="B97" s="326">
        <f>1573650.61*461</f>
        <v>725452931.21000004</v>
      </c>
      <c r="C97" s="326">
        <f>101.24*461</f>
        <v>46671.64</v>
      </c>
      <c r="D97" s="326">
        <f>1754294.48*461.03</f>
        <v>808782384.11439991</v>
      </c>
      <c r="E97" s="326">
        <f>101.42*461.03</f>
        <v>46757.662599999996</v>
      </c>
      <c r="F97" s="23">
        <f t="shared" si="88"/>
        <v>0.11486541623784291</v>
      </c>
      <c r="G97" s="23">
        <f t="shared" si="80"/>
        <v>1.8431450019754309E-3</v>
      </c>
      <c r="H97" s="326">
        <f>1778343.24*461.31</f>
        <v>820367520.04439998</v>
      </c>
      <c r="I97" s="326">
        <f>101.62*461.31</f>
        <v>46878.322200000002</v>
      </c>
      <c r="J97" s="23">
        <f>((H97-D97)/D97)</f>
        <v>1.4324169464553253E-2</v>
      </c>
      <c r="K97" s="23">
        <f t="shared" si="81"/>
        <v>2.5805310464772106E-3</v>
      </c>
      <c r="L97" s="326">
        <f>1800743.84*461.45</f>
        <v>830953244.96800005</v>
      </c>
      <c r="M97" s="326">
        <f>101.83*461.45</f>
        <v>46989.453499999996</v>
      </c>
      <c r="N97" s="23">
        <f>((L97-H97)/H97)</f>
        <v>1.2903637290548943E-2</v>
      </c>
      <c r="O97" s="23">
        <f t="shared" si="82"/>
        <v>2.3706330513679017E-3</v>
      </c>
      <c r="P97" s="326">
        <f>1785067.5*462.05</f>
        <v>824790438.375</v>
      </c>
      <c r="Q97" s="326">
        <f>102*462.05</f>
        <v>47129.1</v>
      </c>
      <c r="R97" s="23">
        <f>((P97-L97)/L97)</f>
        <v>-7.4165503658841642E-3</v>
      </c>
      <c r="S97" s="23">
        <f t="shared" si="83"/>
        <v>2.9718689960929758E-3</v>
      </c>
      <c r="T97" s="326">
        <f>1871731.68*462.9</f>
        <v>866424594.67199993</v>
      </c>
      <c r="U97" s="326">
        <f>102*462.05</f>
        <v>47129.1</v>
      </c>
      <c r="V97" s="23">
        <f>((T97-P97)/P97)</f>
        <v>5.0478466238075503E-2</v>
      </c>
      <c r="W97" s="23">
        <f t="shared" si="84"/>
        <v>0</v>
      </c>
      <c r="X97" s="326">
        <f>2009282.34*589.45</f>
        <v>1184371475.3130002</v>
      </c>
      <c r="Y97" s="326">
        <f>102.4*589.45</f>
        <v>60359.680000000008</v>
      </c>
      <c r="Z97" s="23">
        <f>((X97-T97)/T97)</f>
        <v>0.36696428355818383</v>
      </c>
      <c r="AA97" s="23">
        <f t="shared" si="85"/>
        <v>0.28073058895671699</v>
      </c>
      <c r="AB97" s="326">
        <f>2020647.39*743.27</f>
        <v>1501886585.5653</v>
      </c>
      <c r="AC97" s="326">
        <f>102.61*743.27</f>
        <v>76266.934699999998</v>
      </c>
      <c r="AD97" s="23">
        <f>((AB97-X97)/X97)</f>
        <v>0.26808743444989536</v>
      </c>
      <c r="AE97" s="23">
        <f t="shared" si="86"/>
        <v>0.26354107079427835</v>
      </c>
      <c r="AF97" s="326">
        <f>2046075.55*770.88</f>
        <v>1577278719.984</v>
      </c>
      <c r="AG97" s="326">
        <f>102.81*770.88</f>
        <v>79254.1728</v>
      </c>
      <c r="AH97" s="23">
        <f>((AF97-AB97)/AB97)</f>
        <v>5.0198287369563853E-2</v>
      </c>
      <c r="AI97" s="23">
        <f t="shared" si="87"/>
        <v>3.9168194077164119E-2</v>
      </c>
      <c r="AJ97" s="24">
        <f t="shared" si="74"/>
        <v>0.10880064303034745</v>
      </c>
      <c r="AK97" s="24">
        <f t="shared" si="75"/>
        <v>7.4150753990509119E-2</v>
      </c>
      <c r="AL97" s="25">
        <f t="shared" si="76"/>
        <v>0.95018926099767587</v>
      </c>
      <c r="AM97" s="25">
        <f t="shared" si="77"/>
        <v>0.69499860328775298</v>
      </c>
      <c r="AN97" s="390">
        <f t="shared" si="78"/>
        <v>0.13655020891773792</v>
      </c>
      <c r="AO97" s="391">
        <f t="shared" si="79"/>
        <v>0.12296081878278643</v>
      </c>
      <c r="AP97" s="30"/>
      <c r="AQ97" s="28"/>
      <c r="AR97" s="32"/>
      <c r="AS97" s="29"/>
      <c r="AT97" s="29"/>
    </row>
    <row r="98" spans="1:46" s="302" customFormat="1">
      <c r="A98" s="213" t="s">
        <v>127</v>
      </c>
      <c r="B98" s="326">
        <f>1720954.35*461</f>
        <v>793359955.35000002</v>
      </c>
      <c r="C98" s="326">
        <f>128.42*461</f>
        <v>59201.619999999995</v>
      </c>
      <c r="D98" s="326">
        <f>1722269.22*461.03</f>
        <v>794017778.49659991</v>
      </c>
      <c r="E98" s="326">
        <f>128.553101*461.03</f>
        <v>59266.836154029996</v>
      </c>
      <c r="F98" s="23">
        <f>((D110-B98)/B98)</f>
        <v>5.9373329051778683</v>
      </c>
      <c r="G98" s="23">
        <f t="shared" si="80"/>
        <v>1.1015940785066411E-3</v>
      </c>
      <c r="H98" s="326">
        <f>1711619.73*461.31</f>
        <v>789587297.64629996</v>
      </c>
      <c r="I98" s="326">
        <f>130.84*461.31</f>
        <v>60357.8004</v>
      </c>
      <c r="J98" s="23">
        <f>((H110-D98)/D98)</f>
        <v>5.9737403026344342</v>
      </c>
      <c r="K98" s="23">
        <f t="shared" si="81"/>
        <v>1.8407668044480581E-2</v>
      </c>
      <c r="L98" s="326">
        <f>1671595.37*461.45</f>
        <v>771357683.48650002</v>
      </c>
      <c r="M98" s="326">
        <f>127.9*461.45</f>
        <v>59019.455000000002</v>
      </c>
      <c r="N98" s="23">
        <f>((L110-H98)/H98)</f>
        <v>6.181730458726526</v>
      </c>
      <c r="O98" s="23">
        <f t="shared" si="82"/>
        <v>-2.2173528377949277E-2</v>
      </c>
      <c r="P98" s="326">
        <f>1681287.76*462.05</f>
        <v>776839009.50800002</v>
      </c>
      <c r="Q98" s="326">
        <f>128.66*462.05</f>
        <v>59447.353000000003</v>
      </c>
      <c r="R98" s="23">
        <f>((P110-L98)/L98)</f>
        <v>6.4829774282672581</v>
      </c>
      <c r="S98" s="23">
        <f t="shared" si="83"/>
        <v>7.2501177789595144E-3</v>
      </c>
      <c r="T98" s="326">
        <f>1671501.35*462.9</f>
        <v>773737974.91499996</v>
      </c>
      <c r="U98" s="326">
        <f>127.96*462.9</f>
        <v>59232.683999999994</v>
      </c>
      <c r="V98" s="23">
        <f>((T110-P98)/P98)</f>
        <v>6.7564445457575175</v>
      </c>
      <c r="W98" s="23">
        <f t="shared" si="84"/>
        <v>-3.6110775192969308E-3</v>
      </c>
      <c r="X98" s="326">
        <f>1696598.64*589.45</f>
        <v>1000060068.348</v>
      </c>
      <c r="Y98" s="326">
        <f>126.2*589.45</f>
        <v>74388.590000000011</v>
      </c>
      <c r="Z98" s="23">
        <f>((X110-T98)/T98)</f>
        <v>9.1181842619396392</v>
      </c>
      <c r="AA98" s="23">
        <f t="shared" si="85"/>
        <v>0.25587066086689603</v>
      </c>
      <c r="AB98" s="326">
        <f>1702290.92*743.27</f>
        <v>1265261772.1083999</v>
      </c>
      <c r="AC98" s="326">
        <f>130.28*743.27</f>
        <v>96833.215599999996</v>
      </c>
      <c r="AD98" s="23">
        <f>((AB110-X98)/X98)</f>
        <v>10.042381233331328</v>
      </c>
      <c r="AE98" s="23">
        <f t="shared" si="86"/>
        <v>0.30172134731952821</v>
      </c>
      <c r="AF98" s="326">
        <f>1703890.93*770.88</f>
        <v>1313495440.1183999</v>
      </c>
      <c r="AG98" s="326">
        <f>126.2*770.88</f>
        <v>97285.055999999997</v>
      </c>
      <c r="AH98" s="23">
        <f>((AF110-AB98)/AB98)</f>
        <v>8.0312891342464496</v>
      </c>
      <c r="AI98" s="23">
        <f t="shared" si="87"/>
        <v>4.6661715941198273E-3</v>
      </c>
      <c r="AJ98" s="24">
        <f t="shared" si="74"/>
        <v>7.3155100337601269</v>
      </c>
      <c r="AK98" s="24">
        <f t="shared" si="75"/>
        <v>7.0404119223155578E-2</v>
      </c>
      <c r="AL98" s="25">
        <f t="shared" si="76"/>
        <v>0.65423933278343394</v>
      </c>
      <c r="AM98" s="25">
        <f t="shared" si="77"/>
        <v>0.6414754407872143</v>
      </c>
      <c r="AN98" s="390">
        <f t="shared" si="78"/>
        <v>1.5670098789754521</v>
      </c>
      <c r="AO98" s="391">
        <f t="shared" si="79"/>
        <v>0.12970887449050184</v>
      </c>
      <c r="AP98" s="30"/>
      <c r="AQ98" s="28"/>
      <c r="AR98" s="32"/>
      <c r="AS98" s="29"/>
      <c r="AT98" s="29"/>
    </row>
    <row r="99" spans="1:46">
      <c r="A99" s="213" t="s">
        <v>165</v>
      </c>
      <c r="B99" s="326">
        <v>68829528747.479996</v>
      </c>
      <c r="C99" s="326">
        <v>59163.86</v>
      </c>
      <c r="D99" s="326">
        <v>67931334769.089996</v>
      </c>
      <c r="E99" s="326">
        <v>59234.32</v>
      </c>
      <c r="F99" s="23">
        <f>((D111-B99)/B99)</f>
        <v>3.8143956672398494</v>
      </c>
      <c r="G99" s="23">
        <f t="shared" si="80"/>
        <v>1.1909297331174661E-3</v>
      </c>
      <c r="H99" s="326">
        <v>68183648509.949997</v>
      </c>
      <c r="I99" s="326">
        <v>59234.32</v>
      </c>
      <c r="J99" s="23">
        <f>((H111-D99)/D99)</f>
        <v>3.8526593944782639</v>
      </c>
      <c r="K99" s="23">
        <f t="shared" si="81"/>
        <v>0</v>
      </c>
      <c r="L99" s="326">
        <v>68538673455.510002</v>
      </c>
      <c r="M99" s="326">
        <v>59645.36</v>
      </c>
      <c r="N99" s="23">
        <f>((L111-H99)/H99)</f>
        <v>3.8678627510029853</v>
      </c>
      <c r="O99" s="23">
        <f t="shared" si="82"/>
        <v>6.9392203708931047E-3</v>
      </c>
      <c r="P99" s="326">
        <v>68524697698.400002</v>
      </c>
      <c r="Q99" s="326">
        <v>59699.360000000001</v>
      </c>
      <c r="R99" s="23">
        <f>((P111-L99)/L99)</f>
        <v>3.8426198466387307</v>
      </c>
      <c r="S99" s="23">
        <f t="shared" si="83"/>
        <v>9.0535122933284328E-4</v>
      </c>
      <c r="T99" s="326">
        <v>70083833814.229996</v>
      </c>
      <c r="U99" s="326">
        <v>60764.87</v>
      </c>
      <c r="V99" s="23">
        <f>((T111-P99)/P99)</f>
        <v>3.9412449190309524</v>
      </c>
      <c r="W99" s="23">
        <f t="shared" si="84"/>
        <v>1.7847930028060635E-2</v>
      </c>
      <c r="X99" s="326">
        <v>100063914841.14</v>
      </c>
      <c r="Y99" s="326">
        <v>85352.41</v>
      </c>
      <c r="Z99" s="23">
        <f>((X111-T99)/T99)</f>
        <v>5.7133661102234257</v>
      </c>
      <c r="AA99" s="23">
        <f t="shared" si="85"/>
        <v>0.40463412494752315</v>
      </c>
      <c r="AB99" s="326">
        <v>115594181627.23</v>
      </c>
      <c r="AC99" s="326">
        <v>92516.67</v>
      </c>
      <c r="AD99" s="23">
        <f>((AB111-X99)/X99)</f>
        <v>4.5016793932661558</v>
      </c>
      <c r="AE99" s="23">
        <f t="shared" si="86"/>
        <v>8.3937407274147197E-2</v>
      </c>
      <c r="AF99" s="326">
        <v>115362369025.59</v>
      </c>
      <c r="AG99" s="326">
        <v>93090.25</v>
      </c>
      <c r="AH99" s="23">
        <f>((AF111-AB99)/AB99)</f>
        <v>3.7893685179320142</v>
      </c>
      <c r="AI99" s="23">
        <f t="shared" si="87"/>
        <v>6.1997475698163558E-3</v>
      </c>
      <c r="AJ99" s="24">
        <f t="shared" si="74"/>
        <v>4.1653995749765471</v>
      </c>
      <c r="AK99" s="24">
        <f t="shared" si="75"/>
        <v>6.5206838894111344E-2</v>
      </c>
      <c r="AL99" s="25">
        <f t="shared" si="76"/>
        <v>0.69822026046928187</v>
      </c>
      <c r="AM99" s="25">
        <f t="shared" si="77"/>
        <v>0.57155935950644832</v>
      </c>
      <c r="AN99" s="390">
        <f t="shared" si="78"/>
        <v>0.66704618114574621</v>
      </c>
      <c r="AO99" s="391">
        <f t="shared" si="79"/>
        <v>0.1399827463518796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4"/>
      <c r="B100" s="85"/>
      <c r="C100" s="85"/>
      <c r="D100" s="85"/>
      <c r="E100" s="85"/>
      <c r="F100" s="23"/>
      <c r="G100" s="23"/>
      <c r="H100" s="85"/>
      <c r="I100" s="85"/>
      <c r="J100" s="23"/>
      <c r="K100" s="23"/>
      <c r="L100" s="85"/>
      <c r="M100" s="85"/>
      <c r="N100" s="23"/>
      <c r="O100" s="23"/>
      <c r="P100" s="85"/>
      <c r="Q100" s="85"/>
      <c r="R100" s="23"/>
      <c r="S100" s="23"/>
      <c r="T100" s="85"/>
      <c r="U100" s="326"/>
      <c r="V100" s="23"/>
      <c r="W100" s="23"/>
      <c r="X100" s="85"/>
      <c r="Y100" s="85"/>
      <c r="Z100" s="23"/>
      <c r="AA100" s="23"/>
      <c r="AB100" s="85"/>
      <c r="AC100" s="85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390"/>
      <c r="AO100" s="391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0" t="s">
        <v>197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90"/>
      <c r="AO101" s="391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2" t="s">
        <v>148</v>
      </c>
      <c r="B102" s="325">
        <v>390563596.22000003</v>
      </c>
      <c r="C102" s="326">
        <v>42122.03</v>
      </c>
      <c r="D102" s="325">
        <v>390563596.22000003</v>
      </c>
      <c r="E102" s="326">
        <v>42122.03</v>
      </c>
      <c r="F102" s="23">
        <f t="shared" ref="F102:F110" si="96">((D102-B102)/B102)</f>
        <v>0</v>
      </c>
      <c r="G102" s="23">
        <f t="shared" ref="G102:G110" si="97">((E102-C102)/C102)</f>
        <v>0</v>
      </c>
      <c r="H102" s="325">
        <v>392500040.07999998</v>
      </c>
      <c r="I102" s="326">
        <v>42333.79</v>
      </c>
      <c r="J102" s="23">
        <f t="shared" ref="J102:J109" si="98">((H102-D102)/D102)</f>
        <v>4.9580756597426912E-3</v>
      </c>
      <c r="K102" s="23">
        <f t="shared" ref="K102:K109" si="99">((I102-E102)/E102)</f>
        <v>5.027298067068516E-3</v>
      </c>
      <c r="L102" s="325">
        <v>396647568.00999999</v>
      </c>
      <c r="M102" s="326">
        <v>42757.31</v>
      </c>
      <c r="N102" s="23">
        <f t="shared" ref="N102:N109" si="100">((L102-H102)/H102)</f>
        <v>1.0566949061087105E-2</v>
      </c>
      <c r="O102" s="23">
        <f t="shared" ref="O102:O109" si="101">((M102-I102)/I102)</f>
        <v>1.0004301528400759E-2</v>
      </c>
      <c r="P102" s="325">
        <v>407587039.99000001</v>
      </c>
      <c r="Q102" s="326">
        <v>43935.8</v>
      </c>
      <c r="R102" s="23">
        <f t="shared" ref="R102:R109" si="102">((P102-L102)/L102)</f>
        <v>2.7579828700031814E-2</v>
      </c>
      <c r="S102" s="23">
        <f t="shared" ref="S102:S109" si="103">((Q102-M102)/M102)</f>
        <v>2.7562304550964627E-2</v>
      </c>
      <c r="T102" s="325">
        <v>405114500.13999999</v>
      </c>
      <c r="U102" s="326">
        <v>43668.800000000003</v>
      </c>
      <c r="V102" s="23">
        <f t="shared" ref="V102:V109" si="104">((T102-P102)/P102)</f>
        <v>-6.0662867250653668E-3</v>
      </c>
      <c r="W102" s="23">
        <f t="shared" ref="W102:W109" si="105">((U102-Q102)/Q102)</f>
        <v>-6.0770487848178477E-3</v>
      </c>
      <c r="X102" s="325">
        <v>419170905.30000001</v>
      </c>
      <c r="Y102" s="326">
        <v>45183.35</v>
      </c>
      <c r="Z102" s="23">
        <f t="shared" ref="Z102:Z109" si="106">((X102-T102)/T102)</f>
        <v>3.4697363720978626E-2</v>
      </c>
      <c r="AA102" s="23">
        <f t="shared" ref="AA102:AA109" si="107">((Y102-U102)/U102)</f>
        <v>3.4682656725167522E-2</v>
      </c>
      <c r="AB102" s="325">
        <v>404929163.23000002</v>
      </c>
      <c r="AC102" s="326">
        <v>44879.519999999997</v>
      </c>
      <c r="AD102" s="23">
        <f t="shared" ref="AD102:AD109" si="108">((AB102-X102)/X102)</f>
        <v>-3.3975979463095607E-2</v>
      </c>
      <c r="AE102" s="23">
        <f t="shared" ref="AE102:AE109" si="109">((AC102-Y102)/Y102)</f>
        <v>-6.724379666403703E-3</v>
      </c>
      <c r="AF102" s="325">
        <v>672003049.42999995</v>
      </c>
      <c r="AG102" s="326">
        <v>74477.78</v>
      </c>
      <c r="AH102" s="23">
        <f t="shared" ref="AH102:AH109" si="110">((AF102-AB102)/AB102)</f>
        <v>0.65955705454660418</v>
      </c>
      <c r="AI102" s="23">
        <f t="shared" ref="AI102:AI109" si="111">((AG102-AC102)/AC102)</f>
        <v>0.65950482536355126</v>
      </c>
      <c r="AJ102" s="24">
        <f t="shared" si="74"/>
        <v>8.7164625687535427E-2</v>
      </c>
      <c r="AK102" s="24">
        <f t="shared" si="75"/>
        <v>9.0497494722991387E-2</v>
      </c>
      <c r="AL102" s="25">
        <f t="shared" si="76"/>
        <v>0.72059827370973994</v>
      </c>
      <c r="AM102" s="25">
        <f t="shared" si="77"/>
        <v>0.76814317828461731</v>
      </c>
      <c r="AN102" s="390">
        <f t="shared" si="78"/>
        <v>0.23223328676580202</v>
      </c>
      <c r="AO102" s="391">
        <f t="shared" si="79"/>
        <v>0.23040285128355342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2" t="s">
        <v>227</v>
      </c>
      <c r="B103" s="326">
        <f>6373878.32  *461</f>
        <v>2938357905.52</v>
      </c>
      <c r="C103" s="325">
        <f>126.65*461</f>
        <v>58385.65</v>
      </c>
      <c r="D103" s="326">
        <f>6439295.42*461.03</f>
        <v>2968708367.4825997</v>
      </c>
      <c r="E103" s="325">
        <f>126.86*461.03</f>
        <v>58486.265799999994</v>
      </c>
      <c r="F103" s="23">
        <f t="shared" si="96"/>
        <v>1.0329055526416086E-2</v>
      </c>
      <c r="G103" s="23">
        <f t="shared" si="97"/>
        <v>1.7232967347283502E-3</v>
      </c>
      <c r="H103" s="326">
        <f>6247220.02 *461.31</f>
        <v>2881905067.4261999</v>
      </c>
      <c r="I103" s="325">
        <f>126.96*461.31</f>
        <v>58567.917600000001</v>
      </c>
      <c r="J103" s="23">
        <f t="shared" si="98"/>
        <v>-2.9239416376222613E-2</v>
      </c>
      <c r="K103" s="23">
        <f t="shared" si="99"/>
        <v>1.3960850275383271E-3</v>
      </c>
      <c r="L103" s="326">
        <f>6364661.44*461.45</f>
        <v>2936973021.4879999</v>
      </c>
      <c r="M103" s="325">
        <f>124.33*461.45</f>
        <v>57372.078499999996</v>
      </c>
      <c r="N103" s="23">
        <f t="shared" si="100"/>
        <v>1.9108177671855315E-2</v>
      </c>
      <c r="O103" s="23">
        <f t="shared" si="101"/>
        <v>-2.0417989045934674E-2</v>
      </c>
      <c r="P103" s="326">
        <f>6360783.27 *462.05</f>
        <v>2938999909.9035001</v>
      </c>
      <c r="Q103" s="325">
        <f>127.16*462.05</f>
        <v>58754.277999999998</v>
      </c>
      <c r="R103" s="23">
        <f t="shared" si="102"/>
        <v>6.9012837389743984E-4</v>
      </c>
      <c r="S103" s="23">
        <f t="shared" si="103"/>
        <v>2.4091849835979055E-2</v>
      </c>
      <c r="T103" s="326">
        <f>6291162.22*462.9</f>
        <v>2912178991.6379995</v>
      </c>
      <c r="U103" s="325">
        <f>127.26*462.9</f>
        <v>58908.654000000002</v>
      </c>
      <c r="V103" s="23">
        <f t="shared" si="104"/>
        <v>-9.1258656303875793E-3</v>
      </c>
      <c r="W103" s="23">
        <f t="shared" si="105"/>
        <v>2.62748527009393E-3</v>
      </c>
      <c r="X103" s="326">
        <f>6112359.3*589.45</f>
        <v>3602930189.3850002</v>
      </c>
      <c r="Y103" s="325">
        <f>127.37*589.45</f>
        <v>75078.246500000008</v>
      </c>
      <c r="Z103" s="23">
        <f t="shared" si="106"/>
        <v>0.23719393613181625</v>
      </c>
      <c r="AA103" s="23">
        <f t="shared" si="107"/>
        <v>0.27448585907259071</v>
      </c>
      <c r="AB103" s="326">
        <f>6337526.48 *743.27</f>
        <v>4710493306.7896004</v>
      </c>
      <c r="AC103" s="325">
        <f>127.47*743.27</f>
        <v>94744.626900000003</v>
      </c>
      <c r="AD103" s="23">
        <f t="shared" si="108"/>
        <v>0.30740621083020619</v>
      </c>
      <c r="AE103" s="23">
        <f t="shared" si="109"/>
        <v>0.26194512148069404</v>
      </c>
      <c r="AF103" s="326">
        <f>6248376.41*770.88</f>
        <v>4816748406.9407997</v>
      </c>
      <c r="AG103" s="325">
        <f>127.57*770.88</f>
        <v>98341.161599999992</v>
      </c>
      <c r="AH103" s="23">
        <f t="shared" si="110"/>
        <v>2.2557106704311755E-2</v>
      </c>
      <c r="AI103" s="23">
        <f t="shared" si="111"/>
        <v>3.7960302527720327E-2</v>
      </c>
      <c r="AJ103" s="24">
        <f t="shared" si="74"/>
        <v>6.9864916653986614E-2</v>
      </c>
      <c r="AK103" s="24">
        <f t="shared" si="75"/>
        <v>7.2976501362926258E-2</v>
      </c>
      <c r="AL103" s="25">
        <f t="shared" si="76"/>
        <v>0.62250642727338623</v>
      </c>
      <c r="AM103" s="25">
        <f t="shared" si="77"/>
        <v>0.6814402536193378</v>
      </c>
      <c r="AN103" s="390">
        <f t="shared" si="78"/>
        <v>0.12740824442807935</v>
      </c>
      <c r="AO103" s="391">
        <f t="shared" si="79"/>
        <v>0.12177455401921336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2" t="s">
        <v>142</v>
      </c>
      <c r="B104" s="325">
        <v>5714030357.4499998</v>
      </c>
      <c r="C104" s="325">
        <v>53162.43</v>
      </c>
      <c r="D104" s="325">
        <v>5686187129.4399996</v>
      </c>
      <c r="E104" s="325">
        <v>51007.199999999997</v>
      </c>
      <c r="F104" s="23">
        <f t="shared" si="96"/>
        <v>-4.8727826539629775E-3</v>
      </c>
      <c r="G104" s="23">
        <f t="shared" si="97"/>
        <v>-4.0540471908451198E-2</v>
      </c>
      <c r="H104" s="325">
        <v>5680666365.0200005</v>
      </c>
      <c r="I104" s="325">
        <v>51067.06</v>
      </c>
      <c r="J104" s="23">
        <f t="shared" si="98"/>
        <v>-9.7090797300982096E-4</v>
      </c>
      <c r="K104" s="23">
        <f t="shared" si="99"/>
        <v>1.1735598111639255E-3</v>
      </c>
      <c r="L104" s="325">
        <v>5630849867.3000002</v>
      </c>
      <c r="M104" s="325">
        <v>51103.9</v>
      </c>
      <c r="N104" s="23">
        <f t="shared" si="100"/>
        <v>-8.7694813458429315E-3</v>
      </c>
      <c r="O104" s="23">
        <f t="shared" si="101"/>
        <v>7.2140436516227458E-4</v>
      </c>
      <c r="P104" s="325">
        <v>5508653671.4499998</v>
      </c>
      <c r="Q104" s="325">
        <v>51163.77</v>
      </c>
      <c r="R104" s="23">
        <f t="shared" si="102"/>
        <v>-2.1701199415674284E-2</v>
      </c>
      <c r="S104" s="23">
        <f t="shared" si="103"/>
        <v>1.1715348535042403E-3</v>
      </c>
      <c r="T104" s="325">
        <v>5105961582.3199997</v>
      </c>
      <c r="U104" s="325">
        <v>51251.27</v>
      </c>
      <c r="V104" s="23">
        <f t="shared" si="104"/>
        <v>-7.3101725602583142E-2</v>
      </c>
      <c r="W104" s="23">
        <f t="shared" si="105"/>
        <v>1.7101945380490922E-3</v>
      </c>
      <c r="X104" s="325">
        <v>7028962530.79</v>
      </c>
      <c r="Y104" s="325">
        <v>70541.2</v>
      </c>
      <c r="Z104" s="23">
        <f t="shared" si="106"/>
        <v>0.37661876562656094</v>
      </c>
      <c r="AA104" s="23">
        <f t="shared" si="107"/>
        <v>0.37637955117990252</v>
      </c>
      <c r="AB104" s="325">
        <v>6799890710.54</v>
      </c>
      <c r="AC104" s="325">
        <v>70718.38</v>
      </c>
      <c r="AD104" s="23">
        <f t="shared" si="108"/>
        <v>-3.258970569932091E-2</v>
      </c>
      <c r="AE104" s="23">
        <f t="shared" si="109"/>
        <v>2.5117236451890181E-3</v>
      </c>
      <c r="AF104" s="325">
        <v>8122121440.2700005</v>
      </c>
      <c r="AG104" s="325">
        <v>86063.69</v>
      </c>
      <c r="AH104" s="23">
        <f t="shared" si="110"/>
        <v>0.19444882072597283</v>
      </c>
      <c r="AI104" s="23">
        <f t="shared" si="111"/>
        <v>0.21699182023117605</v>
      </c>
      <c r="AJ104" s="24">
        <f t="shared" si="74"/>
        <v>5.363272295776747E-2</v>
      </c>
      <c r="AK104" s="24">
        <f t="shared" si="75"/>
        <v>7.0014914589461991E-2</v>
      </c>
      <c r="AL104" s="25">
        <f t="shared" si="76"/>
        <v>0.42839503086665076</v>
      </c>
      <c r="AM104" s="25">
        <f t="shared" si="77"/>
        <v>0.68728512837403366</v>
      </c>
      <c r="AN104" s="390">
        <f t="shared" si="78"/>
        <v>0.15288593809240428</v>
      </c>
      <c r="AO104" s="391">
        <f t="shared" si="79"/>
        <v>0.14696274747521942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2" t="s">
        <v>153</v>
      </c>
      <c r="B105" s="325">
        <v>1685301911.6629212</v>
      </c>
      <c r="C105" s="325">
        <v>533.31672585611852</v>
      </c>
      <c r="D105" s="325">
        <v>1701605744.8269351</v>
      </c>
      <c r="E105" s="325">
        <v>535.97687989856763</v>
      </c>
      <c r="F105" s="23">
        <f t="shared" si="96"/>
        <v>9.6741320063694364E-3</v>
      </c>
      <c r="G105" s="23">
        <f t="shared" si="97"/>
        <v>4.9879441492835918E-3</v>
      </c>
      <c r="H105" s="325">
        <v>1667048332.0026059</v>
      </c>
      <c r="I105" s="325">
        <v>536.88120254257319</v>
      </c>
      <c r="J105" s="23">
        <f t="shared" si="98"/>
        <v>-2.0308707189892489E-2</v>
      </c>
      <c r="K105" s="23">
        <f t="shared" si="99"/>
        <v>1.687241890315682E-3</v>
      </c>
      <c r="L105" s="325">
        <v>1679775201.5772746</v>
      </c>
      <c r="M105" s="325">
        <v>537.82385352887957</v>
      </c>
      <c r="N105" s="23">
        <f t="shared" si="100"/>
        <v>7.6343734793699741E-3</v>
      </c>
      <c r="O105" s="23">
        <f t="shared" si="101"/>
        <v>1.755790632717535E-3</v>
      </c>
      <c r="P105" s="325">
        <v>1696703799.5463614</v>
      </c>
      <c r="Q105" s="325">
        <v>538.62257519871946</v>
      </c>
      <c r="R105" s="23">
        <f t="shared" si="102"/>
        <v>1.0077894919029213E-2</v>
      </c>
      <c r="S105" s="23">
        <f t="shared" si="103"/>
        <v>1.4850990051838663E-3</v>
      </c>
      <c r="T105" s="325">
        <v>1684147832.5176737</v>
      </c>
      <c r="U105" s="325">
        <v>546.13064474249904</v>
      </c>
      <c r="V105" s="23">
        <f t="shared" si="104"/>
        <v>-7.4002115348858989E-3</v>
      </c>
      <c r="W105" s="23">
        <f t="shared" si="105"/>
        <v>1.3939388895850785E-2</v>
      </c>
      <c r="X105" s="325">
        <v>2365369091.164094</v>
      </c>
      <c r="Y105" s="325">
        <v>761.1109190492383</v>
      </c>
      <c r="Z105" s="23">
        <f t="shared" si="106"/>
        <v>0.40449017924278413</v>
      </c>
      <c r="AA105" s="23">
        <f t="shared" si="107"/>
        <v>0.39364257687481097</v>
      </c>
      <c r="AB105" s="325">
        <v>2696126232.9686165</v>
      </c>
      <c r="AC105" s="325">
        <v>878.07767162177015</v>
      </c>
      <c r="AD105" s="23">
        <f t="shared" si="108"/>
        <v>0.13983320532938204</v>
      </c>
      <c r="AE105" s="23">
        <f t="shared" si="109"/>
        <v>0.15367898376578795</v>
      </c>
      <c r="AF105" s="325">
        <v>2706177805.1107197</v>
      </c>
      <c r="AG105" s="325">
        <v>878.88684938200913</v>
      </c>
      <c r="AH105" s="23">
        <f t="shared" si="110"/>
        <v>3.7281533851016083E-3</v>
      </c>
      <c r="AI105" s="23">
        <f t="shared" si="111"/>
        <v>9.215332383346749E-4</v>
      </c>
      <c r="AJ105" s="24">
        <f t="shared" si="74"/>
        <v>6.8466127454657244E-2</v>
      </c>
      <c r="AK105" s="24">
        <f t="shared" si="75"/>
        <v>7.1512319806535635E-2</v>
      </c>
      <c r="AL105" s="25">
        <f t="shared" si="76"/>
        <v>0.59036710668014136</v>
      </c>
      <c r="AM105" s="25">
        <f t="shared" si="77"/>
        <v>0.63978500257014148</v>
      </c>
      <c r="AN105" s="390">
        <f t="shared" si="78"/>
        <v>0.14461737094242696</v>
      </c>
      <c r="AO105" s="391">
        <f t="shared" si="79"/>
        <v>0.14035047141513887</v>
      </c>
      <c r="AP105" s="30"/>
      <c r="AQ105" s="28"/>
      <c r="AR105" s="32"/>
      <c r="AS105" s="29"/>
      <c r="AT105" s="29"/>
    </row>
    <row r="106" spans="1:46" ht="16.5" customHeight="1">
      <c r="A106" s="202" t="s">
        <v>192</v>
      </c>
      <c r="B106" s="326">
        <v>4815917235.7700005</v>
      </c>
      <c r="C106" s="325">
        <f>1.0088*461</f>
        <v>465.05679999999995</v>
      </c>
      <c r="D106" s="326">
        <v>4794772026.1099997</v>
      </c>
      <c r="E106" s="325">
        <f>1.0107*461.03</f>
        <v>465.96302099999997</v>
      </c>
      <c r="F106" s="23">
        <f t="shared" si="96"/>
        <v>-4.3906920789555399E-3</v>
      </c>
      <c r="G106" s="23">
        <f t="shared" si="97"/>
        <v>1.948624340080645E-3</v>
      </c>
      <c r="H106" s="326">
        <v>4757962328.3800001</v>
      </c>
      <c r="I106" s="325">
        <f>1.0125*461.31</f>
        <v>467.07637499999998</v>
      </c>
      <c r="J106" s="23">
        <f t="shared" si="98"/>
        <v>-7.677048570724908E-3</v>
      </c>
      <c r="K106" s="23">
        <f t="shared" si="99"/>
        <v>2.3893612793793252E-3</v>
      </c>
      <c r="L106" s="326">
        <v>4745836182.4099998</v>
      </c>
      <c r="M106" s="325">
        <f>1.0144*461.45</f>
        <v>468.09487999999999</v>
      </c>
      <c r="N106" s="23">
        <f t="shared" si="100"/>
        <v>-2.5486006683304277E-3</v>
      </c>
      <c r="O106" s="23">
        <f t="shared" si="101"/>
        <v>2.180596267580446E-3</v>
      </c>
      <c r="P106" s="326">
        <v>4759205411.4399996</v>
      </c>
      <c r="Q106" s="325">
        <f>1.0158*462.05</f>
        <v>469.35039</v>
      </c>
      <c r="R106" s="23">
        <f t="shared" si="102"/>
        <v>2.8170439341230393E-3</v>
      </c>
      <c r="S106" s="23">
        <f t="shared" si="103"/>
        <v>2.6821699053833172E-3</v>
      </c>
      <c r="T106" s="326">
        <v>4741638507.7799997</v>
      </c>
      <c r="U106" s="325">
        <f>1.0177*462.9</f>
        <v>471.09332999999998</v>
      </c>
      <c r="V106" s="23">
        <f t="shared" si="104"/>
        <v>-3.6911421427142403E-3</v>
      </c>
      <c r="W106" s="23">
        <f t="shared" si="105"/>
        <v>3.7135156103736827E-3</v>
      </c>
      <c r="X106" s="326">
        <v>6059403446.3500004</v>
      </c>
      <c r="Y106" s="325">
        <f>1.0196*589.45</f>
        <v>601.00322000000006</v>
      </c>
      <c r="Z106" s="23">
        <f t="shared" si="106"/>
        <v>0.27791341250663337</v>
      </c>
      <c r="AA106" s="23">
        <f t="shared" si="107"/>
        <v>0.27576253308447413</v>
      </c>
      <c r="AB106" s="326">
        <v>7796972792.04</v>
      </c>
      <c r="AC106" s="325">
        <f>1.0122*743.27</f>
        <v>752.33789400000001</v>
      </c>
      <c r="AD106" s="23">
        <f t="shared" si="108"/>
        <v>0.28675584338861909</v>
      </c>
      <c r="AE106" s="23">
        <f t="shared" si="109"/>
        <v>0.25180343293335422</v>
      </c>
      <c r="AF106" s="326">
        <v>7886932022.4499998</v>
      </c>
      <c r="AG106" s="325">
        <f>1.0124*770.88</f>
        <v>780.43891199999996</v>
      </c>
      <c r="AH106" s="23">
        <f t="shared" si="110"/>
        <v>1.1537712495526474E-2</v>
      </c>
      <c r="AI106" s="23">
        <f t="shared" si="111"/>
        <v>3.7351591916490588E-2</v>
      </c>
      <c r="AJ106" s="24">
        <f t="shared" si="74"/>
        <v>7.0089566108022111E-2</v>
      </c>
      <c r="AK106" s="24">
        <f t="shared" si="75"/>
        <v>7.2228978167139551E-2</v>
      </c>
      <c r="AL106" s="25">
        <f t="shared" si="76"/>
        <v>0.644902401928934</v>
      </c>
      <c r="AM106" s="25">
        <f t="shared" si="77"/>
        <v>0.67489452344330991</v>
      </c>
      <c r="AN106" s="390">
        <f t="shared" si="78"/>
        <v>0.13115083467107852</v>
      </c>
      <c r="AO106" s="391">
        <f t="shared" si="79"/>
        <v>0.11901028048639037</v>
      </c>
      <c r="AP106" s="30"/>
      <c r="AQ106" s="28"/>
      <c r="AR106" s="32"/>
      <c r="AS106" s="29"/>
      <c r="AT106" s="29"/>
    </row>
    <row r="107" spans="1:46">
      <c r="A107" s="202" t="s">
        <v>161</v>
      </c>
      <c r="B107" s="325">
        <v>101675429.23</v>
      </c>
      <c r="C107" s="325">
        <v>397.9</v>
      </c>
      <c r="D107" s="325">
        <v>102366570.39</v>
      </c>
      <c r="E107" s="325">
        <v>399.47</v>
      </c>
      <c r="F107" s="23">
        <f t="shared" si="96"/>
        <v>6.7975238977016359E-3</v>
      </c>
      <c r="G107" s="23">
        <f t="shared" si="97"/>
        <v>3.9457150037699174E-3</v>
      </c>
      <c r="H107" s="325">
        <v>104206974.76000001</v>
      </c>
      <c r="I107" s="325">
        <v>409.024</v>
      </c>
      <c r="J107" s="23">
        <f t="shared" si="98"/>
        <v>1.7978568227775563E-2</v>
      </c>
      <c r="K107" s="23">
        <f t="shared" si="99"/>
        <v>2.3916689613738135E-2</v>
      </c>
      <c r="L107" s="325">
        <v>106046770.15000001</v>
      </c>
      <c r="M107" s="325">
        <v>413.97</v>
      </c>
      <c r="N107" s="23">
        <f t="shared" si="100"/>
        <v>1.7655203926966016E-2</v>
      </c>
      <c r="O107" s="23">
        <f t="shared" si="101"/>
        <v>1.2092199968706058E-2</v>
      </c>
      <c r="P107" s="325">
        <v>108310671.33</v>
      </c>
      <c r="Q107" s="325">
        <v>423.55</v>
      </c>
      <c r="R107" s="23">
        <f t="shared" si="102"/>
        <v>2.1348138908877389E-2</v>
      </c>
      <c r="S107" s="23">
        <f t="shared" si="103"/>
        <v>2.3141773558470382E-2</v>
      </c>
      <c r="T107" s="325">
        <v>110531331.15000001</v>
      </c>
      <c r="U107" s="325">
        <v>433.69</v>
      </c>
      <c r="V107" s="23">
        <f t="shared" si="104"/>
        <v>2.0502687248924172E-2</v>
      </c>
      <c r="W107" s="23">
        <f t="shared" si="105"/>
        <v>2.3940502892220484E-2</v>
      </c>
      <c r="X107" s="325">
        <v>160963794.09999999</v>
      </c>
      <c r="Y107" s="325">
        <v>663.04</v>
      </c>
      <c r="Z107" s="23">
        <f t="shared" si="106"/>
        <v>0.45627300807188359</v>
      </c>
      <c r="AA107" s="23">
        <f t="shared" si="107"/>
        <v>0.52883395974082859</v>
      </c>
      <c r="AB107" s="325">
        <v>183968364.40000001</v>
      </c>
      <c r="AC107" s="325">
        <v>756.35</v>
      </c>
      <c r="AD107" s="23">
        <f t="shared" si="108"/>
        <v>0.14291766933443584</v>
      </c>
      <c r="AE107" s="23">
        <f t="shared" si="109"/>
        <v>0.14073057432432443</v>
      </c>
      <c r="AF107" s="325">
        <v>184445181.5</v>
      </c>
      <c r="AG107" s="325">
        <v>756.24</v>
      </c>
      <c r="AH107" s="23">
        <f t="shared" si="110"/>
        <v>2.5918429049206354E-3</v>
      </c>
      <c r="AI107" s="23">
        <f t="shared" si="111"/>
        <v>-1.454353143386179E-4</v>
      </c>
      <c r="AJ107" s="24">
        <f t="shared" si="74"/>
        <v>8.57580803151856E-2</v>
      </c>
      <c r="AK107" s="24">
        <f t="shared" si="75"/>
        <v>9.4556997473464924E-2</v>
      </c>
      <c r="AL107" s="25">
        <f t="shared" si="76"/>
        <v>0.80181069657109572</v>
      </c>
      <c r="AM107" s="25">
        <f t="shared" si="77"/>
        <v>0.8931083685883795</v>
      </c>
      <c r="AN107" s="390">
        <f t="shared" si="78"/>
        <v>0.15645122185045079</v>
      </c>
      <c r="AO107" s="391">
        <f t="shared" si="79"/>
        <v>0.18118055472684552</v>
      </c>
      <c r="AP107" s="30"/>
      <c r="AQ107" s="28"/>
      <c r="AR107" s="32"/>
      <c r="AS107" s="29"/>
      <c r="AT107" s="29"/>
    </row>
    <row r="108" spans="1:46" s="288" customFormat="1">
      <c r="A108" s="202" t="s">
        <v>93</v>
      </c>
      <c r="B108" s="326">
        <v>204650408125.57999</v>
      </c>
      <c r="C108" s="325">
        <v>645.74</v>
      </c>
      <c r="D108" s="326">
        <v>201739663926.91</v>
      </c>
      <c r="E108" s="325">
        <v>646.79999999999995</v>
      </c>
      <c r="F108" s="23">
        <f t="shared" si="96"/>
        <v>-1.4223007055445783E-2</v>
      </c>
      <c r="G108" s="23">
        <f t="shared" si="97"/>
        <v>1.6415275497877557E-3</v>
      </c>
      <c r="H108" s="326">
        <v>199657203553.20999</v>
      </c>
      <c r="I108" s="325">
        <v>648.48</v>
      </c>
      <c r="J108" s="23">
        <f t="shared" si="98"/>
        <v>-1.032251334796753E-2</v>
      </c>
      <c r="K108" s="23">
        <f t="shared" si="99"/>
        <v>2.5974025974026958E-3</v>
      </c>
      <c r="L108" s="326">
        <v>200832600288.13</v>
      </c>
      <c r="M108" s="325">
        <v>651.48</v>
      </c>
      <c r="N108" s="23">
        <f t="shared" si="100"/>
        <v>5.8870740148715059E-3</v>
      </c>
      <c r="O108" s="23">
        <f t="shared" si="101"/>
        <v>4.6262028127313096E-3</v>
      </c>
      <c r="P108" s="326">
        <v>200832600288.13</v>
      </c>
      <c r="Q108" s="325">
        <v>652.58000000000004</v>
      </c>
      <c r="R108" s="23">
        <f t="shared" si="102"/>
        <v>0</v>
      </c>
      <c r="S108" s="23">
        <f t="shared" si="103"/>
        <v>1.68846319150246E-3</v>
      </c>
      <c r="T108" s="326">
        <v>205252526400.07999</v>
      </c>
      <c r="U108" s="325">
        <v>664.48</v>
      </c>
      <c r="V108" s="23">
        <f t="shared" si="104"/>
        <v>2.2008011177512082E-2</v>
      </c>
      <c r="W108" s="23">
        <f t="shared" si="105"/>
        <v>1.823531214563728E-2</v>
      </c>
      <c r="X108" s="326">
        <v>285263219285.98999</v>
      </c>
      <c r="Y108" s="325">
        <v>933.69</v>
      </c>
      <c r="Z108" s="23">
        <f t="shared" si="106"/>
        <v>0.38981587359345082</v>
      </c>
      <c r="AA108" s="23">
        <f t="shared" si="107"/>
        <v>0.40514387189983148</v>
      </c>
      <c r="AB108" s="326">
        <v>331639905466.70001</v>
      </c>
      <c r="AC108" s="325">
        <v>1086.17</v>
      </c>
      <c r="AD108" s="23">
        <f t="shared" si="108"/>
        <v>0.16257506416982268</v>
      </c>
      <c r="AE108" s="23">
        <f t="shared" si="109"/>
        <v>0.16330902119547175</v>
      </c>
      <c r="AF108" s="326">
        <v>332095652853</v>
      </c>
      <c r="AG108" s="325">
        <v>1086.4100000000001</v>
      </c>
      <c r="AH108" s="23">
        <f t="shared" si="110"/>
        <v>1.3742236045407069E-3</v>
      </c>
      <c r="AI108" s="23">
        <f t="shared" si="111"/>
        <v>2.2095988657393326E-4</v>
      </c>
      <c r="AJ108" s="24">
        <f t="shared" si="74"/>
        <v>6.9639340769598074E-2</v>
      </c>
      <c r="AK108" s="24">
        <f t="shared" si="75"/>
        <v>7.4682845159867325E-2</v>
      </c>
      <c r="AL108" s="25">
        <f t="shared" si="76"/>
        <v>0.64615944325810803</v>
      </c>
      <c r="AM108" s="25">
        <f t="shared" si="77"/>
        <v>0.6796691403834263</v>
      </c>
      <c r="AN108" s="390">
        <f t="shared" si="78"/>
        <v>0.1416331838796126</v>
      </c>
      <c r="AO108" s="391">
        <f t="shared" si="79"/>
        <v>0.14469546525528904</v>
      </c>
      <c r="AP108" s="30"/>
      <c r="AQ108" s="28"/>
      <c r="AR108" s="32"/>
      <c r="AS108" s="29"/>
      <c r="AT108" s="29"/>
    </row>
    <row r="109" spans="1:46" s="356" customFormat="1">
      <c r="A109" s="202" t="s">
        <v>253</v>
      </c>
      <c r="B109" s="326">
        <v>4678548431.2700005</v>
      </c>
      <c r="C109" s="326">
        <v>474.86</v>
      </c>
      <c r="D109" s="326">
        <v>4847511381.1099997</v>
      </c>
      <c r="E109" s="326">
        <v>475.55</v>
      </c>
      <c r="F109" s="23">
        <f t="shared" si="96"/>
        <v>3.6114395805053982E-2</v>
      </c>
      <c r="G109" s="23">
        <f t="shared" si="97"/>
        <v>1.4530598492187123E-3</v>
      </c>
      <c r="H109" s="326">
        <v>4797721501.9499998</v>
      </c>
      <c r="I109" s="326">
        <v>475.55</v>
      </c>
      <c r="J109" s="23">
        <f t="shared" si="98"/>
        <v>-1.0271224809089317E-2</v>
      </c>
      <c r="K109" s="23">
        <f t="shared" si="99"/>
        <v>0</v>
      </c>
      <c r="L109" s="326">
        <v>5317150787.2600002</v>
      </c>
      <c r="M109" s="326">
        <v>479.23</v>
      </c>
      <c r="N109" s="23">
        <f t="shared" si="100"/>
        <v>0.10826582683027393</v>
      </c>
      <c r="O109" s="23">
        <f t="shared" si="101"/>
        <v>7.7384081589738337E-3</v>
      </c>
      <c r="P109" s="326">
        <v>5341179355.9200001</v>
      </c>
      <c r="Q109" s="326">
        <v>480.14</v>
      </c>
      <c r="R109" s="23">
        <f t="shared" si="102"/>
        <v>4.5190685051800256E-3</v>
      </c>
      <c r="S109" s="23">
        <f t="shared" si="103"/>
        <v>1.8988794524549134E-3</v>
      </c>
      <c r="T109" s="326">
        <v>5666844181.9499998</v>
      </c>
      <c r="U109" s="326">
        <v>489.79</v>
      </c>
      <c r="V109" s="23">
        <f t="shared" si="104"/>
        <v>6.0972456517312562E-2</v>
      </c>
      <c r="W109" s="23">
        <f t="shared" si="105"/>
        <v>2.0098304661140574E-2</v>
      </c>
      <c r="X109" s="326">
        <v>8265942111.2600002</v>
      </c>
      <c r="Y109" s="326">
        <v>688.43</v>
      </c>
      <c r="Z109" s="23">
        <f t="shared" si="106"/>
        <v>0.45864997269355534</v>
      </c>
      <c r="AA109" s="23">
        <f t="shared" si="107"/>
        <v>0.40556156720227021</v>
      </c>
      <c r="AB109" s="326">
        <v>9654825881.5300007</v>
      </c>
      <c r="AC109" s="326">
        <v>800.9</v>
      </c>
      <c r="AD109" s="23">
        <f t="shared" si="108"/>
        <v>0.16802486051505738</v>
      </c>
      <c r="AE109" s="23">
        <f t="shared" si="109"/>
        <v>0.16337172987812854</v>
      </c>
      <c r="AF109" s="326">
        <v>9659057378.0900002</v>
      </c>
      <c r="AG109" s="326">
        <v>801.25</v>
      </c>
      <c r="AH109" s="23">
        <f t="shared" si="110"/>
        <v>4.3827787387595027E-4</v>
      </c>
      <c r="AI109" s="23">
        <f t="shared" si="111"/>
        <v>4.370083655887411E-4</v>
      </c>
      <c r="AJ109" s="24">
        <f t="shared" si="74"/>
        <v>0.10333920424140249</v>
      </c>
      <c r="AK109" s="24">
        <f t="shared" si="75"/>
        <v>7.506986969597193E-2</v>
      </c>
      <c r="AL109" s="25">
        <f t="shared" si="76"/>
        <v>0.992580649883536</v>
      </c>
      <c r="AM109" s="25">
        <f t="shared" si="77"/>
        <v>0.68489117863526439</v>
      </c>
      <c r="AN109" s="390">
        <f t="shared" si="78"/>
        <v>0.15585236308810416</v>
      </c>
      <c r="AO109" s="391">
        <f t="shared" si="79"/>
        <v>0.14469492889676094</v>
      </c>
      <c r="AP109" s="30"/>
      <c r="AQ109" s="28"/>
      <c r="AR109" s="32"/>
      <c r="AS109" s="29"/>
      <c r="AT109" s="29"/>
    </row>
    <row r="110" spans="1:46" s="86" customFormat="1">
      <c r="A110" s="202" t="s">
        <v>123</v>
      </c>
      <c r="B110" s="325">
        <v>5426154639.8400002</v>
      </c>
      <c r="C110" s="325">
        <v>460.87</v>
      </c>
      <c r="D110" s="325">
        <v>5503802123.8999996</v>
      </c>
      <c r="E110" s="325">
        <v>460.17</v>
      </c>
      <c r="F110" s="23">
        <f t="shared" si="96"/>
        <v>1.4309854623363451E-2</v>
      </c>
      <c r="G110" s="23">
        <f t="shared" si="97"/>
        <v>-1.5188664916353605E-3</v>
      </c>
      <c r="H110" s="325">
        <v>5537273782.9099998</v>
      </c>
      <c r="I110" s="325">
        <v>460.84</v>
      </c>
      <c r="J110" s="23">
        <f>((H110-D110)/D110)</f>
        <v>6.0815520355739418E-3</v>
      </c>
      <c r="K110" s="23">
        <f>((I110-E110)/E110)</f>
        <v>1.45598365821318E-3</v>
      </c>
      <c r="L110" s="325">
        <v>5670603145.3299999</v>
      </c>
      <c r="M110" s="325">
        <v>460.95</v>
      </c>
      <c r="N110" s="23">
        <f>((L110-H110)/H110)</f>
        <v>2.4078520883598353E-2</v>
      </c>
      <c r="O110" s="23">
        <f>((M110-I110)/I110)</f>
        <v>2.3869455776411261E-4</v>
      </c>
      <c r="P110" s="325">
        <v>5772052134.6499996</v>
      </c>
      <c r="Q110" s="325">
        <v>461.55</v>
      </c>
      <c r="R110" s="23">
        <f>((P110-L110)/L110)</f>
        <v>1.7890334893837099E-2</v>
      </c>
      <c r="S110" s="23">
        <f>((Q110-M110)/M110)</f>
        <v>1.3016596160104626E-3</v>
      </c>
      <c r="T110" s="325">
        <v>6025508698.2299995</v>
      </c>
      <c r="U110" s="325">
        <v>462.88</v>
      </c>
      <c r="V110" s="23">
        <f>((T110-P110)/P110)</f>
        <v>4.3910996932699876E-2</v>
      </c>
      <c r="W110" s="23">
        <f>((U110-Q110)/Q110)</f>
        <v>2.8815946268009622E-3</v>
      </c>
      <c r="X110" s="325">
        <v>7828823400.6499996</v>
      </c>
      <c r="Y110" s="325">
        <v>588.95000000000005</v>
      </c>
      <c r="Z110" s="23">
        <f>((X110-T110)/T110)</f>
        <v>0.29928007621161112</v>
      </c>
      <c r="AA110" s="23">
        <f>((Y110-U110)/U110)</f>
        <v>0.27236000691323897</v>
      </c>
      <c r="AB110" s="325">
        <v>11043044530.93</v>
      </c>
      <c r="AC110" s="325">
        <v>742.77</v>
      </c>
      <c r="AD110" s="23">
        <f>((AB110-X110)/X110)</f>
        <v>0.41056247737215978</v>
      </c>
      <c r="AE110" s="23">
        <f>((AC110-Y110)/Y110)</f>
        <v>0.26117667034553005</v>
      </c>
      <c r="AF110" s="325">
        <v>11426944894.42</v>
      </c>
      <c r="AG110" s="325">
        <v>759.28</v>
      </c>
      <c r="AH110" s="23">
        <f>((AF110-AB110)/AB110)</f>
        <v>3.4763996687213326E-2</v>
      </c>
      <c r="AI110" s="23">
        <f>((AG110-AC110)/AC110)</f>
        <v>2.2227607469337739E-2</v>
      </c>
      <c r="AJ110" s="24">
        <f t="shared" si="74"/>
        <v>0.10635972620500711</v>
      </c>
      <c r="AK110" s="24">
        <f t="shared" si="75"/>
        <v>7.0015418836907511E-2</v>
      </c>
      <c r="AL110" s="25">
        <f t="shared" si="76"/>
        <v>1.0761910833965185</v>
      </c>
      <c r="AM110" s="25">
        <f t="shared" si="77"/>
        <v>0.64999891344503102</v>
      </c>
      <c r="AN110" s="390">
        <f t="shared" si="78"/>
        <v>0.15671142202802085</v>
      </c>
      <c r="AO110" s="391">
        <f t="shared" si="79"/>
        <v>0.12170485596450185</v>
      </c>
      <c r="AP110" s="30"/>
      <c r="AQ110" s="28"/>
      <c r="AR110" s="32"/>
      <c r="AS110" s="29"/>
      <c r="AT110" s="29"/>
    </row>
    <row r="111" spans="1:46" s="103" customFormat="1">
      <c r="A111" s="204" t="s">
        <v>42</v>
      </c>
      <c r="B111" s="76">
        <f>SUM(B90:B110)</f>
        <v>334539052167.92297</v>
      </c>
      <c r="C111" s="85"/>
      <c r="D111" s="76">
        <f>SUM(D90:D110)</f>
        <v>331372584980.02832</v>
      </c>
      <c r="E111" s="85"/>
      <c r="F111" s="23"/>
      <c r="G111" s="23"/>
      <c r="H111" s="76">
        <f>SUM(H90:H110)</f>
        <v>329647629846.67249</v>
      </c>
      <c r="I111" s="85"/>
      <c r="J111" s="23"/>
      <c r="K111" s="23"/>
      <c r="L111" s="76">
        <f>SUM(L90:L110)</f>
        <v>331908642809.0658</v>
      </c>
      <c r="M111" s="85"/>
      <c r="N111" s="23"/>
      <c r="O111" s="23"/>
      <c r="P111" s="76">
        <f>SUM(P90:P110)</f>
        <v>331906740337.94391</v>
      </c>
      <c r="Q111" s="85"/>
      <c r="R111" s="23"/>
      <c r="S111" s="23"/>
      <c r="T111" s="76">
        <f>SUM(T90:T110)</f>
        <v>338597314330.35101</v>
      </c>
      <c r="U111" s="85"/>
      <c r="V111" s="23"/>
      <c r="W111" s="23"/>
      <c r="X111" s="76">
        <f>SUM(X90:X110)</f>
        <v>470498434802.98218</v>
      </c>
      <c r="Y111" s="85"/>
      <c r="Z111" s="23"/>
      <c r="AA111" s="23"/>
      <c r="AB111" s="76">
        <f>SUM(AB90:AB110)</f>
        <v>550519578291.03943</v>
      </c>
      <c r="AC111" s="85"/>
      <c r="AD111" s="23"/>
      <c r="AE111" s="23"/>
      <c r="AF111" s="76">
        <f>SUM(AF90:AF110)</f>
        <v>553623134341.57056</v>
      </c>
      <c r="AG111" s="85"/>
      <c r="AH111" s="23"/>
      <c r="AI111" s="23"/>
      <c r="AJ111" s="24" t="e">
        <f t="shared" si="74"/>
        <v>#DIV/0!</v>
      </c>
      <c r="AK111" s="24"/>
      <c r="AL111" s="25">
        <f t="shared" si="76"/>
        <v>0.67069685132503398</v>
      </c>
      <c r="AM111" s="25"/>
      <c r="AN111" s="390" t="e">
        <f t="shared" si="78"/>
        <v>#DIV/0!</v>
      </c>
      <c r="AO111" s="391"/>
      <c r="AP111" s="30"/>
      <c r="AQ111" s="28"/>
      <c r="AR111" s="32"/>
      <c r="AS111" s="29"/>
      <c r="AT111" s="29"/>
    </row>
    <row r="112" spans="1:46" s="103" customFormat="1" ht="8.25" customHeight="1">
      <c r="A112" s="204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390"/>
      <c r="AO112" s="391"/>
      <c r="AP112" s="30"/>
      <c r="AQ112" s="28"/>
      <c r="AR112" s="32"/>
      <c r="AS112" s="29"/>
      <c r="AT112" s="29"/>
    </row>
    <row r="113" spans="1:46">
      <c r="A113" s="206" t="s">
        <v>212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90"/>
      <c r="AO113" s="391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2" t="s">
        <v>163</v>
      </c>
      <c r="B114" s="326">
        <v>54330953714</v>
      </c>
      <c r="C114" s="327">
        <v>101.68</v>
      </c>
      <c r="D114" s="326">
        <v>54330953714</v>
      </c>
      <c r="E114" s="327">
        <v>101.68</v>
      </c>
      <c r="F114" s="23">
        <f t="shared" ref="F114:G117" si="112">((D114-B114)/B114)</f>
        <v>0</v>
      </c>
      <c r="G114" s="23">
        <f t="shared" si="112"/>
        <v>0</v>
      </c>
      <c r="H114" s="326">
        <v>54330953714</v>
      </c>
      <c r="I114" s="327">
        <v>101.54</v>
      </c>
      <c r="J114" s="23">
        <f t="shared" ref="J114:J117" si="113">((H114-D114)/D114)</f>
        <v>0</v>
      </c>
      <c r="K114" s="23">
        <f t="shared" ref="K114:K117" si="114">((I114-E114)/E114)</f>
        <v>-1.3768686073957568E-3</v>
      </c>
      <c r="L114" s="326">
        <v>54330953714</v>
      </c>
      <c r="M114" s="327">
        <v>101.54</v>
      </c>
      <c r="N114" s="23">
        <f t="shared" ref="N114:N117" si="115">((L114-H114)/H114)</f>
        <v>0</v>
      </c>
      <c r="O114" s="23">
        <f t="shared" ref="O114:O117" si="116">((M114-I114)/I114)</f>
        <v>0</v>
      </c>
      <c r="P114" s="326">
        <v>54330953714</v>
      </c>
      <c r="Q114" s="327">
        <v>101.54</v>
      </c>
      <c r="R114" s="23">
        <f t="shared" ref="R114:R117" si="117">((P114-L114)/L114)</f>
        <v>0</v>
      </c>
      <c r="S114" s="23">
        <f t="shared" ref="S114:S117" si="118">((Q114-M114)/M114)</f>
        <v>0</v>
      </c>
      <c r="T114" s="326">
        <v>54330953714</v>
      </c>
      <c r="U114" s="327">
        <v>101.54</v>
      </c>
      <c r="V114" s="23">
        <f t="shared" ref="V114:V117" si="119">((T114-P114)/P114)</f>
        <v>0</v>
      </c>
      <c r="W114" s="23">
        <f t="shared" ref="W114:W117" si="120">((U114-Q114)/Q114)</f>
        <v>0</v>
      </c>
      <c r="X114" s="326">
        <v>54330953714</v>
      </c>
      <c r="Y114" s="327">
        <v>101.54</v>
      </c>
      <c r="Z114" s="23">
        <f t="shared" ref="Z114:Z117" si="121">((X114-T114)/T114)</f>
        <v>0</v>
      </c>
      <c r="AA114" s="23">
        <f t="shared" ref="AA114:AA117" si="122">((Y114-U114)/U114)</f>
        <v>0</v>
      </c>
      <c r="AB114" s="326">
        <v>54330953714</v>
      </c>
      <c r="AC114" s="327">
        <v>101.72</v>
      </c>
      <c r="AD114" s="23">
        <f t="shared" ref="AD114:AD117" si="123">((AB114-X114)/X114)</f>
        <v>0</v>
      </c>
      <c r="AE114" s="23">
        <f t="shared" ref="AE114:AE117" si="124">((AC114-Y114)/Y114)</f>
        <v>1.7727004136300236E-3</v>
      </c>
      <c r="AF114" s="326">
        <v>54330953714</v>
      </c>
      <c r="AG114" s="327">
        <v>101.72</v>
      </c>
      <c r="AH114" s="23">
        <f t="shared" ref="AH114:AH117" si="125">((AF114-AB114)/AB114)</f>
        <v>0</v>
      </c>
      <c r="AI114" s="23">
        <f t="shared" ref="AI114:AI117" si="126">((AG114-AC114)/AC114)</f>
        <v>0</v>
      </c>
      <c r="AJ114" s="24">
        <f t="shared" si="74"/>
        <v>0</v>
      </c>
      <c r="AK114" s="24">
        <f t="shared" si="75"/>
        <v>4.9478975779283346E-5</v>
      </c>
      <c r="AL114" s="25">
        <f t="shared" si="76"/>
        <v>0</v>
      </c>
      <c r="AM114" s="25">
        <f t="shared" si="77"/>
        <v>3.9339103068442211E-4</v>
      </c>
      <c r="AN114" s="390">
        <f t="shared" si="78"/>
        <v>0</v>
      </c>
      <c r="AO114" s="391">
        <f t="shared" si="79"/>
        <v>8.4672887937408455E-4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2" t="s">
        <v>140</v>
      </c>
      <c r="B115" s="326">
        <v>2359826154.1500001</v>
      </c>
      <c r="C115" s="327">
        <v>77</v>
      </c>
      <c r="D115" s="326">
        <v>2364368561.3600001</v>
      </c>
      <c r="E115" s="327">
        <v>77</v>
      </c>
      <c r="F115" s="23">
        <f t="shared" si="112"/>
        <v>1.9248906119680646E-3</v>
      </c>
      <c r="G115" s="23">
        <f t="shared" si="112"/>
        <v>0</v>
      </c>
      <c r="H115" s="326">
        <v>2369507527.9499998</v>
      </c>
      <c r="I115" s="327">
        <v>77</v>
      </c>
      <c r="J115" s="23">
        <f t="shared" si="113"/>
        <v>2.1735048731335309E-3</v>
      </c>
      <c r="K115" s="23">
        <f t="shared" si="114"/>
        <v>0</v>
      </c>
      <c r="L115" s="326">
        <v>2373943045.9400001</v>
      </c>
      <c r="M115" s="327">
        <v>77</v>
      </c>
      <c r="N115" s="23">
        <f t="shared" si="115"/>
        <v>1.8719155510924564E-3</v>
      </c>
      <c r="O115" s="23">
        <f t="shared" si="116"/>
        <v>0</v>
      </c>
      <c r="P115" s="326">
        <v>2381147156.7399998</v>
      </c>
      <c r="Q115" s="327">
        <v>77</v>
      </c>
      <c r="R115" s="23">
        <f t="shared" si="117"/>
        <v>3.0346603353944967E-3</v>
      </c>
      <c r="S115" s="23">
        <f t="shared" si="118"/>
        <v>0</v>
      </c>
      <c r="T115" s="326">
        <v>2384096753.52</v>
      </c>
      <c r="U115" s="327">
        <v>77</v>
      </c>
      <c r="V115" s="23">
        <f t="shared" si="119"/>
        <v>1.2387293123195576E-3</v>
      </c>
      <c r="W115" s="23">
        <f t="shared" si="120"/>
        <v>0</v>
      </c>
      <c r="X115" s="326">
        <v>2388045303.77</v>
      </c>
      <c r="Y115" s="327">
        <v>77</v>
      </c>
      <c r="Z115" s="23">
        <f t="shared" si="121"/>
        <v>1.6562038617644868E-3</v>
      </c>
      <c r="AA115" s="23">
        <f t="shared" si="122"/>
        <v>0</v>
      </c>
      <c r="AB115" s="326">
        <v>2392753042.1500001</v>
      </c>
      <c r="AC115" s="327">
        <v>77</v>
      </c>
      <c r="AD115" s="23">
        <f t="shared" si="123"/>
        <v>1.9713773321502828E-3</v>
      </c>
      <c r="AE115" s="23">
        <f t="shared" si="124"/>
        <v>0</v>
      </c>
      <c r="AF115" s="326">
        <v>2401381024.9099998</v>
      </c>
      <c r="AG115" s="327">
        <v>77</v>
      </c>
      <c r="AH115" s="23">
        <f t="shared" si="125"/>
        <v>3.6058810115427156E-3</v>
      </c>
      <c r="AI115" s="23">
        <f t="shared" si="126"/>
        <v>0</v>
      </c>
      <c r="AJ115" s="24">
        <f t="shared" si="74"/>
        <v>2.1846453611706991E-3</v>
      </c>
      <c r="AK115" s="24">
        <f t="shared" si="75"/>
        <v>0</v>
      </c>
      <c r="AL115" s="25">
        <f t="shared" si="76"/>
        <v>1.5654269877751169E-2</v>
      </c>
      <c r="AM115" s="25">
        <f t="shared" si="77"/>
        <v>0</v>
      </c>
      <c r="AN115" s="390">
        <f t="shared" si="78"/>
        <v>7.678656547844393E-4</v>
      </c>
      <c r="AO115" s="391">
        <f t="shared" si="79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2" t="s">
        <v>21</v>
      </c>
      <c r="B116" s="326">
        <v>10204268194.49</v>
      </c>
      <c r="C116" s="327">
        <v>36.6</v>
      </c>
      <c r="D116" s="326">
        <v>10224711101.32</v>
      </c>
      <c r="E116" s="327">
        <v>36.6</v>
      </c>
      <c r="F116" s="23">
        <f t="shared" si="112"/>
        <v>2.0033682416381884E-3</v>
      </c>
      <c r="G116" s="23">
        <f t="shared" si="112"/>
        <v>0</v>
      </c>
      <c r="H116" s="326">
        <v>10229848237.83</v>
      </c>
      <c r="I116" s="327">
        <v>36.6</v>
      </c>
      <c r="J116" s="23">
        <f t="shared" si="113"/>
        <v>5.0242363418336879E-4</v>
      </c>
      <c r="K116" s="23">
        <f t="shared" si="114"/>
        <v>0</v>
      </c>
      <c r="L116" s="326">
        <v>10233092077.66</v>
      </c>
      <c r="M116" s="327">
        <v>36.6</v>
      </c>
      <c r="N116" s="23">
        <f t="shared" si="115"/>
        <v>3.1709559659000584E-4</v>
      </c>
      <c r="O116" s="23">
        <f t="shared" si="116"/>
        <v>0</v>
      </c>
      <c r="P116" s="326">
        <v>9852861991.4799995</v>
      </c>
      <c r="Q116" s="327">
        <v>36.6</v>
      </c>
      <c r="R116" s="23">
        <f t="shared" si="117"/>
        <v>-3.7156910471868587E-2</v>
      </c>
      <c r="S116" s="23">
        <f t="shared" si="118"/>
        <v>0</v>
      </c>
      <c r="T116" s="326">
        <v>9858731069.2900009</v>
      </c>
      <c r="U116" s="327">
        <v>36.6</v>
      </c>
      <c r="V116" s="23">
        <f t="shared" si="119"/>
        <v>5.9567238585869796E-4</v>
      </c>
      <c r="W116" s="23">
        <f t="shared" si="120"/>
        <v>0</v>
      </c>
      <c r="X116" s="326">
        <v>9873020532.8299999</v>
      </c>
      <c r="Y116" s="327">
        <v>36.6</v>
      </c>
      <c r="Z116" s="23">
        <f t="shared" si="121"/>
        <v>1.4494221862396432E-3</v>
      </c>
      <c r="AA116" s="23">
        <f t="shared" si="122"/>
        <v>0</v>
      </c>
      <c r="AB116" s="326">
        <v>9875245071.0699997</v>
      </c>
      <c r="AC116" s="327">
        <v>36.6</v>
      </c>
      <c r="AD116" s="23">
        <f t="shared" si="123"/>
        <v>2.2531486008792187E-4</v>
      </c>
      <c r="AE116" s="23">
        <f t="shared" si="124"/>
        <v>0</v>
      </c>
      <c r="AF116" s="326">
        <v>9892265952</v>
      </c>
      <c r="AG116" s="327">
        <v>36.6</v>
      </c>
      <c r="AH116" s="23">
        <f t="shared" si="125"/>
        <v>1.7235907369897872E-3</v>
      </c>
      <c r="AI116" s="23">
        <f t="shared" si="126"/>
        <v>0</v>
      </c>
      <c r="AJ116" s="24">
        <f t="shared" si="74"/>
        <v>-3.7925028537851221E-3</v>
      </c>
      <c r="AK116" s="24">
        <f t="shared" si="75"/>
        <v>0</v>
      </c>
      <c r="AL116" s="25">
        <f t="shared" si="76"/>
        <v>-3.2513891690991774E-2</v>
      </c>
      <c r="AM116" s="25">
        <f t="shared" si="77"/>
        <v>0</v>
      </c>
      <c r="AN116" s="390">
        <f t="shared" si="78"/>
        <v>1.3498227492970699E-2</v>
      </c>
      <c r="AO116" s="391">
        <f t="shared" si="79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2" t="s">
        <v>182</v>
      </c>
      <c r="B117" s="326">
        <v>27268732309.669998</v>
      </c>
      <c r="C117" s="327">
        <v>3.15</v>
      </c>
      <c r="D117" s="326">
        <v>27273204629.889999</v>
      </c>
      <c r="E117" s="327">
        <v>3.35</v>
      </c>
      <c r="F117" s="23">
        <f t="shared" si="112"/>
        <v>1.640090991107516E-4</v>
      </c>
      <c r="G117" s="23">
        <f t="shared" si="112"/>
        <v>6.3492063492063544E-2</v>
      </c>
      <c r="H117" s="326">
        <v>27272188865.650002</v>
      </c>
      <c r="I117" s="327">
        <v>3.35</v>
      </c>
      <c r="J117" s="23">
        <f t="shared" si="113"/>
        <v>-3.7244036913969383E-5</v>
      </c>
      <c r="K117" s="23">
        <f t="shared" si="114"/>
        <v>0</v>
      </c>
      <c r="L117" s="326">
        <v>27292225435.630001</v>
      </c>
      <c r="M117" s="327">
        <v>3.2</v>
      </c>
      <c r="N117" s="23">
        <f t="shared" si="115"/>
        <v>7.3468873652587886E-4</v>
      </c>
      <c r="O117" s="23">
        <f t="shared" si="116"/>
        <v>-4.4776119402985044E-2</v>
      </c>
      <c r="P117" s="326">
        <v>26786172175.610001</v>
      </c>
      <c r="Q117" s="327">
        <v>3.35</v>
      </c>
      <c r="R117" s="23">
        <f t="shared" si="117"/>
        <v>-1.8542029898351488E-2</v>
      </c>
      <c r="S117" s="23">
        <f t="shared" si="118"/>
        <v>4.6874999999999972E-2</v>
      </c>
      <c r="T117" s="326">
        <v>26854922970.27</v>
      </c>
      <c r="U117" s="327">
        <v>3.35</v>
      </c>
      <c r="V117" s="23">
        <f t="shared" si="119"/>
        <v>2.5666524581888749E-3</v>
      </c>
      <c r="W117" s="23">
        <f t="shared" si="120"/>
        <v>0</v>
      </c>
      <c r="X117" s="326">
        <v>26857877014.560001</v>
      </c>
      <c r="Y117" s="327">
        <v>3.6</v>
      </c>
      <c r="Z117" s="23">
        <f t="shared" si="121"/>
        <v>1.1000010289626295E-4</v>
      </c>
      <c r="AA117" s="23">
        <f t="shared" si="122"/>
        <v>7.4626865671641784E-2</v>
      </c>
      <c r="AB117" s="326">
        <v>26864270591.25</v>
      </c>
      <c r="AC117" s="327">
        <v>3.6</v>
      </c>
      <c r="AD117" s="23">
        <f t="shared" si="123"/>
        <v>2.3805219923125667E-4</v>
      </c>
      <c r="AE117" s="23">
        <f t="shared" si="124"/>
        <v>0</v>
      </c>
      <c r="AF117" s="326">
        <v>26866958723.619999</v>
      </c>
      <c r="AG117" s="327">
        <v>3.75</v>
      </c>
      <c r="AH117" s="23">
        <f t="shared" si="125"/>
        <v>1.0006347877073898E-4</v>
      </c>
      <c r="AI117" s="23">
        <f t="shared" si="126"/>
        <v>4.1666666666666644E-2</v>
      </c>
      <c r="AJ117" s="24">
        <f t="shared" si="74"/>
        <v>-1.8332259825677114E-3</v>
      </c>
      <c r="AK117" s="24">
        <f t="shared" si="75"/>
        <v>2.2735559553423365E-2</v>
      </c>
      <c r="AL117" s="25">
        <f t="shared" si="76"/>
        <v>-1.4895422513890292E-2</v>
      </c>
      <c r="AM117" s="25">
        <f t="shared" si="77"/>
        <v>0.11940298507462684</v>
      </c>
      <c r="AN117" s="390">
        <f t="shared" si="78"/>
        <v>6.8049947284710465E-3</v>
      </c>
      <c r="AO117" s="391">
        <f t="shared" si="79"/>
        <v>4.0361656956106405E-2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4" t="s">
        <v>42</v>
      </c>
      <c r="B118" s="70">
        <f>SUM(B114:B117)</f>
        <v>94163780372.309998</v>
      </c>
      <c r="C118" s="85"/>
      <c r="D118" s="70">
        <f>SUM(D114:D117)</f>
        <v>94193238006.570007</v>
      </c>
      <c r="E118" s="85"/>
      <c r="F118" s="23">
        <f>((D118-B118)/B118)</f>
        <v>3.128340232681667E-4</v>
      </c>
      <c r="G118" s="23"/>
      <c r="H118" s="70">
        <f>SUM(H114:H117)</f>
        <v>94202498345.429993</v>
      </c>
      <c r="I118" s="85"/>
      <c r="J118" s="23">
        <f>((H118-D118)/D118)</f>
        <v>9.8312140616075224E-5</v>
      </c>
      <c r="K118" s="23"/>
      <c r="L118" s="70">
        <f>SUM(L114:L117)</f>
        <v>94230214273.230011</v>
      </c>
      <c r="M118" s="85"/>
      <c r="N118" s="23">
        <f>((L118-H118)/H118)</f>
        <v>2.9421648349905875E-4</v>
      </c>
      <c r="O118" s="23"/>
      <c r="P118" s="70">
        <f>SUM(P114:P117)</f>
        <v>93351135037.830002</v>
      </c>
      <c r="Q118" s="85"/>
      <c r="R118" s="23">
        <f>((P118-L118)/L118)</f>
        <v>-9.3290590728259438E-3</v>
      </c>
      <c r="S118" s="23"/>
      <c r="T118" s="70">
        <f>SUM(T114:T117)</f>
        <v>93428704507.080002</v>
      </c>
      <c r="U118" s="85"/>
      <c r="V118" s="23">
        <f>((T118-P118)/P118)</f>
        <v>8.3094296838024978E-4</v>
      </c>
      <c r="W118" s="23"/>
      <c r="X118" s="70">
        <f>SUM(X114:X117)</f>
        <v>93449896565.160004</v>
      </c>
      <c r="Y118" s="85"/>
      <c r="Z118" s="23">
        <f>((X118-T118)/T118)</f>
        <v>2.2682598663664337E-4</v>
      </c>
      <c r="AA118" s="23"/>
      <c r="AB118" s="70">
        <f>SUM(AB114:AB117)</f>
        <v>93463222418.470001</v>
      </c>
      <c r="AC118" s="85"/>
      <c r="AD118" s="23">
        <f>((AB118-X118)/X118)</f>
        <v>1.4259890914599156E-4</v>
      </c>
      <c r="AE118" s="23"/>
      <c r="AF118" s="70">
        <f>SUM(AF114:AF117)</f>
        <v>93491559414.529999</v>
      </c>
      <c r="AG118" s="85"/>
      <c r="AH118" s="23">
        <f>((AF118-AB118)/AB118)</f>
        <v>3.0318873377939149E-4</v>
      </c>
      <c r="AI118" s="23"/>
      <c r="AJ118" s="24">
        <f t="shared" si="74"/>
        <v>-8.9001747843754587E-4</v>
      </c>
      <c r="AK118" s="24"/>
      <c r="AL118" s="25">
        <f t="shared" si="76"/>
        <v>-7.4493520648591174E-3</v>
      </c>
      <c r="AM118" s="25"/>
      <c r="AN118" s="390">
        <f t="shared" si="78"/>
        <v>3.417237023704662E-3</v>
      </c>
      <c r="AO118" s="391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68" customFormat="1" ht="7.5" customHeight="1">
      <c r="A119" s="204"/>
      <c r="B119" s="85"/>
      <c r="C119" s="85"/>
      <c r="D119" s="85"/>
      <c r="E119" s="85"/>
      <c r="F119" s="23"/>
      <c r="G119" s="23"/>
      <c r="H119" s="85"/>
      <c r="I119" s="85"/>
      <c r="J119" s="23"/>
      <c r="K119" s="23"/>
      <c r="L119" s="85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390"/>
      <c r="AO119" s="391"/>
      <c r="AP119" s="30"/>
      <c r="AQ119" s="28"/>
      <c r="AR119" s="32"/>
      <c r="AS119" s="29"/>
      <c r="AT119" s="29"/>
    </row>
    <row r="120" spans="1:46">
      <c r="A120" s="206" t="s">
        <v>221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90"/>
      <c r="AO120" s="391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2" t="s">
        <v>116</v>
      </c>
      <c r="B121" s="325">
        <v>171476888.66999999</v>
      </c>
      <c r="C121" s="325">
        <v>3.91</v>
      </c>
      <c r="D121" s="325">
        <v>171930951.83000001</v>
      </c>
      <c r="E121" s="325">
        <v>3.92</v>
      </c>
      <c r="F121" s="23">
        <f t="shared" ref="F121:F144" si="127">((D121-B121)/B121)</f>
        <v>2.6479554389037905E-3</v>
      </c>
      <c r="G121" s="23">
        <f t="shared" ref="G121:G144" si="128">((E121-C121)/C121)</f>
        <v>2.5575447570331936E-3</v>
      </c>
      <c r="H121" s="325">
        <v>173805872.94</v>
      </c>
      <c r="I121" s="325">
        <v>3.96</v>
      </c>
      <c r="J121" s="23">
        <f t="shared" ref="J121:J131" si="129">((H121-D121)/D121)</f>
        <v>1.0905081895049637E-2</v>
      </c>
      <c r="K121" s="23">
        <f t="shared" ref="K121:K131" si="130">((I121-E121)/E121)</f>
        <v>1.0204081632653071E-2</v>
      </c>
      <c r="L121" s="325">
        <v>175841799.91999999</v>
      </c>
      <c r="M121" s="325">
        <v>4.01</v>
      </c>
      <c r="N121" s="23">
        <f t="shared" ref="N121:N131" si="131">((L121-H121)/H121)</f>
        <v>1.1713798536041514E-2</v>
      </c>
      <c r="O121" s="23">
        <f t="shared" ref="O121:O131" si="132">((M121-I121)/I121)</f>
        <v>1.2626262626262581E-2</v>
      </c>
      <c r="P121" s="325">
        <v>180051411.02000001</v>
      </c>
      <c r="Q121" s="325">
        <v>4.09</v>
      </c>
      <c r="R121" s="23">
        <f t="shared" ref="R121:R131" si="133">((P121-L121)/L121)</f>
        <v>2.3939763480100892E-2</v>
      </c>
      <c r="S121" s="23">
        <f t="shared" ref="S121:S131" si="134">((Q121-M121)/M121)</f>
        <v>1.9950124688279322E-2</v>
      </c>
      <c r="T121" s="325">
        <v>180314220.96000001</v>
      </c>
      <c r="U121" s="325">
        <v>4.0999999999999996</v>
      </c>
      <c r="V121" s="23">
        <f t="shared" ref="V121:V131" si="135">((T121-P121)/P121)</f>
        <v>1.4596383250270936E-3</v>
      </c>
      <c r="W121" s="23">
        <f t="shared" ref="W121:W131" si="136">((U121-Q121)/Q121)</f>
        <v>2.4449877750610726E-3</v>
      </c>
      <c r="X121" s="325">
        <v>186288631.78999999</v>
      </c>
      <c r="Y121" s="325">
        <v>4.24</v>
      </c>
      <c r="Z121" s="23">
        <f t="shared" ref="Z121:Z131" si="137">((X121-T121)/T121)</f>
        <v>3.3133331348975052E-2</v>
      </c>
      <c r="AA121" s="23">
        <f t="shared" ref="AA121:AA131" si="138">((Y121-U121)/U121)</f>
        <v>3.4146341463414775E-2</v>
      </c>
      <c r="AB121" s="325">
        <v>187052986.65000001</v>
      </c>
      <c r="AC121" s="325">
        <v>4.25</v>
      </c>
      <c r="AD121" s="23">
        <f t="shared" ref="AD121:AD131" si="139">((AB121-X121)/X121)</f>
        <v>4.1030676571915487E-3</v>
      </c>
      <c r="AE121" s="23">
        <f t="shared" ref="AE121:AE131" si="140">((AC121-Y121)/Y121)</f>
        <v>2.3584905660376855E-3</v>
      </c>
      <c r="AF121" s="325">
        <v>191306054.06</v>
      </c>
      <c r="AG121" s="325">
        <v>4.3499999999999996</v>
      </c>
      <c r="AH121" s="23">
        <f t="shared" ref="AH121:AH131" si="141">((AF121-AB121)/AB121)</f>
        <v>2.2737233369911531E-2</v>
      </c>
      <c r="AI121" s="23">
        <f t="shared" ref="AI121:AI131" si="142">((AG121-AC121)/AC121)</f>
        <v>2.3529411764705799E-2</v>
      </c>
      <c r="AJ121" s="24">
        <f t="shared" si="74"/>
        <v>1.3829983756400132E-2</v>
      </c>
      <c r="AK121" s="24">
        <f t="shared" si="75"/>
        <v>1.3477155659180937E-2</v>
      </c>
      <c r="AL121" s="25">
        <f t="shared" si="76"/>
        <v>0.11269118226692242</v>
      </c>
      <c r="AM121" s="25">
        <f t="shared" si="77"/>
        <v>0.10969387755102034</v>
      </c>
      <c r="AN121" s="390">
        <f t="shared" si="78"/>
        <v>1.1587403018488525E-2</v>
      </c>
      <c r="AO121" s="391">
        <f t="shared" si="79"/>
        <v>1.1626145406800402E-2</v>
      </c>
      <c r="AP121" s="30"/>
      <c r="AQ121" s="28"/>
      <c r="AR121" s="32"/>
      <c r="AS121" s="29"/>
      <c r="AT121" s="29"/>
    </row>
    <row r="122" spans="1:46" s="103" customFormat="1">
      <c r="A122" s="202" t="s">
        <v>155</v>
      </c>
      <c r="B122" s="325">
        <v>4938418482.0100002</v>
      </c>
      <c r="C122" s="325">
        <v>559.78129999999999</v>
      </c>
      <c r="D122" s="325">
        <v>4935775290.6000004</v>
      </c>
      <c r="E122" s="325">
        <v>559.86249999999995</v>
      </c>
      <c r="F122" s="23">
        <f t="shared" si="127"/>
        <v>-5.3523034137925758E-4</v>
      </c>
      <c r="G122" s="23">
        <f t="shared" si="128"/>
        <v>1.4505664980228364E-4</v>
      </c>
      <c r="H122" s="325">
        <v>4941603561.1999998</v>
      </c>
      <c r="I122" s="325">
        <v>560.7441</v>
      </c>
      <c r="J122" s="23">
        <f t="shared" si="129"/>
        <v>1.1808217061864935E-3</v>
      </c>
      <c r="K122" s="23">
        <f t="shared" si="130"/>
        <v>1.5746723525866596E-3</v>
      </c>
      <c r="L122" s="325">
        <v>5047198471.25</v>
      </c>
      <c r="M122" s="325">
        <v>570.83989999999994</v>
      </c>
      <c r="N122" s="23">
        <f t="shared" si="131"/>
        <v>2.1368551471651832E-2</v>
      </c>
      <c r="O122" s="23">
        <f t="shared" si="132"/>
        <v>1.8004291083936398E-2</v>
      </c>
      <c r="P122" s="325">
        <v>5215056273.8800001</v>
      </c>
      <c r="Q122" s="325">
        <v>589.41840000000002</v>
      </c>
      <c r="R122" s="23">
        <f t="shared" si="133"/>
        <v>3.325761877329704E-2</v>
      </c>
      <c r="S122" s="23">
        <f t="shared" si="134"/>
        <v>3.2545902975598021E-2</v>
      </c>
      <c r="T122" s="325">
        <v>5218857777.5299997</v>
      </c>
      <c r="U122" s="325">
        <v>589.77639999999997</v>
      </c>
      <c r="V122" s="23">
        <f t="shared" si="135"/>
        <v>7.2894777167405351E-4</v>
      </c>
      <c r="W122" s="23">
        <f t="shared" si="136"/>
        <v>6.0737839198767333E-4</v>
      </c>
      <c r="X122" s="325">
        <v>5423260890.4499998</v>
      </c>
      <c r="Y122" s="325">
        <v>613.34460000000001</v>
      </c>
      <c r="Z122" s="23">
        <f t="shared" si="137"/>
        <v>3.9166254692754005E-2</v>
      </c>
      <c r="AA122" s="23">
        <f t="shared" si="138"/>
        <v>3.996124632996513E-2</v>
      </c>
      <c r="AB122" s="325">
        <v>5379490467.0699997</v>
      </c>
      <c r="AC122" s="325">
        <v>608.30999999999995</v>
      </c>
      <c r="AD122" s="23">
        <f t="shared" si="139"/>
        <v>-8.0708681113012479E-3</v>
      </c>
      <c r="AE122" s="23">
        <f t="shared" si="140"/>
        <v>-8.2084361711182718E-3</v>
      </c>
      <c r="AF122" s="325">
        <v>5467902900.1800003</v>
      </c>
      <c r="AG122" s="325">
        <v>618.33630000000005</v>
      </c>
      <c r="AH122" s="23">
        <f t="shared" si="141"/>
        <v>1.6435094299582512E-2</v>
      </c>
      <c r="AI122" s="23">
        <f t="shared" si="142"/>
        <v>1.6482221235883197E-2</v>
      </c>
      <c r="AJ122" s="24">
        <f t="shared" si="74"/>
        <v>1.2941398782808179E-2</v>
      </c>
      <c r="AK122" s="24">
        <f t="shared" si="75"/>
        <v>1.2639041606080136E-2</v>
      </c>
      <c r="AL122" s="25">
        <f t="shared" si="76"/>
        <v>0.10781033946043229</v>
      </c>
      <c r="AM122" s="25">
        <f t="shared" si="77"/>
        <v>0.10444314452209266</v>
      </c>
      <c r="AN122" s="390">
        <f t="shared" si="78"/>
        <v>1.7297005101871033E-2</v>
      </c>
      <c r="AO122" s="391">
        <f t="shared" si="79"/>
        <v>1.708901112502724E-2</v>
      </c>
      <c r="AP122" s="30"/>
      <c r="AQ122" s="28"/>
      <c r="AR122" s="32"/>
      <c r="AS122" s="29"/>
      <c r="AT122" s="29"/>
    </row>
    <row r="123" spans="1:46" s="368" customFormat="1">
      <c r="A123" s="202" t="s">
        <v>241</v>
      </c>
      <c r="B123" s="325">
        <v>2697991011.23</v>
      </c>
      <c r="C123" s="325">
        <v>14.9048</v>
      </c>
      <c r="D123" s="325">
        <v>2699776971.6500001</v>
      </c>
      <c r="E123" s="325">
        <v>14.969200000000001</v>
      </c>
      <c r="F123" s="23">
        <f t="shared" si="127"/>
        <v>6.6195936627152304E-4</v>
      </c>
      <c r="G123" s="23">
        <f t="shared" si="128"/>
        <v>4.3207557296978758E-3</v>
      </c>
      <c r="H123" s="325">
        <v>2718917482.6599998</v>
      </c>
      <c r="I123" s="325">
        <v>15.014799999999999</v>
      </c>
      <c r="J123" s="23">
        <f t="shared" si="129"/>
        <v>7.0896637800054296E-3</v>
      </c>
      <c r="K123" s="23">
        <f t="shared" si="130"/>
        <v>3.0462549768857741E-3</v>
      </c>
      <c r="L123" s="325">
        <v>2722075524.23</v>
      </c>
      <c r="M123" s="325">
        <v>15.203900000000001</v>
      </c>
      <c r="N123" s="23">
        <f t="shared" si="131"/>
        <v>1.1615069564047834E-3</v>
      </c>
      <c r="O123" s="23">
        <f t="shared" si="132"/>
        <v>1.2594240349521913E-2</v>
      </c>
      <c r="P123" s="325">
        <v>2808501820.6199999</v>
      </c>
      <c r="Q123" s="325">
        <v>15.6739</v>
      </c>
      <c r="R123" s="23">
        <f t="shared" si="133"/>
        <v>3.175014639406358E-2</v>
      </c>
      <c r="S123" s="23">
        <f t="shared" si="134"/>
        <v>3.0913120975539093E-2</v>
      </c>
      <c r="T123" s="325">
        <v>2806863067.3200002</v>
      </c>
      <c r="U123" s="325">
        <v>15.6533</v>
      </c>
      <c r="V123" s="23">
        <f t="shared" si="135"/>
        <v>-5.8349732514609721E-4</v>
      </c>
      <c r="W123" s="23">
        <f t="shared" si="136"/>
        <v>-1.3142868080056624E-3</v>
      </c>
      <c r="X123" s="325">
        <v>2912210240.25</v>
      </c>
      <c r="Y123" s="325">
        <v>16.3429</v>
      </c>
      <c r="Z123" s="23">
        <f t="shared" si="137"/>
        <v>3.7531995827137218E-2</v>
      </c>
      <c r="AA123" s="23">
        <f t="shared" si="138"/>
        <v>4.4054608293458919E-2</v>
      </c>
      <c r="AB123" s="325">
        <v>2916603768.6599998</v>
      </c>
      <c r="AC123" s="325">
        <v>16.128499999999999</v>
      </c>
      <c r="AD123" s="23">
        <f t="shared" si="139"/>
        <v>1.5086577024132307E-3</v>
      </c>
      <c r="AE123" s="23">
        <f t="shared" si="140"/>
        <v>-1.3118846716311135E-2</v>
      </c>
      <c r="AF123" s="325">
        <v>2975758332.46</v>
      </c>
      <c r="AG123" s="325">
        <v>16.280799999999999</v>
      </c>
      <c r="AH123" s="23">
        <f t="shared" si="141"/>
        <v>2.0282002113430057E-2</v>
      </c>
      <c r="AI123" s="23">
        <f t="shared" si="142"/>
        <v>9.442911616083351E-3</v>
      </c>
      <c r="AJ123" s="24">
        <f t="shared" si="74"/>
        <v>1.2425304351822465E-2</v>
      </c>
      <c r="AK123" s="24">
        <f t="shared" si="75"/>
        <v>1.1242344802108766E-2</v>
      </c>
      <c r="AL123" s="25">
        <f t="shared" si="76"/>
        <v>0.10222376281746366</v>
      </c>
      <c r="AM123" s="25">
        <f t="shared" si="77"/>
        <v>8.7619912887796178E-2</v>
      </c>
      <c r="AN123" s="390">
        <f t="shared" si="78"/>
        <v>1.534202328329399E-2</v>
      </c>
      <c r="AO123" s="391">
        <f t="shared" si="79"/>
        <v>1.8263431790457162E-2</v>
      </c>
      <c r="AP123" s="30"/>
      <c r="AQ123" s="28"/>
      <c r="AR123" s="32"/>
      <c r="AS123" s="29"/>
      <c r="AT123" s="29"/>
    </row>
    <row r="124" spans="1:46">
      <c r="A124" s="202" t="s">
        <v>143</v>
      </c>
      <c r="B124" s="326">
        <v>1032654596.37</v>
      </c>
      <c r="C124" s="325">
        <v>2.4561000000000002</v>
      </c>
      <c r="D124" s="326">
        <v>1047558751.25</v>
      </c>
      <c r="E124" s="325">
        <v>2.4914000000000001</v>
      </c>
      <c r="F124" s="23">
        <f t="shared" si="127"/>
        <v>1.4432855799404043E-2</v>
      </c>
      <c r="G124" s="23">
        <f t="shared" si="128"/>
        <v>1.4372378974797395E-2</v>
      </c>
      <c r="H124" s="326">
        <v>1072807293.22</v>
      </c>
      <c r="I124" s="325">
        <v>2.5520999999999998</v>
      </c>
      <c r="J124" s="23">
        <f t="shared" si="129"/>
        <v>2.4102268192473398E-2</v>
      </c>
      <c r="K124" s="23">
        <f t="shared" si="130"/>
        <v>2.4363811511599803E-2</v>
      </c>
      <c r="L124" s="326">
        <v>1082077115.4200001</v>
      </c>
      <c r="M124" s="325">
        <v>2.5746000000000002</v>
      </c>
      <c r="N124" s="23">
        <f t="shared" si="131"/>
        <v>8.6407151205851185E-3</v>
      </c>
      <c r="O124" s="23">
        <f t="shared" si="132"/>
        <v>8.8162689549784144E-3</v>
      </c>
      <c r="P124" s="326">
        <v>1099121728.96</v>
      </c>
      <c r="Q124" s="325">
        <v>2.6156999999999999</v>
      </c>
      <c r="R124" s="23">
        <f t="shared" si="133"/>
        <v>1.5751754932349923E-2</v>
      </c>
      <c r="S124" s="23">
        <f t="shared" si="134"/>
        <v>1.5963644838032972E-2</v>
      </c>
      <c r="T124" s="326">
        <v>1101968822.7</v>
      </c>
      <c r="U124" s="325">
        <v>2.6223999999999998</v>
      </c>
      <c r="V124" s="23">
        <f t="shared" si="135"/>
        <v>2.5903352331083092E-3</v>
      </c>
      <c r="W124" s="23">
        <f t="shared" si="136"/>
        <v>2.5614558244446721E-3</v>
      </c>
      <c r="X124" s="326">
        <v>1142804967.6199999</v>
      </c>
      <c r="Y124" s="325">
        <v>2.7210000000000001</v>
      </c>
      <c r="Z124" s="23">
        <f t="shared" si="137"/>
        <v>3.7057441262217154E-2</v>
      </c>
      <c r="AA124" s="23">
        <f t="shared" si="138"/>
        <v>3.7599145820622425E-2</v>
      </c>
      <c r="AB124" s="326">
        <v>1152185540.3800001</v>
      </c>
      <c r="AC124" s="325">
        <v>2.7435</v>
      </c>
      <c r="AD124" s="23">
        <f t="shared" si="139"/>
        <v>8.2083759047146647E-3</v>
      </c>
      <c r="AE124" s="23">
        <f t="shared" si="140"/>
        <v>8.269018743109138E-3</v>
      </c>
      <c r="AF124" s="326">
        <v>1172321788.9300001</v>
      </c>
      <c r="AG124" s="325">
        <v>2.7984</v>
      </c>
      <c r="AH124" s="23">
        <f t="shared" si="141"/>
        <v>1.7476567657114368E-2</v>
      </c>
      <c r="AI124" s="23">
        <f t="shared" si="142"/>
        <v>2.0010934937124091E-2</v>
      </c>
      <c r="AJ124" s="24">
        <f t="shared" si="74"/>
        <v>1.6032539262745872E-2</v>
      </c>
      <c r="AK124" s="24">
        <f t="shared" si="75"/>
        <v>1.6494582450588612E-2</v>
      </c>
      <c r="AL124" s="25">
        <f t="shared" si="76"/>
        <v>0.11909884532120657</v>
      </c>
      <c r="AM124" s="25">
        <f t="shared" si="77"/>
        <v>0.12322389018222683</v>
      </c>
      <c r="AN124" s="390">
        <f t="shared" si="78"/>
        <v>1.0746690651343213E-2</v>
      </c>
      <c r="AO124" s="391">
        <f t="shared" si="79"/>
        <v>1.0988475470938515E-2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2" t="s">
        <v>266</v>
      </c>
      <c r="B125" s="326">
        <v>2381743169.8162699</v>
      </c>
      <c r="C125" s="325">
        <v>4497.5691687045801</v>
      </c>
      <c r="D125" s="326">
        <v>2369343849.3488002</v>
      </c>
      <c r="E125" s="325">
        <v>4469.4253479082499</v>
      </c>
      <c r="F125" s="23">
        <f t="shared" si="127"/>
        <v>-5.2059855254780428E-3</v>
      </c>
      <c r="G125" s="23">
        <f t="shared" si="128"/>
        <v>-6.2575626389835643E-3</v>
      </c>
      <c r="H125" s="326">
        <v>2386581991.5784502</v>
      </c>
      <c r="I125" s="325">
        <v>4504.8489558523297</v>
      </c>
      <c r="J125" s="23">
        <f t="shared" si="129"/>
        <v>7.2754920035721362E-3</v>
      </c>
      <c r="K125" s="23">
        <f t="shared" si="130"/>
        <v>7.9257634229551437E-3</v>
      </c>
      <c r="L125" s="326">
        <v>2430174060.5251298</v>
      </c>
      <c r="M125" s="325">
        <v>4587.3988998184304</v>
      </c>
      <c r="N125" s="23">
        <f t="shared" si="131"/>
        <v>1.8265481387399744E-2</v>
      </c>
      <c r="O125" s="23">
        <f t="shared" si="132"/>
        <v>1.8324686304711419E-2</v>
      </c>
      <c r="P125" s="326">
        <v>2487244601.2964201</v>
      </c>
      <c r="Q125" s="325">
        <v>4695.8647294641996</v>
      </c>
      <c r="R125" s="23">
        <f t="shared" si="133"/>
        <v>2.3484137082328202E-2</v>
      </c>
      <c r="S125" s="23">
        <f t="shared" si="134"/>
        <v>2.3644298656927847E-2</v>
      </c>
      <c r="T125" s="326">
        <v>2510565113.12186</v>
      </c>
      <c r="U125" s="325">
        <v>4723.0348347712297</v>
      </c>
      <c r="V125" s="23">
        <f t="shared" si="135"/>
        <v>9.3760427958250025E-3</v>
      </c>
      <c r="W125" s="23">
        <f t="shared" si="136"/>
        <v>5.7859642200831073E-3</v>
      </c>
      <c r="X125" s="326">
        <v>2615945343.5957499</v>
      </c>
      <c r="Y125" s="325">
        <v>4919.8318449966901</v>
      </c>
      <c r="Z125" s="23">
        <f t="shared" si="137"/>
        <v>4.1974705186136628E-2</v>
      </c>
      <c r="AA125" s="23">
        <f t="shared" si="138"/>
        <v>4.1667490736386363E-2</v>
      </c>
      <c r="AB125" s="326">
        <v>2631605616.6355901</v>
      </c>
      <c r="AC125" s="325">
        <v>4939.3351779398099</v>
      </c>
      <c r="AD125" s="23">
        <f t="shared" si="139"/>
        <v>5.9864679811369378E-3</v>
      </c>
      <c r="AE125" s="23">
        <f t="shared" si="140"/>
        <v>3.96422755036925E-3</v>
      </c>
      <c r="AF125" s="326">
        <v>2688150136.8913798</v>
      </c>
      <c r="AG125" s="325">
        <v>5041.1136242656403</v>
      </c>
      <c r="AH125" s="23">
        <f t="shared" si="141"/>
        <v>2.1486699944074379E-2</v>
      </c>
      <c r="AI125" s="23">
        <f t="shared" si="142"/>
        <v>2.0605697459122833E-2</v>
      </c>
      <c r="AJ125" s="24">
        <f t="shared" si="74"/>
        <v>1.5330380106874375E-2</v>
      </c>
      <c r="AK125" s="24">
        <f t="shared" si="75"/>
        <v>1.4457570713946549E-2</v>
      </c>
      <c r="AL125" s="25">
        <f t="shared" si="76"/>
        <v>0.13455467328231047</v>
      </c>
      <c r="AM125" s="25">
        <f t="shared" si="77"/>
        <v>0.12791091289285053</v>
      </c>
      <c r="AN125" s="390">
        <f t="shared" si="78"/>
        <v>1.4304371297806897E-2</v>
      </c>
      <c r="AO125" s="391">
        <f t="shared" si="79"/>
        <v>1.4806456263798035E-2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2" t="s">
        <v>156</v>
      </c>
      <c r="B126" s="325">
        <v>360101576.60000002</v>
      </c>
      <c r="C126" s="325">
        <v>143.65</v>
      </c>
      <c r="D126" s="325">
        <v>361009987.01999998</v>
      </c>
      <c r="E126" s="325">
        <v>144.01</v>
      </c>
      <c r="F126" s="23">
        <f t="shared" si="127"/>
        <v>2.5226504937217124E-3</v>
      </c>
      <c r="G126" s="23">
        <f t="shared" si="128"/>
        <v>2.5060911938738963E-3</v>
      </c>
      <c r="H126" s="325">
        <v>354647768.31999999</v>
      </c>
      <c r="I126" s="325">
        <v>134.91</v>
      </c>
      <c r="J126" s="23">
        <f t="shared" si="129"/>
        <v>-1.7623386966431821E-2</v>
      </c>
      <c r="K126" s="23">
        <f t="shared" si="130"/>
        <v>-6.3190056246093987E-2</v>
      </c>
      <c r="L126" s="325">
        <v>359886928.88999999</v>
      </c>
      <c r="M126" s="325">
        <v>136.91999999999999</v>
      </c>
      <c r="N126" s="23">
        <f t="shared" si="131"/>
        <v>1.4772856445194599E-2</v>
      </c>
      <c r="O126" s="23">
        <f t="shared" si="132"/>
        <v>1.4898821436513164E-2</v>
      </c>
      <c r="P126" s="325">
        <v>371021554.06</v>
      </c>
      <c r="Q126" s="325">
        <v>141.03</v>
      </c>
      <c r="R126" s="23">
        <f t="shared" si="133"/>
        <v>3.0939231953609887E-2</v>
      </c>
      <c r="S126" s="23">
        <f t="shared" si="134"/>
        <v>3.0017528483786256E-2</v>
      </c>
      <c r="T126" s="325">
        <v>385471981.02999997</v>
      </c>
      <c r="U126" s="325">
        <v>140.94999999999999</v>
      </c>
      <c r="V126" s="23">
        <f t="shared" si="135"/>
        <v>3.8947675173780089E-2</v>
      </c>
      <c r="W126" s="23">
        <f t="shared" si="136"/>
        <v>-5.6725519393045808E-4</v>
      </c>
      <c r="X126" s="325">
        <v>407139017.07999998</v>
      </c>
      <c r="Y126" s="325">
        <v>149.12</v>
      </c>
      <c r="Z126" s="23">
        <f t="shared" si="137"/>
        <v>5.6209107577948031E-2</v>
      </c>
      <c r="AA126" s="23">
        <f t="shared" si="138"/>
        <v>5.7963816956367625E-2</v>
      </c>
      <c r="AB126" s="325">
        <v>408833544.89999998</v>
      </c>
      <c r="AC126" s="325">
        <v>149.69999999999999</v>
      </c>
      <c r="AD126" s="23">
        <f t="shared" si="139"/>
        <v>4.1620374096129186E-3</v>
      </c>
      <c r="AE126" s="23">
        <f t="shared" si="140"/>
        <v>3.8894849785406655E-3</v>
      </c>
      <c r="AF126" s="325">
        <v>418454762.29000002</v>
      </c>
      <c r="AG126" s="325">
        <v>153.03</v>
      </c>
      <c r="AH126" s="23">
        <f t="shared" si="141"/>
        <v>2.3533336513160582E-2</v>
      </c>
      <c r="AI126" s="23">
        <f t="shared" si="142"/>
        <v>2.2244488977955997E-2</v>
      </c>
      <c r="AJ126" s="24">
        <f t="shared" si="74"/>
        <v>1.9182938575074499E-2</v>
      </c>
      <c r="AK126" s="24">
        <f t="shared" si="75"/>
        <v>8.4703650733766456E-3</v>
      </c>
      <c r="AL126" s="25">
        <f t="shared" si="76"/>
        <v>0.15912239920060051</v>
      </c>
      <c r="AM126" s="25">
        <f t="shared" si="77"/>
        <v>6.2634539268106457E-2</v>
      </c>
      <c r="AN126" s="390">
        <f t="shared" si="78"/>
        <v>2.3287229777907158E-2</v>
      </c>
      <c r="AO126" s="391">
        <f t="shared" si="79"/>
        <v>3.4678904991802727E-2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2" t="s">
        <v>180</v>
      </c>
      <c r="B127" s="325">
        <v>3734808.11</v>
      </c>
      <c r="C127" s="325">
        <v>102.99</v>
      </c>
      <c r="D127" s="325">
        <v>3734808.11</v>
      </c>
      <c r="E127" s="325">
        <v>102.99</v>
      </c>
      <c r="F127" s="23">
        <f t="shared" si="127"/>
        <v>0</v>
      </c>
      <c r="G127" s="23">
        <f t="shared" si="128"/>
        <v>0</v>
      </c>
      <c r="H127" s="325">
        <v>3734808.11</v>
      </c>
      <c r="I127" s="325">
        <v>102.99</v>
      </c>
      <c r="J127" s="23">
        <f t="shared" si="129"/>
        <v>0</v>
      </c>
      <c r="K127" s="23">
        <f t="shared" si="130"/>
        <v>0</v>
      </c>
      <c r="L127" s="325">
        <v>3734808.11</v>
      </c>
      <c r="M127" s="325">
        <v>102.99</v>
      </c>
      <c r="N127" s="23">
        <f t="shared" si="131"/>
        <v>0</v>
      </c>
      <c r="O127" s="23">
        <f t="shared" si="132"/>
        <v>0</v>
      </c>
      <c r="P127" s="325">
        <v>3734808.11</v>
      </c>
      <c r="Q127" s="325">
        <v>102.99</v>
      </c>
      <c r="R127" s="23">
        <f t="shared" si="133"/>
        <v>0</v>
      </c>
      <c r="S127" s="23">
        <f t="shared" si="134"/>
        <v>0</v>
      </c>
      <c r="T127" s="325">
        <v>3734808.11</v>
      </c>
      <c r="U127" s="325">
        <v>102.99</v>
      </c>
      <c r="V127" s="23">
        <f t="shared" si="135"/>
        <v>0</v>
      </c>
      <c r="W127" s="23">
        <f t="shared" si="136"/>
        <v>0</v>
      </c>
      <c r="X127" s="325">
        <v>3734808.11</v>
      </c>
      <c r="Y127" s="325">
        <v>102.99</v>
      </c>
      <c r="Z127" s="23">
        <f t="shared" si="137"/>
        <v>0</v>
      </c>
      <c r="AA127" s="23">
        <f t="shared" si="138"/>
        <v>0</v>
      </c>
      <c r="AB127" s="325">
        <v>3734808.11</v>
      </c>
      <c r="AC127" s="325">
        <v>102.99</v>
      </c>
      <c r="AD127" s="23">
        <f t="shared" si="139"/>
        <v>0</v>
      </c>
      <c r="AE127" s="23">
        <f t="shared" si="140"/>
        <v>0</v>
      </c>
      <c r="AF127" s="325">
        <v>3734808.11</v>
      </c>
      <c r="AG127" s="325">
        <v>102.99</v>
      </c>
      <c r="AH127" s="23">
        <f t="shared" si="141"/>
        <v>0</v>
      </c>
      <c r="AI127" s="23">
        <f t="shared" si="142"/>
        <v>0</v>
      </c>
      <c r="AJ127" s="24">
        <f t="shared" si="74"/>
        <v>0</v>
      </c>
      <c r="AK127" s="24">
        <f t="shared" si="75"/>
        <v>0</v>
      </c>
      <c r="AL127" s="25">
        <f t="shared" si="76"/>
        <v>0</v>
      </c>
      <c r="AM127" s="25">
        <f t="shared" si="77"/>
        <v>0</v>
      </c>
      <c r="AN127" s="390">
        <f t="shared" si="78"/>
        <v>0</v>
      </c>
      <c r="AO127" s="391">
        <f t="shared" si="79"/>
        <v>0</v>
      </c>
      <c r="AP127" s="30"/>
      <c r="AQ127" s="461" t="s">
        <v>84</v>
      </c>
      <c r="AR127" s="461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2" t="s">
        <v>109</v>
      </c>
      <c r="B128" s="325">
        <v>127529083.97</v>
      </c>
      <c r="C128" s="325">
        <v>1.1888000000000001</v>
      </c>
      <c r="D128" s="325">
        <v>127934595.36</v>
      </c>
      <c r="E128" s="325">
        <v>1.1929000000000001</v>
      </c>
      <c r="F128" s="23">
        <f t="shared" si="127"/>
        <v>3.1797561573906801E-3</v>
      </c>
      <c r="G128" s="23">
        <f t="shared" si="128"/>
        <v>3.4488559892328335E-3</v>
      </c>
      <c r="H128" s="325">
        <v>129271344.36</v>
      </c>
      <c r="I128" s="325">
        <v>1.2055</v>
      </c>
      <c r="J128" s="23">
        <f t="shared" si="129"/>
        <v>1.0448690569102683E-2</v>
      </c>
      <c r="K128" s="23">
        <f t="shared" si="130"/>
        <v>1.0562494760667234E-2</v>
      </c>
      <c r="L128" s="325">
        <v>131862240.18000001</v>
      </c>
      <c r="M128" s="325">
        <v>1.2297</v>
      </c>
      <c r="N128" s="23">
        <f t="shared" si="131"/>
        <v>2.0042305839914357E-2</v>
      </c>
      <c r="O128" s="23">
        <f t="shared" si="132"/>
        <v>2.007465781833264E-2</v>
      </c>
      <c r="P128" s="325">
        <v>136169184.94</v>
      </c>
      <c r="Q128" s="325">
        <v>1.2698</v>
      </c>
      <c r="R128" s="23">
        <f t="shared" si="133"/>
        <v>3.2662457077331224E-2</v>
      </c>
      <c r="S128" s="23">
        <f t="shared" si="134"/>
        <v>3.2609579572253418E-2</v>
      </c>
      <c r="T128" s="325">
        <v>136434892.22999999</v>
      </c>
      <c r="U128" s="325">
        <v>1.2724</v>
      </c>
      <c r="V128" s="23">
        <f t="shared" si="135"/>
        <v>1.9513026395587946E-3</v>
      </c>
      <c r="W128" s="23">
        <f t="shared" si="136"/>
        <v>2.0475665459126916E-3</v>
      </c>
      <c r="X128" s="325">
        <v>142270957.31999999</v>
      </c>
      <c r="Y128" s="325">
        <v>1.3270999999999999</v>
      </c>
      <c r="Z128" s="23">
        <f t="shared" si="137"/>
        <v>4.2775458642659012E-2</v>
      </c>
      <c r="AA128" s="23">
        <f t="shared" si="138"/>
        <v>4.2989625903803813E-2</v>
      </c>
      <c r="AB128" s="325">
        <v>143228293.69</v>
      </c>
      <c r="AC128" s="325">
        <v>1.3361000000000001</v>
      </c>
      <c r="AD128" s="23">
        <f t="shared" si="139"/>
        <v>6.7289655459809401E-3</v>
      </c>
      <c r="AE128" s="23">
        <f t="shared" si="140"/>
        <v>6.7817044683898117E-3</v>
      </c>
      <c r="AF128" s="325">
        <v>143228293.69</v>
      </c>
      <c r="AG128" s="325">
        <v>1.3361000000000001</v>
      </c>
      <c r="AH128" s="23">
        <f t="shared" si="141"/>
        <v>0</v>
      </c>
      <c r="AI128" s="23">
        <f t="shared" si="142"/>
        <v>0</v>
      </c>
      <c r="AJ128" s="24">
        <f t="shared" si="74"/>
        <v>1.4723617058992213E-2</v>
      </c>
      <c r="AK128" s="24">
        <f t="shared" si="75"/>
        <v>1.4814310632324055E-2</v>
      </c>
      <c r="AL128" s="25">
        <f t="shared" si="76"/>
        <v>0.11954310159003108</v>
      </c>
      <c r="AM128" s="25">
        <f t="shared" si="77"/>
        <v>0.12004359124821862</v>
      </c>
      <c r="AN128" s="390">
        <f t="shared" si="78"/>
        <v>1.5731512217473816E-2</v>
      </c>
      <c r="AO128" s="391">
        <f t="shared" si="79"/>
        <v>1.5731765195314062E-2</v>
      </c>
      <c r="AP128" s="30"/>
      <c r="AQ128" s="59" t="s">
        <v>72</v>
      </c>
      <c r="AR128" s="60" t="s">
        <v>73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2" t="s">
        <v>234</v>
      </c>
      <c r="B129" s="321">
        <v>167947239.72</v>
      </c>
      <c r="C129" s="325">
        <v>108.37</v>
      </c>
      <c r="D129" s="321">
        <v>168041733.13999999</v>
      </c>
      <c r="E129" s="325">
        <v>108.5</v>
      </c>
      <c r="F129" s="23">
        <f t="shared" si="127"/>
        <v>5.6263752924743152E-4</v>
      </c>
      <c r="G129" s="23">
        <f t="shared" si="128"/>
        <v>1.199593983574748E-3</v>
      </c>
      <c r="H129" s="321">
        <v>168041733.13999999</v>
      </c>
      <c r="I129" s="325">
        <v>108.8</v>
      </c>
      <c r="J129" s="23">
        <f t="shared" si="129"/>
        <v>0</v>
      </c>
      <c r="K129" s="23">
        <f t="shared" si="130"/>
        <v>2.7649769585253196E-3</v>
      </c>
      <c r="L129" s="321">
        <v>169748497.41999999</v>
      </c>
      <c r="M129" s="325">
        <v>108.51</v>
      </c>
      <c r="N129" s="23">
        <f t="shared" si="131"/>
        <v>1.0156788127018727E-2</v>
      </c>
      <c r="O129" s="23">
        <f t="shared" si="132"/>
        <v>-2.665441176470515E-3</v>
      </c>
      <c r="P129" s="321">
        <v>171050273.27000001</v>
      </c>
      <c r="Q129" s="325">
        <v>109.39</v>
      </c>
      <c r="R129" s="23">
        <f t="shared" si="133"/>
        <v>7.6688505040436779E-3</v>
      </c>
      <c r="S129" s="23">
        <f t="shared" si="134"/>
        <v>8.1098516265781535E-3</v>
      </c>
      <c r="T129" s="321">
        <v>171702088.84999999</v>
      </c>
      <c r="U129" s="325">
        <v>109.64</v>
      </c>
      <c r="V129" s="23">
        <f t="shared" si="135"/>
        <v>3.8106666978023666E-3</v>
      </c>
      <c r="W129" s="23">
        <f t="shared" si="136"/>
        <v>2.2854008593107232E-3</v>
      </c>
      <c r="X129" s="321">
        <v>173351861.15000001</v>
      </c>
      <c r="Y129" s="325">
        <v>110.74</v>
      </c>
      <c r="Z129" s="23">
        <f t="shared" si="137"/>
        <v>9.6083414654393826E-3</v>
      </c>
      <c r="AA129" s="23">
        <f t="shared" si="138"/>
        <v>1.0032834731849637E-2</v>
      </c>
      <c r="AB129" s="321">
        <v>174004703.66999999</v>
      </c>
      <c r="AC129" s="325">
        <v>111.04</v>
      </c>
      <c r="AD129" s="23">
        <f t="shared" si="139"/>
        <v>3.7659966017617856E-3</v>
      </c>
      <c r="AE129" s="23">
        <f t="shared" si="140"/>
        <v>2.7090482210584375E-3</v>
      </c>
      <c r="AF129" s="321">
        <v>174893840.34</v>
      </c>
      <c r="AG129" s="325">
        <v>111.67</v>
      </c>
      <c r="AH129" s="23">
        <f t="shared" si="141"/>
        <v>5.1098427298049646E-3</v>
      </c>
      <c r="AI129" s="23">
        <f t="shared" si="142"/>
        <v>5.6736311239192674E-3</v>
      </c>
      <c r="AJ129" s="24">
        <f t="shared" si="74"/>
        <v>5.085390456889792E-3</v>
      </c>
      <c r="AK129" s="24">
        <f t="shared" si="75"/>
        <v>3.7637370410432214E-3</v>
      </c>
      <c r="AL129" s="25">
        <f t="shared" si="76"/>
        <v>4.0776223096267085E-2</v>
      </c>
      <c r="AM129" s="25">
        <f t="shared" si="77"/>
        <v>2.9216589861751168E-2</v>
      </c>
      <c r="AN129" s="390">
        <f t="shared" si="78"/>
        <v>3.8272189611046909E-3</v>
      </c>
      <c r="AO129" s="391">
        <f t="shared" si="79"/>
        <v>4.0363088424706468E-3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2" t="s">
        <v>264</v>
      </c>
      <c r="B130" s="326">
        <v>233938002.75999999</v>
      </c>
      <c r="C130" s="325">
        <v>1.1393</v>
      </c>
      <c r="D130" s="326">
        <v>234160705.58000001</v>
      </c>
      <c r="E130" s="325">
        <v>1.0678000000000001</v>
      </c>
      <c r="F130" s="23">
        <f t="shared" si="127"/>
        <v>9.519736741041443E-4</v>
      </c>
      <c r="G130" s="23">
        <f t="shared" si="128"/>
        <v>-6.2757833757570353E-2</v>
      </c>
      <c r="H130" s="326">
        <v>246046830.84</v>
      </c>
      <c r="I130" s="325">
        <v>1.1779000000000002</v>
      </c>
      <c r="J130" s="23">
        <f t="shared" si="129"/>
        <v>5.0760545970165542E-2</v>
      </c>
      <c r="K130" s="23">
        <f t="shared" si="130"/>
        <v>0.10310919647874141</v>
      </c>
      <c r="L130" s="326">
        <v>253312714.22999999</v>
      </c>
      <c r="M130" s="325">
        <v>1.1336999999999999</v>
      </c>
      <c r="N130" s="23">
        <f t="shared" si="131"/>
        <v>2.9530489643757551E-2</v>
      </c>
      <c r="O130" s="23">
        <f t="shared" si="132"/>
        <v>-3.7524407844469171E-2</v>
      </c>
      <c r="P130" s="326">
        <v>281646845.86000001</v>
      </c>
      <c r="Q130" s="325">
        <v>1.1623000000000001</v>
      </c>
      <c r="R130" s="23">
        <f t="shared" si="133"/>
        <v>0.11185436039453402</v>
      </c>
      <c r="S130" s="23">
        <f t="shared" si="134"/>
        <v>2.5227132398341873E-2</v>
      </c>
      <c r="T130" s="326">
        <v>290493064.36000001</v>
      </c>
      <c r="U130" s="325">
        <v>1.1649</v>
      </c>
      <c r="V130" s="23">
        <f t="shared" si="135"/>
        <v>3.140890313537275E-2</v>
      </c>
      <c r="W130" s="23">
        <f t="shared" si="136"/>
        <v>2.2369439903638781E-3</v>
      </c>
      <c r="X130" s="326">
        <v>299758685.69</v>
      </c>
      <c r="Y130" s="325">
        <v>1.2028000000000001</v>
      </c>
      <c r="Z130" s="23">
        <f t="shared" si="137"/>
        <v>3.1896187781328078E-2</v>
      </c>
      <c r="AA130" s="23">
        <f t="shared" si="138"/>
        <v>3.2534981543480161E-2</v>
      </c>
      <c r="AB130" s="326">
        <v>357832515.00999999</v>
      </c>
      <c r="AC130" s="325">
        <v>1.2020999999999999</v>
      </c>
      <c r="AD130" s="23">
        <f t="shared" si="139"/>
        <v>0.19373526804176719</v>
      </c>
      <c r="AE130" s="23">
        <f t="shared" si="140"/>
        <v>-5.8197539075502565E-4</v>
      </c>
      <c r="AF130" s="326">
        <v>366328056.30000001</v>
      </c>
      <c r="AG130" s="325">
        <v>1.22</v>
      </c>
      <c r="AH130" s="23">
        <f t="shared" si="141"/>
        <v>2.3741669450476309E-2</v>
      </c>
      <c r="AI130" s="23">
        <f t="shared" si="142"/>
        <v>1.4890608102487338E-2</v>
      </c>
      <c r="AJ130" s="24">
        <f t="shared" si="74"/>
        <v>5.9234924761438199E-2</v>
      </c>
      <c r="AK130" s="24">
        <f t="shared" si="75"/>
        <v>9.6418306900775148E-3</v>
      </c>
      <c r="AL130" s="25">
        <f t="shared" si="76"/>
        <v>0.56443010108220559</v>
      </c>
      <c r="AM130" s="25">
        <f t="shared" si="77"/>
        <v>0.14253605544109371</v>
      </c>
      <c r="AN130" s="390">
        <f t="shared" si="78"/>
        <v>6.3236159964792663E-2</v>
      </c>
      <c r="AO130" s="391">
        <f t="shared" si="79"/>
        <v>4.9506738566691286E-2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3" t="s">
        <v>126</v>
      </c>
      <c r="B131" s="325">
        <v>5197018896.0799999</v>
      </c>
      <c r="C131" s="325">
        <v>214.68</v>
      </c>
      <c r="D131" s="325">
        <v>5206895677.54</v>
      </c>
      <c r="E131" s="325">
        <v>215.13</v>
      </c>
      <c r="F131" s="23">
        <f t="shared" si="127"/>
        <v>1.9004705692815323E-3</v>
      </c>
      <c r="G131" s="23">
        <f t="shared" si="128"/>
        <v>2.0961430967020153E-3</v>
      </c>
      <c r="H131" s="325">
        <v>5224725272.5</v>
      </c>
      <c r="I131" s="325">
        <v>215.92</v>
      </c>
      <c r="J131" s="23">
        <f t="shared" si="129"/>
        <v>3.4242274215149316E-3</v>
      </c>
      <c r="K131" s="23">
        <f t="shared" si="130"/>
        <v>3.6721982057360296E-3</v>
      </c>
      <c r="L131" s="325">
        <v>5308343464.6800003</v>
      </c>
      <c r="M131" s="325">
        <v>219.39</v>
      </c>
      <c r="N131" s="23">
        <f t="shared" si="131"/>
        <v>1.6004323255065525E-2</v>
      </c>
      <c r="O131" s="23">
        <f t="shared" si="132"/>
        <v>1.6070766950722487E-2</v>
      </c>
      <c r="P131" s="325">
        <v>5419986571.1000004</v>
      </c>
      <c r="Q131" s="325">
        <v>224.1</v>
      </c>
      <c r="R131" s="23">
        <f t="shared" si="133"/>
        <v>2.1031628258954452E-2</v>
      </c>
      <c r="S131" s="23">
        <f t="shared" si="134"/>
        <v>2.1468617530425307E-2</v>
      </c>
      <c r="T131" s="325">
        <v>5474830147.6899996</v>
      </c>
      <c r="U131" s="325">
        <v>226.32</v>
      </c>
      <c r="V131" s="23">
        <f t="shared" si="135"/>
        <v>1.0118766139095535E-2</v>
      </c>
      <c r="W131" s="23">
        <f t="shared" si="136"/>
        <v>9.9062918340026718E-3</v>
      </c>
      <c r="X131" s="325">
        <v>5728613100.7399998</v>
      </c>
      <c r="Y131" s="325">
        <v>236.85</v>
      </c>
      <c r="Z131" s="23">
        <f t="shared" si="137"/>
        <v>4.6354488852422042E-2</v>
      </c>
      <c r="AA131" s="23">
        <f t="shared" si="138"/>
        <v>4.6527041357370104E-2</v>
      </c>
      <c r="AB131" s="325">
        <v>5742781290.2600002</v>
      </c>
      <c r="AC131" s="325">
        <v>237.45</v>
      </c>
      <c r="AD131" s="23">
        <f t="shared" si="139"/>
        <v>2.4732320495112975E-3</v>
      </c>
      <c r="AE131" s="23">
        <f t="shared" si="140"/>
        <v>2.5332488917035861E-3</v>
      </c>
      <c r="AF131" s="325">
        <v>5846289120.8199997</v>
      </c>
      <c r="AG131" s="325">
        <v>241.67</v>
      </c>
      <c r="AH131" s="23">
        <f t="shared" si="141"/>
        <v>1.80239896538552E-2</v>
      </c>
      <c r="AI131" s="23">
        <f t="shared" si="142"/>
        <v>1.7772162560539057E-2</v>
      </c>
      <c r="AJ131" s="24">
        <f t="shared" si="74"/>
        <v>1.4916390774962564E-2</v>
      </c>
      <c r="AK131" s="24">
        <f t="shared" si="75"/>
        <v>1.5005808803400156E-2</v>
      </c>
      <c r="AL131" s="25">
        <f t="shared" si="76"/>
        <v>0.12279743687549381</v>
      </c>
      <c r="AM131" s="25">
        <f t="shared" si="77"/>
        <v>0.12336726630409517</v>
      </c>
      <c r="AN131" s="390">
        <f t="shared" si="78"/>
        <v>1.4715998614934949E-2</v>
      </c>
      <c r="AO131" s="391">
        <f t="shared" si="79"/>
        <v>1.4739756100128697E-2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68" customFormat="1">
      <c r="A132" s="202" t="s">
        <v>265</v>
      </c>
      <c r="B132" s="325">
        <v>1964282080.48</v>
      </c>
      <c r="C132" s="325">
        <v>1.3775999999999999</v>
      </c>
      <c r="D132" s="325">
        <v>1974540457.4000001</v>
      </c>
      <c r="E132" s="325">
        <v>1.3720000000000001</v>
      </c>
      <c r="F132" s="23">
        <f t="shared" si="127"/>
        <v>5.2224560932171704E-3</v>
      </c>
      <c r="G132" s="23">
        <f t="shared" si="128"/>
        <v>-4.0650406504063787E-3</v>
      </c>
      <c r="H132" s="325">
        <v>2010814602.6300001</v>
      </c>
      <c r="I132" s="325">
        <v>1.4098999999999999</v>
      </c>
      <c r="J132" s="23">
        <f>((H132-D132)/D132)</f>
        <v>1.837093035701301E-2</v>
      </c>
      <c r="K132" s="23">
        <f>((I132-E132)/E132)</f>
        <v>2.7623906705539228E-2</v>
      </c>
      <c r="L132" s="325">
        <v>2053624244.6700001</v>
      </c>
      <c r="M132" s="325">
        <v>1.4401999999999999</v>
      </c>
      <c r="N132" s="23">
        <f>((L132-H132)/H132)</f>
        <v>2.1289701190755253E-2</v>
      </c>
      <c r="O132" s="23">
        <f>((M132-I132)/I132)</f>
        <v>2.149088587843109E-2</v>
      </c>
      <c r="P132" s="325">
        <v>2132448431.23</v>
      </c>
      <c r="Q132" s="325">
        <v>1.496</v>
      </c>
      <c r="R132" s="23">
        <f>((P132-L132)/L132)</f>
        <v>3.8382964539195104E-2</v>
      </c>
      <c r="S132" s="23">
        <f>((Q132-M132)/M132)</f>
        <v>3.8744618802944088E-2</v>
      </c>
      <c r="T132" s="325">
        <v>2031609807.0799999</v>
      </c>
      <c r="U132" s="325">
        <v>1.4977</v>
      </c>
      <c r="V132" s="23">
        <f>((T132-P132)/P132)</f>
        <v>-4.7287719915382054E-2</v>
      </c>
      <c r="W132" s="23">
        <f>((U132-Q132)/Q132)</f>
        <v>1.1363636363636597E-3</v>
      </c>
      <c r="X132" s="325">
        <v>2212901834.29</v>
      </c>
      <c r="Y132" s="325">
        <v>1.5541</v>
      </c>
      <c r="Z132" s="23">
        <f>((X132-T132)/T132)</f>
        <v>8.9235652721409209E-2</v>
      </c>
      <c r="AA132" s="23">
        <f>((Y132-U132)/U132)</f>
        <v>3.765774187086867E-2</v>
      </c>
      <c r="AB132" s="325">
        <v>2223045608.6399999</v>
      </c>
      <c r="AC132" s="325">
        <v>1.5613999999999999</v>
      </c>
      <c r="AD132" s="23">
        <f>((AB132-X132)/X132)</f>
        <v>4.5839242359589309E-3</v>
      </c>
      <c r="AE132" s="23">
        <f>((AC132-Y132)/Y132)</f>
        <v>4.6972524290585307E-3</v>
      </c>
      <c r="AF132" s="325">
        <v>2276133824.9699998</v>
      </c>
      <c r="AG132" s="325">
        <v>1.599</v>
      </c>
      <c r="AH132" s="23">
        <f>((AF132-AB132)/AB132)</f>
        <v>2.3880848923508089E-2</v>
      </c>
      <c r="AI132" s="23">
        <f>((AG132-AC132)/AC132)</f>
        <v>2.4080952990905648E-2</v>
      </c>
      <c r="AJ132" s="24">
        <f t="shared" si="74"/>
        <v>1.920984476820934E-2</v>
      </c>
      <c r="AK132" s="24">
        <f t="shared" si="75"/>
        <v>1.8920835207963067E-2</v>
      </c>
      <c r="AL132" s="25">
        <f t="shared" si="76"/>
        <v>0.15274104232188102</v>
      </c>
      <c r="AM132" s="25">
        <f t="shared" si="77"/>
        <v>0.16545189504373167</v>
      </c>
      <c r="AN132" s="390">
        <f t="shared" si="78"/>
        <v>3.8040506349730031E-2</v>
      </c>
      <c r="AO132" s="391">
        <f t="shared" si="79"/>
        <v>1.6474992832928678E-2</v>
      </c>
      <c r="AP132" s="30"/>
      <c r="AQ132" s="53"/>
      <c r="AR132" s="47"/>
      <c r="AS132" s="29"/>
      <c r="AT132" s="29"/>
    </row>
    <row r="133" spans="1:46" s="368" customFormat="1">
      <c r="A133" s="202" t="s">
        <v>256</v>
      </c>
      <c r="B133" s="325">
        <v>135894178.53519499</v>
      </c>
      <c r="C133" s="325">
        <v>92.99</v>
      </c>
      <c r="D133" s="325">
        <v>137636606.43044761</v>
      </c>
      <c r="E133" s="325">
        <v>94.17</v>
      </c>
      <c r="F133" s="23">
        <f t="shared" si="127"/>
        <v>1.2821946561907705E-2</v>
      </c>
      <c r="G133" s="23">
        <f t="shared" si="128"/>
        <v>1.268953650930215E-2</v>
      </c>
      <c r="H133" s="325">
        <v>144623718.08643621</v>
      </c>
      <c r="I133" s="325">
        <v>94.47</v>
      </c>
      <c r="J133" s="23">
        <f>((H133-D133)/D133)</f>
        <v>5.0764922480992916E-2</v>
      </c>
      <c r="K133" s="23">
        <f>((I133-E133)/E133)</f>
        <v>3.1857279388339934E-3</v>
      </c>
      <c r="L133" s="325">
        <v>147209821.27539378</v>
      </c>
      <c r="M133" s="325">
        <v>96.163372862178392</v>
      </c>
      <c r="N133" s="23">
        <f>((L133-H133)/H133)</f>
        <v>1.7881598006019694E-2</v>
      </c>
      <c r="O133" s="23">
        <f>((M133-I133)/I133)</f>
        <v>1.7924980016707875E-2</v>
      </c>
      <c r="P133" s="325">
        <v>142720743.82588279</v>
      </c>
      <c r="Q133" s="325">
        <v>97.603224205715847</v>
      </c>
      <c r="R133" s="23">
        <f>((P133-L133)/L133)</f>
        <v>-3.0494415458279914E-2</v>
      </c>
      <c r="S133" s="23">
        <f>((Q133-M133)/M133)</f>
        <v>1.4972970484313754E-2</v>
      </c>
      <c r="T133" s="325">
        <v>142386973.00004962</v>
      </c>
      <c r="U133" s="325">
        <v>97.42</v>
      </c>
      <c r="V133" s="23">
        <f>((T133-P133)/P133)</f>
        <v>-2.3386286876445031E-3</v>
      </c>
      <c r="W133" s="23">
        <f>((U133-Q133)/Q133)</f>
        <v>-1.877235175445314E-3</v>
      </c>
      <c r="X133" s="325">
        <v>147775495.79803234</v>
      </c>
      <c r="Y133" s="325">
        <v>100.98</v>
      </c>
      <c r="Z133" s="23">
        <f>((X133-T133)/T133)</f>
        <v>3.784421204024644E-2</v>
      </c>
      <c r="AA133" s="23">
        <f>((Y133-U133)/U133)</f>
        <v>3.6542804352289078E-2</v>
      </c>
      <c r="AB133" s="325">
        <v>150219813.0785183</v>
      </c>
      <c r="AC133" s="325">
        <v>102.6188722056816</v>
      </c>
      <c r="AD133" s="23">
        <f>((AB133-X133)/X133)</f>
        <v>1.6540748297178134E-2</v>
      </c>
      <c r="AE133" s="23">
        <f>((AC133-Y133)/Y133)</f>
        <v>1.6229671278288706E-2</v>
      </c>
      <c r="AF133" s="325">
        <v>151153237.87724182</v>
      </c>
      <c r="AG133" s="325">
        <v>103.26813547352647</v>
      </c>
      <c r="AH133" s="23">
        <f>((AF133-AB133)/AB133)</f>
        <v>6.2137262694876849E-3</v>
      </c>
      <c r="AI133" s="23">
        <f>((AG133-AC133)/AC133)</f>
        <v>6.3269382511195226E-3</v>
      </c>
      <c r="AJ133" s="24">
        <f t="shared" si="74"/>
        <v>1.3654263688738521E-2</v>
      </c>
      <c r="AK133" s="24">
        <f t="shared" si="75"/>
        <v>1.3249424206926218E-2</v>
      </c>
      <c r="AL133" s="25">
        <f t="shared" si="76"/>
        <v>9.8205207156314325E-2</v>
      </c>
      <c r="AM133" s="25">
        <f t="shared" si="77"/>
        <v>9.6613947897700628E-2</v>
      </c>
      <c r="AN133" s="390">
        <f t="shared" si="78"/>
        <v>2.4638789313787341E-2</v>
      </c>
      <c r="AO133" s="391">
        <f t="shared" si="79"/>
        <v>1.1677958222911249E-2</v>
      </c>
      <c r="AP133" s="30"/>
      <c r="AQ133" s="53"/>
      <c r="AR133" s="47"/>
      <c r="AS133" s="29"/>
      <c r="AT133" s="29"/>
    </row>
    <row r="134" spans="1:46" s="368" customFormat="1">
      <c r="A134" s="202" t="s">
        <v>278</v>
      </c>
      <c r="B134" s="326">
        <v>2266365732.1999998</v>
      </c>
      <c r="C134" s="325">
        <v>3.26</v>
      </c>
      <c r="D134" s="326">
        <v>2269310744</v>
      </c>
      <c r="E134" s="325">
        <v>3.26</v>
      </c>
      <c r="F134" s="23">
        <f t="shared" si="127"/>
        <v>1.2994424325068741E-3</v>
      </c>
      <c r="G134" s="23">
        <f t="shared" si="128"/>
        <v>0</v>
      </c>
      <c r="H134" s="326">
        <v>2290635751.6900001</v>
      </c>
      <c r="I134" s="325">
        <v>3.29</v>
      </c>
      <c r="J134" s="23">
        <f t="shared" ref="J134" si="143">((H134-D134)/D134)</f>
        <v>9.3971298317706529E-3</v>
      </c>
      <c r="K134" s="23">
        <f t="shared" ref="K134" si="144">((I134-E134)/E134)</f>
        <v>9.2024539877301383E-3</v>
      </c>
      <c r="L134" s="326">
        <v>2342468422.2600002</v>
      </c>
      <c r="M134" s="325">
        <v>3.36</v>
      </c>
      <c r="N134" s="23">
        <f t="shared" ref="N134" si="145">((L134-H134)/H134)</f>
        <v>2.262807193669213E-2</v>
      </c>
      <c r="O134" s="23">
        <f t="shared" ref="O134" si="146">((M134-I134)/I134)</f>
        <v>2.1276595744680802E-2</v>
      </c>
      <c r="P134" s="326">
        <v>2432351801.9099998</v>
      </c>
      <c r="Q134" s="325">
        <v>3.49</v>
      </c>
      <c r="R134" s="23">
        <f t="shared" ref="R134" si="147">((P134-L134)/L134)</f>
        <v>3.8371223618579517E-2</v>
      </c>
      <c r="S134" s="23">
        <f t="shared" ref="S134" si="148">((Q134-M134)/M134)</f>
        <v>3.8690476190476289E-2</v>
      </c>
      <c r="T134" s="326">
        <v>2424447525.5799999</v>
      </c>
      <c r="U134" s="325">
        <v>3.5</v>
      </c>
      <c r="V134" s="23">
        <f t="shared" ref="V134" si="149">((T134-P134)/P134)</f>
        <v>-3.2496435440766032E-3</v>
      </c>
      <c r="W134" s="23">
        <f t="shared" ref="W134" si="150">((U134-Q134)/Q134)</f>
        <v>2.8653295128939216E-3</v>
      </c>
      <c r="X134" s="326">
        <v>2539942714.96</v>
      </c>
      <c r="Y134" s="325">
        <v>3.66</v>
      </c>
      <c r="Z134" s="23">
        <f t="shared" ref="Z134" si="151">((X134-T134)/T134)</f>
        <v>4.7637735261921263E-2</v>
      </c>
      <c r="AA134" s="23">
        <f t="shared" ref="AA134" si="152">((Y134-U134)/U134)</f>
        <v>4.5714285714285756E-2</v>
      </c>
      <c r="AB134" s="326">
        <v>2532068548.21</v>
      </c>
      <c r="AC134" s="325">
        <v>3.65</v>
      </c>
      <c r="AD134" s="23">
        <f t="shared" ref="AD134:AD144" si="153">((AB134-X134)/X134)</f>
        <v>-3.1001355674763731E-3</v>
      </c>
      <c r="AE134" s="23">
        <f t="shared" ref="AE134:AE144" si="154">((AC134-Y134)/Y134)</f>
        <v>-2.7322404371585328E-3</v>
      </c>
      <c r="AF134" s="326">
        <v>2511585152.25</v>
      </c>
      <c r="AG134" s="325">
        <v>3.62</v>
      </c>
      <c r="AH134" s="23">
        <f t="shared" ref="AH134:AH144" si="155">((AF134-AB134)/AB134)</f>
        <v>-8.0895898234984217E-3</v>
      </c>
      <c r="AI134" s="23">
        <f t="shared" ref="AI134:AI144" si="156">((AG134-AC134)/AC134)</f>
        <v>-8.219178082191728E-3</v>
      </c>
      <c r="AJ134" s="24">
        <f t="shared" ref="AJ134:AJ172" si="157">AVERAGE(F134,J134,N134,R134,V134,Z134,AD134,AH134)</f>
        <v>1.3111779268302381E-2</v>
      </c>
      <c r="AK134" s="24">
        <f t="shared" ref="AK134:AK172" si="158">AVERAGE(G134,K134,O134,S134,W134,AA134,AE134,AI134)</f>
        <v>1.334971532883958E-2</v>
      </c>
      <c r="AL134" s="25">
        <f t="shared" ref="AL134:AL172" si="159">((AF134-D134)/D134)</f>
        <v>0.10676123086737566</v>
      </c>
      <c r="AM134" s="25">
        <f t="shared" ref="AM134:AM172" si="160">((AG134-E134)/E134)</f>
        <v>0.11042944785276085</v>
      </c>
      <c r="AN134" s="390">
        <f t="shared" ref="AN134:AN172" si="161">STDEV(F134,J134,N134,R134,V134,Z134,AD134,AH134)</f>
        <v>2.0887423778511407E-2</v>
      </c>
      <c r="AO134" s="391">
        <f t="shared" ref="AO134:AO172" si="162">STDEV(G134,K134,O134,S134,W134,AA134,AE134,AI134)</f>
        <v>1.9934315340187605E-2</v>
      </c>
      <c r="AP134" s="30"/>
      <c r="AQ134" s="53"/>
      <c r="AR134" s="47"/>
      <c r="AS134" s="29"/>
      <c r="AT134" s="29"/>
    </row>
    <row r="135" spans="1:46">
      <c r="A135" s="202" t="s">
        <v>129</v>
      </c>
      <c r="B135" s="326">
        <v>163839422</v>
      </c>
      <c r="C135" s="325">
        <v>152.71399700000001</v>
      </c>
      <c r="D135" s="326">
        <v>164324644.02000001</v>
      </c>
      <c r="E135" s="325">
        <v>153.242255</v>
      </c>
      <c r="F135" s="23">
        <f t="shared" si="127"/>
        <v>2.9615706285878543E-3</v>
      </c>
      <c r="G135" s="23">
        <f t="shared" si="128"/>
        <v>3.4591328259189883E-3</v>
      </c>
      <c r="H135" s="326">
        <v>164855421.06</v>
      </c>
      <c r="I135" s="325">
        <v>153.811879</v>
      </c>
      <c r="J135" s="23">
        <f t="shared" ref="J135:J144" si="163">((H135-D135)/D135)</f>
        <v>3.230051360618743E-3</v>
      </c>
      <c r="K135" s="23">
        <f t="shared" ref="K135:K144" si="164">((I135-E135)/E135)</f>
        <v>3.7171470753938236E-3</v>
      </c>
      <c r="L135" s="326">
        <v>168316120.13</v>
      </c>
      <c r="M135" s="325">
        <v>156.96600599999999</v>
      </c>
      <c r="N135" s="23">
        <f t="shared" ref="N135:N144" si="165">((L135-H135)/H135)</f>
        <v>2.0992327991085309E-2</v>
      </c>
      <c r="O135" s="23">
        <f t="shared" ref="O135:O144" si="166">((M135-I135)/I135)</f>
        <v>2.0506394047757445E-2</v>
      </c>
      <c r="P135" s="326">
        <v>172780267.41999999</v>
      </c>
      <c r="Q135" s="325">
        <v>160.43005500000001</v>
      </c>
      <c r="R135" s="23">
        <f t="shared" ref="R135:R144" si="167">((P135-L135)/L135)</f>
        <v>2.6522398963046912E-2</v>
      </c>
      <c r="S135" s="23">
        <f t="shared" ref="S135:S144" si="168">((Q135-M135)/M135)</f>
        <v>2.2068784753305228E-2</v>
      </c>
      <c r="T135" s="326">
        <v>172913596.40000001</v>
      </c>
      <c r="U135" s="325">
        <v>160.64320000000001</v>
      </c>
      <c r="V135" s="23">
        <f t="shared" ref="V135:V144" si="169">((T135-P135)/P135)</f>
        <v>7.7166786457112365E-4</v>
      </c>
      <c r="W135" s="23">
        <f t="shared" ref="W135:W144" si="170">((U135-Q135)/Q135)</f>
        <v>1.3285852205186693E-3</v>
      </c>
      <c r="X135" s="326">
        <v>177488889.27000001</v>
      </c>
      <c r="Y135" s="325">
        <v>164.869553</v>
      </c>
      <c r="Z135" s="23">
        <f t="shared" ref="Z135:Z144" si="171">((X135-T135)/T135)</f>
        <v>2.6459994848617958E-2</v>
      </c>
      <c r="AA135" s="23">
        <f t="shared" ref="AA135:AA144" si="172">((Y135-U135)/U135)</f>
        <v>2.6308944293938298E-2</v>
      </c>
      <c r="AB135" s="326">
        <v>177516001.75</v>
      </c>
      <c r="AC135" s="325">
        <v>164.988911</v>
      </c>
      <c r="AD135" s="23">
        <f t="shared" si="153"/>
        <v>1.527559280555594E-4</v>
      </c>
      <c r="AE135" s="23">
        <f t="shared" si="154"/>
        <v>7.2395416757153094E-4</v>
      </c>
      <c r="AF135" s="326">
        <v>180186804.28999999</v>
      </c>
      <c r="AG135" s="325">
        <v>167.496566</v>
      </c>
      <c r="AH135" s="23">
        <f t="shared" si="155"/>
        <v>1.5045418518164612E-2</v>
      </c>
      <c r="AI135" s="23">
        <f t="shared" si="156"/>
        <v>1.5198930551156857E-2</v>
      </c>
      <c r="AJ135" s="24">
        <f t="shared" si="157"/>
        <v>1.2017023262843509E-2</v>
      </c>
      <c r="AK135" s="24">
        <f t="shared" si="158"/>
        <v>1.1663984116945105E-2</v>
      </c>
      <c r="AL135" s="25">
        <f t="shared" si="159"/>
        <v>9.6529405948808211E-2</v>
      </c>
      <c r="AM135" s="25">
        <f t="shared" si="160"/>
        <v>9.3018149595880076E-2</v>
      </c>
      <c r="AN135" s="390">
        <f t="shared" si="161"/>
        <v>1.1558321555518196E-2</v>
      </c>
      <c r="AO135" s="391">
        <f t="shared" si="162"/>
        <v>1.0490780468444387E-2</v>
      </c>
      <c r="AP135" s="30"/>
      <c r="AQ135" s="53">
        <v>82672021.189999998</v>
      </c>
      <c r="AR135" s="47">
        <v>18.53</v>
      </c>
      <c r="AS135" s="29" t="e">
        <f>(#REF!/AQ135)-1</f>
        <v>#REF!</v>
      </c>
      <c r="AT135" s="29" t="e">
        <f>(#REF!/AR135)-1</f>
        <v>#REF!</v>
      </c>
    </row>
    <row r="136" spans="1:46">
      <c r="A136" s="202" t="s">
        <v>27</v>
      </c>
      <c r="B136" s="326">
        <v>1210159040.8599999</v>
      </c>
      <c r="C136" s="325">
        <v>552.20000000000005</v>
      </c>
      <c r="D136" s="326">
        <v>1222906333</v>
      </c>
      <c r="E136" s="325">
        <v>552.20000000000005</v>
      </c>
      <c r="F136" s="23">
        <f t="shared" si="127"/>
        <v>1.0533567663090991E-2</v>
      </c>
      <c r="G136" s="23">
        <f t="shared" si="128"/>
        <v>0</v>
      </c>
      <c r="H136" s="326">
        <v>1224031404.8800001</v>
      </c>
      <c r="I136" s="325">
        <v>552.20000000000005</v>
      </c>
      <c r="J136" s="23">
        <f t="shared" si="163"/>
        <v>9.1999840841458329E-4</v>
      </c>
      <c r="K136" s="23">
        <f t="shared" si="164"/>
        <v>0</v>
      </c>
      <c r="L136" s="326">
        <v>1230963453</v>
      </c>
      <c r="M136" s="325">
        <v>552.20000000000005</v>
      </c>
      <c r="N136" s="23">
        <f t="shared" si="165"/>
        <v>5.6632927001407122E-3</v>
      </c>
      <c r="O136" s="23">
        <f t="shared" si="166"/>
        <v>0</v>
      </c>
      <c r="P136" s="326">
        <v>1276995744</v>
      </c>
      <c r="Q136" s="325">
        <v>552.20000000000005</v>
      </c>
      <c r="R136" s="23">
        <f t="shared" si="167"/>
        <v>3.7395335245586692E-2</v>
      </c>
      <c r="S136" s="23">
        <f t="shared" si="168"/>
        <v>0</v>
      </c>
      <c r="T136" s="326">
        <v>1312850544</v>
      </c>
      <c r="U136" s="325">
        <v>552.20000000000005</v>
      </c>
      <c r="V136" s="23">
        <f t="shared" si="169"/>
        <v>2.8077462410086153E-2</v>
      </c>
      <c r="W136" s="23">
        <f t="shared" si="170"/>
        <v>0</v>
      </c>
      <c r="X136" s="326">
        <v>1337078750</v>
      </c>
      <c r="Y136" s="325">
        <v>552.20000000000005</v>
      </c>
      <c r="Z136" s="23">
        <f t="shared" si="171"/>
        <v>1.8454656633024938E-2</v>
      </c>
      <c r="AA136" s="23">
        <f t="shared" si="172"/>
        <v>0</v>
      </c>
      <c r="AB136" s="326">
        <v>1337078750</v>
      </c>
      <c r="AC136" s="325">
        <v>552.20000000000005</v>
      </c>
      <c r="AD136" s="23">
        <f t="shared" si="153"/>
        <v>0</v>
      </c>
      <c r="AE136" s="23">
        <f t="shared" si="154"/>
        <v>0</v>
      </c>
      <c r="AF136" s="326">
        <v>1434795580</v>
      </c>
      <c r="AG136" s="325">
        <v>552.20000000000005</v>
      </c>
      <c r="AH136" s="23">
        <f t="shared" si="155"/>
        <v>7.3082329668316098E-2</v>
      </c>
      <c r="AI136" s="23">
        <f t="shared" si="156"/>
        <v>0</v>
      </c>
      <c r="AJ136" s="24">
        <f t="shared" si="157"/>
        <v>2.1765830341082523E-2</v>
      </c>
      <c r="AK136" s="24">
        <f t="shared" si="158"/>
        <v>0</v>
      </c>
      <c r="AL136" s="25">
        <f t="shared" si="159"/>
        <v>0.17326694717509489</v>
      </c>
      <c r="AM136" s="25">
        <f t="shared" si="160"/>
        <v>0</v>
      </c>
      <c r="AN136" s="390">
        <f t="shared" si="161"/>
        <v>2.4559608594509303E-2</v>
      </c>
      <c r="AO136" s="391">
        <f t="shared" si="162"/>
        <v>0</v>
      </c>
      <c r="AP136" s="30"/>
      <c r="AQ136" s="53">
        <v>541500000</v>
      </c>
      <c r="AR136" s="47">
        <v>3610</v>
      </c>
      <c r="AS136" s="29" t="e">
        <f>(#REF!/AQ136)-1</f>
        <v>#REF!</v>
      </c>
      <c r="AT136" s="29" t="e">
        <f>(#REF!/AR136)-1</f>
        <v>#REF!</v>
      </c>
    </row>
    <row r="137" spans="1:46">
      <c r="A137" s="202" t="s">
        <v>187</v>
      </c>
      <c r="B137" s="326">
        <v>20061234.27</v>
      </c>
      <c r="C137" s="325">
        <v>1.25</v>
      </c>
      <c r="D137" s="326">
        <v>20434272.059999999</v>
      </c>
      <c r="E137" s="325">
        <v>1.27</v>
      </c>
      <c r="F137" s="23">
        <f t="shared" si="127"/>
        <v>1.8594957068910154E-2</v>
      </c>
      <c r="G137" s="23">
        <f t="shared" si="128"/>
        <v>1.6000000000000014E-2</v>
      </c>
      <c r="H137" s="326">
        <v>20648687.989999998</v>
      </c>
      <c r="I137" s="325">
        <v>1.29</v>
      </c>
      <c r="J137" s="23">
        <f t="shared" si="163"/>
        <v>1.0492956605961902E-2</v>
      </c>
      <c r="K137" s="23">
        <f t="shared" si="164"/>
        <v>1.5748031496063006E-2</v>
      </c>
      <c r="L137" s="326">
        <v>21145404.879999999</v>
      </c>
      <c r="M137" s="325">
        <v>1.31</v>
      </c>
      <c r="N137" s="23">
        <f t="shared" si="165"/>
        <v>2.4055615070582539E-2</v>
      </c>
      <c r="O137" s="23">
        <f t="shared" si="166"/>
        <v>1.5503875968992262E-2</v>
      </c>
      <c r="P137" s="326">
        <v>21695894.5</v>
      </c>
      <c r="Q137" s="325">
        <v>1.34</v>
      </c>
      <c r="R137" s="23">
        <f t="shared" si="167"/>
        <v>2.6033534147207167E-2</v>
      </c>
      <c r="S137" s="23">
        <f t="shared" si="168"/>
        <v>2.2900763358778647E-2</v>
      </c>
      <c r="T137" s="326">
        <v>21711853.800000001</v>
      </c>
      <c r="U137" s="325">
        <v>1.34</v>
      </c>
      <c r="V137" s="23">
        <f t="shared" si="169"/>
        <v>7.3559078193345499E-4</v>
      </c>
      <c r="W137" s="23">
        <f t="shared" si="170"/>
        <v>0</v>
      </c>
      <c r="X137" s="326">
        <v>22579800.219999999</v>
      </c>
      <c r="Y137" s="325">
        <v>1.39</v>
      </c>
      <c r="Z137" s="23">
        <f t="shared" si="171"/>
        <v>3.9975693830436441E-2</v>
      </c>
      <c r="AA137" s="23">
        <f t="shared" si="172"/>
        <v>3.731343283582076E-2</v>
      </c>
      <c r="AB137" s="326">
        <v>22672982.620000001</v>
      </c>
      <c r="AC137" s="325">
        <v>1.4</v>
      </c>
      <c r="AD137" s="23">
        <f t="shared" si="153"/>
        <v>4.1268035630123148E-3</v>
      </c>
      <c r="AE137" s="23">
        <f t="shared" si="154"/>
        <v>7.1942446043165541E-3</v>
      </c>
      <c r="AF137" s="326">
        <v>23142714.84</v>
      </c>
      <c r="AG137" s="325">
        <v>1.43</v>
      </c>
      <c r="AH137" s="23">
        <f t="shared" si="155"/>
        <v>2.0717707408536741E-2</v>
      </c>
      <c r="AI137" s="23">
        <f t="shared" si="156"/>
        <v>2.142857142857145E-2</v>
      </c>
      <c r="AJ137" s="24">
        <f t="shared" si="157"/>
        <v>1.8091607309572589E-2</v>
      </c>
      <c r="AK137" s="24">
        <f t="shared" si="158"/>
        <v>1.701111496156784E-2</v>
      </c>
      <c r="AL137" s="25">
        <f t="shared" si="159"/>
        <v>0.13254412841560265</v>
      </c>
      <c r="AM137" s="25">
        <f t="shared" si="160"/>
        <v>0.12598425196850388</v>
      </c>
      <c r="AN137" s="390">
        <f t="shared" si="161"/>
        <v>1.2754232585602413E-2</v>
      </c>
      <c r="AO137" s="391">
        <f t="shared" si="162"/>
        <v>1.106490248799382E-2</v>
      </c>
      <c r="AP137" s="30"/>
      <c r="AQ137" s="28">
        <v>913647681</v>
      </c>
      <c r="AR137" s="32">
        <v>81</v>
      </c>
      <c r="AS137" s="29" t="e">
        <f>(#REF!/AQ137)-1</f>
        <v>#REF!</v>
      </c>
      <c r="AT137" s="29" t="e">
        <f>(#REF!/AR137)-1</f>
        <v>#REF!</v>
      </c>
    </row>
    <row r="138" spans="1:46">
      <c r="A138" s="203" t="s">
        <v>48</v>
      </c>
      <c r="B138" s="325">
        <v>166494118.93000001</v>
      </c>
      <c r="C138" s="325">
        <v>1.7363219999999999</v>
      </c>
      <c r="D138" s="325">
        <v>194737320.71000001</v>
      </c>
      <c r="E138" s="325">
        <v>2.0239989999999999</v>
      </c>
      <c r="F138" s="23">
        <f t="shared" si="127"/>
        <v>0.16963483131722171</v>
      </c>
      <c r="G138" s="23">
        <f t="shared" si="128"/>
        <v>0.16568182629719602</v>
      </c>
      <c r="H138" s="325">
        <v>198997979.69</v>
      </c>
      <c r="I138" s="325">
        <v>2.0679259999999999</v>
      </c>
      <c r="J138" s="23">
        <f t="shared" si="163"/>
        <v>2.187900585499428E-2</v>
      </c>
      <c r="K138" s="23">
        <f t="shared" si="164"/>
        <v>2.1703073963969376E-2</v>
      </c>
      <c r="L138" s="325">
        <v>171767441.30000001</v>
      </c>
      <c r="M138" s="325">
        <v>1.7920469999999999</v>
      </c>
      <c r="N138" s="23">
        <f t="shared" si="165"/>
        <v>-0.13683826555636316</v>
      </c>
      <c r="O138" s="23">
        <f t="shared" si="166"/>
        <v>-0.13340854556691101</v>
      </c>
      <c r="P138" s="325">
        <v>176430075.44999999</v>
      </c>
      <c r="Q138" s="325">
        <v>1.84</v>
      </c>
      <c r="R138" s="23">
        <f t="shared" si="167"/>
        <v>2.7145040496099979E-2</v>
      </c>
      <c r="S138" s="23">
        <f t="shared" si="168"/>
        <v>2.6758784786336594E-2</v>
      </c>
      <c r="T138" s="325">
        <v>176865661.78</v>
      </c>
      <c r="U138" s="325">
        <v>1.85</v>
      </c>
      <c r="V138" s="23">
        <f t="shared" si="169"/>
        <v>2.4688893256380067E-3</v>
      </c>
      <c r="W138" s="23">
        <f t="shared" si="170"/>
        <v>5.4347826086956564E-3</v>
      </c>
      <c r="X138" s="325">
        <v>183803993.02000001</v>
      </c>
      <c r="Y138" s="325">
        <v>1.9093869999999999</v>
      </c>
      <c r="Z138" s="23">
        <f t="shared" si="171"/>
        <v>3.9229385569656106E-2</v>
      </c>
      <c r="AA138" s="23">
        <f t="shared" si="172"/>
        <v>3.2101081081081E-2</v>
      </c>
      <c r="AB138" s="325">
        <v>185802207.03</v>
      </c>
      <c r="AC138" s="325">
        <v>1.94</v>
      </c>
      <c r="AD138" s="23">
        <f t="shared" si="153"/>
        <v>1.0871439608945609E-2</v>
      </c>
      <c r="AE138" s="23">
        <f t="shared" si="154"/>
        <v>1.6032894326817981E-2</v>
      </c>
      <c r="AF138" s="325">
        <v>191251886.52000001</v>
      </c>
      <c r="AG138" s="325">
        <v>1.992318</v>
      </c>
      <c r="AH138" s="23">
        <f t="shared" si="155"/>
        <v>2.933054228532438E-2</v>
      </c>
      <c r="AI138" s="23">
        <f t="shared" si="156"/>
        <v>2.6968041237113449E-2</v>
      </c>
      <c r="AJ138" s="24">
        <f t="shared" si="157"/>
        <v>2.0465108612689614E-2</v>
      </c>
      <c r="AK138" s="24">
        <f t="shared" si="158"/>
        <v>2.015899234178738E-2</v>
      </c>
      <c r="AL138" s="25">
        <f t="shared" si="159"/>
        <v>-1.7898131582032267E-2</v>
      </c>
      <c r="AM138" s="25">
        <f t="shared" si="160"/>
        <v>-1.5652675717725082E-2</v>
      </c>
      <c r="AN138" s="390">
        <f t="shared" si="161"/>
        <v>8.2712215965614774E-2</v>
      </c>
      <c r="AO138" s="391">
        <f t="shared" si="162"/>
        <v>8.038179344098953E-2</v>
      </c>
      <c r="AP138" s="30"/>
      <c r="AQ138" s="61">
        <f>SUM(AQ129:AQ137)</f>
        <v>3629819788.79</v>
      </c>
      <c r="AR138" s="62"/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22</v>
      </c>
      <c r="B139" s="326">
        <v>1715674888.0799999</v>
      </c>
      <c r="C139" s="325">
        <v>3913.49</v>
      </c>
      <c r="D139" s="326">
        <v>1724095028.71</v>
      </c>
      <c r="E139" s="325">
        <v>3916.1</v>
      </c>
      <c r="F139" s="23">
        <f t="shared" si="127"/>
        <v>4.9077716812787513E-3</v>
      </c>
      <c r="G139" s="23">
        <f t="shared" si="128"/>
        <v>6.6692389657316807E-4</v>
      </c>
      <c r="H139" s="326">
        <v>1751839197.8299999</v>
      </c>
      <c r="I139" s="325">
        <v>3977.15</v>
      </c>
      <c r="J139" s="23">
        <f t="shared" si="163"/>
        <v>1.609201851289983E-2</v>
      </c>
      <c r="K139" s="23">
        <f t="shared" si="164"/>
        <v>1.5589489543167995E-2</v>
      </c>
      <c r="L139" s="326">
        <v>1776451327.9200001</v>
      </c>
      <c r="M139" s="325">
        <v>4025.82</v>
      </c>
      <c r="N139" s="23">
        <f t="shared" si="165"/>
        <v>1.4049308932285082E-2</v>
      </c>
      <c r="O139" s="23">
        <f t="shared" si="166"/>
        <v>1.2237406182819374E-2</v>
      </c>
      <c r="P139" s="326">
        <v>1817510323.21</v>
      </c>
      <c r="Q139" s="325">
        <v>4111.67</v>
      </c>
      <c r="R139" s="23">
        <f t="shared" si="167"/>
        <v>2.3112930055941838E-2</v>
      </c>
      <c r="S139" s="23">
        <f t="shared" si="168"/>
        <v>2.1324848105479109E-2</v>
      </c>
      <c r="T139" s="326">
        <v>1819324567.46</v>
      </c>
      <c r="U139" s="325">
        <v>4115.17</v>
      </c>
      <c r="V139" s="23">
        <f t="shared" si="169"/>
        <v>9.9820299606098988E-4</v>
      </c>
      <c r="W139" s="23">
        <f t="shared" si="170"/>
        <v>8.5123562931850073E-4</v>
      </c>
      <c r="X139" s="326">
        <v>1873804276.25</v>
      </c>
      <c r="Y139" s="325">
        <v>4252.3500000000004</v>
      </c>
      <c r="Z139" s="23">
        <f t="shared" si="171"/>
        <v>2.9945019027616555E-2</v>
      </c>
      <c r="AA139" s="23">
        <f t="shared" si="172"/>
        <v>3.3335196358838221E-2</v>
      </c>
      <c r="AB139" s="326">
        <v>1891175524.28</v>
      </c>
      <c r="AC139" s="325">
        <v>4288.38</v>
      </c>
      <c r="AD139" s="23">
        <f t="shared" si="153"/>
        <v>9.2705776425938344E-3</v>
      </c>
      <c r="AE139" s="23">
        <f t="shared" si="154"/>
        <v>8.4729620092418873E-3</v>
      </c>
      <c r="AF139" s="326">
        <v>1953404536.6199999</v>
      </c>
      <c r="AG139" s="325">
        <v>4408.6400000000003</v>
      </c>
      <c r="AH139" s="23">
        <f t="shared" si="155"/>
        <v>3.2904937453487541E-2</v>
      </c>
      <c r="AI139" s="23">
        <f t="shared" si="156"/>
        <v>2.8043223781474641E-2</v>
      </c>
      <c r="AJ139" s="24">
        <f t="shared" si="157"/>
        <v>1.6410095787770553E-2</v>
      </c>
      <c r="AK139" s="24">
        <f t="shared" si="158"/>
        <v>1.5065160688364112E-2</v>
      </c>
      <c r="AL139" s="25">
        <f t="shared" si="159"/>
        <v>0.13300282414338466</v>
      </c>
      <c r="AM139" s="25">
        <f t="shared" si="160"/>
        <v>0.12577309057480668</v>
      </c>
      <c r="AN139" s="390">
        <f t="shared" si="161"/>
        <v>1.1505769001810906E-2</v>
      </c>
      <c r="AO139" s="391">
        <f t="shared" si="162"/>
        <v>1.1967104313924297E-2</v>
      </c>
      <c r="AP139" s="30"/>
      <c r="AQ139" s="79"/>
      <c r="AR139" s="80"/>
      <c r="AS139" s="29"/>
      <c r="AT139" s="29"/>
    </row>
    <row r="140" spans="1:46" s="86" customFormat="1">
      <c r="A140" s="202" t="s">
        <v>248</v>
      </c>
      <c r="B140" s="321">
        <v>59067169.149999999</v>
      </c>
      <c r="C140" s="325">
        <v>109.27119999999999</v>
      </c>
      <c r="D140" s="321">
        <v>59095586</v>
      </c>
      <c r="E140" s="325">
        <v>109.3357</v>
      </c>
      <c r="F140" s="23">
        <f t="shared" si="127"/>
        <v>4.8109381927272354E-4</v>
      </c>
      <c r="G140" s="23">
        <f t="shared" si="128"/>
        <v>5.9027447305428651E-4</v>
      </c>
      <c r="H140" s="321">
        <v>59941821.270000003</v>
      </c>
      <c r="I140" s="325">
        <v>110.8775</v>
      </c>
      <c r="J140" s="23">
        <f t="shared" si="163"/>
        <v>1.4319771192386574E-2</v>
      </c>
      <c r="K140" s="23">
        <f t="shared" si="164"/>
        <v>1.4101524021888504E-2</v>
      </c>
      <c r="L140" s="321">
        <v>69707629.760000005</v>
      </c>
      <c r="M140" s="325">
        <v>111.9246</v>
      </c>
      <c r="N140" s="23">
        <f t="shared" si="165"/>
        <v>0.16292145088503751</v>
      </c>
      <c r="O140" s="23">
        <f t="shared" si="166"/>
        <v>9.4437554959301961E-3</v>
      </c>
      <c r="P140" s="321">
        <v>71124198.609999999</v>
      </c>
      <c r="Q140" s="325">
        <v>114.1909</v>
      </c>
      <c r="R140" s="23">
        <f t="shared" si="167"/>
        <v>2.0321575340851095E-2</v>
      </c>
      <c r="S140" s="23">
        <f t="shared" si="168"/>
        <v>2.0248452976378752E-2</v>
      </c>
      <c r="T140" s="321">
        <v>71591997.810000002</v>
      </c>
      <c r="U140" s="325">
        <v>114.0872</v>
      </c>
      <c r="V140" s="23">
        <f t="shared" si="169"/>
        <v>6.5772157597882705E-3</v>
      </c>
      <c r="W140" s="23">
        <f t="shared" si="170"/>
        <v>-9.0812840602888197E-4</v>
      </c>
      <c r="X140" s="321">
        <v>76234019.920000002</v>
      </c>
      <c r="Y140" s="325">
        <v>118.3126</v>
      </c>
      <c r="Z140" s="23">
        <f t="shared" si="171"/>
        <v>6.4839957704764598E-2</v>
      </c>
      <c r="AA140" s="23">
        <f t="shared" si="172"/>
        <v>3.7036582543878788E-2</v>
      </c>
      <c r="AB140" s="321">
        <v>76175476.219999999</v>
      </c>
      <c r="AC140" s="325">
        <v>118.0415</v>
      </c>
      <c r="AD140" s="23">
        <f t="shared" si="153"/>
        <v>-7.6794717189830413E-4</v>
      </c>
      <c r="AE140" s="23">
        <f t="shared" si="154"/>
        <v>-2.2913873923825876E-3</v>
      </c>
      <c r="AF140" s="321">
        <v>82607982.299999997</v>
      </c>
      <c r="AG140" s="325">
        <v>120.2045</v>
      </c>
      <c r="AH140" s="23">
        <f t="shared" si="155"/>
        <v>8.4443267035475819E-2</v>
      </c>
      <c r="AI140" s="23">
        <f t="shared" si="156"/>
        <v>1.8324063994442606E-2</v>
      </c>
      <c r="AJ140" s="24">
        <f t="shared" si="157"/>
        <v>4.4142048070709788E-2</v>
      </c>
      <c r="AK140" s="24">
        <f t="shared" si="158"/>
        <v>1.2068142213395208E-2</v>
      </c>
      <c r="AL140" s="25">
        <f t="shared" si="159"/>
        <v>0.39787060069088742</v>
      </c>
      <c r="AM140" s="25">
        <f t="shared" si="160"/>
        <v>9.9407604286614465E-2</v>
      </c>
      <c r="AN140" s="390">
        <f t="shared" si="161"/>
        <v>5.7261585965337265E-2</v>
      </c>
      <c r="AO140" s="391">
        <f t="shared" si="162"/>
        <v>1.3346054734430488E-2</v>
      </c>
      <c r="AP140" s="30"/>
      <c r="AQ140" s="79"/>
      <c r="AR140" s="80"/>
      <c r="AS140" s="29"/>
      <c r="AT140" s="29"/>
    </row>
    <row r="141" spans="1:46" s="105" customFormat="1">
      <c r="A141" s="202" t="s">
        <v>74</v>
      </c>
      <c r="B141" s="325">
        <v>1224516702.3199999</v>
      </c>
      <c r="C141" s="325">
        <v>1.5862000000000001</v>
      </c>
      <c r="D141" s="325">
        <v>1223917806.3</v>
      </c>
      <c r="E141" s="325">
        <v>1.5713999999999999</v>
      </c>
      <c r="F141" s="23">
        <f t="shared" si="127"/>
        <v>-4.8908766933541828E-4</v>
      </c>
      <c r="G141" s="23">
        <f t="shared" si="128"/>
        <v>-9.330475349892918E-3</v>
      </c>
      <c r="H141" s="325">
        <v>1225013501.0599999</v>
      </c>
      <c r="I141" s="325">
        <v>1.5728</v>
      </c>
      <c r="J141" s="23">
        <f t="shared" si="163"/>
        <v>8.9523557412107769E-4</v>
      </c>
      <c r="K141" s="23">
        <f t="shared" si="164"/>
        <v>8.9092528955076237E-4</v>
      </c>
      <c r="L141" s="325">
        <v>1254401350.8599999</v>
      </c>
      <c r="M141" s="325">
        <v>1.5933999999999999</v>
      </c>
      <c r="N141" s="23">
        <f t="shared" si="165"/>
        <v>2.3989817071053295E-2</v>
      </c>
      <c r="O141" s="23">
        <f t="shared" si="166"/>
        <v>1.3097660223804649E-2</v>
      </c>
      <c r="P141" s="325">
        <v>1290041374.21</v>
      </c>
      <c r="Q141" s="325">
        <v>1.6355999999999999</v>
      </c>
      <c r="R141" s="23">
        <f t="shared" si="167"/>
        <v>2.841197781361272E-2</v>
      </c>
      <c r="S141" s="23">
        <f t="shared" si="168"/>
        <v>2.6484247521024237E-2</v>
      </c>
      <c r="T141" s="325">
        <v>1301591854.51</v>
      </c>
      <c r="U141" s="325">
        <v>1.6366000000000001</v>
      </c>
      <c r="V141" s="23">
        <f t="shared" si="169"/>
        <v>8.9535735294329413E-3</v>
      </c>
      <c r="W141" s="23">
        <f t="shared" si="170"/>
        <v>6.1139642944492043E-4</v>
      </c>
      <c r="X141" s="325">
        <v>1376838813.76</v>
      </c>
      <c r="Y141" s="325">
        <v>1.7182999999999999</v>
      </c>
      <c r="Z141" s="23">
        <f t="shared" si="171"/>
        <v>5.7811485981008714E-2</v>
      </c>
      <c r="AA141" s="23">
        <f t="shared" si="172"/>
        <v>4.9920567029206817E-2</v>
      </c>
      <c r="AB141" s="325">
        <v>1452708336.0799999</v>
      </c>
      <c r="AC141" s="325">
        <v>1.6106</v>
      </c>
      <c r="AD141" s="23">
        <f t="shared" si="153"/>
        <v>5.5104142592267834E-2</v>
      </c>
      <c r="AE141" s="23">
        <f t="shared" si="154"/>
        <v>-6.2678228481638773E-2</v>
      </c>
      <c r="AF141" s="325">
        <v>1406129443.8900001</v>
      </c>
      <c r="AG141" s="325">
        <v>1.6357999999999999</v>
      </c>
      <c r="AH141" s="23">
        <f t="shared" si="155"/>
        <v>-3.2063485169837105E-2</v>
      </c>
      <c r="AI141" s="23">
        <f t="shared" si="156"/>
        <v>1.564634297777219E-2</v>
      </c>
      <c r="AJ141" s="24">
        <f t="shared" si="157"/>
        <v>1.7826707465290505E-2</v>
      </c>
      <c r="AK141" s="24">
        <f t="shared" si="158"/>
        <v>4.3303044549089856E-3</v>
      </c>
      <c r="AL141" s="25">
        <f t="shared" si="159"/>
        <v>0.14887571424492982</v>
      </c>
      <c r="AM141" s="25">
        <f t="shared" si="160"/>
        <v>4.0982563319333087E-2</v>
      </c>
      <c r="AN141" s="390">
        <f t="shared" si="161"/>
        <v>3.0067373085374251E-2</v>
      </c>
      <c r="AO141" s="391">
        <f t="shared" si="162"/>
        <v>3.2681599207085632E-2</v>
      </c>
      <c r="AP141" s="30"/>
      <c r="AQ141" s="79"/>
      <c r="AR141" s="80"/>
      <c r="AS141" s="29"/>
      <c r="AT141" s="29"/>
    </row>
    <row r="142" spans="1:46" s="105" customFormat="1">
      <c r="A142" s="202" t="s">
        <v>240</v>
      </c>
      <c r="B142" s="325">
        <v>692236800.63</v>
      </c>
      <c r="C142" s="325">
        <v>1.2716000000000001</v>
      </c>
      <c r="D142" s="325">
        <v>690170453.63999999</v>
      </c>
      <c r="E142" s="325">
        <v>1.2557</v>
      </c>
      <c r="F142" s="23">
        <f t="shared" si="127"/>
        <v>-2.9850290942628897E-3</v>
      </c>
      <c r="G142" s="23">
        <f t="shared" si="128"/>
        <v>-1.2503932054105084E-2</v>
      </c>
      <c r="H142" s="325">
        <v>692553026.64999998</v>
      </c>
      <c r="I142" s="325">
        <v>1.26</v>
      </c>
      <c r="J142" s="23">
        <f t="shared" si="163"/>
        <v>3.4521515626091482E-3</v>
      </c>
      <c r="K142" s="23">
        <f t="shared" si="164"/>
        <v>3.4243848052878637E-3</v>
      </c>
      <c r="L142" s="325">
        <v>695348996.87</v>
      </c>
      <c r="M142" s="325">
        <v>1.2639</v>
      </c>
      <c r="N142" s="23">
        <f t="shared" si="165"/>
        <v>4.0371929836544437E-3</v>
      </c>
      <c r="O142" s="23">
        <f t="shared" si="166"/>
        <v>3.0952380952381066E-3</v>
      </c>
      <c r="P142" s="325">
        <v>724437265.99000001</v>
      </c>
      <c r="Q142" s="325">
        <v>1.3163</v>
      </c>
      <c r="R142" s="23">
        <f t="shared" si="167"/>
        <v>4.1832618226151329E-2</v>
      </c>
      <c r="S142" s="23">
        <f t="shared" si="168"/>
        <v>4.1458976184824747E-2</v>
      </c>
      <c r="T142" s="325">
        <v>725087860.13</v>
      </c>
      <c r="U142" s="325">
        <v>1.3177000000000001</v>
      </c>
      <c r="V142" s="23">
        <f t="shared" si="169"/>
        <v>8.9806829458296579E-4</v>
      </c>
      <c r="W142" s="23">
        <f t="shared" si="170"/>
        <v>1.0635873281167423E-3</v>
      </c>
      <c r="X142" s="325">
        <v>751680875.74000001</v>
      </c>
      <c r="Y142" s="325">
        <v>1.3664000000000001</v>
      </c>
      <c r="Z142" s="23">
        <f t="shared" si="171"/>
        <v>3.6675576950401828E-2</v>
      </c>
      <c r="AA142" s="23">
        <f t="shared" si="172"/>
        <v>3.6958336495408639E-2</v>
      </c>
      <c r="AB142" s="325">
        <v>809746131.21000004</v>
      </c>
      <c r="AC142" s="325">
        <v>1.25</v>
      </c>
      <c r="AD142" s="23">
        <f t="shared" si="153"/>
        <v>7.7247216663370727E-2</v>
      </c>
      <c r="AE142" s="23">
        <f t="shared" si="154"/>
        <v>-8.518735362997662E-2</v>
      </c>
      <c r="AF142" s="325">
        <v>758100664.39999998</v>
      </c>
      <c r="AG142" s="325">
        <v>1.2664</v>
      </c>
      <c r="AH142" s="23">
        <f t="shared" si="155"/>
        <v>-6.3779825329732018E-2</v>
      </c>
      <c r="AI142" s="23">
        <f t="shared" si="156"/>
        <v>1.3119999999999975E-2</v>
      </c>
      <c r="AJ142" s="24">
        <f t="shared" si="157"/>
        <v>1.2172246282096942E-2</v>
      </c>
      <c r="AK142" s="24">
        <f t="shared" si="158"/>
        <v>1.7865465309929501E-4</v>
      </c>
      <c r="AL142" s="25">
        <f t="shared" si="159"/>
        <v>9.8425266398658506E-2</v>
      </c>
      <c r="AM142" s="25">
        <f t="shared" si="160"/>
        <v>8.5211435852512001E-3</v>
      </c>
      <c r="AN142" s="390">
        <f t="shared" si="161"/>
        <v>4.1374058573953043E-2</v>
      </c>
      <c r="AO142" s="391">
        <f t="shared" si="162"/>
        <v>3.9082908333035016E-2</v>
      </c>
      <c r="AP142" s="30"/>
      <c r="AQ142" s="79"/>
      <c r="AR142" s="80"/>
      <c r="AS142" s="29"/>
      <c r="AT142" s="29"/>
    </row>
    <row r="143" spans="1:46" ht="15.75" customHeight="1" thickBot="1">
      <c r="A143" s="202" t="s">
        <v>124</v>
      </c>
      <c r="B143" s="325">
        <v>4554277245.3000002</v>
      </c>
      <c r="C143" s="325">
        <v>205.89</v>
      </c>
      <c r="D143" s="325">
        <v>4553824280.3699999</v>
      </c>
      <c r="E143" s="325">
        <v>205.85040000000001</v>
      </c>
      <c r="F143" s="23">
        <f t="shared" si="127"/>
        <v>-9.9459234825408045E-5</v>
      </c>
      <c r="G143" s="23">
        <f t="shared" si="128"/>
        <v>-1.923357132448335E-4</v>
      </c>
      <c r="H143" s="325">
        <v>4611211944.9399996</v>
      </c>
      <c r="I143" s="325">
        <v>208.43921888664573</v>
      </c>
      <c r="J143" s="23">
        <f t="shared" si="163"/>
        <v>1.2602081467521387E-2</v>
      </c>
      <c r="K143" s="23">
        <f t="shared" si="164"/>
        <v>1.257621499227461E-2</v>
      </c>
      <c r="L143" s="325">
        <v>4764895532.46</v>
      </c>
      <c r="M143" s="325">
        <v>214.95</v>
      </c>
      <c r="N143" s="23">
        <f t="shared" si="165"/>
        <v>3.3328241979560573E-2</v>
      </c>
      <c r="O143" s="23">
        <f t="shared" si="166"/>
        <v>3.1235873690809476E-2</v>
      </c>
      <c r="P143" s="325">
        <v>4985499253.8599997</v>
      </c>
      <c r="Q143" s="325">
        <v>224.93469999999999</v>
      </c>
      <c r="R143" s="23">
        <f t="shared" si="167"/>
        <v>4.6297703674125938E-2</v>
      </c>
      <c r="S143" s="23">
        <f t="shared" si="168"/>
        <v>4.6451267736682969E-2</v>
      </c>
      <c r="T143" s="325">
        <v>5015003260.6491985</v>
      </c>
      <c r="U143" s="325">
        <v>226.12626900868591</v>
      </c>
      <c r="V143" s="23">
        <f t="shared" si="169"/>
        <v>5.9179643375446367E-3</v>
      </c>
      <c r="W143" s="23">
        <f t="shared" si="170"/>
        <v>5.2973996839345699E-3</v>
      </c>
      <c r="X143" s="325">
        <v>5768695636.8900003</v>
      </c>
      <c r="Y143" s="325">
        <v>259.8587</v>
      </c>
      <c r="Z143" s="23">
        <f t="shared" si="171"/>
        <v>0.1502875146970962</v>
      </c>
      <c r="AA143" s="23">
        <f t="shared" si="172"/>
        <v>0.14917519817221397</v>
      </c>
      <c r="AB143" s="325">
        <v>6035042270.3100004</v>
      </c>
      <c r="AC143" s="325">
        <v>271.95999999999998</v>
      </c>
      <c r="AD143" s="23">
        <f t="shared" si="153"/>
        <v>4.6171032445662528E-2</v>
      </c>
      <c r="AE143" s="23">
        <f t="shared" si="154"/>
        <v>4.6568769873781328E-2</v>
      </c>
      <c r="AF143" s="325">
        <v>6195349084.6000004</v>
      </c>
      <c r="AG143" s="325">
        <v>279.22000000000003</v>
      </c>
      <c r="AH143" s="23">
        <f t="shared" si="155"/>
        <v>2.6562666359214337E-2</v>
      </c>
      <c r="AI143" s="23">
        <f t="shared" si="156"/>
        <v>2.6695102220915017E-2</v>
      </c>
      <c r="AJ143" s="24">
        <f t="shared" si="157"/>
        <v>4.0133468215737524E-2</v>
      </c>
      <c r="AK143" s="24">
        <f t="shared" si="158"/>
        <v>3.9725936332170891E-2</v>
      </c>
      <c r="AL143" s="25">
        <f t="shared" si="159"/>
        <v>0.36047170535456541</v>
      </c>
      <c r="AM143" s="25">
        <f t="shared" si="160"/>
        <v>0.35642194525733262</v>
      </c>
      <c r="AN143" s="390">
        <f t="shared" si="161"/>
        <v>4.7788534364799795E-2</v>
      </c>
      <c r="AO143" s="391">
        <f t="shared" si="162"/>
        <v>4.7552946610914082E-2</v>
      </c>
      <c r="AP143" s="30"/>
      <c r="AQ143" s="64" t="e">
        <f>SUM(AQ125,AQ138)</f>
        <v>#REF!</v>
      </c>
      <c r="AR143" s="65"/>
      <c r="AS143" s="29" t="e">
        <f>(#REF!/AQ143)-1</f>
        <v>#REF!</v>
      </c>
      <c r="AT143" s="29" t="e">
        <f>(#REF!/AR143)-1</f>
        <v>#REF!</v>
      </c>
    </row>
    <row r="144" spans="1:46" s="302" customFormat="1" ht="15.75" customHeight="1">
      <c r="A144" s="202" t="s">
        <v>233</v>
      </c>
      <c r="B144" s="326">
        <v>199592627.5</v>
      </c>
      <c r="C144" s="325">
        <v>154.97999999999999</v>
      </c>
      <c r="D144" s="326">
        <v>203000759.84999999</v>
      </c>
      <c r="E144" s="325">
        <v>154.97999999999999</v>
      </c>
      <c r="F144" s="23">
        <f t="shared" si="127"/>
        <v>1.7075442077638836E-2</v>
      </c>
      <c r="G144" s="23">
        <f t="shared" si="128"/>
        <v>0</v>
      </c>
      <c r="H144" s="326">
        <v>201903777.02000001</v>
      </c>
      <c r="I144" s="325">
        <v>154.97999999999999</v>
      </c>
      <c r="J144" s="23">
        <f t="shared" si="163"/>
        <v>-5.4038360783011784E-3</v>
      </c>
      <c r="K144" s="23">
        <f t="shared" si="164"/>
        <v>0</v>
      </c>
      <c r="L144" s="326">
        <v>206789179.93000001</v>
      </c>
      <c r="M144" s="325">
        <v>160.56</v>
      </c>
      <c r="N144" s="23">
        <f t="shared" si="165"/>
        <v>2.4196689047159641E-2</v>
      </c>
      <c r="O144" s="23">
        <f t="shared" si="166"/>
        <v>3.6004645760743408E-2</v>
      </c>
      <c r="P144" s="326">
        <v>216870029.99000001</v>
      </c>
      <c r="Q144" s="325">
        <v>160.56</v>
      </c>
      <c r="R144" s="23">
        <f t="shared" si="167"/>
        <v>4.8749407794994211E-2</v>
      </c>
      <c r="S144" s="23">
        <f t="shared" si="168"/>
        <v>0</v>
      </c>
      <c r="T144" s="326">
        <v>222458699.93000001</v>
      </c>
      <c r="U144" s="325">
        <v>172.81</v>
      </c>
      <c r="V144" s="23">
        <f t="shared" si="169"/>
        <v>2.5769673846855162E-2</v>
      </c>
      <c r="W144" s="23">
        <f t="shared" si="170"/>
        <v>7.6295465869456902E-2</v>
      </c>
      <c r="X144" s="326">
        <v>239911918.06999999</v>
      </c>
      <c r="Y144" s="325">
        <v>186.42</v>
      </c>
      <c r="Z144" s="23">
        <f t="shared" si="171"/>
        <v>7.8455992710071143E-2</v>
      </c>
      <c r="AA144" s="23">
        <f t="shared" si="172"/>
        <v>7.875701637636702E-2</v>
      </c>
      <c r="AB144" s="326">
        <v>237496891</v>
      </c>
      <c r="AC144" s="325">
        <v>183.89</v>
      </c>
      <c r="AD144" s="23">
        <f t="shared" si="153"/>
        <v>-1.0066307207361626E-2</v>
      </c>
      <c r="AE144" s="23">
        <f t="shared" si="154"/>
        <v>-1.3571505203304373E-2</v>
      </c>
      <c r="AF144" s="326">
        <v>239665313.34</v>
      </c>
      <c r="AG144" s="325">
        <v>185.58</v>
      </c>
      <c r="AH144" s="23">
        <f t="shared" si="155"/>
        <v>9.130318846994943E-3</v>
      </c>
      <c r="AI144" s="23">
        <f t="shared" si="156"/>
        <v>9.1902767959107408E-3</v>
      </c>
      <c r="AJ144" s="24">
        <f t="shared" si="157"/>
        <v>2.3488422629756391E-2</v>
      </c>
      <c r="AK144" s="24">
        <f t="shared" si="158"/>
        <v>2.3334487449896711E-2</v>
      </c>
      <c r="AL144" s="25">
        <f t="shared" si="159"/>
        <v>0.18061288793742419</v>
      </c>
      <c r="AM144" s="25">
        <f t="shared" si="160"/>
        <v>0.19744483159117321</v>
      </c>
      <c r="AN144" s="390">
        <f t="shared" si="161"/>
        <v>2.8966041329164121E-2</v>
      </c>
      <c r="AO144" s="391">
        <f t="shared" si="162"/>
        <v>3.6317372391135944E-2</v>
      </c>
      <c r="AP144" s="30"/>
      <c r="AQ144" s="336"/>
      <c r="AR144" s="337"/>
      <c r="AS144" s="29"/>
      <c r="AT144" s="29"/>
    </row>
    <row r="145" spans="1:41">
      <c r="A145" s="204" t="s">
        <v>42</v>
      </c>
      <c r="B145" s="216">
        <f>SUM(B121:B144)</f>
        <v>31685014995.591469</v>
      </c>
      <c r="C145" s="85"/>
      <c r="D145" s="216">
        <f>SUM(D121:D144)</f>
        <v>31764157613.919247</v>
      </c>
      <c r="E145" s="85"/>
      <c r="F145" s="23">
        <f>((D145-B145)/B145)</f>
        <v>2.497793305093574E-3</v>
      </c>
      <c r="G145" s="23"/>
      <c r="H145" s="216">
        <f>SUM(H121:H144)</f>
        <v>32017254793.664894</v>
      </c>
      <c r="I145" s="85"/>
      <c r="J145" s="23">
        <f>((H145-D145)/D145)</f>
        <v>7.9680117074705202E-3</v>
      </c>
      <c r="K145" s="23"/>
      <c r="L145" s="216">
        <f>SUM(L121:L144)</f>
        <v>32587344550.170525</v>
      </c>
      <c r="M145" s="85"/>
      <c r="N145" s="23">
        <f>((L145-H145)/H145)</f>
        <v>1.7805703836246183E-2</v>
      </c>
      <c r="O145" s="23"/>
      <c r="P145" s="216">
        <f>SUM(P121:P144)</f>
        <v>33634490477.322308</v>
      </c>
      <c r="Q145" s="85"/>
      <c r="R145" s="23">
        <f>((P145-L145)/L145)</f>
        <v>3.2133515068698763E-2</v>
      </c>
      <c r="S145" s="23"/>
      <c r="T145" s="216">
        <f>SUM(T121:T144)</f>
        <v>33719080186.031113</v>
      </c>
      <c r="U145" s="85"/>
      <c r="V145" s="23">
        <f>((T145-P145)/P145)</f>
        <v>2.5149692327237358E-3</v>
      </c>
      <c r="W145" s="23"/>
      <c r="X145" s="216">
        <f>SUM(X121:X144)</f>
        <v>35744115521.98378</v>
      </c>
      <c r="Y145" s="85"/>
      <c r="Z145" s="23">
        <f>((X145-T145)/T145)</f>
        <v>6.0056066914648036E-2</v>
      </c>
      <c r="AA145" s="23"/>
      <c r="AB145" s="216">
        <f>SUM(AB121:AB144)</f>
        <v>36228102075.464104</v>
      </c>
      <c r="AC145" s="85"/>
      <c r="AD145" s="23">
        <f>((AB145-X145)/X145)</f>
        <v>1.354031415835864E-2</v>
      </c>
      <c r="AE145" s="23"/>
      <c r="AF145" s="216">
        <f>SUM(AF121:AF144)</f>
        <v>36851874319.96862</v>
      </c>
      <c r="AG145" s="85"/>
      <c r="AH145" s="23">
        <f>((AF145-AB145)/AB145)</f>
        <v>1.7217911200680135E-2</v>
      </c>
      <c r="AI145" s="23"/>
      <c r="AJ145" s="24">
        <f t="shared" si="157"/>
        <v>1.9216785677989949E-2</v>
      </c>
      <c r="AK145" s="24"/>
      <c r="AL145" s="25">
        <f t="shared" si="159"/>
        <v>0.16017162387520409</v>
      </c>
      <c r="AM145" s="25"/>
      <c r="AN145" s="390">
        <f t="shared" si="161"/>
        <v>1.9115842586373766E-2</v>
      </c>
      <c r="AO145" s="391"/>
    </row>
    <row r="146" spans="1:41" s="108" customFormat="1" ht="8.25" customHeight="1">
      <c r="A146" s="204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390"/>
      <c r="AO146" s="391"/>
    </row>
    <row r="147" spans="1:41" s="108" customFormat="1">
      <c r="A147" s="206" t="s">
        <v>66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90"/>
      <c r="AO147" s="391"/>
    </row>
    <row r="148" spans="1:41" s="108" customFormat="1">
      <c r="A148" s="203" t="s">
        <v>26</v>
      </c>
      <c r="B148" s="322">
        <v>535215028.16000003</v>
      </c>
      <c r="C148" s="322">
        <v>47.703400000000002</v>
      </c>
      <c r="D148" s="322">
        <v>529568607.05000001</v>
      </c>
      <c r="E148" s="322">
        <v>47.210099999999997</v>
      </c>
      <c r="F148" s="23">
        <f t="shared" ref="F148:G150" si="173">((D148-B148)/B148)</f>
        <v>-1.0549817947772653E-2</v>
      </c>
      <c r="G148" s="23">
        <f t="shared" si="173"/>
        <v>-1.0340981984512738E-2</v>
      </c>
      <c r="H148" s="322">
        <v>527732117.74000001</v>
      </c>
      <c r="I148" s="322">
        <v>47.036000000000001</v>
      </c>
      <c r="J148" s="23">
        <f t="shared" ref="J148:J150" si="174">((H148-D148)/D148)</f>
        <v>-3.4678968608624632E-3</v>
      </c>
      <c r="K148" s="23">
        <f t="shared" ref="K148:K150" si="175">((I148-E148)/E148)</f>
        <v>-3.68777020171522E-3</v>
      </c>
      <c r="L148" s="322">
        <v>530584831.11000001</v>
      </c>
      <c r="M148" s="322">
        <v>47.287999999999997</v>
      </c>
      <c r="N148" s="23">
        <f t="shared" ref="N148:N150" si="176">((L148-H148)/H148)</f>
        <v>5.4056087816232992E-3</v>
      </c>
      <c r="O148" s="23">
        <f t="shared" ref="O148:O150" si="177">((M148-I148)/I148)</f>
        <v>5.3575984352409924E-3</v>
      </c>
      <c r="P148" s="322">
        <v>552739546.01999998</v>
      </c>
      <c r="Q148" s="322">
        <v>49.226199999999999</v>
      </c>
      <c r="R148" s="23">
        <f t="shared" ref="R148:R150" si="178">((P148-L148)/L148)</f>
        <v>4.1755273824265977E-2</v>
      </c>
      <c r="S148" s="23">
        <f t="shared" ref="S148:S150" si="179">((Q148-M148)/M148)</f>
        <v>4.0987142615462741E-2</v>
      </c>
      <c r="T148" s="322">
        <v>553697096.74000001</v>
      </c>
      <c r="U148" s="322">
        <v>49.293700000000001</v>
      </c>
      <c r="V148" s="23">
        <f t="shared" ref="V148:V150" si="180">((T148-P148)/P148)</f>
        <v>1.7323723748280194E-3</v>
      </c>
      <c r="W148" s="23">
        <f t="shared" ref="W148:W150" si="181">((U148-Q148)/Q148)</f>
        <v>1.3712210164506414E-3</v>
      </c>
      <c r="X148" s="322">
        <v>570051962.25</v>
      </c>
      <c r="Y148" s="322">
        <v>50.7348</v>
      </c>
      <c r="Z148" s="23">
        <f t="shared" ref="Z148:Z150" si="182">((X148-T148)/T148)</f>
        <v>2.9537567753727553E-2</v>
      </c>
      <c r="AA148" s="23">
        <f t="shared" ref="AA148:AA150" si="183">((Y148-U148)/U148)</f>
        <v>2.9234973231873417E-2</v>
      </c>
      <c r="AB148" s="322">
        <v>560142407.38999999</v>
      </c>
      <c r="AC148" s="322">
        <v>49.010100000000001</v>
      </c>
      <c r="AD148" s="23">
        <f t="shared" ref="AD148:AD150" si="184">((AB148-X148)/X148)</f>
        <v>-1.7383599243982806E-2</v>
      </c>
      <c r="AE148" s="23">
        <f t="shared" ref="AE148:AE150" si="185">((AC148-Y148)/Y148)</f>
        <v>-3.3994418032592982E-2</v>
      </c>
      <c r="AF148" s="322">
        <v>564012366.02999997</v>
      </c>
      <c r="AG148" s="322">
        <v>49.540300000000002</v>
      </c>
      <c r="AH148" s="23">
        <f t="shared" ref="AH148:AH150" si="186">((AF148-AB148)/AB148)</f>
        <v>6.9088835070213158E-3</v>
      </c>
      <c r="AI148" s="23">
        <f t="shared" ref="AI148:AI150" si="187">((AG148-AC148)/AC148)</f>
        <v>1.0818178293861891E-2</v>
      </c>
      <c r="AJ148" s="24">
        <f t="shared" si="157"/>
        <v>6.7422990236060305E-3</v>
      </c>
      <c r="AK148" s="24">
        <f t="shared" si="158"/>
        <v>4.9682429217585925E-3</v>
      </c>
      <c r="AL148" s="25">
        <f t="shared" si="159"/>
        <v>6.5041164679060931E-2</v>
      </c>
      <c r="AM148" s="25">
        <f t="shared" si="160"/>
        <v>4.9358082274767581E-2</v>
      </c>
      <c r="AN148" s="390">
        <f t="shared" si="161"/>
        <v>1.9848608852506059E-2</v>
      </c>
      <c r="AO148" s="391">
        <f t="shared" si="162"/>
        <v>2.3179224448748429E-2</v>
      </c>
    </row>
    <row r="149" spans="1:41">
      <c r="A149" s="203" t="s">
        <v>189</v>
      </c>
      <c r="B149" s="321">
        <v>607669075.78999996</v>
      </c>
      <c r="C149" s="322">
        <v>17.139299999999999</v>
      </c>
      <c r="D149" s="321">
        <v>612120747.19000006</v>
      </c>
      <c r="E149" s="322">
        <v>17.2972</v>
      </c>
      <c r="F149" s="23">
        <f t="shared" si="173"/>
        <v>7.3258152790031342E-3</v>
      </c>
      <c r="G149" s="23">
        <f t="shared" si="173"/>
        <v>9.2127449779163383E-3</v>
      </c>
      <c r="H149" s="321">
        <v>615246797.87</v>
      </c>
      <c r="I149" s="322">
        <v>17.235700000000001</v>
      </c>
      <c r="J149" s="23">
        <f t="shared" si="174"/>
        <v>5.1069183561419668E-3</v>
      </c>
      <c r="K149" s="23">
        <f t="shared" si="175"/>
        <v>-3.5554887496241461E-3</v>
      </c>
      <c r="L149" s="321">
        <v>626073062.55999994</v>
      </c>
      <c r="M149" s="322">
        <v>17.503299999999999</v>
      </c>
      <c r="N149" s="23">
        <f t="shared" si="176"/>
        <v>1.7596620945416929E-2</v>
      </c>
      <c r="O149" s="23">
        <f t="shared" si="177"/>
        <v>1.5525914236149274E-2</v>
      </c>
      <c r="P149" s="321">
        <v>642802512.97000003</v>
      </c>
      <c r="Q149" s="322">
        <v>17.9407</v>
      </c>
      <c r="R149" s="23">
        <f t="shared" si="178"/>
        <v>2.6721242951411622E-2</v>
      </c>
      <c r="S149" s="23">
        <f t="shared" si="179"/>
        <v>2.4989573394731294E-2</v>
      </c>
      <c r="T149" s="321">
        <v>644464660.75</v>
      </c>
      <c r="U149" s="322">
        <v>18.047000000000001</v>
      </c>
      <c r="V149" s="23">
        <f t="shared" si="180"/>
        <v>2.5857829527146619E-3</v>
      </c>
      <c r="W149" s="23">
        <f t="shared" si="181"/>
        <v>5.9250753872480419E-3</v>
      </c>
      <c r="X149" s="321">
        <v>666894621.00999999</v>
      </c>
      <c r="Y149" s="322">
        <v>18.789100000000001</v>
      </c>
      <c r="Z149" s="23">
        <f t="shared" si="182"/>
        <v>3.4804018941701126E-2</v>
      </c>
      <c r="AA149" s="23">
        <f t="shared" si="183"/>
        <v>4.1120407824015104E-2</v>
      </c>
      <c r="AB149" s="321">
        <v>670148774.55999994</v>
      </c>
      <c r="AC149" s="322">
        <v>18.596599999999999</v>
      </c>
      <c r="AD149" s="23">
        <f t="shared" si="184"/>
        <v>4.8795618490243553E-3</v>
      </c>
      <c r="AE149" s="23">
        <f t="shared" si="185"/>
        <v>-1.0245301797318794E-2</v>
      </c>
      <c r="AF149" s="321">
        <v>700102294.53999996</v>
      </c>
      <c r="AG149" s="322">
        <v>18.632400000000001</v>
      </c>
      <c r="AH149" s="23">
        <f t="shared" si="186"/>
        <v>4.4696821238935522E-2</v>
      </c>
      <c r="AI149" s="23">
        <f t="shared" si="187"/>
        <v>1.92508307970284E-3</v>
      </c>
      <c r="AJ149" s="24">
        <f t="shared" si="157"/>
        <v>1.7964597814293666E-2</v>
      </c>
      <c r="AK149" s="24">
        <f t="shared" si="158"/>
        <v>1.0612251044102494E-2</v>
      </c>
      <c r="AL149" s="25">
        <f t="shared" si="159"/>
        <v>0.14373233998992482</v>
      </c>
      <c r="AM149" s="25">
        <f t="shared" si="160"/>
        <v>7.7191684203223671E-2</v>
      </c>
      <c r="AN149" s="390">
        <f t="shared" si="161"/>
        <v>1.5862002403792711E-2</v>
      </c>
      <c r="AO149" s="391">
        <f t="shared" si="162"/>
        <v>1.6461021473039673E-2</v>
      </c>
    </row>
    <row r="150" spans="1:41">
      <c r="A150" s="203" t="s">
        <v>25</v>
      </c>
      <c r="B150" s="321">
        <v>1915614003.02</v>
      </c>
      <c r="C150" s="322">
        <v>1.53</v>
      </c>
      <c r="D150" s="321">
        <v>1910684810.6900001</v>
      </c>
      <c r="E150" s="322">
        <v>1.53</v>
      </c>
      <c r="F150" s="23">
        <f t="shared" si="173"/>
        <v>-2.5731657433224874E-3</v>
      </c>
      <c r="G150" s="23">
        <f t="shared" si="173"/>
        <v>0</v>
      </c>
      <c r="H150" s="321">
        <v>1942372554.4100001</v>
      </c>
      <c r="I150" s="322">
        <v>1.56</v>
      </c>
      <c r="J150" s="23">
        <f t="shared" si="174"/>
        <v>1.6584495539354146E-2</v>
      </c>
      <c r="K150" s="23">
        <f t="shared" si="175"/>
        <v>1.9607843137254919E-2</v>
      </c>
      <c r="L150" s="321">
        <v>1949046823.76</v>
      </c>
      <c r="M150" s="322">
        <v>1.59</v>
      </c>
      <c r="N150" s="23">
        <f t="shared" si="176"/>
        <v>3.4361427393763957E-3</v>
      </c>
      <c r="O150" s="23">
        <f t="shared" si="177"/>
        <v>1.9230769230769246E-2</v>
      </c>
      <c r="P150" s="321">
        <v>2029359733.5899999</v>
      </c>
      <c r="Q150" s="322">
        <v>1.65</v>
      </c>
      <c r="R150" s="23">
        <f t="shared" si="178"/>
        <v>4.1206249563088701E-2</v>
      </c>
      <c r="S150" s="23">
        <f t="shared" si="179"/>
        <v>3.7735849056603668E-2</v>
      </c>
      <c r="T150" s="321">
        <v>2028082306.55</v>
      </c>
      <c r="U150" s="322">
        <v>1.65</v>
      </c>
      <c r="V150" s="23">
        <f t="shared" si="180"/>
        <v>-6.294729410739584E-4</v>
      </c>
      <c r="W150" s="23">
        <f t="shared" si="181"/>
        <v>0</v>
      </c>
      <c r="X150" s="321">
        <v>2157448391.9299998</v>
      </c>
      <c r="Y150" s="322">
        <v>1.75</v>
      </c>
      <c r="Z150" s="23">
        <f t="shared" si="182"/>
        <v>6.3787394112256909E-2</v>
      </c>
      <c r="AA150" s="23">
        <f t="shared" si="183"/>
        <v>6.0606060606060663E-2</v>
      </c>
      <c r="AB150" s="321">
        <v>2148127307.8800001</v>
      </c>
      <c r="AC150" s="322">
        <v>1.76</v>
      </c>
      <c r="AD150" s="23">
        <f t="shared" si="184"/>
        <v>-4.3204204025762598E-3</v>
      </c>
      <c r="AE150" s="23">
        <f t="shared" si="185"/>
        <v>5.7142857142857195E-3</v>
      </c>
      <c r="AF150" s="321">
        <v>2217566508.8699999</v>
      </c>
      <c r="AG150" s="322">
        <v>1.82</v>
      </c>
      <c r="AH150" s="23">
        <f t="shared" si="186"/>
        <v>3.2325458894021386E-2</v>
      </c>
      <c r="AI150" s="23">
        <f t="shared" si="187"/>
        <v>3.4090909090909123E-2</v>
      </c>
      <c r="AJ150" s="24">
        <f t="shared" si="157"/>
        <v>1.8727085220140605E-2</v>
      </c>
      <c r="AK150" s="24">
        <f t="shared" si="158"/>
        <v>2.2123214604485415E-2</v>
      </c>
      <c r="AL150" s="25">
        <f t="shared" si="159"/>
        <v>0.16061345987733924</v>
      </c>
      <c r="AM150" s="25">
        <f t="shared" si="160"/>
        <v>0.18954248366013074</v>
      </c>
      <c r="AN150" s="390">
        <f t="shared" si="161"/>
        <v>2.4838415513241664E-2</v>
      </c>
      <c r="AO150" s="391">
        <f t="shared" si="162"/>
        <v>2.1148215163766543E-2</v>
      </c>
    </row>
    <row r="151" spans="1:41">
      <c r="A151" s="204" t="s">
        <v>42</v>
      </c>
      <c r="B151" s="216">
        <f>SUM(B148:B150)</f>
        <v>3058498106.9700003</v>
      </c>
      <c r="C151" s="85"/>
      <c r="D151" s="216">
        <f>SUM(D148:D150)</f>
        <v>3052374164.9300003</v>
      </c>
      <c r="E151" s="85"/>
      <c r="F151" s="23">
        <f>((D151-B151)/B151)</f>
        <v>-2.0022709924338786E-3</v>
      </c>
      <c r="G151" s="23"/>
      <c r="H151" s="216">
        <f>SUM(H148:H150)</f>
        <v>3085351470.0200005</v>
      </c>
      <c r="I151" s="85"/>
      <c r="J151" s="23">
        <f>((H151-D151)/D151)</f>
        <v>1.0803821323378426E-2</v>
      </c>
      <c r="K151" s="23"/>
      <c r="L151" s="216">
        <f>SUM(L148:L150)</f>
        <v>3105704717.4300003</v>
      </c>
      <c r="M151" s="85"/>
      <c r="N151" s="23">
        <f>((L151-H151)/H151)</f>
        <v>6.5967354474101162E-3</v>
      </c>
      <c r="O151" s="23"/>
      <c r="P151" s="216">
        <f>SUM(P148:P150)</f>
        <v>3224901792.5799999</v>
      </c>
      <c r="Q151" s="85"/>
      <c r="R151" s="23">
        <f>((P151-L151)/L151)</f>
        <v>3.8380041245078933E-2</v>
      </c>
      <c r="S151" s="23"/>
      <c r="T151" s="216">
        <f>SUM(T148:T150)</f>
        <v>3226244064.04</v>
      </c>
      <c r="U151" s="85"/>
      <c r="V151" s="23">
        <f>((T151-P151)/P151)</f>
        <v>4.1622087937325631E-4</v>
      </c>
      <c r="W151" s="23"/>
      <c r="X151" s="216">
        <f>SUM(X148:X150)</f>
        <v>3394394975.1899996</v>
      </c>
      <c r="Y151" s="85"/>
      <c r="Z151" s="23">
        <f>((X151-T151)/T151)</f>
        <v>5.2119711904075848E-2</v>
      </c>
      <c r="AA151" s="23"/>
      <c r="AB151" s="216">
        <f>SUM(AB148:AB150)</f>
        <v>3378418489.8299999</v>
      </c>
      <c r="AC151" s="85"/>
      <c r="AD151" s="23">
        <f>((AB151-X151)/X151)</f>
        <v>-4.7067254921049316E-3</v>
      </c>
      <c r="AE151" s="23"/>
      <c r="AF151" s="216">
        <f>SUM(AF148:AF150)</f>
        <v>3481681169.4399996</v>
      </c>
      <c r="AG151" s="85"/>
      <c r="AH151" s="23">
        <f>((AF151-AB151)/AB151)</f>
        <v>3.0565390261996752E-2</v>
      </c>
      <c r="AI151" s="23"/>
      <c r="AJ151" s="24">
        <f t="shared" si="157"/>
        <v>1.6521615572096814E-2</v>
      </c>
      <c r="AK151" s="24"/>
      <c r="AL151" s="25">
        <f t="shared" si="159"/>
        <v>0.14064691329211421</v>
      </c>
      <c r="AM151" s="25"/>
      <c r="AN151" s="390">
        <f t="shared" si="161"/>
        <v>2.1134264107182433E-2</v>
      </c>
      <c r="AO151" s="391"/>
    </row>
    <row r="152" spans="1:41" ht="8.25" customHeight="1">
      <c r="A152" s="204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390"/>
      <c r="AO152" s="391"/>
    </row>
    <row r="153" spans="1:41">
      <c r="A153" s="207" t="s">
        <v>198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90"/>
      <c r="AO153" s="391"/>
    </row>
    <row r="154" spans="1:41">
      <c r="A154" s="208" t="s">
        <v>199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90"/>
      <c r="AO154" s="391"/>
    </row>
    <row r="155" spans="1:41">
      <c r="A155" s="203" t="s">
        <v>24</v>
      </c>
      <c r="B155" s="316">
        <v>3519541965.3000002</v>
      </c>
      <c r="C155" s="317">
        <v>1.75</v>
      </c>
      <c r="D155" s="316">
        <v>3523014717.3200002</v>
      </c>
      <c r="E155" s="317">
        <v>1.75</v>
      </c>
      <c r="F155" s="23">
        <f>((D148-B155)/B155)</f>
        <v>-0.84953479393877307</v>
      </c>
      <c r="G155" s="23">
        <f>((E155-C155)/C155)</f>
        <v>0</v>
      </c>
      <c r="H155" s="316">
        <v>3493586160.0500002</v>
      </c>
      <c r="I155" s="317">
        <v>1.74</v>
      </c>
      <c r="J155" s="23">
        <f>((H148-D155)/D155)</f>
        <v>-0.85020439592672137</v>
      </c>
      <c r="K155" s="23">
        <f>((I155-E155)/E155)</f>
        <v>-5.7142857142857195E-3</v>
      </c>
      <c r="L155" s="316">
        <v>3508106505.0599999</v>
      </c>
      <c r="M155" s="317">
        <v>1.74</v>
      </c>
      <c r="N155" s="23">
        <f>((L148-H155)/H155)</f>
        <v>-0.84812602099889056</v>
      </c>
      <c r="O155" s="23">
        <f>((M155-I155)/I155)</f>
        <v>0</v>
      </c>
      <c r="P155" s="316">
        <v>3538739093.1399999</v>
      </c>
      <c r="Q155" s="317">
        <v>1.76</v>
      </c>
      <c r="R155" s="23">
        <f>((P148-L155)/L155)</f>
        <v>-0.84243934862788716</v>
      </c>
      <c r="S155" s="23">
        <f>((Q155-M155)/M155)</f>
        <v>1.1494252873563229E-2</v>
      </c>
      <c r="T155" s="316">
        <v>3541879598.8800001</v>
      </c>
      <c r="U155" s="317">
        <v>1.76</v>
      </c>
      <c r="V155" s="23">
        <f>((T148-P155)/P155)</f>
        <v>-0.84353265890289386</v>
      </c>
      <c r="W155" s="23">
        <f>((U155-Q155)/Q155)</f>
        <v>0</v>
      </c>
      <c r="X155" s="316">
        <v>3589462168.4200001</v>
      </c>
      <c r="Y155" s="317">
        <v>1.79</v>
      </c>
      <c r="Z155" s="23">
        <f>((X148-T155)/T155)</f>
        <v>-0.83905382824693997</v>
      </c>
      <c r="AA155" s="23">
        <f>((Y155-U155)/U155)</f>
        <v>1.7045454545454562E-2</v>
      </c>
      <c r="AB155" s="316">
        <v>3568165804.0900002</v>
      </c>
      <c r="AC155" s="317">
        <v>1.78</v>
      </c>
      <c r="AD155" s="23">
        <f>((AB148-X155)/X155)</f>
        <v>-0.84394809553416694</v>
      </c>
      <c r="AE155" s="23">
        <f>((AC155-Y155)/Y155)</f>
        <v>-5.5865921787709542E-3</v>
      </c>
      <c r="AF155" s="316">
        <v>3601471717.8099999</v>
      </c>
      <c r="AG155" s="317">
        <v>1.8</v>
      </c>
      <c r="AH155" s="23">
        <f>((AF148-AB155)/AB155)</f>
        <v>-0.84193213068083828</v>
      </c>
      <c r="AI155" s="23">
        <f>((AG155-AC155)/AC155)</f>
        <v>1.1235955056179785E-2</v>
      </c>
      <c r="AJ155" s="24">
        <f t="shared" si="157"/>
        <v>-0.84484640910713904</v>
      </c>
      <c r="AK155" s="24">
        <f t="shared" si="158"/>
        <v>3.5593480727676126E-3</v>
      </c>
      <c r="AL155" s="25">
        <f t="shared" si="159"/>
        <v>2.2269847498588641E-2</v>
      </c>
      <c r="AM155" s="25">
        <f t="shared" si="160"/>
        <v>2.8571428571428598E-2</v>
      </c>
      <c r="AN155" s="390">
        <f t="shared" si="161"/>
        <v>3.9967609750556597E-3</v>
      </c>
      <c r="AO155" s="391">
        <f t="shared" si="162"/>
        <v>8.5475431689758883E-3</v>
      </c>
    </row>
    <row r="156" spans="1:41">
      <c r="A156" s="202" t="s">
        <v>65</v>
      </c>
      <c r="B156" s="316">
        <v>325327433.61000001</v>
      </c>
      <c r="C156" s="317">
        <v>282.93</v>
      </c>
      <c r="D156" s="316">
        <v>324172929.52999997</v>
      </c>
      <c r="E156" s="317">
        <v>282.44</v>
      </c>
      <c r="F156" s="23">
        <f>((D149-B156)/B156)</f>
        <v>0.88155281095600946</v>
      </c>
      <c r="G156" s="23">
        <f>((E156-C156)/C156)</f>
        <v>-1.7318771427561909E-3</v>
      </c>
      <c r="H156" s="316">
        <v>327594257.86000001</v>
      </c>
      <c r="I156" s="317">
        <v>284.87</v>
      </c>
      <c r="J156" s="23">
        <f>((H149-D156)/D156)</f>
        <v>0.89789689954066065</v>
      </c>
      <c r="K156" s="23">
        <f>((I156-E156)/E156)</f>
        <v>8.6035972241892324E-3</v>
      </c>
      <c r="L156" s="316">
        <v>331894601.49000001</v>
      </c>
      <c r="M156" s="317">
        <v>287.95999999999998</v>
      </c>
      <c r="N156" s="23">
        <f>((L149-H156)/H156)</f>
        <v>0.91112343253451411</v>
      </c>
      <c r="O156" s="23">
        <f>((M156-I156)/I156)</f>
        <v>1.0847053041738249E-2</v>
      </c>
      <c r="P156" s="316">
        <v>347783495.20999998</v>
      </c>
      <c r="Q156" s="317">
        <v>301.31</v>
      </c>
      <c r="R156" s="23">
        <f>((P149-L156)/L156)</f>
        <v>0.936767003995296</v>
      </c>
      <c r="S156" s="23">
        <f>((Q156-M156)/M156)</f>
        <v>4.6360605639672259E-2</v>
      </c>
      <c r="T156" s="316">
        <v>360997946.67000002</v>
      </c>
      <c r="U156" s="317">
        <v>301.24</v>
      </c>
      <c r="V156" s="23">
        <f>((T149-P156)/P156)</f>
        <v>0.85306280955298597</v>
      </c>
      <c r="W156" s="23">
        <f>((U156-Q156)/Q156)</f>
        <v>-2.3231887424908957E-4</v>
      </c>
      <c r="X156" s="316">
        <v>378637696.44</v>
      </c>
      <c r="Y156" s="317">
        <v>315.91000000000003</v>
      </c>
      <c r="Z156" s="23">
        <f>((X149-T156)/T156)</f>
        <v>0.84736402841545821</v>
      </c>
      <c r="AA156" s="23">
        <f>((Y156-U156)/U156)</f>
        <v>4.8698711990439569E-2</v>
      </c>
      <c r="AB156" s="316">
        <v>371936594.10000002</v>
      </c>
      <c r="AC156" s="317">
        <v>315.75</v>
      </c>
      <c r="AD156" s="23">
        <f>((AB149-X156)/X156)</f>
        <v>0.76989449508283081</v>
      </c>
      <c r="AE156" s="23">
        <f>((AC156-Y156)/Y156)</f>
        <v>-5.0647336266666136E-4</v>
      </c>
      <c r="AF156" s="316">
        <v>378617686.86000001</v>
      </c>
      <c r="AG156" s="317">
        <v>321.64999999999998</v>
      </c>
      <c r="AH156" s="23">
        <f>((AF149-AB156)/AB156)</f>
        <v>0.88231624864470393</v>
      </c>
      <c r="AI156" s="23">
        <f>((AG156-AC156)/AC156)</f>
        <v>1.8685669041963508E-2</v>
      </c>
      <c r="AJ156" s="24">
        <f t="shared" si="157"/>
        <v>0.87249721609030739</v>
      </c>
      <c r="AK156" s="24">
        <f t="shared" si="158"/>
        <v>1.634062094479136E-2</v>
      </c>
      <c r="AL156" s="25">
        <f t="shared" si="159"/>
        <v>0.16794973414015915</v>
      </c>
      <c r="AM156" s="25">
        <f t="shared" si="160"/>
        <v>0.1388259453335221</v>
      </c>
      <c r="AN156" s="390">
        <f t="shared" si="161"/>
        <v>5.0685082322818549E-2</v>
      </c>
      <c r="AO156" s="391">
        <f t="shared" si="162"/>
        <v>2.045513459853868E-2</v>
      </c>
    </row>
    <row r="157" spans="1:41" ht="8.25" customHeight="1">
      <c r="A157" s="204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390"/>
      <c r="AO157" s="391"/>
    </row>
    <row r="158" spans="1:41">
      <c r="A158" s="208" t="s">
        <v>200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90"/>
      <c r="AO158" s="391"/>
    </row>
    <row r="159" spans="1:41">
      <c r="A159" s="202" t="s">
        <v>228</v>
      </c>
      <c r="B159" s="326">
        <v>500931777.48000002</v>
      </c>
      <c r="C159" s="326">
        <v>1031.5899999999999</v>
      </c>
      <c r="D159" s="326">
        <v>505422763.86000001</v>
      </c>
      <c r="E159" s="326">
        <v>1040.8399999999999</v>
      </c>
      <c r="F159" s="23">
        <f t="shared" ref="F159:G165" si="188">((D159-B159)/B159)</f>
        <v>8.965265495019031E-3</v>
      </c>
      <c r="G159" s="23">
        <f t="shared" si="188"/>
        <v>8.9667406624724943E-3</v>
      </c>
      <c r="H159" s="326">
        <v>506418656.02999997</v>
      </c>
      <c r="I159" s="326">
        <v>1042.8900000000001</v>
      </c>
      <c r="J159" s="23">
        <f t="shared" ref="J159:J167" si="189">((H159-D159)/D159)</f>
        <v>1.9704141586226911E-3</v>
      </c>
      <c r="K159" s="23">
        <f t="shared" ref="K159:K161" si="190">((I159-E159)/E159)</f>
        <v>1.9695630452328714E-3</v>
      </c>
      <c r="L159" s="326">
        <v>505028265.47000003</v>
      </c>
      <c r="M159" s="326">
        <v>1040.03</v>
      </c>
      <c r="N159" s="23">
        <f t="shared" ref="N159:N167" si="191">((L159-H159)/H159)</f>
        <v>-2.7455358199078212E-3</v>
      </c>
      <c r="O159" s="23">
        <f t="shared" ref="O159:O161" si="192">((M159-I159)/I159)</f>
        <v>-2.7423793496918437E-3</v>
      </c>
      <c r="P159" s="326">
        <v>506015795.07999998</v>
      </c>
      <c r="Q159" s="326">
        <v>1046.97</v>
      </c>
      <c r="R159" s="23">
        <f t="shared" ref="R159:R167" si="193">((P159-L159)/L159)</f>
        <v>1.9553947323738782E-3</v>
      </c>
      <c r="S159" s="23">
        <f t="shared" ref="S159:S161" si="194">((Q159-M159)/M159)</f>
        <v>6.6728844360259363E-3</v>
      </c>
      <c r="T159" s="326">
        <v>482005458.32999998</v>
      </c>
      <c r="U159" s="326">
        <v>1049.06</v>
      </c>
      <c r="V159" s="23">
        <f t="shared" ref="V159:V167" si="195">((T159-P159)/P159)</f>
        <v>-4.7449777227218805E-2</v>
      </c>
      <c r="W159" s="23">
        <f t="shared" ref="W159:W161" si="196">((U159-Q159)/Q159)</f>
        <v>1.996236759410411E-3</v>
      </c>
      <c r="X159" s="326">
        <v>483001369.13</v>
      </c>
      <c r="Y159" s="326">
        <v>1051.23</v>
      </c>
      <c r="Z159" s="23">
        <f t="shared" ref="Z159:Z167" si="197">((X159-T159)/T159)</f>
        <v>2.0661815811184696E-3</v>
      </c>
      <c r="AA159" s="23">
        <f t="shared" ref="AA159:AA161" si="198">((Y159-U159)/U159)</f>
        <v>2.0685184832136129E-3</v>
      </c>
      <c r="AB159" s="326">
        <v>481327602.69</v>
      </c>
      <c r="AC159" s="326">
        <v>1047.54</v>
      </c>
      <c r="AD159" s="23">
        <f t="shared" ref="AD159:AD167" si="199">((AB159-X159)/X159)</f>
        <v>-3.4653451252422904E-3</v>
      </c>
      <c r="AE159" s="23">
        <f t="shared" ref="AE159:AE161" si="200">((AC159-Y159)/Y159)</f>
        <v>-3.5101737964099715E-3</v>
      </c>
      <c r="AF159" s="326">
        <v>475808601.37</v>
      </c>
      <c r="AG159" s="326">
        <v>1046.3900000000001</v>
      </c>
      <c r="AH159" s="23">
        <f t="shared" ref="AH159:AH167" si="201">((AF159-AB159)/AB159)</f>
        <v>-1.1466205738370082E-2</v>
      </c>
      <c r="AI159" s="23">
        <f t="shared" ref="AI159:AI161" si="202">((AG159-AC159)/AC159)</f>
        <v>-1.0978101074897986E-3</v>
      </c>
      <c r="AJ159" s="24">
        <f t="shared" si="157"/>
        <v>-6.271200992950616E-3</v>
      </c>
      <c r="AK159" s="24">
        <f t="shared" si="158"/>
        <v>1.790447516595464E-3</v>
      </c>
      <c r="AL159" s="25">
        <f t="shared" si="159"/>
        <v>-5.8592854551764925E-2</v>
      </c>
      <c r="AM159" s="25">
        <f t="shared" si="160"/>
        <v>5.3322316590447933E-3</v>
      </c>
      <c r="AN159" s="390">
        <f t="shared" si="161"/>
        <v>1.7648267069153241E-2</v>
      </c>
      <c r="AO159" s="391">
        <f t="shared" si="162"/>
        <v>4.3502753023232062E-3</v>
      </c>
    </row>
    <row r="160" spans="1:41">
      <c r="A160" s="202" t="s">
        <v>231</v>
      </c>
      <c r="B160" s="326">
        <v>62015270.850000001</v>
      </c>
      <c r="C160" s="326">
        <v>104.58</v>
      </c>
      <c r="D160" s="326">
        <v>62140757.649999999</v>
      </c>
      <c r="E160" s="326">
        <v>104.7</v>
      </c>
      <c r="F160" s="23">
        <f t="shared" si="188"/>
        <v>2.0234822533230462E-3</v>
      </c>
      <c r="G160" s="23">
        <f t="shared" si="188"/>
        <v>1.1474469305795042E-3</v>
      </c>
      <c r="H160" s="326">
        <v>62170128.969999999</v>
      </c>
      <c r="I160" s="326">
        <v>103.28</v>
      </c>
      <c r="J160" s="23">
        <f t="shared" si="189"/>
        <v>4.7265789975446654E-4</v>
      </c>
      <c r="K160" s="23">
        <f t="shared" si="190"/>
        <v>-1.3562559694364868E-2</v>
      </c>
      <c r="L160" s="326">
        <v>62668088.18</v>
      </c>
      <c r="M160" s="326">
        <v>103.4</v>
      </c>
      <c r="N160" s="23">
        <f t="shared" si="191"/>
        <v>8.0096216342142312E-3</v>
      </c>
      <c r="O160" s="23">
        <f t="shared" si="192"/>
        <v>1.1618900077459773E-3</v>
      </c>
      <c r="P160" s="326">
        <v>63874587.5</v>
      </c>
      <c r="Q160" s="326">
        <v>103.56</v>
      </c>
      <c r="R160" s="23">
        <f t="shared" si="193"/>
        <v>1.925221201155207E-2</v>
      </c>
      <c r="S160" s="23">
        <f t="shared" si="194"/>
        <v>1.5473887814313016E-3</v>
      </c>
      <c r="T160" s="326">
        <v>61998775.670000002</v>
      </c>
      <c r="U160" s="326">
        <v>103.67</v>
      </c>
      <c r="V160" s="23">
        <f t="shared" si="195"/>
        <v>-2.9367106754309737E-2</v>
      </c>
      <c r="W160" s="23">
        <f t="shared" si="196"/>
        <v>1.0621861722672791E-3</v>
      </c>
      <c r="X160" s="326">
        <v>62119720.93</v>
      </c>
      <c r="Y160" s="326">
        <v>103.78</v>
      </c>
      <c r="Z160" s="23">
        <f t="shared" si="197"/>
        <v>1.9507685223294009E-3</v>
      </c>
      <c r="AA160" s="23">
        <f t="shared" si="198"/>
        <v>1.0610591299315079E-3</v>
      </c>
      <c r="AB160" s="326">
        <v>61962424.829999998</v>
      </c>
      <c r="AC160" s="326">
        <v>103.78</v>
      </c>
      <c r="AD160" s="23">
        <f t="shared" si="199"/>
        <v>-2.5321443439395293E-3</v>
      </c>
      <c r="AE160" s="23">
        <f t="shared" si="200"/>
        <v>0</v>
      </c>
      <c r="AF160" s="326">
        <v>62083981.990000002</v>
      </c>
      <c r="AG160" s="326">
        <v>103.89</v>
      </c>
      <c r="AH160" s="23">
        <f t="shared" si="201"/>
        <v>1.9617882988522137E-3</v>
      </c>
      <c r="AI160" s="23">
        <f t="shared" si="202"/>
        <v>1.0599344767777937E-3</v>
      </c>
      <c r="AJ160" s="24">
        <f t="shared" si="157"/>
        <v>2.2140994022202035E-4</v>
      </c>
      <c r="AK160" s="24">
        <f t="shared" si="158"/>
        <v>-8.1533177445393802E-4</v>
      </c>
      <c r="AL160" s="25">
        <f t="shared" si="159"/>
        <v>-9.1366217836895696E-4</v>
      </c>
      <c r="AM160" s="25">
        <f t="shared" si="160"/>
        <v>-7.7363896848137749E-3</v>
      </c>
      <c r="AN160" s="390">
        <f t="shared" si="161"/>
        <v>1.3707246458625441E-2</v>
      </c>
      <c r="AO160" s="391">
        <f t="shared" si="162"/>
        <v>5.1694636385227425E-3</v>
      </c>
    </row>
    <row r="161" spans="1:41">
      <c r="A161" s="202" t="s">
        <v>235</v>
      </c>
      <c r="B161" s="321">
        <v>52024825.420000002</v>
      </c>
      <c r="C161" s="322">
        <v>103.79</v>
      </c>
      <c r="D161" s="321">
        <v>52092258.890000001</v>
      </c>
      <c r="E161" s="322">
        <v>104.04</v>
      </c>
      <c r="F161" s="23">
        <f t="shared" si="188"/>
        <v>1.2961786888394868E-3</v>
      </c>
      <c r="G161" s="23">
        <f t="shared" si="188"/>
        <v>2.4087098949802485E-3</v>
      </c>
      <c r="H161" s="321">
        <v>52092258.890000001</v>
      </c>
      <c r="I161" s="322">
        <v>104.29</v>
      </c>
      <c r="J161" s="23">
        <f t="shared" si="189"/>
        <v>0</v>
      </c>
      <c r="K161" s="23">
        <f t="shared" si="190"/>
        <v>2.4029219530949633E-3</v>
      </c>
      <c r="L161" s="321">
        <v>52228214.920000002</v>
      </c>
      <c r="M161" s="322">
        <v>104.54</v>
      </c>
      <c r="N161" s="23">
        <f t="shared" si="191"/>
        <v>2.6099085141823306E-3</v>
      </c>
      <c r="O161" s="23">
        <f t="shared" si="192"/>
        <v>2.3971617604755966E-3</v>
      </c>
      <c r="P161" s="321">
        <v>52287491.479999997</v>
      </c>
      <c r="Q161" s="322">
        <v>104.75</v>
      </c>
      <c r="R161" s="23">
        <f t="shared" si="193"/>
        <v>1.1349528236948392E-3</v>
      </c>
      <c r="S161" s="23">
        <f t="shared" si="194"/>
        <v>2.0088004591543307E-3</v>
      </c>
      <c r="T161" s="321">
        <v>52366482.539999999</v>
      </c>
      <c r="U161" s="322">
        <v>105.04</v>
      </c>
      <c r="V161" s="23">
        <f t="shared" si="195"/>
        <v>1.5107066291412455E-3</v>
      </c>
      <c r="W161" s="23">
        <f t="shared" si="196"/>
        <v>2.7684964200477922E-3</v>
      </c>
      <c r="X161" s="321">
        <v>52435558.130000003</v>
      </c>
      <c r="Y161" s="322">
        <v>105.29</v>
      </c>
      <c r="Z161" s="23">
        <f t="shared" si="197"/>
        <v>1.3190801949938182E-3</v>
      </c>
      <c r="AA161" s="23">
        <f t="shared" si="198"/>
        <v>2.3800456968773799E-3</v>
      </c>
      <c r="AB161" s="321">
        <v>52504594.890000001</v>
      </c>
      <c r="AC161" s="322">
        <v>105.55</v>
      </c>
      <c r="AD161" s="23">
        <f t="shared" si="199"/>
        <v>1.3166019865534691E-3</v>
      </c>
      <c r="AE161" s="23">
        <f t="shared" si="200"/>
        <v>2.4693703105707178E-3</v>
      </c>
      <c r="AF161" s="321">
        <v>52573938.920000002</v>
      </c>
      <c r="AG161" s="322">
        <v>105.8</v>
      </c>
      <c r="AH161" s="23">
        <f t="shared" si="201"/>
        <v>1.3207230747190933E-3</v>
      </c>
      <c r="AI161" s="23">
        <f t="shared" si="202"/>
        <v>2.3685457129322598E-3</v>
      </c>
      <c r="AJ161" s="24">
        <f t="shared" si="157"/>
        <v>1.3135189890155353E-3</v>
      </c>
      <c r="AK161" s="24">
        <f t="shared" si="158"/>
        <v>2.400506526016661E-3</v>
      </c>
      <c r="AL161" s="25">
        <f t="shared" si="159"/>
        <v>9.2466719674632481E-3</v>
      </c>
      <c r="AM161" s="25">
        <f t="shared" si="160"/>
        <v>1.6916570549788453E-2</v>
      </c>
      <c r="AN161" s="390">
        <f t="shared" si="161"/>
        <v>7.0479174158339037E-4</v>
      </c>
      <c r="AO161" s="391">
        <f t="shared" si="162"/>
        <v>2.0532791956068643E-4</v>
      </c>
    </row>
    <row r="162" spans="1:41" s="288" customFormat="1">
      <c r="A162" s="202" t="s">
        <v>186</v>
      </c>
      <c r="B162" s="326">
        <v>9396906448.2999992</v>
      </c>
      <c r="C162" s="326">
        <v>128.03</v>
      </c>
      <c r="D162" s="326">
        <v>9350818818.1200008</v>
      </c>
      <c r="E162" s="326">
        <v>128.31</v>
      </c>
      <c r="F162" s="23">
        <f t="shared" si="188"/>
        <v>-4.904553475504286E-3</v>
      </c>
      <c r="G162" s="23">
        <f t="shared" si="188"/>
        <v>2.1869874248223163E-3</v>
      </c>
      <c r="H162" s="326">
        <v>9440015780.9500008</v>
      </c>
      <c r="I162" s="326">
        <v>128.59</v>
      </c>
      <c r="J162" s="23">
        <f t="shared" si="189"/>
        <v>9.5389467558877512E-3</v>
      </c>
      <c r="K162" s="23">
        <f>((I162-E162)/E162)</f>
        <v>2.1822149481724039E-3</v>
      </c>
      <c r="L162" s="326">
        <v>9385200748.5</v>
      </c>
      <c r="M162" s="326">
        <v>128.86000000000001</v>
      </c>
      <c r="N162" s="23">
        <f t="shared" si="191"/>
        <v>-5.8066674592449066E-3</v>
      </c>
      <c r="O162" s="23">
        <f>((M162-I162)/I162)</f>
        <v>2.0996967104752332E-3</v>
      </c>
      <c r="P162" s="326">
        <v>9141103160.3999996</v>
      </c>
      <c r="Q162" s="326">
        <v>129.11000000000001</v>
      </c>
      <c r="R162" s="23">
        <f t="shared" si="193"/>
        <v>-2.600877643869403E-2</v>
      </c>
      <c r="S162" s="23">
        <f>((Q162-M162)/M162)</f>
        <v>1.9400900201769361E-3</v>
      </c>
      <c r="T162" s="326">
        <v>9175697526.1100006</v>
      </c>
      <c r="U162" s="322">
        <v>129.4</v>
      </c>
      <c r="V162" s="23">
        <f t="shared" si="195"/>
        <v>3.7844847720203607E-3</v>
      </c>
      <c r="W162" s="23">
        <f>((U162-Q162)/Q162)</f>
        <v>2.2461466966152274E-3</v>
      </c>
      <c r="X162" s="326">
        <v>9137554462.4300003</v>
      </c>
      <c r="Y162" s="322">
        <v>129.30000000000001</v>
      </c>
      <c r="Z162" s="23">
        <f t="shared" si="197"/>
        <v>-4.1569661130897041E-3</v>
      </c>
      <c r="AA162" s="23">
        <f>((Y162-U162)/U162)</f>
        <v>-7.7279752704786952E-4</v>
      </c>
      <c r="AB162" s="326">
        <v>9193583412.5200005</v>
      </c>
      <c r="AC162" s="322">
        <v>130</v>
      </c>
      <c r="AD162" s="23">
        <f t="shared" si="199"/>
        <v>6.131722696742216E-3</v>
      </c>
      <c r="AE162" s="23">
        <f>((AC162-Y162)/Y162)</f>
        <v>5.4137664346480168E-3</v>
      </c>
      <c r="AF162" s="326">
        <v>9208704373.3500004</v>
      </c>
      <c r="AG162" s="322">
        <v>130.29</v>
      </c>
      <c r="AH162" s="23">
        <f t="shared" si="201"/>
        <v>1.6447298242171714E-3</v>
      </c>
      <c r="AI162" s="23">
        <f>((AG162-AC162)/AC162)</f>
        <v>2.2307692307691695E-3</v>
      </c>
      <c r="AJ162" s="24">
        <f t="shared" si="157"/>
        <v>-2.472134929708178E-3</v>
      </c>
      <c r="AK162" s="24">
        <f t="shared" si="158"/>
        <v>2.1908592423289289E-3</v>
      </c>
      <c r="AL162" s="25">
        <f t="shared" si="159"/>
        <v>-1.519807489955974E-2</v>
      </c>
      <c r="AM162" s="25">
        <f t="shared" si="160"/>
        <v>1.5431377133504714E-2</v>
      </c>
      <c r="AN162" s="390">
        <f t="shared" si="161"/>
        <v>1.100801157352446E-2</v>
      </c>
      <c r="AO162" s="391">
        <f t="shared" si="162"/>
        <v>1.6581541911560561E-3</v>
      </c>
    </row>
    <row r="163" spans="1:41" s="302" customFormat="1">
      <c r="A163" s="202" t="s">
        <v>173</v>
      </c>
      <c r="B163" s="326">
        <v>447138004.60000002</v>
      </c>
      <c r="C163" s="327">
        <v>101.98</v>
      </c>
      <c r="D163" s="326">
        <v>451241812.82999998</v>
      </c>
      <c r="E163" s="327">
        <v>102.1</v>
      </c>
      <c r="F163" s="23">
        <f t="shared" si="188"/>
        <v>9.1779454839029783E-3</v>
      </c>
      <c r="G163" s="23">
        <f t="shared" si="188"/>
        <v>1.1767013139830391E-3</v>
      </c>
      <c r="H163" s="326">
        <v>451166384.73000002</v>
      </c>
      <c r="I163" s="327">
        <v>102.31</v>
      </c>
      <c r="J163" s="23">
        <f t="shared" si="189"/>
        <v>-1.6715671698708666E-4</v>
      </c>
      <c r="K163" s="23">
        <f>((I163-E163)/E163)</f>
        <v>2.0568070519099702E-3</v>
      </c>
      <c r="L163" s="326">
        <v>471435419.63</v>
      </c>
      <c r="M163" s="327">
        <v>102.5</v>
      </c>
      <c r="N163" s="23">
        <f t="shared" si="191"/>
        <v>4.4925853490015565E-2</v>
      </c>
      <c r="O163" s="23">
        <f>((M163-I163)/I163)</f>
        <v>1.857100967647324E-3</v>
      </c>
      <c r="P163" s="326">
        <v>482674208.85000002</v>
      </c>
      <c r="Q163" s="327">
        <v>102.86</v>
      </c>
      <c r="R163" s="23">
        <f t="shared" si="193"/>
        <v>2.3839509616864697E-2</v>
      </c>
      <c r="S163" s="23">
        <f>((Q163-M163)/M163)</f>
        <v>3.512195121951214E-3</v>
      </c>
      <c r="T163" s="326">
        <v>485865024.06</v>
      </c>
      <c r="U163" s="327">
        <v>103.057169968998</v>
      </c>
      <c r="V163" s="23">
        <f t="shared" si="195"/>
        <v>6.6107016938035399E-3</v>
      </c>
      <c r="W163" s="23">
        <f>((U163-Q163)/Q163)</f>
        <v>1.9168770075636507E-3</v>
      </c>
      <c r="X163" s="326">
        <v>485543074.88999999</v>
      </c>
      <c r="Y163" s="327">
        <v>103.02</v>
      </c>
      <c r="Z163" s="23">
        <f t="shared" si="197"/>
        <v>-6.6263088318178431E-4</v>
      </c>
      <c r="AA163" s="23">
        <f>((Y163-U163)/U163)</f>
        <v>-3.6067329433926926E-4</v>
      </c>
      <c r="AB163" s="326">
        <v>500101506.67000002</v>
      </c>
      <c r="AC163" s="327">
        <v>103.54</v>
      </c>
      <c r="AD163" s="23">
        <f t="shared" si="199"/>
        <v>2.9983810979691657E-2</v>
      </c>
      <c r="AE163" s="23">
        <f>((AC163-Y163)/Y163)</f>
        <v>5.0475635798874997E-3</v>
      </c>
      <c r="AF163" s="326">
        <v>513138395.72000003</v>
      </c>
      <c r="AG163" s="327">
        <v>103.66</v>
      </c>
      <c r="AH163" s="23">
        <f t="shared" si="201"/>
        <v>2.606848584961895E-2</v>
      </c>
      <c r="AI163" s="23">
        <f>((AG163-AC163)/AC163)</f>
        <v>1.1589723778249019E-3</v>
      </c>
      <c r="AJ163" s="24">
        <f t="shared" si="157"/>
        <v>1.7472064939216065E-2</v>
      </c>
      <c r="AK163" s="24">
        <f t="shared" si="158"/>
        <v>2.0456930158035411E-3</v>
      </c>
      <c r="AL163" s="25">
        <f t="shared" si="159"/>
        <v>0.13716943140045146</v>
      </c>
      <c r="AM163" s="25">
        <f t="shared" si="160"/>
        <v>1.5279138099902079E-2</v>
      </c>
      <c r="AN163" s="390">
        <f t="shared" si="161"/>
        <v>1.6263315692776864E-2</v>
      </c>
      <c r="AO163" s="391">
        <f t="shared" si="162"/>
        <v>1.6277134814340444E-3</v>
      </c>
    </row>
    <row r="164" spans="1:41" s="302" customFormat="1">
      <c r="A164" s="202" t="s">
        <v>130</v>
      </c>
      <c r="B164" s="326">
        <v>8311811544.6199999</v>
      </c>
      <c r="C164" s="327">
        <v>123.57</v>
      </c>
      <c r="D164" s="326">
        <v>8315320941.3800001</v>
      </c>
      <c r="E164" s="327">
        <v>123.67</v>
      </c>
      <c r="F164" s="23">
        <f t="shared" si="188"/>
        <v>4.2221803768779649E-4</v>
      </c>
      <c r="G164" s="23">
        <f t="shared" si="188"/>
        <v>8.0925791049614416E-4</v>
      </c>
      <c r="H164" s="326">
        <v>8420680757.3199997</v>
      </c>
      <c r="I164" s="327">
        <v>123.77</v>
      </c>
      <c r="J164" s="23">
        <f t="shared" si="189"/>
        <v>1.2670565175144545E-2</v>
      </c>
      <c r="K164" s="23">
        <f>((I164-E164)/E164)</f>
        <v>8.0860354168346661E-4</v>
      </c>
      <c r="L164" s="326">
        <v>8438697526.0600004</v>
      </c>
      <c r="M164" s="327">
        <v>123.91</v>
      </c>
      <c r="N164" s="23">
        <f t="shared" si="191"/>
        <v>2.1395857721288099E-3</v>
      </c>
      <c r="O164" s="23">
        <f>((M164-I164)/I164)</f>
        <v>1.1311303223721465E-3</v>
      </c>
      <c r="P164" s="326">
        <v>8426296075.5699997</v>
      </c>
      <c r="Q164" s="327">
        <v>124.06</v>
      </c>
      <c r="R164" s="23">
        <f t="shared" si="193"/>
        <v>-1.4695929616748474E-3</v>
      </c>
      <c r="S164" s="23">
        <f>((Q164-M164)/M164)</f>
        <v>1.2105560487451028E-3</v>
      </c>
      <c r="T164" s="326">
        <v>8389248771.9499998</v>
      </c>
      <c r="U164" s="327">
        <v>124.21</v>
      </c>
      <c r="V164" s="23">
        <f t="shared" si="195"/>
        <v>-4.3966297039347516E-3</v>
      </c>
      <c r="W164" s="23">
        <f>((U164-Q164)/Q164)</f>
        <v>1.209092374657355E-3</v>
      </c>
      <c r="X164" s="326">
        <v>8383714282.5500002</v>
      </c>
      <c r="Y164" s="327">
        <v>124.35</v>
      </c>
      <c r="Z164" s="23">
        <f t="shared" si="197"/>
        <v>-6.5971215664798789E-4</v>
      </c>
      <c r="AA164" s="23">
        <f>((Y164-U164)/U164)</f>
        <v>1.1271234200144961E-3</v>
      </c>
      <c r="AB164" s="326">
        <v>8384285564.25</v>
      </c>
      <c r="AC164" s="327">
        <v>124.47</v>
      </c>
      <c r="AD164" s="23">
        <f t="shared" si="199"/>
        <v>6.8141837942746247E-5</v>
      </c>
      <c r="AE164" s="23">
        <f>((AC164-Y164)/Y164)</f>
        <v>9.650180940893008E-4</v>
      </c>
      <c r="AF164" s="326">
        <v>8375626518.8999996</v>
      </c>
      <c r="AG164" s="327">
        <v>124.58</v>
      </c>
      <c r="AH164" s="23">
        <f t="shared" si="201"/>
        <v>-1.0327708048163266E-3</v>
      </c>
      <c r="AI164" s="23">
        <f>((AG164-AC164)/AC164)</f>
        <v>8.8374708765163838E-4</v>
      </c>
      <c r="AJ164" s="24">
        <f t="shared" si="157"/>
        <v>9.677256494787477E-4</v>
      </c>
      <c r="AK164" s="24">
        <f t="shared" si="158"/>
        <v>1.0180660999637063E-3</v>
      </c>
      <c r="AL164" s="25">
        <f t="shared" si="159"/>
        <v>7.2523451524158806E-3</v>
      </c>
      <c r="AM164" s="25">
        <f t="shared" si="160"/>
        <v>7.358292229319937E-3</v>
      </c>
      <c r="AN164" s="390">
        <f t="shared" si="161"/>
        <v>5.0822366974938461E-3</v>
      </c>
      <c r="AO164" s="391">
        <f t="shared" si="162"/>
        <v>1.7177707595121571E-4</v>
      </c>
    </row>
    <row r="165" spans="1:41">
      <c r="A165" s="202" t="s">
        <v>164</v>
      </c>
      <c r="B165" s="326">
        <v>2607699840.98</v>
      </c>
      <c r="C165" s="327">
        <v>1.1508</v>
      </c>
      <c r="D165" s="326">
        <v>2705483133.1999998</v>
      </c>
      <c r="E165" s="327">
        <v>1.1536</v>
      </c>
      <c r="F165" s="23">
        <f t="shared" si="188"/>
        <v>3.7497909338849306E-2</v>
      </c>
      <c r="G165" s="23">
        <f t="shared" si="188"/>
        <v>2.4330900243308253E-3</v>
      </c>
      <c r="H165" s="326">
        <v>2756036312.1100001</v>
      </c>
      <c r="I165" s="327">
        <v>1.1564000000000001</v>
      </c>
      <c r="J165" s="23">
        <f t="shared" si="189"/>
        <v>1.8685453363077108E-2</v>
      </c>
      <c r="K165" s="23">
        <f>((I165-E165)/E165)</f>
        <v>2.4271844660195352E-3</v>
      </c>
      <c r="L165" s="326">
        <v>2984749726.0799999</v>
      </c>
      <c r="M165" s="327">
        <v>1.1592</v>
      </c>
      <c r="N165" s="23">
        <f t="shared" si="191"/>
        <v>8.2986357242477174E-2</v>
      </c>
      <c r="O165" s="23">
        <f>((M165-I165)/I165)</f>
        <v>2.4213075060531939E-3</v>
      </c>
      <c r="P165" s="326">
        <v>3142835684.8000002</v>
      </c>
      <c r="Q165" s="327">
        <v>1.1619999999999999</v>
      </c>
      <c r="R165" s="23">
        <f t="shared" si="193"/>
        <v>5.2964560927398541E-2</v>
      </c>
      <c r="S165" s="23">
        <f>((Q165-M165)/M165)</f>
        <v>2.4154589371979929E-3</v>
      </c>
      <c r="T165" s="326">
        <v>3226329725.4699998</v>
      </c>
      <c r="U165" s="327">
        <v>1.1648000000000001</v>
      </c>
      <c r="V165" s="23">
        <f t="shared" si="195"/>
        <v>2.6566467051971535E-2</v>
      </c>
      <c r="W165" s="23">
        <f>((U165-Q165)/Q165)</f>
        <v>2.4096385542169843E-3</v>
      </c>
      <c r="X165" s="326">
        <v>3238342114.6500001</v>
      </c>
      <c r="Y165" s="327">
        <v>1.1676</v>
      </c>
      <c r="Z165" s="23">
        <f t="shared" si="197"/>
        <v>3.7232366813501633E-3</v>
      </c>
      <c r="AA165" s="23">
        <f>((Y165-U165)/U165)</f>
        <v>2.4038461538460798E-3</v>
      </c>
      <c r="AB165" s="326">
        <v>3468443330.0799999</v>
      </c>
      <c r="AC165" s="327">
        <v>1.1212</v>
      </c>
      <c r="AD165" s="23">
        <f t="shared" si="199"/>
        <v>7.1055252127019061E-2</v>
      </c>
      <c r="AE165" s="23">
        <f>((AC165-Y165)/Y165)</f>
        <v>-3.9739636861939015E-2</v>
      </c>
      <c r="AF165" s="326">
        <v>3342276402.1599998</v>
      </c>
      <c r="AG165" s="327">
        <v>1.1232</v>
      </c>
      <c r="AH165" s="23">
        <f t="shared" si="201"/>
        <v>-3.6375663637292305E-2</v>
      </c>
      <c r="AI165" s="23">
        <f>((AG165-AC165)/AC165)</f>
        <v>1.7838030681412789E-3</v>
      </c>
      <c r="AJ165" s="24">
        <f t="shared" si="157"/>
        <v>3.2137946636856318E-2</v>
      </c>
      <c r="AK165" s="24">
        <f t="shared" si="158"/>
        <v>-2.9306635190166409E-3</v>
      </c>
      <c r="AL165" s="25">
        <f t="shared" si="159"/>
        <v>0.2353713690341184</v>
      </c>
      <c r="AM165" s="25">
        <f t="shared" si="160"/>
        <v>-2.6352288488210803E-2</v>
      </c>
      <c r="AN165" s="390">
        <f t="shared" si="161"/>
        <v>3.8314704535326476E-2</v>
      </c>
      <c r="AO165" s="391">
        <f t="shared" si="162"/>
        <v>1.4874731880989154E-2</v>
      </c>
    </row>
    <row r="166" spans="1:41">
      <c r="A166" s="204" t="s">
        <v>42</v>
      </c>
      <c r="B166" s="76">
        <f>SUM(B155:B165)</f>
        <v>25223397111.16</v>
      </c>
      <c r="C166" s="85"/>
      <c r="D166" s="76">
        <f>SUM(D155:D165)</f>
        <v>25289708132.780003</v>
      </c>
      <c r="E166" s="85"/>
      <c r="F166" s="23">
        <f>((D166-B166)/B166)</f>
        <v>2.6289488813806003E-3</v>
      </c>
      <c r="G166" s="23"/>
      <c r="H166" s="76">
        <f>SUM(H155:H165)</f>
        <v>25509760696.910004</v>
      </c>
      <c r="I166" s="85"/>
      <c r="J166" s="23">
        <f t="shared" si="189"/>
        <v>8.7012694244886692E-3</v>
      </c>
      <c r="K166" s="23"/>
      <c r="L166" s="76">
        <f>SUM(L155:L165)</f>
        <v>25740009095.389999</v>
      </c>
      <c r="M166" s="85"/>
      <c r="N166" s="23">
        <f t="shared" si="191"/>
        <v>9.0258940966030186E-3</v>
      </c>
      <c r="O166" s="23"/>
      <c r="P166" s="76">
        <f>SUM(P155:P165)</f>
        <v>25701609592.029999</v>
      </c>
      <c r="Q166" s="85"/>
      <c r="R166" s="23">
        <f t="shared" si="193"/>
        <v>-1.4918216702137028E-3</v>
      </c>
      <c r="S166" s="23"/>
      <c r="T166" s="76">
        <f>SUM(T155:T165)</f>
        <v>25776389309.68</v>
      </c>
      <c r="U166" s="85"/>
      <c r="V166" s="23">
        <f t="shared" si="195"/>
        <v>2.9095344158208097E-3</v>
      </c>
      <c r="W166" s="23"/>
      <c r="X166" s="76">
        <f>SUM(X155:X165)</f>
        <v>25810810447.57</v>
      </c>
      <c r="Y166" s="85"/>
      <c r="Z166" s="23">
        <f t="shared" si="197"/>
        <v>1.3353746902430963E-3</v>
      </c>
      <c r="AA166" s="23"/>
      <c r="AB166" s="76">
        <f>SUM(AB155:AB165)</f>
        <v>26082310834.120003</v>
      </c>
      <c r="AC166" s="85"/>
      <c r="AD166" s="23">
        <f t="shared" si="199"/>
        <v>1.051886329185622E-2</v>
      </c>
      <c r="AE166" s="23"/>
      <c r="AF166" s="76">
        <f>SUM(AF155:AF165)</f>
        <v>26010301617.079998</v>
      </c>
      <c r="AG166" s="85"/>
      <c r="AH166" s="23">
        <f t="shared" si="201"/>
        <v>-2.760844984095684E-3</v>
      </c>
      <c r="AI166" s="23"/>
      <c r="AJ166" s="24">
        <f t="shared" si="157"/>
        <v>3.8584022682603787E-3</v>
      </c>
      <c r="AK166" s="24"/>
      <c r="AL166" s="25">
        <f t="shared" si="159"/>
        <v>2.8493546881467442E-2</v>
      </c>
      <c r="AM166" s="25"/>
      <c r="AN166" s="390">
        <f t="shared" si="161"/>
        <v>5.0104887059431299E-3</v>
      </c>
      <c r="AO166" s="391"/>
    </row>
    <row r="167" spans="1:41">
      <c r="A167" s="204" t="s">
        <v>28</v>
      </c>
      <c r="B167" s="303">
        <f>SUM(B21,B53,B86,B111,B118,B145,B151,B166)</f>
        <v>1638109066451.2014</v>
      </c>
      <c r="C167" s="85"/>
      <c r="D167" s="303">
        <f>SUM(D21,D53,D86,D111,D118,D145,D151,D166)</f>
        <v>1642873255320.0361</v>
      </c>
      <c r="E167" s="85"/>
      <c r="F167" s="23">
        <f>((D167-B167)/B167)</f>
        <v>2.9083465603153354E-3</v>
      </c>
      <c r="G167" s="23"/>
      <c r="H167" s="303">
        <f>SUM(H21,H53,H86,H111,H118,H145,H151,H166)</f>
        <v>1634067029203.7332</v>
      </c>
      <c r="I167" s="85"/>
      <c r="J167" s="23">
        <f t="shared" si="189"/>
        <v>-5.3602589778524957E-3</v>
      </c>
      <c r="K167" s="23"/>
      <c r="L167" s="303">
        <f>SUM(L21,L53,L86,L111,L118,L145,L151,L166)</f>
        <v>1627489359351.6582</v>
      </c>
      <c r="M167" s="85"/>
      <c r="N167" s="23">
        <f t="shared" si="191"/>
        <v>-4.0253366199305748E-3</v>
      </c>
      <c r="O167" s="23"/>
      <c r="P167" s="303">
        <f>SUM(P21,P53,P86,P111,P118,P145,P151,P166)</f>
        <v>1637094592546.9585</v>
      </c>
      <c r="Q167" s="85"/>
      <c r="R167" s="23">
        <f t="shared" si="193"/>
        <v>5.9018715791338402E-3</v>
      </c>
      <c r="S167" s="23"/>
      <c r="T167" s="303">
        <f>SUM(T21,T53,T86,T111,T118,T145,T151,T166)</f>
        <v>1644224849788.0632</v>
      </c>
      <c r="U167" s="85"/>
      <c r="V167" s="23">
        <f t="shared" si="195"/>
        <v>4.355433872646068E-3</v>
      </c>
      <c r="W167" s="23"/>
      <c r="X167" s="303">
        <f>SUM(X21,X53,X86,X111,X118,X145,X151,X166)</f>
        <v>1783352855386.8538</v>
      </c>
      <c r="Y167" s="85"/>
      <c r="Z167" s="23">
        <f t="shared" si="197"/>
        <v>8.4616167683345622E-2</v>
      </c>
      <c r="AA167" s="23"/>
      <c r="AB167" s="303">
        <f>SUM(AB21,AB53,AB86,AB111,AB118,AB145,AB151,AB166)</f>
        <v>1875033373373.3662</v>
      </c>
      <c r="AC167" s="85"/>
      <c r="AD167" s="23">
        <f t="shared" si="199"/>
        <v>5.1409073481772996E-2</v>
      </c>
      <c r="AE167" s="23"/>
      <c r="AF167" s="303">
        <f>SUM(AF21,AF53,AF86,AF111,AF118,AF145,AF151,AF166)</f>
        <v>1877975298694.9844</v>
      </c>
      <c r="AG167" s="85"/>
      <c r="AH167" s="23">
        <f t="shared" si="201"/>
        <v>1.5689989113768978E-3</v>
      </c>
      <c r="AI167" s="23"/>
      <c r="AJ167" s="24">
        <f t="shared" si="157"/>
        <v>1.767178706135096E-2</v>
      </c>
      <c r="AK167" s="24"/>
      <c r="AL167" s="25">
        <f t="shared" si="159"/>
        <v>0.14310418811288625</v>
      </c>
      <c r="AM167" s="25"/>
      <c r="AN167" s="390">
        <f t="shared" si="161"/>
        <v>3.2544716593380811E-2</v>
      </c>
      <c r="AO167" s="391"/>
    </row>
    <row r="168" spans="1:41" s="108" customFormat="1" ht="6" customHeight="1">
      <c r="A168" s="204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390"/>
      <c r="AO168" s="391"/>
    </row>
    <row r="169" spans="1:41" s="108" customFormat="1">
      <c r="A169" s="208" t="s">
        <v>201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390"/>
      <c r="AO169" s="391"/>
    </row>
    <row r="170" spans="1:41" s="108" customFormat="1">
      <c r="A170" s="209" t="s">
        <v>118</v>
      </c>
      <c r="B170" s="326">
        <v>91842597312</v>
      </c>
      <c r="C170" s="327">
        <v>107.58</v>
      </c>
      <c r="D170" s="326">
        <v>91842597312</v>
      </c>
      <c r="E170" s="327">
        <v>107.58</v>
      </c>
      <c r="F170" s="23">
        <f>((D170-B170)/B170)</f>
        <v>0</v>
      </c>
      <c r="G170" s="23">
        <f>((E170-C170)/C170)</f>
        <v>0</v>
      </c>
      <c r="H170" s="326">
        <v>91842597312</v>
      </c>
      <c r="I170" s="327">
        <v>107.58</v>
      </c>
      <c r="J170" s="23">
        <f>((H170-D170)/D170)</f>
        <v>0</v>
      </c>
      <c r="K170" s="23">
        <f>((I170-E170)/E170)</f>
        <v>0</v>
      </c>
      <c r="L170" s="326">
        <v>91842597312</v>
      </c>
      <c r="M170" s="327">
        <v>107.58</v>
      </c>
      <c r="N170" s="23">
        <f>((L170-H170)/H170)</f>
        <v>0</v>
      </c>
      <c r="O170" s="23">
        <f>((M170-I170)/I170)</f>
        <v>0</v>
      </c>
      <c r="P170" s="326">
        <v>91842597312</v>
      </c>
      <c r="Q170" s="327">
        <v>107.58</v>
      </c>
      <c r="R170" s="23">
        <f>((P170-L170)/L170)</f>
        <v>0</v>
      </c>
      <c r="S170" s="23">
        <f>((Q170-M170)/M170)</f>
        <v>0</v>
      </c>
      <c r="T170" s="326">
        <v>91842597312</v>
      </c>
      <c r="U170" s="327">
        <v>107.58</v>
      </c>
      <c r="V170" s="23">
        <f>((T170-P170)/P170)</f>
        <v>0</v>
      </c>
      <c r="W170" s="23">
        <f>((U170-Q170)/Q170)</f>
        <v>0</v>
      </c>
      <c r="X170" s="326">
        <v>91842597312</v>
      </c>
      <c r="Y170" s="327">
        <v>107.58</v>
      </c>
      <c r="Z170" s="23">
        <f>((X170-T170)/T170)</f>
        <v>0</v>
      </c>
      <c r="AA170" s="23">
        <f>((Y170-U170)/U170)</f>
        <v>0</v>
      </c>
      <c r="AB170" s="326">
        <v>91842597312</v>
      </c>
      <c r="AC170" s="327">
        <v>107.58</v>
      </c>
      <c r="AD170" s="23">
        <f>((AB170-X170)/X170)</f>
        <v>0</v>
      </c>
      <c r="AE170" s="23">
        <f>((AC170-Y170)/Y170)</f>
        <v>0</v>
      </c>
      <c r="AF170" s="326">
        <v>91842597312</v>
      </c>
      <c r="AG170" s="327">
        <v>107.58</v>
      </c>
      <c r="AH170" s="23">
        <f>((AF170-AB170)/AB170)</f>
        <v>0</v>
      </c>
      <c r="AI170" s="23">
        <f>((AG170-AC170)/AC170)</f>
        <v>0</v>
      </c>
      <c r="AJ170" s="24">
        <f t="shared" si="157"/>
        <v>0</v>
      </c>
      <c r="AK170" s="24">
        <f t="shared" si="158"/>
        <v>0</v>
      </c>
      <c r="AL170" s="25">
        <f t="shared" si="159"/>
        <v>0</v>
      </c>
      <c r="AM170" s="25">
        <f t="shared" si="160"/>
        <v>0</v>
      </c>
      <c r="AN170" s="390">
        <f t="shared" si="161"/>
        <v>0</v>
      </c>
      <c r="AO170" s="391">
        <f t="shared" si="162"/>
        <v>0</v>
      </c>
    </row>
    <row r="171" spans="1:41" s="108" customFormat="1">
      <c r="A171" s="209" t="s">
        <v>244</v>
      </c>
      <c r="B171" s="326">
        <v>2232927296.3499999</v>
      </c>
      <c r="C171" s="328">
        <v>1000000</v>
      </c>
      <c r="D171" s="326">
        <v>2238880070.04</v>
      </c>
      <c r="E171" s="328">
        <v>1000000</v>
      </c>
      <c r="F171" s="23">
        <f>((D171-B171)/B171)</f>
        <v>2.6659057371597426E-3</v>
      </c>
      <c r="G171" s="23">
        <f>((E171-C171)/C171)</f>
        <v>0</v>
      </c>
      <c r="H171" s="326">
        <v>2244832843.7199998</v>
      </c>
      <c r="I171" s="328">
        <v>1000000</v>
      </c>
      <c r="J171" s="23">
        <f>((H171-D171)/D171)</f>
        <v>2.6588175756522216E-3</v>
      </c>
      <c r="K171" s="23">
        <f>((I171-E171)/E171)</f>
        <v>0</v>
      </c>
      <c r="L171" s="326">
        <v>2251636013.6500001</v>
      </c>
      <c r="M171" s="328">
        <v>1000000</v>
      </c>
      <c r="N171" s="23">
        <f>((L171-H171)/H171)</f>
        <v>3.0305908740743954E-3</v>
      </c>
      <c r="O171" s="23">
        <f>((M171-I171)/I171)</f>
        <v>0</v>
      </c>
      <c r="P171" s="326">
        <v>2256738391.0900002</v>
      </c>
      <c r="Q171" s="328">
        <v>1000000</v>
      </c>
      <c r="R171" s="23">
        <f>((P171-L171)/L171)</f>
        <v>2.2660756041687578E-3</v>
      </c>
      <c r="S171" s="23">
        <f>((Q171-M171)/M171)</f>
        <v>0</v>
      </c>
      <c r="T171" s="326">
        <v>2263541561.02</v>
      </c>
      <c r="U171" s="328">
        <v>1000000</v>
      </c>
      <c r="V171" s="23">
        <f>((T171-P171)/P171)</f>
        <v>3.0146028254138535E-3</v>
      </c>
      <c r="W171" s="23">
        <f>((U171-Q171)/Q171)</f>
        <v>0</v>
      </c>
      <c r="X171" s="326">
        <v>2268643938.46</v>
      </c>
      <c r="Y171" s="328">
        <v>1000000</v>
      </c>
      <c r="Z171" s="23">
        <f>((X171-T171)/T171)</f>
        <v>2.2541567284944473E-3</v>
      </c>
      <c r="AA171" s="23">
        <f>((Y171-U171)/U171)</f>
        <v>0</v>
      </c>
      <c r="AB171" s="326">
        <v>2274596712.1500001</v>
      </c>
      <c r="AC171" s="328">
        <v>1000000</v>
      </c>
      <c r="AD171" s="23">
        <f>((AB171-X171)/X171)</f>
        <v>2.6239347607985219E-3</v>
      </c>
      <c r="AE171" s="23">
        <f>((AC171-Y171)/Y171)</f>
        <v>0</v>
      </c>
      <c r="AF171" s="326">
        <v>2280549485.8299999</v>
      </c>
      <c r="AG171" s="328">
        <v>1000000</v>
      </c>
      <c r="AH171" s="23">
        <f>((AF171-AB171)/AB171)</f>
        <v>2.6170677413725496E-3</v>
      </c>
      <c r="AI171" s="23">
        <f>((AG171-AC171)/AC171)</f>
        <v>0</v>
      </c>
      <c r="AJ171" s="24">
        <f t="shared" si="157"/>
        <v>2.6413939808918115E-3</v>
      </c>
      <c r="AK171" s="24">
        <f t="shared" si="158"/>
        <v>0</v>
      </c>
      <c r="AL171" s="25">
        <f t="shared" si="159"/>
        <v>1.8611723042965624E-2</v>
      </c>
      <c r="AM171" s="25">
        <f t="shared" si="160"/>
        <v>0</v>
      </c>
      <c r="AN171" s="390">
        <f t="shared" si="161"/>
        <v>2.8868584877679977E-4</v>
      </c>
      <c r="AO171" s="391">
        <f t="shared" si="162"/>
        <v>0</v>
      </c>
    </row>
    <row r="172" spans="1:41" s="108" customFormat="1">
      <c r="A172" s="204" t="s">
        <v>42</v>
      </c>
      <c r="B172" s="77">
        <f>SUM(B170:B171)</f>
        <v>94075524608.350006</v>
      </c>
      <c r="C172" s="85"/>
      <c r="D172" s="77">
        <f>SUM(D170:D171)</f>
        <v>94081477382.039993</v>
      </c>
      <c r="E172" s="85"/>
      <c r="F172" s="23"/>
      <c r="G172" s="23"/>
      <c r="H172" s="77">
        <f>SUM(H170:H171)</f>
        <v>94087430155.720001</v>
      </c>
      <c r="I172" s="85"/>
      <c r="J172" s="23"/>
      <c r="K172" s="23"/>
      <c r="L172" s="77">
        <f>SUM(L170:L171)</f>
        <v>94094233325.649994</v>
      </c>
      <c r="M172" s="85"/>
      <c r="N172" s="23"/>
      <c r="O172" s="23"/>
      <c r="P172" s="70">
        <f>SUM(P170:P171)</f>
        <v>94099335703.089996</v>
      </c>
      <c r="Q172" s="85"/>
      <c r="R172" s="23"/>
      <c r="S172" s="23"/>
      <c r="T172" s="70">
        <f>SUM(T170:T171)</f>
        <v>94106138873.020004</v>
      </c>
      <c r="U172" s="85"/>
      <c r="V172" s="23"/>
      <c r="W172" s="23"/>
      <c r="X172" s="70">
        <f>SUM(X170:X171)</f>
        <v>94111241250.460007</v>
      </c>
      <c r="Y172" s="85"/>
      <c r="Z172" s="23"/>
      <c r="AA172" s="23"/>
      <c r="AB172" s="77">
        <f>SUM(AB170:AB171)</f>
        <v>94117194024.149994</v>
      </c>
      <c r="AC172" s="85"/>
      <c r="AD172" s="23"/>
      <c r="AE172" s="23"/>
      <c r="AF172" s="77">
        <f>SUM(AF170:AF171)</f>
        <v>94123146797.830002</v>
      </c>
      <c r="AG172" s="85"/>
      <c r="AH172" s="23"/>
      <c r="AI172" s="23"/>
      <c r="AJ172" s="24"/>
      <c r="AK172" s="24"/>
      <c r="AL172" s="25"/>
      <c r="AM172" s="25"/>
      <c r="AN172" s="390"/>
      <c r="AO172" s="391"/>
    </row>
    <row r="173" spans="1:41" ht="6" customHeight="1">
      <c r="A173" s="203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199" t="s">
        <v>46</v>
      </c>
      <c r="B174" s="458" t="s">
        <v>268</v>
      </c>
      <c r="C174" s="458"/>
      <c r="D174" s="458" t="s">
        <v>269</v>
      </c>
      <c r="E174" s="458"/>
      <c r="F174" s="379" t="s">
        <v>58</v>
      </c>
      <c r="G174" s="379" t="s">
        <v>3</v>
      </c>
      <c r="H174" s="458" t="s">
        <v>270</v>
      </c>
      <c r="I174" s="458"/>
      <c r="J174" s="381" t="s">
        <v>58</v>
      </c>
      <c r="K174" s="381" t="s">
        <v>3</v>
      </c>
      <c r="L174" s="458" t="s">
        <v>271</v>
      </c>
      <c r="M174" s="458"/>
      <c r="N174" s="382" t="s">
        <v>58</v>
      </c>
      <c r="O174" s="382" t="s">
        <v>3</v>
      </c>
      <c r="P174" s="458" t="s">
        <v>272</v>
      </c>
      <c r="Q174" s="458"/>
      <c r="R174" s="383" t="s">
        <v>58</v>
      </c>
      <c r="S174" s="383" t="s">
        <v>3</v>
      </c>
      <c r="T174" s="458" t="s">
        <v>273</v>
      </c>
      <c r="U174" s="458"/>
      <c r="V174" s="384" t="s">
        <v>58</v>
      </c>
      <c r="W174" s="384" t="s">
        <v>3</v>
      </c>
      <c r="X174" s="458" t="s">
        <v>279</v>
      </c>
      <c r="Y174" s="458"/>
      <c r="Z174" s="386" t="s">
        <v>58</v>
      </c>
      <c r="AA174" s="386" t="s">
        <v>3</v>
      </c>
      <c r="AB174" s="458" t="s">
        <v>281</v>
      </c>
      <c r="AC174" s="458"/>
      <c r="AD174" s="389" t="s">
        <v>58</v>
      </c>
      <c r="AE174" s="389" t="s">
        <v>3</v>
      </c>
      <c r="AF174" s="458" t="s">
        <v>284</v>
      </c>
      <c r="AG174" s="458"/>
      <c r="AH174" s="405" t="s">
        <v>58</v>
      </c>
      <c r="AI174" s="405" t="s">
        <v>3</v>
      </c>
      <c r="AJ174" s="305" t="s">
        <v>77</v>
      </c>
      <c r="AK174" s="305" t="s">
        <v>77</v>
      </c>
      <c r="AL174" s="305" t="s">
        <v>77</v>
      </c>
      <c r="AM174" s="305" t="s">
        <v>77</v>
      </c>
      <c r="AN174" s="15" t="s">
        <v>77</v>
      </c>
      <c r="AO174" s="16" t="s">
        <v>77</v>
      </c>
    </row>
    <row r="175" spans="1:41">
      <c r="A175" s="203" t="s">
        <v>141</v>
      </c>
      <c r="B175" s="324">
        <v>519525167.3496632</v>
      </c>
      <c r="C175" s="328">
        <v>122.58</v>
      </c>
      <c r="D175" s="324">
        <v>532510880.30853528</v>
      </c>
      <c r="E175" s="328">
        <v>122.6</v>
      </c>
      <c r="F175" s="23">
        <f t="shared" ref="F175:F186" si="203">((D175-B175)/B175)</f>
        <v>2.4995349166852057E-2</v>
      </c>
      <c r="G175" s="23">
        <f t="shared" ref="G175:G186" si="204">((E175-C175)/C175)</f>
        <v>1.6315875346709105E-4</v>
      </c>
      <c r="H175" s="324">
        <v>544522719.61999989</v>
      </c>
      <c r="I175" s="328">
        <v>125.36</v>
      </c>
      <c r="J175" s="23">
        <f t="shared" ref="J175:J186" si="205">((H175-D175)/D175)</f>
        <v>2.2556983820696739E-2</v>
      </c>
      <c r="K175" s="23">
        <f t="shared" ref="K175:K186" si="206">((I175-E175)/E175)</f>
        <v>2.2512234910277366E-2</v>
      </c>
      <c r="L175" s="324">
        <v>553691893.61000001</v>
      </c>
      <c r="M175" s="328">
        <v>127.48</v>
      </c>
      <c r="N175" s="23">
        <f t="shared" ref="N175:N186" si="207">((L175-H175)/H175)</f>
        <v>1.6838919037940089E-2</v>
      </c>
      <c r="O175" s="23">
        <f t="shared" ref="O175:O186" si="208">((M175-I175)/I175)</f>
        <v>1.6911295469049174E-2</v>
      </c>
      <c r="P175" s="324">
        <v>568549482.71652043</v>
      </c>
      <c r="Q175" s="328">
        <v>133.87</v>
      </c>
      <c r="R175" s="23">
        <f t="shared" ref="R175:R186" si="209">((P175-L175)/L175)</f>
        <v>2.6833676414604594E-2</v>
      </c>
      <c r="S175" s="23">
        <f t="shared" ref="S175:S186" si="210">((Q175-M175)/M175)</f>
        <v>5.0125509883903359E-2</v>
      </c>
      <c r="T175" s="324">
        <v>569226791.08032751</v>
      </c>
      <c r="U175" s="328">
        <v>133.87</v>
      </c>
      <c r="V175" s="23">
        <f t="shared" ref="V175:V186" si="211">((T175-P175)/P175)</f>
        <v>1.19129184775776E-3</v>
      </c>
      <c r="W175" s="23">
        <f t="shared" ref="W175:W186" si="212">((U175-Q175)/Q175)</f>
        <v>0</v>
      </c>
      <c r="X175" s="324">
        <v>600047009.96603644</v>
      </c>
      <c r="Y175" s="328">
        <v>141.12</v>
      </c>
      <c r="Z175" s="23">
        <f t="shared" ref="Z175:Z186" si="213">((X175-T175)/T175)</f>
        <v>5.4144006165303057E-2</v>
      </c>
      <c r="AA175" s="23">
        <f t="shared" ref="AA175:AA186" si="214">((Y175-U175)/U175)</f>
        <v>5.4157018002539775E-2</v>
      </c>
      <c r="AB175" s="324">
        <v>601039980.77340233</v>
      </c>
      <c r="AC175" s="328">
        <v>141.34869580983082</v>
      </c>
      <c r="AD175" s="23">
        <f t="shared" ref="AD175:AD186" si="215">((AB175-X175)/X175)</f>
        <v>1.6548216904240518E-3</v>
      </c>
      <c r="AE175" s="23">
        <f t="shared" ref="AE175:AE186" si="216">((AC175-Y175)/Y175)</f>
        <v>1.6205768837217298E-3</v>
      </c>
      <c r="AF175" s="324">
        <v>617211849.94737208</v>
      </c>
      <c r="AG175" s="328">
        <v>145.07259860020719</v>
      </c>
      <c r="AH175" s="23">
        <f t="shared" ref="AH175:AH186" si="217">((AF175-AB175)/AB175)</f>
        <v>2.690647825650502E-2</v>
      </c>
      <c r="AI175" s="23">
        <f t="shared" ref="AI175:AI186" si="218">((AG175-AC175)/AC175)</f>
        <v>2.6345505128582684E-2</v>
      </c>
      <c r="AJ175" s="24">
        <f t="shared" ref="AJ175" si="219">AVERAGE(F175,J175,N175,R175,V175,Z175,AD175,AH175)</f>
        <v>2.1890190800010423E-2</v>
      </c>
      <c r="AK175" s="24">
        <f t="shared" ref="AK175" si="220">AVERAGE(G175,K175,O175,S175,W175,AA175,AE175,AI175)</f>
        <v>2.1479412378942648E-2</v>
      </c>
      <c r="AL175" s="25">
        <f t="shared" ref="AL175" si="221">((AF175-D175)/D175)</f>
        <v>0.15905960379581596</v>
      </c>
      <c r="AM175" s="25">
        <f t="shared" ref="AM175" si="222">((AG175-E175)/E175)</f>
        <v>0.18330015171457742</v>
      </c>
      <c r="AN175" s="390">
        <f t="shared" ref="AN175" si="223">STDEV(F175,J175,N175,R175,V175,Z175,AD175,AH175)</f>
        <v>1.6747820089078248E-2</v>
      </c>
      <c r="AO175" s="391">
        <f t="shared" ref="AO175" si="224">STDEV(G175,K175,O175,S175,W175,AA175,AE175,AI175)</f>
        <v>2.1527919601841201E-2</v>
      </c>
    </row>
    <row r="176" spans="1:41">
      <c r="A176" s="203" t="s">
        <v>47</v>
      </c>
      <c r="B176" s="324">
        <v>557626122.53999996</v>
      </c>
      <c r="C176" s="328">
        <v>16.7</v>
      </c>
      <c r="D176" s="324">
        <v>567033998.29999995</v>
      </c>
      <c r="E176" s="328">
        <v>16.98</v>
      </c>
      <c r="F176" s="23">
        <f t="shared" si="203"/>
        <v>1.6871296698129739E-2</v>
      </c>
      <c r="G176" s="23">
        <f t="shared" si="204"/>
        <v>1.6766467065868332E-2</v>
      </c>
      <c r="H176" s="324">
        <v>563554352.36000001</v>
      </c>
      <c r="I176" s="328">
        <v>16.87</v>
      </c>
      <c r="J176" s="23">
        <f t="shared" si="205"/>
        <v>-6.136573733554097E-3</v>
      </c>
      <c r="K176" s="23">
        <f t="shared" si="206"/>
        <v>-6.4782096584216388E-3</v>
      </c>
      <c r="L176" s="324">
        <v>573026863.05999994</v>
      </c>
      <c r="M176" s="328">
        <v>17.16</v>
      </c>
      <c r="N176" s="23">
        <f t="shared" si="207"/>
        <v>1.6808513074793651E-2</v>
      </c>
      <c r="O176" s="23">
        <f t="shared" si="208"/>
        <v>1.7190278601066932E-2</v>
      </c>
      <c r="P176" s="324">
        <v>618155263.48000002</v>
      </c>
      <c r="Q176" s="328">
        <v>18.510000000000002</v>
      </c>
      <c r="R176" s="23">
        <f t="shared" si="209"/>
        <v>7.8754423796140283E-2</v>
      </c>
      <c r="S176" s="23">
        <f t="shared" si="210"/>
        <v>7.8671328671328755E-2</v>
      </c>
      <c r="T176" s="324">
        <v>632300744.70000005</v>
      </c>
      <c r="U176" s="328">
        <v>18.93</v>
      </c>
      <c r="V176" s="23">
        <f t="shared" si="211"/>
        <v>2.2883379072703949E-2</v>
      </c>
      <c r="W176" s="23">
        <f t="shared" si="212"/>
        <v>2.2690437601296496E-2</v>
      </c>
      <c r="X176" s="324">
        <v>671920271.25</v>
      </c>
      <c r="Y176" s="328">
        <v>20.12</v>
      </c>
      <c r="Z176" s="23">
        <f t="shared" si="213"/>
        <v>6.265930711310129E-2</v>
      </c>
      <c r="AA176" s="23">
        <f t="shared" si="214"/>
        <v>6.2863180137348193E-2</v>
      </c>
      <c r="AB176" s="324">
        <v>663747720.25</v>
      </c>
      <c r="AC176" s="328">
        <v>19.87</v>
      </c>
      <c r="AD176" s="23">
        <f t="shared" si="215"/>
        <v>-1.2162977290142294E-2</v>
      </c>
      <c r="AE176" s="23">
        <f t="shared" si="216"/>
        <v>-1.2425447316103379E-2</v>
      </c>
      <c r="AF176" s="324">
        <v>676825315.63999999</v>
      </c>
      <c r="AG176" s="328">
        <v>20.260000000000002</v>
      </c>
      <c r="AH176" s="23">
        <f t="shared" si="217"/>
        <v>1.9702659596441734E-2</v>
      </c>
      <c r="AI176" s="23">
        <f t="shared" si="218"/>
        <v>1.9627579265223984E-2</v>
      </c>
      <c r="AJ176" s="24">
        <f t="shared" ref="AJ176:AJ188" si="225">AVERAGE(F176,J176,N176,R176,V176,Z176,AD176,AH176)</f>
        <v>2.4922503540951785E-2</v>
      </c>
      <c r="AK176" s="24">
        <f t="shared" ref="AK176:AK188" si="226">AVERAGE(G176,K176,O176,S176,W176,AA176,AE176,AI176)</f>
        <v>2.4863201795950959E-2</v>
      </c>
      <c r="AL176" s="25">
        <f t="shared" ref="AL176:AL188" si="227">((AF176-D176)/D176)</f>
        <v>0.19362387029553893</v>
      </c>
      <c r="AM176" s="25">
        <f t="shared" ref="AM176:AM188" si="228">((AG176-E176)/E176)</f>
        <v>0.19316843345111903</v>
      </c>
      <c r="AN176" s="390">
        <f t="shared" ref="AN176:AN188" si="229">STDEV(F176,J176,N176,R176,V176,Z176,AD176,AH176)</f>
        <v>3.122271317059791E-2</v>
      </c>
      <c r="AO176" s="391">
        <f t="shared" ref="AO176:AO188" si="230">STDEV(G176,K176,O176,S176,W176,AA176,AE176,AI176)</f>
        <v>3.1324576858415248E-2</v>
      </c>
    </row>
    <row r="177" spans="1:41">
      <c r="A177" s="203" t="s">
        <v>184</v>
      </c>
      <c r="B177" s="324">
        <v>180605396.69</v>
      </c>
      <c r="C177" s="328">
        <v>17.5</v>
      </c>
      <c r="D177" s="324">
        <v>186707605.55000001</v>
      </c>
      <c r="E177" s="328">
        <v>17.5</v>
      </c>
      <c r="F177" s="23">
        <f t="shared" si="203"/>
        <v>3.37875222547981E-2</v>
      </c>
      <c r="G177" s="23">
        <f t="shared" si="204"/>
        <v>0</v>
      </c>
      <c r="H177" s="324">
        <v>195954258.77000001</v>
      </c>
      <c r="I177" s="328">
        <v>17.5</v>
      </c>
      <c r="J177" s="23">
        <f t="shared" si="205"/>
        <v>4.9524780700611358E-2</v>
      </c>
      <c r="K177" s="23">
        <f t="shared" si="206"/>
        <v>0</v>
      </c>
      <c r="L177" s="324">
        <v>205914916.94999999</v>
      </c>
      <c r="M177" s="328">
        <v>17.5</v>
      </c>
      <c r="N177" s="23">
        <f t="shared" si="207"/>
        <v>5.083154733417268E-2</v>
      </c>
      <c r="O177" s="23">
        <f t="shared" si="208"/>
        <v>0</v>
      </c>
      <c r="P177" s="324">
        <v>216279832.46000001</v>
      </c>
      <c r="Q177" s="328">
        <v>17.5</v>
      </c>
      <c r="R177" s="23">
        <f t="shared" si="209"/>
        <v>5.0335913801314434E-2</v>
      </c>
      <c r="S177" s="23">
        <f t="shared" si="210"/>
        <v>0</v>
      </c>
      <c r="T177" s="324">
        <v>220748538.19999999</v>
      </c>
      <c r="U177" s="328">
        <v>17.5</v>
      </c>
      <c r="V177" s="23">
        <f t="shared" si="211"/>
        <v>2.0661684860637419E-2</v>
      </c>
      <c r="W177" s="23">
        <f t="shared" si="212"/>
        <v>0</v>
      </c>
      <c r="X177" s="324">
        <v>237232187.46000001</v>
      </c>
      <c r="Y177" s="328">
        <v>17.5</v>
      </c>
      <c r="Z177" s="23">
        <f t="shared" si="213"/>
        <v>7.4671612298812598E-2</v>
      </c>
      <c r="AA177" s="23">
        <f t="shared" si="214"/>
        <v>0</v>
      </c>
      <c r="AB177" s="324">
        <v>240319338.08000001</v>
      </c>
      <c r="AC177" s="328">
        <v>17.5</v>
      </c>
      <c r="AD177" s="23">
        <f t="shared" si="215"/>
        <v>1.3013203027184212E-2</v>
      </c>
      <c r="AE177" s="23">
        <f t="shared" si="216"/>
        <v>0</v>
      </c>
      <c r="AF177" s="324">
        <v>246391525.16</v>
      </c>
      <c r="AG177" s="328">
        <v>17.5</v>
      </c>
      <c r="AH177" s="23">
        <f t="shared" si="217"/>
        <v>2.5267159640638699E-2</v>
      </c>
      <c r="AI177" s="23">
        <f t="shared" si="218"/>
        <v>0</v>
      </c>
      <c r="AJ177" s="24">
        <f t="shared" si="225"/>
        <v>3.9761677989771191E-2</v>
      </c>
      <c r="AK177" s="24">
        <f t="shared" si="226"/>
        <v>0</v>
      </c>
      <c r="AL177" s="25">
        <f t="shared" si="227"/>
        <v>0.31966517611419276</v>
      </c>
      <c r="AM177" s="25">
        <f t="shared" si="228"/>
        <v>0</v>
      </c>
      <c r="AN177" s="390">
        <f t="shared" si="229"/>
        <v>2.0264149933108076E-2</v>
      </c>
      <c r="AO177" s="391">
        <f t="shared" si="230"/>
        <v>0</v>
      </c>
    </row>
    <row r="178" spans="1:41">
      <c r="A178" s="203" t="s">
        <v>183</v>
      </c>
      <c r="B178" s="324">
        <v>264482468.94999999</v>
      </c>
      <c r="C178" s="328">
        <v>16.5</v>
      </c>
      <c r="D178" s="324">
        <v>262104061.47</v>
      </c>
      <c r="E178" s="328">
        <v>16.5</v>
      </c>
      <c r="F178" s="23">
        <f t="shared" si="203"/>
        <v>-8.9926848060754589E-3</v>
      </c>
      <c r="G178" s="23">
        <f t="shared" si="204"/>
        <v>0</v>
      </c>
      <c r="H178" s="324">
        <v>266393963.72</v>
      </c>
      <c r="I178" s="328">
        <v>16.5</v>
      </c>
      <c r="J178" s="23">
        <f t="shared" si="205"/>
        <v>1.6367171977192025E-2</v>
      </c>
      <c r="K178" s="23">
        <f t="shared" si="206"/>
        <v>0</v>
      </c>
      <c r="L178" s="324">
        <v>276483931.94999999</v>
      </c>
      <c r="M178" s="328">
        <v>16.5</v>
      </c>
      <c r="N178" s="23">
        <f t="shared" si="207"/>
        <v>3.7876114342460479E-2</v>
      </c>
      <c r="O178" s="23">
        <f t="shared" si="208"/>
        <v>0</v>
      </c>
      <c r="P178" s="324">
        <v>288939103.25999999</v>
      </c>
      <c r="Q178" s="328">
        <v>16.5</v>
      </c>
      <c r="R178" s="23">
        <f t="shared" si="209"/>
        <v>4.5048445391222318E-2</v>
      </c>
      <c r="S178" s="23">
        <f t="shared" si="210"/>
        <v>0</v>
      </c>
      <c r="T178" s="324">
        <v>299628645.58999997</v>
      </c>
      <c r="U178" s="328">
        <v>16.5</v>
      </c>
      <c r="V178" s="23">
        <f t="shared" si="211"/>
        <v>3.6995831333985513E-2</v>
      </c>
      <c r="W178" s="23">
        <f t="shared" si="212"/>
        <v>0</v>
      </c>
      <c r="X178" s="324">
        <v>319540355.49000001</v>
      </c>
      <c r="Y178" s="328">
        <v>16.5</v>
      </c>
      <c r="Z178" s="23">
        <f t="shared" si="213"/>
        <v>6.6454627062748989E-2</v>
      </c>
      <c r="AA178" s="23">
        <f t="shared" si="214"/>
        <v>0</v>
      </c>
      <c r="AB178" s="324">
        <v>327220966.83999997</v>
      </c>
      <c r="AC178" s="328">
        <v>16.5</v>
      </c>
      <c r="AD178" s="23">
        <f t="shared" si="215"/>
        <v>2.4036436143478997E-2</v>
      </c>
      <c r="AE178" s="23">
        <f t="shared" si="216"/>
        <v>0</v>
      </c>
      <c r="AF178" s="324">
        <v>347333512.25</v>
      </c>
      <c r="AG178" s="328">
        <v>16.5</v>
      </c>
      <c r="AH178" s="23">
        <f t="shared" si="217"/>
        <v>6.1464720932245101E-2</v>
      </c>
      <c r="AI178" s="23">
        <f t="shared" si="218"/>
        <v>0</v>
      </c>
      <c r="AJ178" s="24">
        <f t="shared" si="225"/>
        <v>3.4906332797157248E-2</v>
      </c>
      <c r="AK178" s="24">
        <f t="shared" si="226"/>
        <v>0</v>
      </c>
      <c r="AL178" s="25">
        <f t="shared" si="227"/>
        <v>0.32517409422041799</v>
      </c>
      <c r="AM178" s="25">
        <f t="shared" si="228"/>
        <v>0</v>
      </c>
      <c r="AN178" s="390">
        <f t="shared" si="229"/>
        <v>2.4511425293798871E-2</v>
      </c>
      <c r="AO178" s="391">
        <f t="shared" si="230"/>
        <v>0</v>
      </c>
    </row>
    <row r="179" spans="1:41">
      <c r="A179" s="203" t="s">
        <v>32</v>
      </c>
      <c r="B179" s="324">
        <v>614077000</v>
      </c>
      <c r="C179" s="328">
        <v>11500</v>
      </c>
      <c r="D179" s="324">
        <v>1067959466.02</v>
      </c>
      <c r="E179" s="328">
        <v>19999.990000000002</v>
      </c>
      <c r="F179" s="23">
        <f t="shared" si="203"/>
        <v>0.73912956521739126</v>
      </c>
      <c r="G179" s="23">
        <f t="shared" si="204"/>
        <v>0.73912956521739148</v>
      </c>
      <c r="H179" s="324">
        <v>656838118.39999998</v>
      </c>
      <c r="I179" s="328">
        <v>12300.8</v>
      </c>
      <c r="J179" s="23">
        <f t="shared" si="205"/>
        <v>-0.38495969247984624</v>
      </c>
      <c r="K179" s="23">
        <f t="shared" si="206"/>
        <v>-0.38495969247984635</v>
      </c>
      <c r="L179" s="324">
        <v>670144900</v>
      </c>
      <c r="M179" s="328">
        <v>12550</v>
      </c>
      <c r="N179" s="23">
        <f t="shared" si="207"/>
        <v>2.0258844953173816E-2</v>
      </c>
      <c r="O179" s="23">
        <f t="shared" si="208"/>
        <v>2.0258844953173837E-2</v>
      </c>
      <c r="P179" s="324">
        <v>911877646</v>
      </c>
      <c r="Q179" s="328">
        <v>17077</v>
      </c>
      <c r="R179" s="23">
        <f t="shared" si="209"/>
        <v>0.36071713147410356</v>
      </c>
      <c r="S179" s="23">
        <f t="shared" si="210"/>
        <v>0.36071713147410356</v>
      </c>
      <c r="T179" s="324">
        <v>906696972.03999996</v>
      </c>
      <c r="U179" s="328">
        <v>16979.98</v>
      </c>
      <c r="V179" s="23">
        <f t="shared" si="211"/>
        <v>-5.6813257597939162E-3</v>
      </c>
      <c r="W179" s="23">
        <f t="shared" si="212"/>
        <v>-5.6813257597939006E-3</v>
      </c>
      <c r="X179" s="324">
        <v>750326200</v>
      </c>
      <c r="Y179" s="328">
        <v>16900</v>
      </c>
      <c r="Z179" s="23">
        <f t="shared" si="213"/>
        <v>-0.17246199872949558</v>
      </c>
      <c r="AA179" s="23">
        <f t="shared" si="214"/>
        <v>-4.7102528978243538E-3</v>
      </c>
      <c r="AB179" s="324">
        <v>679289400</v>
      </c>
      <c r="AC179" s="328">
        <v>15300</v>
      </c>
      <c r="AD179" s="23">
        <f t="shared" si="215"/>
        <v>-9.4674556213017749E-2</v>
      </c>
      <c r="AE179" s="23">
        <f t="shared" si="216"/>
        <v>-9.4674556213017749E-2</v>
      </c>
      <c r="AF179" s="324">
        <v>750326200</v>
      </c>
      <c r="AG179" s="328">
        <v>16900</v>
      </c>
      <c r="AH179" s="23">
        <f t="shared" si="217"/>
        <v>0.10457516339869281</v>
      </c>
      <c r="AI179" s="23">
        <f t="shared" si="218"/>
        <v>0.10457516339869281</v>
      </c>
      <c r="AJ179" s="24">
        <f t="shared" si="225"/>
        <v>7.0862891482650986E-2</v>
      </c>
      <c r="AK179" s="24">
        <f t="shared" si="226"/>
        <v>9.1831859711609912E-2</v>
      </c>
      <c r="AL179" s="25">
        <f t="shared" si="227"/>
        <v>-0.29742071316969965</v>
      </c>
      <c r="AM179" s="25">
        <f t="shared" si="228"/>
        <v>-0.15499957749978882</v>
      </c>
      <c r="AN179" s="390">
        <f t="shared" si="229"/>
        <v>0.34528166731737625</v>
      </c>
      <c r="AO179" s="391">
        <f t="shared" si="230"/>
        <v>0.33327867477626705</v>
      </c>
    </row>
    <row r="180" spans="1:41">
      <c r="A180" s="203" t="s">
        <v>94</v>
      </c>
      <c r="B180" s="324">
        <v>643963752.39999998</v>
      </c>
      <c r="C180" s="328">
        <v>73</v>
      </c>
      <c r="D180" s="324">
        <v>645296184.25</v>
      </c>
      <c r="E180" s="328">
        <v>73</v>
      </c>
      <c r="F180" s="23">
        <f t="shared" si="203"/>
        <v>2.0691100159506803E-3</v>
      </c>
      <c r="G180" s="23">
        <f t="shared" si="204"/>
        <v>0</v>
      </c>
      <c r="H180" s="324">
        <v>666980870.99000001</v>
      </c>
      <c r="I180" s="328">
        <v>73</v>
      </c>
      <c r="J180" s="23">
        <f t="shared" si="205"/>
        <v>3.3604238285095685E-2</v>
      </c>
      <c r="K180" s="23">
        <f t="shared" si="206"/>
        <v>0</v>
      </c>
      <c r="L180" s="324">
        <v>708650284.42999995</v>
      </c>
      <c r="M180" s="328">
        <v>73</v>
      </c>
      <c r="N180" s="23">
        <f t="shared" si="207"/>
        <v>6.2474675440316617E-2</v>
      </c>
      <c r="O180" s="23">
        <f t="shared" si="208"/>
        <v>0</v>
      </c>
      <c r="P180" s="324">
        <v>742279138.32000005</v>
      </c>
      <c r="Q180" s="328">
        <v>80</v>
      </c>
      <c r="R180" s="23">
        <f t="shared" si="209"/>
        <v>4.7454794881017143E-2</v>
      </c>
      <c r="S180" s="23">
        <f t="shared" si="210"/>
        <v>9.5890410958904104E-2</v>
      </c>
      <c r="T180" s="324">
        <v>744520289.48000002</v>
      </c>
      <c r="U180" s="328">
        <v>80</v>
      </c>
      <c r="V180" s="23">
        <f t="shared" si="211"/>
        <v>3.019283507108071E-3</v>
      </c>
      <c r="W180" s="23">
        <f t="shared" si="212"/>
        <v>0</v>
      </c>
      <c r="X180" s="324">
        <v>806990931.40999997</v>
      </c>
      <c r="Y180" s="328">
        <v>80</v>
      </c>
      <c r="Z180" s="23">
        <f t="shared" si="213"/>
        <v>8.3907239080927815E-2</v>
      </c>
      <c r="AA180" s="23">
        <f t="shared" si="214"/>
        <v>0</v>
      </c>
      <c r="AB180" s="324">
        <v>812581911.92999995</v>
      </c>
      <c r="AC180" s="328">
        <v>83</v>
      </c>
      <c r="AD180" s="23">
        <f t="shared" si="215"/>
        <v>6.9281825884105587E-3</v>
      </c>
      <c r="AE180" s="23">
        <f t="shared" si="216"/>
        <v>3.7499999999999999E-2</v>
      </c>
      <c r="AF180" s="324">
        <v>848051631.63</v>
      </c>
      <c r="AG180" s="328">
        <v>80</v>
      </c>
      <c r="AH180" s="23">
        <f t="shared" si="217"/>
        <v>4.3650639005431854E-2</v>
      </c>
      <c r="AI180" s="23">
        <f t="shared" si="218"/>
        <v>-3.614457831325301E-2</v>
      </c>
      <c r="AJ180" s="24">
        <f t="shared" si="225"/>
        <v>3.5388520350532297E-2</v>
      </c>
      <c r="AK180" s="24">
        <f t="shared" si="226"/>
        <v>1.2155729080706387E-2</v>
      </c>
      <c r="AL180" s="25">
        <f t="shared" si="227"/>
        <v>0.31420524765019947</v>
      </c>
      <c r="AM180" s="25">
        <f t="shared" si="228"/>
        <v>9.5890410958904104E-2</v>
      </c>
      <c r="AN180" s="390">
        <f t="shared" si="229"/>
        <v>2.9934949801653874E-2</v>
      </c>
      <c r="AO180" s="391">
        <f t="shared" si="230"/>
        <v>3.914361370908441E-2</v>
      </c>
    </row>
    <row r="181" spans="1:41">
      <c r="A181" s="203" t="s">
        <v>40</v>
      </c>
      <c r="B181" s="324">
        <v>476720425.44</v>
      </c>
      <c r="C181" s="328">
        <v>248.95</v>
      </c>
      <c r="D181" s="324">
        <v>476224471</v>
      </c>
      <c r="E181" s="328">
        <v>240</v>
      </c>
      <c r="F181" s="23">
        <f t="shared" si="203"/>
        <v>-1.0403465291889795E-3</v>
      </c>
      <c r="G181" s="23">
        <f t="shared" si="204"/>
        <v>-3.595099417553721E-2</v>
      </c>
      <c r="H181" s="324">
        <v>476751713.42000002</v>
      </c>
      <c r="I181" s="328">
        <v>247.5</v>
      </c>
      <c r="J181" s="23">
        <f t="shared" si="205"/>
        <v>1.1071300449825407E-3</v>
      </c>
      <c r="K181" s="23">
        <f t="shared" si="206"/>
        <v>3.125E-2</v>
      </c>
      <c r="L181" s="324">
        <v>485296816.36000001</v>
      </c>
      <c r="M181" s="328">
        <v>267.54000000000002</v>
      </c>
      <c r="N181" s="23">
        <f t="shared" si="207"/>
        <v>1.7923591461688339E-2</v>
      </c>
      <c r="O181" s="23">
        <f t="shared" si="208"/>
        <v>8.0969696969697053E-2</v>
      </c>
      <c r="P181" s="324">
        <v>511020395.62</v>
      </c>
      <c r="Q181" s="328">
        <v>267</v>
      </c>
      <c r="R181" s="23">
        <f t="shared" si="209"/>
        <v>5.300586855883653E-2</v>
      </c>
      <c r="S181" s="23">
        <f t="shared" si="210"/>
        <v>-2.0183897734918905E-3</v>
      </c>
      <c r="T181" s="324">
        <v>511325499.58999997</v>
      </c>
      <c r="U181" s="328">
        <v>260</v>
      </c>
      <c r="V181" s="23">
        <f t="shared" si="211"/>
        <v>5.9704851824905921E-4</v>
      </c>
      <c r="W181" s="23">
        <f t="shared" si="212"/>
        <v>-2.6217228464419477E-2</v>
      </c>
      <c r="X181" s="324">
        <v>539342500.90999997</v>
      </c>
      <c r="Y181" s="328">
        <v>252</v>
      </c>
      <c r="Z181" s="23">
        <f t="shared" si="213"/>
        <v>5.4792888957161494E-2</v>
      </c>
      <c r="AA181" s="23">
        <f t="shared" si="214"/>
        <v>-3.0769230769230771E-2</v>
      </c>
      <c r="AB181" s="324">
        <v>534563252.25999999</v>
      </c>
      <c r="AC181" s="328">
        <v>245</v>
      </c>
      <c r="AD181" s="23">
        <f t="shared" si="215"/>
        <v>-8.8612498401966083E-3</v>
      </c>
      <c r="AE181" s="23">
        <f t="shared" si="216"/>
        <v>-2.7777777777777776E-2</v>
      </c>
      <c r="AF181" s="324">
        <v>549661896.79999995</v>
      </c>
      <c r="AG181" s="328">
        <v>242.55</v>
      </c>
      <c r="AH181" s="23">
        <f t="shared" si="217"/>
        <v>2.8244823182601238E-2</v>
      </c>
      <c r="AI181" s="23">
        <f t="shared" si="218"/>
        <v>-9.9999999999999534E-3</v>
      </c>
      <c r="AJ181" s="24">
        <f t="shared" si="225"/>
        <v>1.8221219294266702E-2</v>
      </c>
      <c r="AK181" s="24">
        <f t="shared" si="226"/>
        <v>-2.5642404988450032E-3</v>
      </c>
      <c r="AL181" s="25">
        <f t="shared" si="227"/>
        <v>0.15420758543926222</v>
      </c>
      <c r="AM181" s="25">
        <f t="shared" si="228"/>
        <v>1.0625000000000048E-2</v>
      </c>
      <c r="AN181" s="390">
        <f t="shared" si="229"/>
        <v>2.4945631058630489E-2</v>
      </c>
      <c r="AO181" s="391">
        <f t="shared" si="230"/>
        <v>4.0146683088255662E-2</v>
      </c>
    </row>
    <row r="182" spans="1:41">
      <c r="A182" s="203" t="s">
        <v>50</v>
      </c>
      <c r="B182" s="324">
        <v>164394642.63</v>
      </c>
      <c r="C182" s="328">
        <v>7.41</v>
      </c>
      <c r="D182" s="324">
        <v>165091749.72999999</v>
      </c>
      <c r="E182" s="328">
        <v>7.48</v>
      </c>
      <c r="F182" s="23">
        <f t="shared" si="203"/>
        <v>4.2404490124958649E-3</v>
      </c>
      <c r="G182" s="23">
        <f t="shared" si="204"/>
        <v>9.4466936572200118E-3</v>
      </c>
      <c r="H182" s="324">
        <v>168578605.78</v>
      </c>
      <c r="I182" s="328">
        <v>7.62</v>
      </c>
      <c r="J182" s="23">
        <f t="shared" si="205"/>
        <v>2.112071654520959E-2</v>
      </c>
      <c r="K182" s="23">
        <f t="shared" si="206"/>
        <v>1.8716577540106909E-2</v>
      </c>
      <c r="L182" s="324">
        <v>173904662.09999999</v>
      </c>
      <c r="M182" s="328">
        <v>7.85</v>
      </c>
      <c r="N182" s="23">
        <f t="shared" si="207"/>
        <v>3.1593904192983135E-2</v>
      </c>
      <c r="O182" s="23">
        <f t="shared" si="208"/>
        <v>3.0183727034120676E-2</v>
      </c>
      <c r="P182" s="324">
        <v>189198264.24000001</v>
      </c>
      <c r="Q182" s="328">
        <v>8.52</v>
      </c>
      <c r="R182" s="23">
        <f t="shared" si="209"/>
        <v>8.7942450508921785E-2</v>
      </c>
      <c r="S182" s="23">
        <f t="shared" si="210"/>
        <v>8.5350318471337575E-2</v>
      </c>
      <c r="T182" s="324">
        <v>189347894.22</v>
      </c>
      <c r="U182" s="328">
        <v>8.5299999999999994</v>
      </c>
      <c r="V182" s="23">
        <f t="shared" si="211"/>
        <v>7.9086338662273377E-4</v>
      </c>
      <c r="W182" s="23">
        <f t="shared" si="212"/>
        <v>1.1737089201877685E-3</v>
      </c>
      <c r="X182" s="324">
        <v>197356308</v>
      </c>
      <c r="Y182" s="328">
        <v>8.8800000000000008</v>
      </c>
      <c r="Z182" s="23">
        <f t="shared" si="213"/>
        <v>4.2294707384995606E-2</v>
      </c>
      <c r="AA182" s="23">
        <f t="shared" si="214"/>
        <v>4.103165298944917E-2</v>
      </c>
      <c r="AB182" s="324">
        <v>197698435.84999999</v>
      </c>
      <c r="AC182" s="328">
        <v>8.9</v>
      </c>
      <c r="AD182" s="23">
        <f t="shared" si="215"/>
        <v>1.7335541664064472E-3</v>
      </c>
      <c r="AE182" s="23">
        <f t="shared" si="216"/>
        <v>2.2522522522522041E-3</v>
      </c>
      <c r="AF182" s="324">
        <v>199877902</v>
      </c>
      <c r="AG182" s="328">
        <v>9</v>
      </c>
      <c r="AH182" s="23">
        <f t="shared" si="217"/>
        <v>1.1024195212417539E-2</v>
      </c>
      <c r="AI182" s="23">
        <f t="shared" si="218"/>
        <v>1.1235955056179735E-2</v>
      </c>
      <c r="AJ182" s="24">
        <f t="shared" si="225"/>
        <v>2.509260505125659E-2</v>
      </c>
      <c r="AK182" s="24">
        <f t="shared" si="226"/>
        <v>2.4923860740106756E-2</v>
      </c>
      <c r="AL182" s="25">
        <f t="shared" si="227"/>
        <v>0.21070799919978542</v>
      </c>
      <c r="AM182" s="25">
        <f t="shared" si="228"/>
        <v>0.20320855614973254</v>
      </c>
      <c r="AN182" s="390">
        <f t="shared" si="229"/>
        <v>2.9454591348673585E-2</v>
      </c>
      <c r="AO182" s="391">
        <f t="shared" si="230"/>
        <v>2.7984657350227614E-2</v>
      </c>
    </row>
    <row r="183" spans="1:41">
      <c r="A183" s="203" t="s">
        <v>59</v>
      </c>
      <c r="B183" s="75">
        <v>379381189.43000001</v>
      </c>
      <c r="C183" s="328">
        <v>4.66</v>
      </c>
      <c r="D183" s="75">
        <v>375890551.91000003</v>
      </c>
      <c r="E183" s="328">
        <v>4.6100000000000003</v>
      </c>
      <c r="F183" s="23">
        <f t="shared" si="203"/>
        <v>-9.2008713590794461E-3</v>
      </c>
      <c r="G183" s="23">
        <f t="shared" si="204"/>
        <v>-1.0729613733905541E-2</v>
      </c>
      <c r="H183" s="75">
        <v>385369042.60000002</v>
      </c>
      <c r="I183" s="328">
        <v>4.75</v>
      </c>
      <c r="J183" s="23">
        <f t="shared" si="205"/>
        <v>2.5216091869926661E-2</v>
      </c>
      <c r="K183" s="23">
        <f t="shared" si="206"/>
        <v>3.036876355748366E-2</v>
      </c>
      <c r="L183" s="75">
        <v>415044498.97000003</v>
      </c>
      <c r="M183" s="328">
        <v>5.01</v>
      </c>
      <c r="N183" s="23">
        <f t="shared" si="207"/>
        <v>7.7005293860104171E-2</v>
      </c>
      <c r="O183" s="23">
        <f t="shared" si="208"/>
        <v>5.4736842105263112E-2</v>
      </c>
      <c r="P183" s="75">
        <v>436504413.43000001</v>
      </c>
      <c r="Q183" s="328">
        <v>5.25</v>
      </c>
      <c r="R183" s="23">
        <f t="shared" si="209"/>
        <v>5.1705093100272916E-2</v>
      </c>
      <c r="S183" s="23">
        <f t="shared" si="210"/>
        <v>4.7904191616766512E-2</v>
      </c>
      <c r="T183" s="75">
        <v>442102801.16000003</v>
      </c>
      <c r="U183" s="328">
        <v>5.31</v>
      </c>
      <c r="V183" s="23">
        <f t="shared" si="211"/>
        <v>1.2825500860365996E-2</v>
      </c>
      <c r="W183" s="23">
        <f t="shared" si="212"/>
        <v>1.1428571428571354E-2</v>
      </c>
      <c r="X183" s="75">
        <v>498465018.32999998</v>
      </c>
      <c r="Y183" s="328">
        <v>5.97</v>
      </c>
      <c r="Z183" s="23">
        <f t="shared" si="213"/>
        <v>0.12748667735674918</v>
      </c>
      <c r="AA183" s="23">
        <f t="shared" si="214"/>
        <v>0.1242937853107345</v>
      </c>
      <c r="AB183" s="75">
        <v>502621024</v>
      </c>
      <c r="AC183" s="328">
        <v>6.04</v>
      </c>
      <c r="AD183" s="23">
        <f t="shared" si="215"/>
        <v>8.3376074893356036E-3</v>
      </c>
      <c r="AE183" s="23">
        <f t="shared" si="216"/>
        <v>1.1725293132328356E-2</v>
      </c>
      <c r="AF183" s="75">
        <v>541984872</v>
      </c>
      <c r="AG183" s="328">
        <v>6.5</v>
      </c>
      <c r="AH183" s="23">
        <f t="shared" si="217"/>
        <v>7.8317153720971283E-2</v>
      </c>
      <c r="AI183" s="23">
        <f t="shared" si="218"/>
        <v>7.6158940397350994E-2</v>
      </c>
      <c r="AJ183" s="24">
        <f t="shared" si="225"/>
        <v>4.6461568362330799E-2</v>
      </c>
      <c r="AK183" s="24">
        <f t="shared" si="226"/>
        <v>4.3235846726824116E-2</v>
      </c>
      <c r="AL183" s="25">
        <f t="shared" si="227"/>
        <v>0.44186883454779718</v>
      </c>
      <c r="AM183" s="25">
        <f t="shared" si="228"/>
        <v>0.40997830802603025</v>
      </c>
      <c r="AN183" s="390">
        <f t="shared" si="229"/>
        <v>4.5786397265424772E-2</v>
      </c>
      <c r="AO183" s="391">
        <f t="shared" si="230"/>
        <v>4.2913261927443047E-2</v>
      </c>
    </row>
    <row r="184" spans="1:41">
      <c r="A184" s="203" t="s">
        <v>92</v>
      </c>
      <c r="B184" s="324">
        <v>507266573.44999999</v>
      </c>
      <c r="C184" s="328">
        <v>145.1</v>
      </c>
      <c r="D184" s="324">
        <v>504608337.55000001</v>
      </c>
      <c r="E184" s="328">
        <v>144.34</v>
      </c>
      <c r="F184" s="23">
        <f t="shared" si="203"/>
        <v>-5.2403135533273847E-3</v>
      </c>
      <c r="G184" s="23">
        <f t="shared" si="204"/>
        <v>-5.2377670572018673E-3</v>
      </c>
      <c r="H184" s="324">
        <v>480681707.23000002</v>
      </c>
      <c r="I184" s="328">
        <v>137.54</v>
      </c>
      <c r="J184" s="23">
        <f t="shared" si="205"/>
        <v>-4.7416240556328856E-2</v>
      </c>
      <c r="K184" s="23">
        <f t="shared" si="206"/>
        <v>-4.7110987945129634E-2</v>
      </c>
      <c r="L184" s="324">
        <v>481713631.29000002</v>
      </c>
      <c r="M184" s="328">
        <v>137.84</v>
      </c>
      <c r="N184" s="23">
        <f t="shared" si="207"/>
        <v>2.1467928662120689E-3</v>
      </c>
      <c r="O184" s="23">
        <f t="shared" si="208"/>
        <v>2.1811836556638897E-3</v>
      </c>
      <c r="P184" s="324">
        <v>484508422.19999999</v>
      </c>
      <c r="Q184" s="328">
        <v>138.63</v>
      </c>
      <c r="R184" s="23">
        <f t="shared" si="209"/>
        <v>5.8017683712119281E-3</v>
      </c>
      <c r="S184" s="23">
        <f t="shared" si="210"/>
        <v>5.7312826465466633E-3</v>
      </c>
      <c r="T184" s="324">
        <v>486923907.07999998</v>
      </c>
      <c r="U184" s="328">
        <v>139.32</v>
      </c>
      <c r="V184" s="23">
        <f t="shared" si="211"/>
        <v>4.9854342449446804E-3</v>
      </c>
      <c r="W184" s="23">
        <f t="shared" si="212"/>
        <v>4.9772776455312539E-3</v>
      </c>
      <c r="X184" s="324">
        <v>488170026.68000001</v>
      </c>
      <c r="Y184" s="328">
        <v>139.66999999999999</v>
      </c>
      <c r="Z184" s="23">
        <f t="shared" si="213"/>
        <v>2.5591670112744959E-3</v>
      </c>
      <c r="AA184" s="23">
        <f t="shared" si="214"/>
        <v>2.5122021246051845E-3</v>
      </c>
      <c r="AB184" s="324">
        <v>492336350.33999997</v>
      </c>
      <c r="AC184" s="328">
        <v>140.85</v>
      </c>
      <c r="AD184" s="23">
        <f t="shared" si="215"/>
        <v>8.5345749068920836E-3</v>
      </c>
      <c r="AE184" s="23">
        <f t="shared" si="216"/>
        <v>8.4484857163314026E-3</v>
      </c>
      <c r="AF184" s="324">
        <v>507791644.63</v>
      </c>
      <c r="AG184" s="328">
        <v>145.24</v>
      </c>
      <c r="AH184" s="23">
        <f t="shared" si="217"/>
        <v>3.1391739162316232E-2</v>
      </c>
      <c r="AI184" s="23">
        <f t="shared" si="218"/>
        <v>3.1167909123180796E-2</v>
      </c>
      <c r="AJ184" s="24">
        <f t="shared" si="225"/>
        <v>3.4536530664940578E-4</v>
      </c>
      <c r="AK184" s="24">
        <f t="shared" si="226"/>
        <v>3.3369823869096099E-4</v>
      </c>
      <c r="AL184" s="25">
        <f t="shared" si="227"/>
        <v>6.3084710321191628E-3</v>
      </c>
      <c r="AM184" s="25">
        <f t="shared" si="228"/>
        <v>6.2352778162671867E-3</v>
      </c>
      <c r="AN184" s="390">
        <f t="shared" si="229"/>
        <v>2.204786973770179E-2</v>
      </c>
      <c r="AO184" s="391">
        <f t="shared" si="230"/>
        <v>2.1900729400754295E-2</v>
      </c>
    </row>
    <row r="185" spans="1:41">
      <c r="A185" s="203" t="s">
        <v>30</v>
      </c>
      <c r="B185" s="324">
        <v>2866807508.1999998</v>
      </c>
      <c r="C185" s="328">
        <v>19.29</v>
      </c>
      <c r="D185" s="324">
        <v>2867092206.77</v>
      </c>
      <c r="E185" s="328">
        <v>19.27</v>
      </c>
      <c r="F185" s="23">
        <f t="shared" si="203"/>
        <v>9.9308575544692612E-5</v>
      </c>
      <c r="G185" s="23">
        <f t="shared" si="204"/>
        <v>-1.0368066355624455E-3</v>
      </c>
      <c r="H185" s="324">
        <v>2821817037.1100001</v>
      </c>
      <c r="I185" s="328">
        <v>19.25</v>
      </c>
      <c r="J185" s="23">
        <f t="shared" si="205"/>
        <v>-1.5791319704714278E-2</v>
      </c>
      <c r="K185" s="23">
        <f t="shared" si="206"/>
        <v>-1.0378827192527023E-3</v>
      </c>
      <c r="L185" s="324">
        <v>2877245532.1900001</v>
      </c>
      <c r="M185" s="328">
        <v>19.600000000000001</v>
      </c>
      <c r="N185" s="23">
        <f t="shared" si="207"/>
        <v>1.9642838054719423E-2</v>
      </c>
      <c r="O185" s="23">
        <f t="shared" si="208"/>
        <v>1.8181818181818257E-2</v>
      </c>
      <c r="P185" s="324">
        <v>2970390003.2800002</v>
      </c>
      <c r="Q185" s="328">
        <v>20.64</v>
      </c>
      <c r="R185" s="23">
        <f t="shared" si="209"/>
        <v>3.2372791980357592E-2</v>
      </c>
      <c r="S185" s="23">
        <f t="shared" si="210"/>
        <v>5.3061224489795868E-2</v>
      </c>
      <c r="T185" s="324">
        <v>2972993050.9299998</v>
      </c>
      <c r="U185" s="328">
        <v>20.66</v>
      </c>
      <c r="V185" s="23">
        <f t="shared" si="211"/>
        <v>8.7633194534227814E-4</v>
      </c>
      <c r="W185" s="23">
        <f t="shared" si="212"/>
        <v>9.6899224806199478E-4</v>
      </c>
      <c r="X185" s="324">
        <v>3138143313.6799998</v>
      </c>
      <c r="Y185" s="328">
        <v>21.81</v>
      </c>
      <c r="Z185" s="23">
        <f t="shared" si="213"/>
        <v>5.5550167767239936E-2</v>
      </c>
      <c r="AA185" s="23">
        <f t="shared" si="214"/>
        <v>5.5663117134559466E-2</v>
      </c>
      <c r="AB185" s="324">
        <v>3149429292.5500002</v>
      </c>
      <c r="AC185" s="328">
        <v>21.85</v>
      </c>
      <c r="AD185" s="23">
        <f t="shared" si="215"/>
        <v>3.5963873354036397E-3</v>
      </c>
      <c r="AE185" s="23">
        <f t="shared" si="216"/>
        <v>1.8340210912426733E-3</v>
      </c>
      <c r="AF185" s="324">
        <v>3235566487.0500002</v>
      </c>
      <c r="AG185" s="328">
        <v>22.45</v>
      </c>
      <c r="AH185" s="23">
        <f t="shared" si="217"/>
        <v>2.7350096318643574E-2</v>
      </c>
      <c r="AI185" s="23">
        <f t="shared" si="218"/>
        <v>2.7459954233409512E-2</v>
      </c>
      <c r="AJ185" s="24">
        <f t="shared" si="225"/>
        <v>1.5462075284067107E-2</v>
      </c>
      <c r="AK185" s="24">
        <f t="shared" si="226"/>
        <v>1.9386804753009079E-2</v>
      </c>
      <c r="AL185" s="25">
        <f t="shared" si="227"/>
        <v>0.12851846180947032</v>
      </c>
      <c r="AM185" s="25">
        <f t="shared" si="228"/>
        <v>0.16502335236118318</v>
      </c>
      <c r="AN185" s="390">
        <f t="shared" si="229"/>
        <v>2.2734992155228482E-2</v>
      </c>
      <c r="AO185" s="391">
        <f t="shared" si="230"/>
        <v>2.389911209354223E-2</v>
      </c>
    </row>
    <row r="186" spans="1:41">
      <c r="A186" s="203" t="s">
        <v>51</v>
      </c>
      <c r="B186" s="75">
        <v>259243253.44999999</v>
      </c>
      <c r="C186" s="328">
        <v>24.59</v>
      </c>
      <c r="D186" s="75">
        <v>249912967.24000001</v>
      </c>
      <c r="E186" s="328">
        <v>23.77</v>
      </c>
      <c r="F186" s="23">
        <f t="shared" si="203"/>
        <v>-3.5990468742514457E-2</v>
      </c>
      <c r="G186" s="23">
        <f t="shared" si="204"/>
        <v>-3.3346888979259873E-2</v>
      </c>
      <c r="H186" s="75">
        <v>250409420.94</v>
      </c>
      <c r="I186" s="328">
        <v>23.76</v>
      </c>
      <c r="J186" s="23">
        <f t="shared" si="205"/>
        <v>1.9865063645266015E-3</v>
      </c>
      <c r="K186" s="23">
        <f t="shared" si="206"/>
        <v>-4.2069835927631514E-4</v>
      </c>
      <c r="L186" s="75">
        <v>248562904.30000001</v>
      </c>
      <c r="M186" s="328">
        <v>23.6</v>
      </c>
      <c r="N186" s="23">
        <f t="shared" si="207"/>
        <v>-7.3739902958460382E-3</v>
      </c>
      <c r="O186" s="23">
        <f t="shared" si="208"/>
        <v>-6.7340067340067398E-3</v>
      </c>
      <c r="P186" s="75">
        <v>262117710.47999999</v>
      </c>
      <c r="Q186" s="328">
        <v>24.97</v>
      </c>
      <c r="R186" s="23">
        <f t="shared" si="209"/>
        <v>5.4532699552143016E-2</v>
      </c>
      <c r="S186" s="23">
        <f t="shared" si="210"/>
        <v>5.8050847457627008E-2</v>
      </c>
      <c r="T186" s="75">
        <v>258746211.59</v>
      </c>
      <c r="U186" s="328">
        <v>24.64</v>
      </c>
      <c r="V186" s="23">
        <f t="shared" si="211"/>
        <v>-1.2862537536383818E-2</v>
      </c>
      <c r="W186" s="23">
        <f t="shared" si="212"/>
        <v>-1.3215859030836937E-2</v>
      </c>
      <c r="X186" s="75">
        <v>253866320.47999999</v>
      </c>
      <c r="Y186" s="328">
        <v>24.24</v>
      </c>
      <c r="Z186" s="23">
        <f t="shared" si="213"/>
        <v>-1.8859758680187036E-2</v>
      </c>
      <c r="AA186" s="23">
        <f t="shared" si="214"/>
        <v>-1.6233766233766319E-2</v>
      </c>
      <c r="AB186" s="75">
        <v>260046065.88</v>
      </c>
      <c r="AC186" s="328">
        <v>24.86</v>
      </c>
      <c r="AD186" s="23">
        <f t="shared" si="215"/>
        <v>2.4342517701109772E-2</v>
      </c>
      <c r="AE186" s="23">
        <f t="shared" si="216"/>
        <v>2.557755775577562E-2</v>
      </c>
      <c r="AF186" s="75">
        <v>261535641.59</v>
      </c>
      <c r="AG186" s="328">
        <v>25.01</v>
      </c>
      <c r="AH186" s="23">
        <f t="shared" si="217"/>
        <v>5.728122457685567E-3</v>
      </c>
      <c r="AI186" s="23">
        <f t="shared" si="218"/>
        <v>6.0337892196300133E-3</v>
      </c>
      <c r="AJ186" s="24">
        <f t="shared" si="225"/>
        <v>1.4378863525667006E-3</v>
      </c>
      <c r="AK186" s="24">
        <f t="shared" si="226"/>
        <v>2.4638718869858076E-3</v>
      </c>
      <c r="AL186" s="25">
        <f t="shared" si="227"/>
        <v>4.6506887891248717E-2</v>
      </c>
      <c r="AM186" s="25">
        <f t="shared" si="228"/>
        <v>5.2166596550273538E-2</v>
      </c>
      <c r="AN186" s="390">
        <f t="shared" si="229"/>
        <v>2.7921870302008839E-2</v>
      </c>
      <c r="AO186" s="391">
        <f t="shared" si="230"/>
        <v>2.8303676138560323E-2</v>
      </c>
    </row>
    <row r="187" spans="1:41" ht="15.75" thickBot="1">
      <c r="A187" s="204" t="s">
        <v>33</v>
      </c>
      <c r="B187" s="77">
        <f>SUM(B175:B186)</f>
        <v>7434093500.5296631</v>
      </c>
      <c r="C187" s="307"/>
      <c r="D187" s="77">
        <f>SUM(D175:D186)</f>
        <v>7900432480.0985355</v>
      </c>
      <c r="E187" s="307"/>
      <c r="F187" s="23">
        <f>((D187-B187)/B187)</f>
        <v>6.2729770554492872E-2</v>
      </c>
      <c r="G187" s="210"/>
      <c r="H187" s="77">
        <f>SUM(H175:H186)</f>
        <v>7477851810.9399996</v>
      </c>
      <c r="I187" s="307"/>
      <c r="J187" s="23">
        <f>((H187-D187)/D187)</f>
        <v>-5.3488295763938411E-2</v>
      </c>
      <c r="K187" s="210"/>
      <c r="L187" s="77">
        <f>SUM(L175:L186)</f>
        <v>7669680835.21</v>
      </c>
      <c r="M187" s="307"/>
      <c r="N187" s="23">
        <f>((L187-H187)/H187)</f>
        <v>2.5652958780134839E-2</v>
      </c>
      <c r="O187" s="210"/>
      <c r="P187" s="70">
        <f>SUM(P175:P186)</f>
        <v>8199819675.4865208</v>
      </c>
      <c r="Q187" s="307"/>
      <c r="R187" s="23">
        <f>((P187-L187)/L187)</f>
        <v>6.9121369150428963E-2</v>
      </c>
      <c r="S187" s="210"/>
      <c r="T187" s="70">
        <f>SUM(T175:T186)</f>
        <v>8234561345.6603279</v>
      </c>
      <c r="U187" s="307"/>
      <c r="V187" s="23">
        <f>((T187-P187)/P187)</f>
        <v>4.2368822179916794E-3</v>
      </c>
      <c r="W187" s="210"/>
      <c r="X187" s="70">
        <f>SUM(X175:X186)</f>
        <v>8501400443.6560364</v>
      </c>
      <c r="Y187" s="307"/>
      <c r="Z187" s="23">
        <f>((X187-T187)/T187)</f>
        <v>3.2404773830039479E-2</v>
      </c>
      <c r="AA187" s="210"/>
      <c r="AB187" s="77">
        <f>SUM(AB175:AB186)</f>
        <v>8460893738.7534027</v>
      </c>
      <c r="AC187" s="307"/>
      <c r="AD187" s="23">
        <f>((AB187-X187)/X187)</f>
        <v>-4.7647096700239328E-3</v>
      </c>
      <c r="AE187" s="210"/>
      <c r="AF187" s="77">
        <f>SUM(AF175:AF186)</f>
        <v>8782558478.6973724</v>
      </c>
      <c r="AG187" s="307"/>
      <c r="AH187" s="23">
        <f>((AF187-AB187)/AB187)</f>
        <v>3.8017820560805514E-2</v>
      </c>
      <c r="AI187" s="210"/>
      <c r="AJ187" s="24">
        <f t="shared" si="225"/>
        <v>2.1738821207491377E-2</v>
      </c>
      <c r="AK187" s="24"/>
      <c r="AL187" s="25">
        <f t="shared" si="227"/>
        <v>0.11165540631110296</v>
      </c>
      <c r="AM187" s="25"/>
      <c r="AN187" s="390">
        <f t="shared" si="229"/>
        <v>3.9618406186596795E-2</v>
      </c>
      <c r="AO187" s="391"/>
    </row>
    <row r="188" spans="1:41" ht="15.75" thickBot="1">
      <c r="A188" s="63" t="s">
        <v>43</v>
      </c>
      <c r="B188" s="223">
        <f>SUM(B167,B172,B187)</f>
        <v>1739618684560.0811</v>
      </c>
      <c r="C188" s="308"/>
      <c r="D188" s="223">
        <f>SUM(D167,D172,D187)</f>
        <v>1744855165182.1748</v>
      </c>
      <c r="E188" s="308"/>
      <c r="F188" s="210">
        <f>((D188-B188)/B188)</f>
        <v>3.0101312825448088E-3</v>
      </c>
      <c r="G188" s="306"/>
      <c r="H188" s="223">
        <f>SUM(H167,H172,H187)</f>
        <v>1735632311170.3931</v>
      </c>
      <c r="I188" s="308"/>
      <c r="J188" s="210">
        <f>((H188-D188)/D188)</f>
        <v>-5.2857418746379498E-3</v>
      </c>
      <c r="K188" s="306"/>
      <c r="L188" s="223">
        <f>SUM(L167,L172,L187)</f>
        <v>1729253273512.5181</v>
      </c>
      <c r="M188" s="308"/>
      <c r="N188" s="210">
        <f>((L188-H188)/H188)</f>
        <v>-3.6753393082279095E-3</v>
      </c>
      <c r="O188" s="306"/>
      <c r="P188" s="223">
        <f>SUM(P167,P172,P187)</f>
        <v>1739393747925.5352</v>
      </c>
      <c r="Q188" s="308"/>
      <c r="R188" s="210">
        <f>((P188-L188)/L188)</f>
        <v>5.8640770373789225E-3</v>
      </c>
      <c r="S188" s="306"/>
      <c r="T188" s="223">
        <f>SUM(T167,T172,T187)</f>
        <v>1746565550006.7437</v>
      </c>
      <c r="U188" s="308"/>
      <c r="V188" s="210">
        <f>((T188-P188)/P188)</f>
        <v>4.1231619291272319E-3</v>
      </c>
      <c r="W188" s="306"/>
      <c r="X188" s="223">
        <f>SUM(X167,X172,X187)</f>
        <v>1885965497080.9697</v>
      </c>
      <c r="Y188" s="308"/>
      <c r="Z188" s="210">
        <f>((X188-T188)/T188)</f>
        <v>7.9813750519519777E-2</v>
      </c>
      <c r="AA188" s="306"/>
      <c r="AB188" s="223">
        <f>SUM(AB167,AB172,AB187)</f>
        <v>1977611461136.2695</v>
      </c>
      <c r="AC188" s="308"/>
      <c r="AD188" s="210">
        <f>((AB188-X188)/X188)</f>
        <v>4.8593658896276822E-2</v>
      </c>
      <c r="AE188" s="306"/>
      <c r="AF188" s="223">
        <f>SUM(AF167,AF172,AF187)</f>
        <v>1980881003971.5117</v>
      </c>
      <c r="AG188" s="308"/>
      <c r="AH188" s="210">
        <f>((AF188-AB188)/AB188)</f>
        <v>1.653278664436753E-3</v>
      </c>
      <c r="AI188" s="306"/>
      <c r="AJ188" s="24">
        <f t="shared" si="225"/>
        <v>1.6762122143302308E-2</v>
      </c>
      <c r="AK188" s="24"/>
      <c r="AL188" s="25">
        <f t="shared" si="227"/>
        <v>0.13526958769938605</v>
      </c>
      <c r="AM188" s="25"/>
      <c r="AN188" s="390">
        <f t="shared" si="229"/>
        <v>3.0679117647989872E-2</v>
      </c>
      <c r="AO188" s="391"/>
    </row>
  </sheetData>
  <protectedRanges>
    <protectedRange password="CADF" sqref="B19" name="Fund Name_1_1_1_3_1_1_1"/>
    <protectedRange password="CADF" sqref="C19" name="Fund Name_1_1_1_1_1_1_1"/>
    <protectedRange password="CADF" sqref="B46" name="Yield_2_1_2_3_1_1"/>
    <protectedRange password="CADF" sqref="B51" name="Yield_2_1_2_4_1_1"/>
    <protectedRange password="CADF" sqref="B76" name="Yield_2_1_2_1_1_1"/>
    <protectedRange password="CADF" sqref="C76" name="Fund Name_2_2_1_1"/>
    <protectedRange password="CADF" sqref="C75" name="BidOffer Prices_2_1_1_1_1_1_1_1_1_1_1"/>
    <protectedRange password="CADF" sqref="B93:B94" name="Yield_2_1_2_6_3_4"/>
    <protectedRange password="CADF" sqref="B134 B143:B144" name="Fund Name_1_1_1_2_1"/>
    <protectedRange password="CADF" sqref="C134 C143:C144" name="Fund Name_1_1_1_1_2"/>
    <protectedRange password="CADF" sqref="D19" name="Fund Name_1_1_1_3_1_1_7"/>
    <protectedRange password="CADF" sqref="E19" name="Fund Name_1_1_1_1_1_1_8"/>
    <protectedRange password="CADF" sqref="D46" name="Yield_2_1_2_3_1_7"/>
    <protectedRange password="CADF" sqref="D51" name="Yield_2_1_2_4_1_7"/>
    <protectedRange password="CADF" sqref="D76" name="Yield_2_1_2_1_1"/>
    <protectedRange password="CADF" sqref="E76" name="Fund Name_2_2_1_1_1"/>
    <protectedRange password="CADF" sqref="E75" name="BidOffer Prices_2_1_1_1_1_1_1_1_1_1_2"/>
    <protectedRange password="CADF" sqref="D93:D94" name="Yield_2_1_2_6_3_5"/>
    <protectedRange password="CADF" sqref="D134 D143:D144" name="Fund Name_1_1_1_2_2"/>
    <protectedRange password="CADF" sqref="E134 E143:E144" name="Fund Name_1_1_1_1_2_1"/>
    <protectedRange password="CADF" sqref="H19" name="Fund Name_1_1_1_3_1_1_2"/>
    <protectedRange password="CADF" sqref="I19" name="Fund Name_1_1_1_1_1_1_2"/>
    <protectedRange password="CADF" sqref="H46" name="Yield_2_1_2_3_1"/>
    <protectedRange password="CADF" sqref="H51" name="Yield_2_1_2_4_1"/>
    <protectedRange password="CADF" sqref="H76" name="Yield_2_1_2_1_1_6"/>
    <protectedRange password="CADF" sqref="I76" name="Fund Name_2_2_1_1_2"/>
    <protectedRange password="CADF" sqref="I75" name="BidOffer Prices_2_1_1_1_1_1_1_1_1_1_7"/>
    <protectedRange password="CADF" sqref="H93:H94" name="Yield_2_1_2_6_3_6"/>
    <protectedRange password="CADF" sqref="H134 H143:H144" name="Fund Name_1_1_1_2_8"/>
    <protectedRange password="CADF" sqref="I134 I143:I144" name="Fund Name_1_1_1_1_2_2"/>
    <protectedRange password="CADF" sqref="L19" name="Fund Name_1_1_1_3_1_1_3"/>
    <protectedRange password="CADF" sqref="M19" name="Fund Name_1_1_1_1_1_1_3"/>
    <protectedRange password="CADF" sqref="L46" name="Yield_2_1_2_3_1_2"/>
    <protectedRange password="CADF" sqref="L51" name="Yield_2_1_2_4_1_2"/>
    <protectedRange password="CADF" sqref="L76" name="Yield_2_1_2_1_1_7"/>
    <protectedRange password="CADF" sqref="M76" name="Fund Name_2_2_1_1_8"/>
    <protectedRange password="CADF" sqref="M75" name="BidOffer Prices_2_1_1_1_1_1_1_1_1_1_8"/>
    <protectedRange password="CADF" sqref="L93:L94" name="Yield_2_1_2_6_3_7"/>
    <protectedRange password="CADF" sqref="L134 L143:L144" name="Fund Name_1_1_1_2_3"/>
    <protectedRange password="CADF" sqref="M134 M143:M144" name="Fund Name_1_1_1_1_2_3"/>
    <protectedRange password="CADF" sqref="P19" name="Fund Name_1_1_1_3_1_1_8"/>
    <protectedRange password="CADF" sqref="Q19" name="Fund Name_1_1_1_1_1_1_7"/>
    <protectedRange password="CADF" sqref="P46" name="Yield_2_1_2_3_1_8"/>
    <protectedRange password="CADF" sqref="P51" name="Yield_2_1_2_4_1_8"/>
    <protectedRange password="CADF" sqref="P76" name="Yield_2_1_2_1_1_8"/>
    <protectedRange password="CADF" sqref="Q76" name="Fund Name_2_2_1_1_9"/>
    <protectedRange password="CADF" sqref="Q75" name="BidOffer Prices_2_1_1_1_1_1_1_1_1_1_9"/>
    <protectedRange password="CADF" sqref="P93:P94" name="Yield_2_1_2_6_3_8"/>
    <protectedRange password="CADF" sqref="P134 P143:P144" name="Fund Name_1_1_1_2_7"/>
    <protectedRange password="CADF" sqref="Q134 Q143:Q144" name="Fund Name_1_1_1_1_2_8"/>
    <protectedRange password="CADF" sqref="T19" name="Fund Name_1_1_1_3_1_1_4"/>
    <protectedRange password="CADF" sqref="T46" name="Yield_2_1_2_3_1_3"/>
    <protectedRange password="CADF" sqref="T51" name="Yield_2_1_2_4_1_3"/>
    <protectedRange password="CADF" sqref="T76" name="Yield_2_1_2_1_1_2"/>
    <protectedRange password="CADF" sqref="U76" name="Fund Name_2_2_1_1_3"/>
    <protectedRange password="CADF" sqref="U75" name="BidOffer Prices_2_1_1_1_1_1_1_1_1_1"/>
    <protectedRange password="CADF" sqref="T93:T94" name="Yield_2_1_2_6_3"/>
    <protectedRange password="CADF" sqref="T134 T143:T144" name="Fund Name_1_1_1_2"/>
    <protectedRange password="CADF" sqref="U134 U143:U144" name="Fund Name_1_1_1_1_2_4"/>
    <protectedRange password="CADF" sqref="X19" name="Fund Name_1_1_1_3_1_1"/>
    <protectedRange password="CADF" sqref="X15" name="Yield_2_1_2_5"/>
    <protectedRange password="CADF" sqref="Y19" name="Fund Name_1_1_1_1_1_1_4"/>
    <protectedRange password="CADF" sqref="X76" name="Yield_2_1_2_1_1_3"/>
    <protectedRange password="CADF" sqref="Y76" name="Fund Name_2_2_1_1_4"/>
    <protectedRange password="CADF" sqref="Y75" name="BidOffer Prices_2_1_1_1_1_1_1_1_1_1_3"/>
    <protectedRange password="CADF" sqref="X93:X94" name="Yield_2_1_2_6_3_1"/>
    <protectedRange password="CADF" sqref="X134 X143:X144" name="Fund Name_1_1_1_2_4"/>
    <protectedRange password="CADF" sqref="Y134 Y143:Y144" name="Fund Name_1_1_1_1_2_5"/>
    <protectedRange password="CADF" sqref="U19" name="Fund Name_1_1_1_1_1_1_9"/>
    <protectedRange password="CADF" sqref="X46" name="Yield_2_1_2_3_1_9"/>
    <protectedRange password="CADF" sqref="X51" name="Yield_2_1_2_4_1_9"/>
    <protectedRange password="CADF" sqref="AB19" name="Fund Name_1_1_1_3_1_1_9"/>
    <protectedRange password="CADF" sqref="AB15" name="Yield_2_1_2_5_1"/>
    <protectedRange password="CADF" sqref="AC19" name="Fund Name_1_1_1_1_1_1"/>
    <protectedRange password="CADF" sqref="AB46" name="Yield_2_1_2_3_1_4"/>
    <protectedRange password="CADF" sqref="AB51" name="Yield_2_1_2_4_1_4"/>
    <protectedRange password="CADF" sqref="AB76" name="Yield_2_1_2_1_1_9"/>
    <protectedRange password="CADF" sqref="AC76" name="Fund Name_2_2_1_1_5"/>
    <protectedRange password="CADF" sqref="AC75" name="BidOffer Prices_2_1_1_1_1_1_1_1_1_1_4"/>
    <protectedRange password="CADF" sqref="AB93:AB94" name="Yield_2_1_2_6_3_9"/>
    <protectedRange password="CADF" sqref="AB134 AB143:AB144" name="Fund Name_1_1_1_2_9"/>
    <protectedRange password="CADF" sqref="AC134 AC143:AC144" name="Fund Name_1_1_1_1_2_9"/>
    <protectedRange password="CADF" sqref="AF19" name="Fund Name_1_1_1_3_1_1_5"/>
    <protectedRange password="CADF" sqref="AF15" name="Yield_2_1_2_5_2"/>
    <protectedRange password="CADF" sqref="AG19" name="Fund Name_1_1_1_1_1_1_5"/>
    <protectedRange password="CADF" sqref="AF46" name="Yield_2_1_2_3_1_5"/>
    <protectedRange password="CADF" sqref="AF51" name="Yield_2_1_2_4_1_5"/>
    <protectedRange password="CADF" sqref="AF76" name="Yield_2_1_2_1_1_4"/>
    <protectedRange password="CADF" sqref="AG76" name="Fund Name_2_2_1_1_6"/>
    <protectedRange password="CADF" sqref="AG75" name="BidOffer Prices_2_1_1_1_1_1_1_1_1_1_5"/>
    <protectedRange password="CADF" sqref="AF93:AF94" name="Yield_2_1_2_6_3_2"/>
    <protectedRange password="CADF" sqref="AF134 AF143:AF144" name="Fund Name_1_1_1_2_5"/>
    <protectedRange password="CADF" sqref="AG134 AG143:AG144" name="Fund Name_1_1_1_1_2_6"/>
  </protectedRanges>
  <sortState ref="A174:AO185">
    <sortCondition ref="A174:A185"/>
  </sortState>
  <mergeCells count="32">
    <mergeCell ref="A1:AO1"/>
    <mergeCell ref="AN2:AO2"/>
    <mergeCell ref="AL2:AM2"/>
    <mergeCell ref="AJ2:AK2"/>
    <mergeCell ref="B2:C2"/>
    <mergeCell ref="D2:E2"/>
    <mergeCell ref="F2:G2"/>
    <mergeCell ref="H2:I2"/>
    <mergeCell ref="L2:M2"/>
    <mergeCell ref="P2:Q2"/>
    <mergeCell ref="AB2:AC2"/>
    <mergeCell ref="AD2:AE2"/>
    <mergeCell ref="AQ2:AR2"/>
    <mergeCell ref="AQ127:AR127"/>
    <mergeCell ref="P174:Q174"/>
    <mergeCell ref="T2:U2"/>
    <mergeCell ref="V2:W2"/>
    <mergeCell ref="X2:Y2"/>
    <mergeCell ref="Z2:AA2"/>
    <mergeCell ref="X174:Y174"/>
    <mergeCell ref="T174:U174"/>
    <mergeCell ref="AB174:AC174"/>
    <mergeCell ref="AF2:AG2"/>
    <mergeCell ref="AH2:AI2"/>
    <mergeCell ref="AF174:AG174"/>
    <mergeCell ref="B174:C174"/>
    <mergeCell ref="R2:S2"/>
    <mergeCell ref="J2:K2"/>
    <mergeCell ref="N2:O2"/>
    <mergeCell ref="L174:M174"/>
    <mergeCell ref="D174:E174"/>
    <mergeCell ref="H174:I17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2023-07-09T12:37:05Z</dcterms:modified>
</cp:coreProperties>
</file>