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K14" i="11" l="1"/>
  <c r="AO14" i="11"/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J188" i="11"/>
  <c r="AL188" i="11"/>
  <c r="AN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L14" i="11"/>
  <c r="AM14" i="11"/>
  <c r="AN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8" i="11"/>
  <c r="AF187" i="11"/>
  <c r="AF172" i="11"/>
  <c r="AF166" i="11"/>
  <c r="AF167" i="11" s="1"/>
  <c r="AH167" i="11" s="1"/>
  <c r="AH166" i="11"/>
  <c r="AF151" i="11"/>
  <c r="AF145" i="11"/>
  <c r="AH145" i="11" s="1"/>
  <c r="AF118" i="11"/>
  <c r="AG106" i="11"/>
  <c r="AG103" i="11"/>
  <c r="AI103" i="11" s="1"/>
  <c r="AF103" i="11"/>
  <c r="AF111" i="11" s="1"/>
  <c r="AH99" i="11" s="1"/>
  <c r="AG98" i="11"/>
  <c r="AG97" i="11"/>
  <c r="AI97" i="11" s="1"/>
  <c r="AG95" i="11"/>
  <c r="AI95" i="11" s="1"/>
  <c r="AG91" i="11"/>
  <c r="AG90" i="11"/>
  <c r="AF98" i="11"/>
  <c r="AF97" i="11"/>
  <c r="AF95" i="11"/>
  <c r="AH95" i="11" s="1"/>
  <c r="AF91" i="11"/>
  <c r="AF86" i="11"/>
  <c r="AF53" i="11"/>
  <c r="AF21" i="11"/>
  <c r="AH21" i="11" s="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8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O104" i="11" s="1"/>
  <c r="AH104" i="11"/>
  <c r="AI102" i="11"/>
  <c r="AH102" i="11"/>
  <c r="AI99" i="11"/>
  <c r="AI98" i="11"/>
  <c r="AH98" i="11"/>
  <c r="AH97" i="11"/>
  <c r="AI96" i="11"/>
  <c r="AH96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H188" i="11" l="1"/>
  <c r="AH187" i="11"/>
  <c r="AH103" i="11"/>
  <c r="M98" i="9"/>
  <c r="L98" i="9"/>
  <c r="J98" i="9"/>
  <c r="M91" i="9" l="1"/>
  <c r="L91" i="9"/>
  <c r="P68" i="9" l="1"/>
  <c r="M99" i="9" l="1"/>
  <c r="L99" i="9"/>
  <c r="J99" i="9"/>
  <c r="M104" i="9" l="1"/>
  <c r="L104" i="9"/>
  <c r="J104" i="9"/>
  <c r="M92" i="9"/>
  <c r="L92" i="9"/>
  <c r="J92" i="9"/>
  <c r="M107" i="9" l="1"/>
  <c r="L107" i="9"/>
  <c r="M96" i="9" l="1"/>
  <c r="L96" i="9"/>
  <c r="J96" i="9"/>
  <c r="D192" i="9"/>
  <c r="D175" i="9"/>
  <c r="D167" i="9"/>
  <c r="D152" i="9"/>
  <c r="D146" i="9"/>
  <c r="D119" i="9"/>
  <c r="G107" i="9"/>
  <c r="F107" i="9"/>
  <c r="G104" i="9"/>
  <c r="F104" i="9"/>
  <c r="D104" i="9"/>
  <c r="D112" i="9" s="1"/>
  <c r="D168" i="9" s="1"/>
  <c r="D193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87" i="11" l="1"/>
  <c r="AB172" i="11"/>
  <c r="AB166" i="11"/>
  <c r="AB151" i="11"/>
  <c r="AB145" i="11"/>
  <c r="AB118" i="11"/>
  <c r="AC106" i="11"/>
  <c r="AC103" i="11"/>
  <c r="AB103" i="11"/>
  <c r="AD90" i="11" s="1"/>
  <c r="AC98" i="11"/>
  <c r="AC97" i="11"/>
  <c r="AC95" i="11"/>
  <c r="AC91" i="11"/>
  <c r="AC90" i="11"/>
  <c r="AB98" i="11"/>
  <c r="AB97" i="11"/>
  <c r="AB95" i="11"/>
  <c r="AB91" i="11"/>
  <c r="AB86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D99" i="11" l="1"/>
  <c r="AB188" i="11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J10" i="1"/>
  <c r="I10" i="1"/>
  <c r="H10" i="1"/>
  <c r="G10" i="1"/>
  <c r="F10" i="1"/>
  <c r="E10" i="1"/>
  <c r="D10" i="1"/>
  <c r="C10" i="1"/>
  <c r="Z90" i="11" l="1"/>
  <c r="AD103" i="11"/>
  <c r="X111" i="11"/>
  <c r="X167" i="11"/>
  <c r="AD167" i="11" s="1"/>
  <c r="W104" i="11"/>
  <c r="V94" i="11"/>
  <c r="W94" i="11"/>
  <c r="V82" i="11"/>
  <c r="R82" i="11"/>
  <c r="N82" i="11"/>
  <c r="J82" i="11"/>
  <c r="F82" i="1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F94" i="11"/>
  <c r="G94" i="11"/>
  <c r="J94" i="11"/>
  <c r="K94" i="11"/>
  <c r="N94" i="11"/>
  <c r="O94" i="11"/>
  <c r="R94" i="11"/>
  <c r="S94" i="1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V104" i="11"/>
  <c r="W102" i="11"/>
  <c r="V102" i="11"/>
  <c r="W99" i="11"/>
  <c r="W96" i="11"/>
  <c r="V96" i="11"/>
  <c r="W93" i="11"/>
  <c r="V93" i="11"/>
  <c r="W92" i="11"/>
  <c r="V92" i="11"/>
  <c r="W85" i="11"/>
  <c r="V85" i="11"/>
  <c r="W84" i="11"/>
  <c r="V84" i="11"/>
  <c r="W83" i="11"/>
  <c r="V83" i="11"/>
  <c r="W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X188" i="11" l="1"/>
  <c r="AD188" i="11" s="1"/>
  <c r="Z99" i="11"/>
  <c r="T111" i="11"/>
  <c r="V90" i="11"/>
  <c r="V99" i="11" l="1"/>
  <c r="T167" i="11"/>
  <c r="Z167" i="11" s="1"/>
  <c r="Q95" i="9"/>
  <c r="T188" i="11" l="1"/>
  <c r="Z188" i="11" s="1"/>
  <c r="P95" i="9"/>
  <c r="S95" i="9"/>
  <c r="R95" i="9"/>
  <c r="P94" i="9"/>
  <c r="E95" i="9" l="1"/>
  <c r="R160" i="11" l="1"/>
  <c r="R161" i="11"/>
  <c r="R162" i="11"/>
  <c r="R163" i="11"/>
  <c r="R164" i="11"/>
  <c r="R165" i="11"/>
  <c r="N160" i="11"/>
  <c r="N161" i="11"/>
  <c r="N162" i="11"/>
  <c r="N163" i="11"/>
  <c r="N164" i="11"/>
  <c r="N165" i="11"/>
  <c r="J160" i="11"/>
  <c r="J161" i="11"/>
  <c r="J162" i="11"/>
  <c r="J163" i="11"/>
  <c r="J164" i="11"/>
  <c r="J165" i="11"/>
  <c r="F160" i="11"/>
  <c r="F161" i="11"/>
  <c r="F162" i="11"/>
  <c r="F163" i="11"/>
  <c r="F164" i="11"/>
  <c r="F165" i="11"/>
  <c r="D91" i="11"/>
  <c r="J91" i="11" s="1"/>
  <c r="B91" i="11"/>
  <c r="E91" i="11"/>
  <c r="R109" i="11"/>
  <c r="S109" i="11"/>
  <c r="N109" i="11"/>
  <c r="O109" i="11"/>
  <c r="J109" i="11"/>
  <c r="K109" i="11"/>
  <c r="F109" i="11"/>
  <c r="G109" i="11"/>
  <c r="P145" i="11"/>
  <c r="V145" i="11" s="1"/>
  <c r="S123" i="11"/>
  <c r="R123" i="11"/>
  <c r="O123" i="11"/>
  <c r="N123" i="11"/>
  <c r="K123" i="11"/>
  <c r="J123" i="11"/>
  <c r="G123" i="11"/>
  <c r="F123" i="11"/>
  <c r="S133" i="11"/>
  <c r="R133" i="11"/>
  <c r="O133" i="11"/>
  <c r="N133" i="11"/>
  <c r="K133" i="11"/>
  <c r="J133" i="11"/>
  <c r="G133" i="11"/>
  <c r="F133" i="11"/>
  <c r="S132" i="11"/>
  <c r="R132" i="11"/>
  <c r="O132" i="11"/>
  <c r="N132" i="11"/>
  <c r="K132" i="11"/>
  <c r="J132" i="11"/>
  <c r="G132" i="11"/>
  <c r="F132" i="11"/>
  <c r="R96" i="11"/>
  <c r="N96" i="11"/>
  <c r="J96" i="11"/>
  <c r="F96" i="11"/>
  <c r="S16" i="11"/>
  <c r="R16" i="11"/>
  <c r="F91" i="11" l="1"/>
  <c r="P187" i="11"/>
  <c r="V187" i="11" s="1"/>
  <c r="P172" i="11"/>
  <c r="P166" i="11"/>
  <c r="V166" i="11" s="1"/>
  <c r="P151" i="11"/>
  <c r="V151" i="11" s="1"/>
  <c r="P118" i="11"/>
  <c r="V118" i="11" s="1"/>
  <c r="Q106" i="11"/>
  <c r="W106" i="11" s="1"/>
  <c r="Q103" i="11"/>
  <c r="W103" i="11" s="1"/>
  <c r="P103" i="11"/>
  <c r="V103" i="11" s="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77" i="11"/>
  <c r="R177" i="11"/>
  <c r="S178" i="11"/>
  <c r="R178" i="11"/>
  <c r="S175" i="11"/>
  <c r="R175" i="11"/>
  <c r="S180" i="11"/>
  <c r="R180" i="11"/>
  <c r="S181" i="11"/>
  <c r="R181" i="11"/>
  <c r="S176" i="11"/>
  <c r="R176" i="11"/>
  <c r="S179" i="11"/>
  <c r="R179" i="11"/>
  <c r="S184" i="11"/>
  <c r="R184" i="11"/>
  <c r="S186" i="11"/>
  <c r="R186" i="11"/>
  <c r="S182" i="11"/>
  <c r="R182" i="11"/>
  <c r="S183" i="11"/>
  <c r="R183" i="11"/>
  <c r="S185" i="11"/>
  <c r="R185" i="11"/>
  <c r="S171" i="11"/>
  <c r="R171" i="11"/>
  <c r="S170" i="11"/>
  <c r="R170" i="11"/>
  <c r="S165" i="11"/>
  <c r="S164" i="11"/>
  <c r="S163" i="11"/>
  <c r="S162" i="11"/>
  <c r="S161" i="11"/>
  <c r="S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S93" i="11"/>
  <c r="R93" i="11"/>
  <c r="S92" i="11"/>
  <c r="R92" i="11"/>
  <c r="S85" i="11"/>
  <c r="R85" i="11"/>
  <c r="S84" i="11"/>
  <c r="R84" i="11"/>
  <c r="S83" i="11"/>
  <c r="R83" i="11"/>
  <c r="S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11" i="11" l="1"/>
  <c r="R90" i="11"/>
  <c r="R99" i="11" l="1"/>
  <c r="P167" i="11"/>
  <c r="V167" i="11" s="1"/>
  <c r="J152" i="9"/>
  <c r="K150" i="9" s="1"/>
  <c r="P188" i="11" l="1"/>
  <c r="V188" i="11" s="1"/>
  <c r="K149" i="9"/>
  <c r="K151" i="9"/>
  <c r="O171" i="11" l="1"/>
  <c r="N171" i="11"/>
  <c r="K171" i="11"/>
  <c r="J171" i="11"/>
  <c r="G171" i="11"/>
  <c r="F171" i="11"/>
  <c r="L187" i="11"/>
  <c r="R187" i="11" s="1"/>
  <c r="L172" i="11"/>
  <c r="L166" i="11"/>
  <c r="L151" i="11"/>
  <c r="R151" i="11" s="1"/>
  <c r="L145" i="11"/>
  <c r="R145" i="11" s="1"/>
  <c r="L118" i="11"/>
  <c r="R118" i="11" s="1"/>
  <c r="M103" i="11"/>
  <c r="S103" i="11" s="1"/>
  <c r="M106" i="11"/>
  <c r="S106" i="11" s="1"/>
  <c r="L103" i="11"/>
  <c r="R103" i="11" s="1"/>
  <c r="M97" i="11"/>
  <c r="S97" i="11" s="1"/>
  <c r="M95" i="11"/>
  <c r="S95" i="11" s="1"/>
  <c r="M91" i="11"/>
  <c r="S91" i="11" s="1"/>
  <c r="M90" i="11"/>
  <c r="S90" i="11" s="1"/>
  <c r="M98" i="11"/>
  <c r="S98" i="11" s="1"/>
  <c r="L97" i="11"/>
  <c r="R97" i="11" s="1"/>
  <c r="L95" i="11"/>
  <c r="R95" i="11" s="1"/>
  <c r="L91" i="11"/>
  <c r="R91" i="11" s="1"/>
  <c r="L98" i="11"/>
  <c r="R98" i="11" s="1"/>
  <c r="L86" i="11"/>
  <c r="R86" i="11" s="1"/>
  <c r="L53" i="11"/>
  <c r="R53" i="11" s="1"/>
  <c r="L21" i="11"/>
  <c r="R21" i="11" s="1"/>
  <c r="R166" i="11" l="1"/>
  <c r="L111" i="11"/>
  <c r="N99" i="11" s="1"/>
  <c r="O177" i="11"/>
  <c r="N177" i="11"/>
  <c r="O178" i="11"/>
  <c r="N178" i="11"/>
  <c r="O175" i="11"/>
  <c r="N175" i="11"/>
  <c r="O180" i="11"/>
  <c r="N180" i="11"/>
  <c r="O181" i="11"/>
  <c r="N181" i="11"/>
  <c r="O176" i="11"/>
  <c r="N176" i="11"/>
  <c r="O179" i="11"/>
  <c r="N179" i="11"/>
  <c r="O184" i="11"/>
  <c r="N184" i="11"/>
  <c r="O186" i="11"/>
  <c r="N186" i="11"/>
  <c r="O182" i="11"/>
  <c r="N182" i="11"/>
  <c r="O183" i="11"/>
  <c r="N183" i="11"/>
  <c r="O185" i="11"/>
  <c r="N185" i="11"/>
  <c r="O170" i="11"/>
  <c r="N170" i="11"/>
  <c r="O161" i="11"/>
  <c r="O160" i="11"/>
  <c r="O159" i="11"/>
  <c r="N159" i="11"/>
  <c r="O163" i="11"/>
  <c r="O165" i="11"/>
  <c r="O162" i="11"/>
  <c r="O164" i="11"/>
  <c r="O156" i="11"/>
  <c r="N156" i="11"/>
  <c r="O155" i="11"/>
  <c r="N155" i="11"/>
  <c r="O148" i="11"/>
  <c r="N148" i="11"/>
  <c r="O150" i="11"/>
  <c r="N150" i="11"/>
  <c r="O149" i="11"/>
  <c r="N149" i="11"/>
  <c r="O139" i="11"/>
  <c r="N139" i="11"/>
  <c r="O129" i="11"/>
  <c r="N129" i="11"/>
  <c r="O127" i="11"/>
  <c r="N127" i="11"/>
  <c r="O130" i="11"/>
  <c r="N130" i="11"/>
  <c r="O136" i="11"/>
  <c r="N136" i="11"/>
  <c r="O124" i="11"/>
  <c r="N124" i="11"/>
  <c r="O134" i="11"/>
  <c r="N134" i="11"/>
  <c r="O126" i="11"/>
  <c r="N126" i="11"/>
  <c r="O121" i="11"/>
  <c r="N121" i="11"/>
  <c r="O128" i="11"/>
  <c r="N128" i="11"/>
  <c r="O141" i="11"/>
  <c r="N141" i="11"/>
  <c r="O137" i="11"/>
  <c r="N137" i="11"/>
  <c r="O143" i="11"/>
  <c r="N143" i="11"/>
  <c r="O135" i="11"/>
  <c r="N135" i="11"/>
  <c r="O125" i="11"/>
  <c r="N125" i="11"/>
  <c r="O142" i="11"/>
  <c r="N142" i="11"/>
  <c r="O131" i="11"/>
  <c r="N131" i="11"/>
  <c r="O122" i="11"/>
  <c r="N122" i="11"/>
  <c r="O140" i="11"/>
  <c r="N140" i="11"/>
  <c r="O144" i="11"/>
  <c r="N144" i="11"/>
  <c r="O138" i="11"/>
  <c r="N138" i="11"/>
  <c r="O114" i="11"/>
  <c r="N114" i="11"/>
  <c r="O117" i="11"/>
  <c r="N117" i="11"/>
  <c r="O116" i="11"/>
  <c r="N116" i="11"/>
  <c r="O115" i="11"/>
  <c r="N115" i="11"/>
  <c r="N106" i="11"/>
  <c r="O107" i="11"/>
  <c r="N107" i="11"/>
  <c r="O105" i="11"/>
  <c r="N105" i="11"/>
  <c r="O102" i="11"/>
  <c r="N102" i="11"/>
  <c r="O104" i="11"/>
  <c r="N104" i="11"/>
  <c r="O110" i="11"/>
  <c r="N110" i="11"/>
  <c r="O108" i="11"/>
  <c r="N108" i="11"/>
  <c r="O92" i="11"/>
  <c r="N92" i="11"/>
  <c r="N90" i="11"/>
  <c r="O96" i="11"/>
  <c r="O99" i="11"/>
  <c r="O93" i="11"/>
  <c r="N93" i="11"/>
  <c r="O82" i="11"/>
  <c r="O65" i="11"/>
  <c r="N65" i="11"/>
  <c r="O58" i="11"/>
  <c r="N58" i="11"/>
  <c r="O63" i="11"/>
  <c r="N63" i="11"/>
  <c r="O74" i="11"/>
  <c r="N74" i="11"/>
  <c r="O60" i="11"/>
  <c r="N60" i="11"/>
  <c r="O59" i="11"/>
  <c r="N59" i="11"/>
  <c r="O80" i="11"/>
  <c r="N80" i="11"/>
  <c r="O57" i="11"/>
  <c r="N57" i="11"/>
  <c r="O56" i="11"/>
  <c r="N56" i="11"/>
  <c r="O64" i="11"/>
  <c r="N64" i="11"/>
  <c r="O70" i="11"/>
  <c r="N70" i="11"/>
  <c r="O66" i="11"/>
  <c r="N66" i="11"/>
  <c r="O69" i="11"/>
  <c r="N69" i="11"/>
  <c r="O72" i="11"/>
  <c r="N72" i="11"/>
  <c r="O75" i="11"/>
  <c r="N75" i="11"/>
  <c r="O79" i="11"/>
  <c r="N79" i="11"/>
  <c r="O77" i="11"/>
  <c r="N77" i="11"/>
  <c r="O71" i="11"/>
  <c r="N71" i="11"/>
  <c r="O76" i="11"/>
  <c r="N76" i="11"/>
  <c r="O81" i="11"/>
  <c r="N81" i="11"/>
  <c r="O61" i="11"/>
  <c r="N61" i="11"/>
  <c r="O85" i="11"/>
  <c r="N85" i="11"/>
  <c r="O84" i="11"/>
  <c r="N84" i="11"/>
  <c r="O83" i="11"/>
  <c r="N83" i="11"/>
  <c r="O62" i="11"/>
  <c r="N62" i="11"/>
  <c r="O67" i="11"/>
  <c r="N67" i="11"/>
  <c r="O68" i="11"/>
  <c r="N68" i="11"/>
  <c r="O73" i="11"/>
  <c r="N73" i="11"/>
  <c r="O78" i="11"/>
  <c r="N78" i="11"/>
  <c r="O44" i="11"/>
  <c r="N44" i="11"/>
  <c r="O33" i="11"/>
  <c r="N33" i="11"/>
  <c r="O37" i="11"/>
  <c r="N37" i="11"/>
  <c r="O45" i="11"/>
  <c r="N45" i="11"/>
  <c r="O50" i="11"/>
  <c r="N50" i="11"/>
  <c r="O48" i="11"/>
  <c r="N48" i="11"/>
  <c r="O27" i="11"/>
  <c r="N27" i="11"/>
  <c r="O38" i="11"/>
  <c r="N38" i="11"/>
  <c r="O31" i="11"/>
  <c r="N31" i="11"/>
  <c r="O51" i="11"/>
  <c r="N51" i="11"/>
  <c r="O40" i="11"/>
  <c r="N40" i="11"/>
  <c r="O42" i="11"/>
  <c r="N42" i="11"/>
  <c r="O25" i="11"/>
  <c r="N25" i="11"/>
  <c r="O52" i="11"/>
  <c r="N52" i="11"/>
  <c r="O34" i="11"/>
  <c r="N34" i="11"/>
  <c r="O36" i="11"/>
  <c r="N36" i="11"/>
  <c r="O35" i="11"/>
  <c r="N35" i="11"/>
  <c r="O24" i="11"/>
  <c r="N24" i="11"/>
  <c r="O30" i="11"/>
  <c r="N30" i="11"/>
  <c r="O46" i="11"/>
  <c r="N46" i="11"/>
  <c r="O32" i="11"/>
  <c r="N32" i="11"/>
  <c r="O41" i="11"/>
  <c r="N41" i="11"/>
  <c r="O29" i="11"/>
  <c r="N29" i="11"/>
  <c r="O43" i="11"/>
  <c r="N43" i="11"/>
  <c r="O28" i="11"/>
  <c r="N28" i="11"/>
  <c r="O26" i="11"/>
  <c r="N26" i="11"/>
  <c r="O49" i="11"/>
  <c r="N49" i="11"/>
  <c r="O39" i="11"/>
  <c r="N39" i="11"/>
  <c r="O47" i="11"/>
  <c r="N47" i="11"/>
  <c r="O18" i="11"/>
  <c r="N18" i="11"/>
  <c r="O11" i="11"/>
  <c r="N11" i="11"/>
  <c r="O6" i="11"/>
  <c r="N6" i="11"/>
  <c r="O14" i="11"/>
  <c r="N14" i="11"/>
  <c r="O20" i="11"/>
  <c r="N20" i="11"/>
  <c r="O8" i="11"/>
  <c r="N8" i="11"/>
  <c r="O16" i="11"/>
  <c r="N16" i="11"/>
  <c r="O13" i="11"/>
  <c r="N13" i="11"/>
  <c r="O9" i="11"/>
  <c r="N9" i="11"/>
  <c r="O7" i="11"/>
  <c r="N7" i="11"/>
  <c r="O19" i="11"/>
  <c r="N19" i="11"/>
  <c r="O5" i="11"/>
  <c r="N5" i="11"/>
  <c r="O15" i="11"/>
  <c r="N15" i="11"/>
  <c r="O10" i="11"/>
  <c r="N10" i="11"/>
  <c r="O12" i="11"/>
  <c r="N12" i="11"/>
  <c r="O17" i="11"/>
  <c r="N17" i="11"/>
  <c r="L167" i="11" l="1"/>
  <c r="R167" i="11" l="1"/>
  <c r="L188" i="11"/>
  <c r="R188" i="11" s="1"/>
  <c r="H187" i="11"/>
  <c r="N187" i="11" s="1"/>
  <c r="H172" i="11"/>
  <c r="H166" i="11"/>
  <c r="H151" i="11"/>
  <c r="N151" i="11" s="1"/>
  <c r="H145" i="11"/>
  <c r="N145" i="11" s="1"/>
  <c r="H118" i="11"/>
  <c r="N118" i="11" s="1"/>
  <c r="I103" i="11"/>
  <c r="O103" i="11" s="1"/>
  <c r="I106" i="11"/>
  <c r="O106" i="11" s="1"/>
  <c r="H103" i="11"/>
  <c r="N103" i="11" s="1"/>
  <c r="I97" i="11"/>
  <c r="O97" i="11" s="1"/>
  <c r="I95" i="11"/>
  <c r="O95" i="11" s="1"/>
  <c r="I91" i="11"/>
  <c r="O91" i="11" s="1"/>
  <c r="I90" i="11"/>
  <c r="O90" i="11" s="1"/>
  <c r="I98" i="11"/>
  <c r="O98" i="11" s="1"/>
  <c r="H97" i="11"/>
  <c r="N97" i="11" s="1"/>
  <c r="H95" i="11"/>
  <c r="N95" i="11" s="1"/>
  <c r="H91" i="11"/>
  <c r="N91" i="11" s="1"/>
  <c r="H98" i="11"/>
  <c r="N98" i="11" s="1"/>
  <c r="H86" i="11"/>
  <c r="N86" i="11" s="1"/>
  <c r="H53" i="11"/>
  <c r="N53" i="11" s="1"/>
  <c r="H21" i="11"/>
  <c r="N21" i="11" s="1"/>
  <c r="K177" i="11"/>
  <c r="J177" i="11"/>
  <c r="K178" i="11"/>
  <c r="J178" i="11"/>
  <c r="K175" i="11"/>
  <c r="J175" i="11"/>
  <c r="K180" i="11"/>
  <c r="J180" i="11"/>
  <c r="K181" i="11"/>
  <c r="J181" i="11"/>
  <c r="K176" i="11"/>
  <c r="J176" i="11"/>
  <c r="K179" i="11"/>
  <c r="J179" i="11"/>
  <c r="K184" i="11"/>
  <c r="J184" i="11"/>
  <c r="K186" i="11"/>
  <c r="J186" i="11"/>
  <c r="K182" i="11"/>
  <c r="J182" i="11"/>
  <c r="K183" i="11"/>
  <c r="J183" i="11"/>
  <c r="K185" i="11"/>
  <c r="J185" i="11"/>
  <c r="K170" i="11"/>
  <c r="J170" i="11"/>
  <c r="K161" i="11"/>
  <c r="K160" i="11"/>
  <c r="K159" i="11"/>
  <c r="J159" i="11"/>
  <c r="K163" i="11"/>
  <c r="K165" i="11"/>
  <c r="K162" i="11"/>
  <c r="K164" i="11"/>
  <c r="K156" i="11"/>
  <c r="J156" i="11"/>
  <c r="K155" i="11"/>
  <c r="J155" i="11"/>
  <c r="K148" i="11"/>
  <c r="J148" i="11"/>
  <c r="K150" i="11"/>
  <c r="J150" i="11"/>
  <c r="K149" i="11"/>
  <c r="J149" i="11"/>
  <c r="K139" i="11"/>
  <c r="J139" i="11"/>
  <c r="K129" i="11"/>
  <c r="J129" i="11"/>
  <c r="K127" i="11"/>
  <c r="J127" i="11"/>
  <c r="K130" i="11"/>
  <c r="J130" i="11"/>
  <c r="K136" i="11"/>
  <c r="J136" i="11"/>
  <c r="K124" i="11"/>
  <c r="J124" i="11"/>
  <c r="K134" i="11"/>
  <c r="J134" i="11"/>
  <c r="K126" i="11"/>
  <c r="J126" i="11"/>
  <c r="K121" i="11"/>
  <c r="J121" i="11"/>
  <c r="K128" i="11"/>
  <c r="J128" i="11"/>
  <c r="K141" i="11"/>
  <c r="J141" i="11"/>
  <c r="K137" i="11"/>
  <c r="J137" i="11"/>
  <c r="K143" i="11"/>
  <c r="J143" i="11"/>
  <c r="K135" i="11"/>
  <c r="J135" i="11"/>
  <c r="K125" i="11"/>
  <c r="J125" i="11"/>
  <c r="K142" i="11"/>
  <c r="J142" i="11"/>
  <c r="K131" i="11"/>
  <c r="J131" i="11"/>
  <c r="K122" i="11"/>
  <c r="J122" i="11"/>
  <c r="K140" i="11"/>
  <c r="J140" i="11"/>
  <c r="K144" i="11"/>
  <c r="J144" i="11"/>
  <c r="K138" i="11"/>
  <c r="J138" i="11"/>
  <c r="K114" i="11"/>
  <c r="J114" i="11"/>
  <c r="K117" i="11"/>
  <c r="J117" i="11"/>
  <c r="K116" i="11"/>
  <c r="J116" i="11"/>
  <c r="K115" i="11"/>
  <c r="J115" i="11"/>
  <c r="J106" i="11"/>
  <c r="K107" i="11"/>
  <c r="J107" i="11"/>
  <c r="K105" i="11"/>
  <c r="J105" i="11"/>
  <c r="K102" i="11"/>
  <c r="J102" i="11"/>
  <c r="K104" i="11"/>
  <c r="J104" i="11"/>
  <c r="K110" i="11"/>
  <c r="J110" i="11"/>
  <c r="K108" i="11"/>
  <c r="J108" i="11"/>
  <c r="K92" i="11"/>
  <c r="J92" i="11"/>
  <c r="K96" i="11"/>
  <c r="K99" i="11"/>
  <c r="K93" i="11"/>
  <c r="J93" i="11"/>
  <c r="K82" i="11"/>
  <c r="K65" i="11"/>
  <c r="J65" i="11"/>
  <c r="K58" i="11"/>
  <c r="J58" i="11"/>
  <c r="K63" i="11"/>
  <c r="J63" i="11"/>
  <c r="K74" i="11"/>
  <c r="J74" i="11"/>
  <c r="K60" i="11"/>
  <c r="J60" i="11"/>
  <c r="K59" i="11"/>
  <c r="J59" i="11"/>
  <c r="K80" i="11"/>
  <c r="J80" i="11"/>
  <c r="K57" i="11"/>
  <c r="J57" i="11"/>
  <c r="K56" i="11"/>
  <c r="J56" i="11"/>
  <c r="K64" i="11"/>
  <c r="J64" i="11"/>
  <c r="K70" i="11"/>
  <c r="J70" i="11"/>
  <c r="K66" i="11"/>
  <c r="J66" i="11"/>
  <c r="K69" i="11"/>
  <c r="J69" i="11"/>
  <c r="K72" i="11"/>
  <c r="J72" i="11"/>
  <c r="K75" i="11"/>
  <c r="J75" i="11"/>
  <c r="K79" i="11"/>
  <c r="J79" i="11"/>
  <c r="K77" i="11"/>
  <c r="J77" i="11"/>
  <c r="K71" i="11"/>
  <c r="J71" i="11"/>
  <c r="K76" i="11"/>
  <c r="J76" i="11"/>
  <c r="K81" i="11"/>
  <c r="J81" i="11"/>
  <c r="K61" i="11"/>
  <c r="J61" i="11"/>
  <c r="K85" i="11"/>
  <c r="J85" i="11"/>
  <c r="K84" i="11"/>
  <c r="J84" i="11"/>
  <c r="K83" i="11"/>
  <c r="J83" i="11"/>
  <c r="K62" i="11"/>
  <c r="J62" i="11"/>
  <c r="K67" i="11"/>
  <c r="J67" i="11"/>
  <c r="K68" i="11"/>
  <c r="J68" i="11"/>
  <c r="K73" i="11"/>
  <c r="J73" i="11"/>
  <c r="K78" i="11"/>
  <c r="J78" i="11"/>
  <c r="K44" i="11"/>
  <c r="J44" i="11"/>
  <c r="K33" i="11"/>
  <c r="J33" i="11"/>
  <c r="K37" i="11"/>
  <c r="J37" i="11"/>
  <c r="K45" i="11"/>
  <c r="J45" i="11"/>
  <c r="K50" i="11"/>
  <c r="J50" i="11"/>
  <c r="K48" i="11"/>
  <c r="J48" i="11"/>
  <c r="K27" i="11"/>
  <c r="J27" i="11"/>
  <c r="K38" i="11"/>
  <c r="J38" i="11"/>
  <c r="K31" i="11"/>
  <c r="J31" i="11"/>
  <c r="K51" i="11"/>
  <c r="J51" i="11"/>
  <c r="K40" i="11"/>
  <c r="J40" i="11"/>
  <c r="K42" i="11"/>
  <c r="J42" i="11"/>
  <c r="K25" i="11"/>
  <c r="J25" i="11"/>
  <c r="K52" i="11"/>
  <c r="J52" i="11"/>
  <c r="K34" i="11"/>
  <c r="J34" i="11"/>
  <c r="K36" i="11"/>
  <c r="J36" i="11"/>
  <c r="K35" i="11"/>
  <c r="J35" i="11"/>
  <c r="K24" i="11"/>
  <c r="J24" i="11"/>
  <c r="K30" i="11"/>
  <c r="J30" i="11"/>
  <c r="K46" i="11"/>
  <c r="J46" i="11"/>
  <c r="K32" i="11"/>
  <c r="J32" i="11"/>
  <c r="K41" i="11"/>
  <c r="J41" i="11"/>
  <c r="K29" i="11"/>
  <c r="J29" i="11"/>
  <c r="K43" i="11"/>
  <c r="J43" i="11"/>
  <c r="K28" i="11"/>
  <c r="J28" i="11"/>
  <c r="K26" i="11"/>
  <c r="J26" i="11"/>
  <c r="K49" i="11"/>
  <c r="J49" i="11"/>
  <c r="K39" i="11"/>
  <c r="J39" i="11"/>
  <c r="K47" i="11"/>
  <c r="J47" i="11"/>
  <c r="K18" i="11"/>
  <c r="J18" i="11"/>
  <c r="K11" i="11"/>
  <c r="J11" i="11"/>
  <c r="K6" i="11"/>
  <c r="J6" i="11"/>
  <c r="K14" i="11"/>
  <c r="J14" i="11"/>
  <c r="K20" i="11"/>
  <c r="J20" i="11"/>
  <c r="K8" i="11"/>
  <c r="J8" i="11"/>
  <c r="K16" i="11"/>
  <c r="J16" i="11"/>
  <c r="K13" i="11"/>
  <c r="J13" i="11"/>
  <c r="K9" i="11"/>
  <c r="J9" i="11"/>
  <c r="K7" i="11"/>
  <c r="J7" i="11"/>
  <c r="K19" i="11"/>
  <c r="J19" i="11"/>
  <c r="K5" i="11"/>
  <c r="J5" i="11"/>
  <c r="K15" i="11"/>
  <c r="J15" i="11"/>
  <c r="K10" i="11"/>
  <c r="J10" i="11"/>
  <c r="K12" i="11"/>
  <c r="J12" i="11"/>
  <c r="K17" i="11"/>
  <c r="J17" i="11"/>
  <c r="N166" i="11" l="1"/>
  <c r="J90" i="11"/>
  <c r="H111" i="11"/>
  <c r="H167" i="11" l="1"/>
  <c r="J99" i="11"/>
  <c r="N167" i="11" l="1"/>
  <c r="H188" i="11"/>
  <c r="N188" i="11" s="1"/>
  <c r="P47" i="9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1" i="9"/>
  <c r="S123" i="9"/>
  <c r="S124" i="9"/>
  <c r="S132" i="9"/>
  <c r="S143" i="9"/>
  <c r="S126" i="9"/>
  <c r="S133" i="9"/>
  <c r="S136" i="9"/>
  <c r="S144" i="9"/>
  <c r="S138" i="9"/>
  <c r="S142" i="9"/>
  <c r="S129" i="9"/>
  <c r="S134" i="9"/>
  <c r="S122" i="9"/>
  <c r="S127" i="9"/>
  <c r="S135" i="9"/>
  <c r="S125" i="9"/>
  <c r="S137" i="9"/>
  <c r="S131" i="9"/>
  <c r="S128" i="9"/>
  <c r="S130" i="9"/>
  <c r="S140" i="9"/>
  <c r="S146" i="9"/>
  <c r="S139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0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40" i="9"/>
  <c r="S50" i="9"/>
  <c r="S27" i="9"/>
  <c r="S29" i="9"/>
  <c r="S44" i="9"/>
  <c r="S30" i="9"/>
  <c r="S42" i="9"/>
  <c r="S33" i="9"/>
  <c r="S47" i="9"/>
  <c r="S31" i="9"/>
  <c r="S25" i="9"/>
  <c r="S36" i="9"/>
  <c r="S37" i="9"/>
  <c r="S35" i="9"/>
  <c r="S53" i="9"/>
  <c r="S26" i="9"/>
  <c r="S43" i="9"/>
  <c r="S41" i="9"/>
  <c r="S52" i="9"/>
  <c r="S32" i="9"/>
  <c r="S39" i="9"/>
  <c r="S28" i="9"/>
  <c r="S49" i="9"/>
  <c r="S51" i="9"/>
  <c r="S46" i="9"/>
  <c r="S38" i="9"/>
  <c r="S34" i="9"/>
  <c r="S45" i="9"/>
  <c r="S54" i="9"/>
  <c r="S48" i="9"/>
  <c r="S13" i="9"/>
  <c r="S11" i="9"/>
  <c r="S16" i="9"/>
  <c r="S6" i="9"/>
  <c r="S20" i="9"/>
  <c r="S8" i="9"/>
  <c r="S10" i="9"/>
  <c r="S14" i="9"/>
  <c r="S17" i="9"/>
  <c r="S9" i="9"/>
  <c r="S21" i="9"/>
  <c r="S15" i="9"/>
  <c r="S7" i="9"/>
  <c r="S12" i="9"/>
  <c r="S19" i="9"/>
  <c r="S22" i="9"/>
  <c r="S18" i="9"/>
  <c r="D145" i="11" l="1"/>
  <c r="J145" i="11" s="1"/>
  <c r="D53" i="11"/>
  <c r="J53" i="11" s="1"/>
  <c r="D187" i="11" l="1"/>
  <c r="J187" i="11" s="1"/>
  <c r="D172" i="11"/>
  <c r="D166" i="11"/>
  <c r="D151" i="11"/>
  <c r="J151" i="11" s="1"/>
  <c r="D118" i="11"/>
  <c r="J118" i="11" s="1"/>
  <c r="E103" i="11"/>
  <c r="K103" i="11" s="1"/>
  <c r="E106" i="11"/>
  <c r="K106" i="11" s="1"/>
  <c r="D103" i="11"/>
  <c r="J103" i="11" s="1"/>
  <c r="E97" i="11"/>
  <c r="K97" i="11" s="1"/>
  <c r="E95" i="11"/>
  <c r="K95" i="11" s="1"/>
  <c r="K91" i="11"/>
  <c r="E90" i="11"/>
  <c r="K90" i="11" s="1"/>
  <c r="E98" i="11"/>
  <c r="K98" i="11" s="1"/>
  <c r="D97" i="11"/>
  <c r="J97" i="11" s="1"/>
  <c r="D95" i="11"/>
  <c r="J95" i="11" s="1"/>
  <c r="D98" i="11"/>
  <c r="D86" i="11"/>
  <c r="J86" i="11" s="1"/>
  <c r="D21" i="11"/>
  <c r="J21" i="11" s="1"/>
  <c r="J166" i="11" l="1"/>
  <c r="D111" i="11"/>
  <c r="D167" i="11" s="1"/>
  <c r="J98" i="11"/>
  <c r="G177" i="11"/>
  <c r="F177" i="11"/>
  <c r="G178" i="11"/>
  <c r="F178" i="11"/>
  <c r="G175" i="11"/>
  <c r="F175" i="11"/>
  <c r="G180" i="11"/>
  <c r="F180" i="11"/>
  <c r="G181" i="11"/>
  <c r="F181" i="11"/>
  <c r="G176" i="11"/>
  <c r="F176" i="11"/>
  <c r="G179" i="11"/>
  <c r="F179" i="11"/>
  <c r="G184" i="11"/>
  <c r="F184" i="11"/>
  <c r="G186" i="11"/>
  <c r="F186" i="11"/>
  <c r="G182" i="11"/>
  <c r="F182" i="11"/>
  <c r="G183" i="11"/>
  <c r="F183" i="11"/>
  <c r="G185" i="11"/>
  <c r="F185" i="11"/>
  <c r="G170" i="11"/>
  <c r="F170" i="11"/>
  <c r="G161" i="11"/>
  <c r="G160" i="11"/>
  <c r="G159" i="11"/>
  <c r="F159" i="11"/>
  <c r="G163" i="11"/>
  <c r="G165" i="11"/>
  <c r="G162" i="11"/>
  <c r="G164" i="11"/>
  <c r="G156" i="11"/>
  <c r="F156" i="11"/>
  <c r="G155" i="11"/>
  <c r="F155" i="11"/>
  <c r="G148" i="11"/>
  <c r="F148" i="11"/>
  <c r="G150" i="11"/>
  <c r="F150" i="11"/>
  <c r="G149" i="11"/>
  <c r="F149" i="11"/>
  <c r="G139" i="11"/>
  <c r="F139" i="11"/>
  <c r="G129" i="11"/>
  <c r="F129" i="11"/>
  <c r="G127" i="11"/>
  <c r="F127" i="11"/>
  <c r="G130" i="11"/>
  <c r="F130" i="11"/>
  <c r="G136" i="11"/>
  <c r="F136" i="11"/>
  <c r="G124" i="11"/>
  <c r="F124" i="11"/>
  <c r="G134" i="11"/>
  <c r="F134" i="11"/>
  <c r="G126" i="11"/>
  <c r="F126" i="11"/>
  <c r="G121" i="11"/>
  <c r="F121" i="11"/>
  <c r="G128" i="11"/>
  <c r="F128" i="11"/>
  <c r="G141" i="11"/>
  <c r="F141" i="11"/>
  <c r="G137" i="11"/>
  <c r="F137" i="11"/>
  <c r="G143" i="11"/>
  <c r="F143" i="11"/>
  <c r="G135" i="11"/>
  <c r="F135" i="11"/>
  <c r="G125" i="11"/>
  <c r="F125" i="11"/>
  <c r="G142" i="11"/>
  <c r="F142" i="11"/>
  <c r="G131" i="11"/>
  <c r="F131" i="11"/>
  <c r="G122" i="11"/>
  <c r="F122" i="11"/>
  <c r="G140" i="11"/>
  <c r="F140" i="11"/>
  <c r="G144" i="11"/>
  <c r="F144" i="11"/>
  <c r="G138" i="11"/>
  <c r="F138" i="11"/>
  <c r="G114" i="11"/>
  <c r="F114" i="11"/>
  <c r="G117" i="11"/>
  <c r="F117" i="11"/>
  <c r="G116" i="11"/>
  <c r="F116" i="11"/>
  <c r="G115" i="11"/>
  <c r="F115" i="11"/>
  <c r="F106" i="11"/>
  <c r="G107" i="11"/>
  <c r="F107" i="11"/>
  <c r="G105" i="11"/>
  <c r="F105" i="11"/>
  <c r="G102" i="11"/>
  <c r="F102" i="11"/>
  <c r="G104" i="11"/>
  <c r="F104" i="11"/>
  <c r="G110" i="11"/>
  <c r="F110" i="11"/>
  <c r="G108" i="11"/>
  <c r="F108" i="11"/>
  <c r="G92" i="11"/>
  <c r="F92" i="11"/>
  <c r="F90" i="11"/>
  <c r="G96" i="11"/>
  <c r="G99" i="11"/>
  <c r="G93" i="11"/>
  <c r="F93" i="11"/>
  <c r="G82" i="11"/>
  <c r="G65" i="11"/>
  <c r="F65" i="11"/>
  <c r="G58" i="11"/>
  <c r="F58" i="11"/>
  <c r="G63" i="11"/>
  <c r="F63" i="11"/>
  <c r="G74" i="11"/>
  <c r="F74" i="11"/>
  <c r="G60" i="11"/>
  <c r="F60" i="11"/>
  <c r="G59" i="11"/>
  <c r="F59" i="11"/>
  <c r="G80" i="11"/>
  <c r="F80" i="11"/>
  <c r="G57" i="11"/>
  <c r="F57" i="11"/>
  <c r="G56" i="11"/>
  <c r="F56" i="11"/>
  <c r="G64" i="11"/>
  <c r="F64" i="11"/>
  <c r="G70" i="11"/>
  <c r="F70" i="11"/>
  <c r="G66" i="11"/>
  <c r="F66" i="11"/>
  <c r="G69" i="11"/>
  <c r="F69" i="11"/>
  <c r="G72" i="11"/>
  <c r="F72" i="11"/>
  <c r="G75" i="11"/>
  <c r="F75" i="11"/>
  <c r="G79" i="11"/>
  <c r="F79" i="11"/>
  <c r="G77" i="11"/>
  <c r="F77" i="11"/>
  <c r="G71" i="11"/>
  <c r="F71" i="11"/>
  <c r="G76" i="11"/>
  <c r="F76" i="11"/>
  <c r="G81" i="11"/>
  <c r="F81" i="11"/>
  <c r="G61" i="11"/>
  <c r="F61" i="11"/>
  <c r="G85" i="11"/>
  <c r="F85" i="11"/>
  <c r="G84" i="11"/>
  <c r="F84" i="11"/>
  <c r="G83" i="11"/>
  <c r="F83" i="11"/>
  <c r="G62" i="11"/>
  <c r="F62" i="11"/>
  <c r="G67" i="11"/>
  <c r="F67" i="11"/>
  <c r="G68" i="11"/>
  <c r="F68" i="11"/>
  <c r="G73" i="11"/>
  <c r="F73" i="11"/>
  <c r="G78" i="11"/>
  <c r="F78" i="11"/>
  <c r="G44" i="11"/>
  <c r="F44" i="11"/>
  <c r="G33" i="11"/>
  <c r="F33" i="11"/>
  <c r="G37" i="11"/>
  <c r="F37" i="11"/>
  <c r="G45" i="11"/>
  <c r="F45" i="11"/>
  <c r="G50" i="11"/>
  <c r="F50" i="11"/>
  <c r="G48" i="11"/>
  <c r="F48" i="11"/>
  <c r="G27" i="11"/>
  <c r="F27" i="11"/>
  <c r="G38" i="11"/>
  <c r="F38" i="11"/>
  <c r="G31" i="11"/>
  <c r="F31" i="11"/>
  <c r="G51" i="11"/>
  <c r="F51" i="11"/>
  <c r="G40" i="11"/>
  <c r="F40" i="11"/>
  <c r="G42" i="11"/>
  <c r="F42" i="11"/>
  <c r="G25" i="11"/>
  <c r="F25" i="11"/>
  <c r="G52" i="11"/>
  <c r="F52" i="11"/>
  <c r="G34" i="11"/>
  <c r="F34" i="11"/>
  <c r="G36" i="11"/>
  <c r="F36" i="11"/>
  <c r="G35" i="11"/>
  <c r="F35" i="11"/>
  <c r="G24" i="11"/>
  <c r="F24" i="11"/>
  <c r="G30" i="11"/>
  <c r="F30" i="11"/>
  <c r="G46" i="11"/>
  <c r="F46" i="11"/>
  <c r="G32" i="11"/>
  <c r="F32" i="11"/>
  <c r="G41" i="11"/>
  <c r="F41" i="11"/>
  <c r="G29" i="11"/>
  <c r="F29" i="11"/>
  <c r="G43" i="11"/>
  <c r="F43" i="11"/>
  <c r="G28" i="11"/>
  <c r="F28" i="11"/>
  <c r="G26" i="11"/>
  <c r="F26" i="11"/>
  <c r="G49" i="11"/>
  <c r="F49" i="11"/>
  <c r="G39" i="11"/>
  <c r="F39" i="11"/>
  <c r="G47" i="11"/>
  <c r="F47" i="11"/>
  <c r="G18" i="11"/>
  <c r="F18" i="11"/>
  <c r="G11" i="11"/>
  <c r="F11" i="11"/>
  <c r="G6" i="11"/>
  <c r="F6" i="11"/>
  <c r="G14" i="11"/>
  <c r="F14" i="11"/>
  <c r="G20" i="11"/>
  <c r="F20" i="11"/>
  <c r="G8" i="11"/>
  <c r="F8" i="11"/>
  <c r="G16" i="11"/>
  <c r="F16" i="11"/>
  <c r="G13" i="11"/>
  <c r="F13" i="11"/>
  <c r="G9" i="11"/>
  <c r="F9" i="11"/>
  <c r="G7" i="11"/>
  <c r="F7" i="11"/>
  <c r="G19" i="11"/>
  <c r="F19" i="11"/>
  <c r="G5" i="11"/>
  <c r="F5" i="11"/>
  <c r="G15" i="11"/>
  <c r="F15" i="11"/>
  <c r="G10" i="11"/>
  <c r="F10" i="11"/>
  <c r="G12" i="11"/>
  <c r="F12" i="11"/>
  <c r="G17" i="11"/>
  <c r="F17" i="11"/>
  <c r="J167" i="11" l="1"/>
  <c r="F99" i="11"/>
  <c r="D188" i="11"/>
  <c r="J188" i="11" s="1"/>
  <c r="P15" i="9"/>
  <c r="B187" i="11" l="1"/>
  <c r="B172" i="11"/>
  <c r="B166" i="11"/>
  <c r="B151" i="11"/>
  <c r="B145" i="11"/>
  <c r="B118" i="11"/>
  <c r="C103" i="11"/>
  <c r="C106" i="11"/>
  <c r="B103" i="11"/>
  <c r="C97" i="11"/>
  <c r="C95" i="11"/>
  <c r="C91" i="11"/>
  <c r="C90" i="11"/>
  <c r="C98" i="11"/>
  <c r="B97" i="11"/>
  <c r="B95" i="11"/>
  <c r="B98" i="11"/>
  <c r="B86" i="11"/>
  <c r="B53" i="11"/>
  <c r="B21" i="11"/>
  <c r="F95" i="11" l="1"/>
  <c r="G106" i="11"/>
  <c r="F97" i="11"/>
  <c r="G103" i="11"/>
  <c r="G98" i="11"/>
  <c r="F118" i="11"/>
  <c r="G90" i="11"/>
  <c r="F145" i="11"/>
  <c r="F21" i="11"/>
  <c r="G91" i="11"/>
  <c r="F151" i="11"/>
  <c r="F53" i="11"/>
  <c r="G95" i="11"/>
  <c r="F86" i="11"/>
  <c r="G97" i="11"/>
  <c r="F98" i="11"/>
  <c r="F103" i="11"/>
  <c r="F187" i="11"/>
  <c r="F166" i="11"/>
  <c r="B111" i="11"/>
  <c r="B167" i="11" l="1"/>
  <c r="F167" i="11" l="1"/>
  <c r="B188" i="11"/>
  <c r="F188" i="11" l="1"/>
  <c r="K10" i="1" l="1"/>
  <c r="K12" i="1" l="1"/>
  <c r="R110" i="9" l="1"/>
  <c r="Q110" i="9"/>
  <c r="R104" i="9"/>
  <c r="Q104" i="9"/>
  <c r="P104" i="9"/>
  <c r="R98" i="9"/>
  <c r="Q98" i="9"/>
  <c r="P98" i="9"/>
  <c r="P110" i="9" l="1"/>
  <c r="E139" i="9" l="1"/>
  <c r="E130" i="9" l="1"/>
  <c r="E122" i="9"/>
  <c r="E140" i="9"/>
  <c r="E134" i="9"/>
  <c r="E126" i="9"/>
  <c r="E143" i="9"/>
  <c r="E128" i="9"/>
  <c r="E129" i="9"/>
  <c r="E132" i="9"/>
  <c r="E131" i="9"/>
  <c r="E142" i="9"/>
  <c r="E124" i="9"/>
  <c r="E137" i="9"/>
  <c r="E138" i="9"/>
  <c r="E123" i="9"/>
  <c r="E125" i="9"/>
  <c r="E144" i="9"/>
  <c r="E141" i="9"/>
  <c r="E135" i="9"/>
  <c r="E136" i="9"/>
  <c r="E145" i="9"/>
  <c r="E127" i="9"/>
  <c r="E133" i="9"/>
  <c r="E110" i="9" l="1"/>
  <c r="E98" i="9"/>
  <c r="J22" i="9" l="1"/>
  <c r="R96" i="9" l="1"/>
  <c r="P96" i="9"/>
  <c r="Q96" i="9"/>
  <c r="E96" i="9" l="1"/>
  <c r="R192" i="9" l="1"/>
  <c r="Q99" i="9"/>
  <c r="Q18" i="9"/>
  <c r="R130" i="9" l="1"/>
  <c r="Q130" i="9"/>
  <c r="P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K95" i="9" s="1"/>
  <c r="J87" i="9"/>
  <c r="J54" i="9"/>
  <c r="K26" i="9" s="1"/>
  <c r="K137" i="9" l="1"/>
  <c r="K141" i="9"/>
  <c r="K110" i="9"/>
  <c r="K103" i="9"/>
  <c r="K128" i="9"/>
  <c r="K144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8" i="9"/>
  <c r="K41" i="9"/>
  <c r="K38" i="9"/>
  <c r="K51" i="9"/>
  <c r="K34" i="9"/>
  <c r="K39" i="9"/>
  <c r="K49" i="9"/>
  <c r="K32" i="9"/>
  <c r="K45" i="9"/>
  <c r="K136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83" i="9" l="1"/>
  <c r="K190" i="9"/>
  <c r="K161" i="9"/>
  <c r="J168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0" i="9"/>
  <c r="Q140" i="9"/>
  <c r="P140" i="9"/>
  <c r="R131" i="9"/>
  <c r="Q131" i="9"/>
  <c r="P131" i="9"/>
  <c r="R137" i="9"/>
  <c r="Q137" i="9"/>
  <c r="P137" i="9"/>
  <c r="R125" i="9"/>
  <c r="Q125" i="9"/>
  <c r="P125" i="9"/>
  <c r="R135" i="9"/>
  <c r="Q135" i="9"/>
  <c r="P135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2" i="9"/>
  <c r="Q142" i="9"/>
  <c r="P142" i="9"/>
  <c r="R138" i="9"/>
  <c r="Q138" i="9"/>
  <c r="P138" i="9"/>
  <c r="R144" i="9"/>
  <c r="Q144" i="9"/>
  <c r="P144" i="9"/>
  <c r="R136" i="9"/>
  <c r="Q136" i="9"/>
  <c r="P136" i="9"/>
  <c r="R133" i="9"/>
  <c r="Q133" i="9"/>
  <c r="P133" i="9"/>
  <c r="R126" i="9"/>
  <c r="Q126" i="9"/>
  <c r="P126" i="9"/>
  <c r="R143" i="9"/>
  <c r="Q143" i="9"/>
  <c r="P143" i="9"/>
  <c r="R132" i="9"/>
  <c r="Q132" i="9"/>
  <c r="P132" i="9"/>
  <c r="R124" i="9"/>
  <c r="Q124" i="9"/>
  <c r="P124" i="9"/>
  <c r="R123" i="9"/>
  <c r="Q123" i="9"/>
  <c r="P123" i="9"/>
  <c r="R141" i="9"/>
  <c r="Q141" i="9"/>
  <c r="P141" i="9"/>
  <c r="R145" i="9"/>
  <c r="Q145" i="9"/>
  <c r="P145" i="9"/>
  <c r="R139" i="9"/>
  <c r="Q139" i="9"/>
  <c r="P139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4" i="9"/>
  <c r="Q34" i="9"/>
  <c r="P34" i="9"/>
  <c r="R38" i="9"/>
  <c r="Q38" i="9"/>
  <c r="P38" i="9"/>
  <c r="R46" i="9"/>
  <c r="Q46" i="9"/>
  <c r="P46" i="9"/>
  <c r="R51" i="9"/>
  <c r="Q51" i="9"/>
  <c r="P51" i="9"/>
  <c r="R49" i="9"/>
  <c r="Q49" i="9"/>
  <c r="P49" i="9"/>
  <c r="R28" i="9"/>
  <c r="Q28" i="9"/>
  <c r="P28" i="9"/>
  <c r="R39" i="9"/>
  <c r="Q39" i="9"/>
  <c r="P39" i="9"/>
  <c r="R32" i="9"/>
  <c r="Q32" i="9"/>
  <c r="P32" i="9"/>
  <c r="R52" i="9"/>
  <c r="Q52" i="9"/>
  <c r="P52" i="9"/>
  <c r="R41" i="9"/>
  <c r="Q41" i="9"/>
  <c r="P41" i="9"/>
  <c r="R43" i="9"/>
  <c r="Q43" i="9"/>
  <c r="P43" i="9"/>
  <c r="R26" i="9"/>
  <c r="Q26" i="9"/>
  <c r="P26" i="9"/>
  <c r="R53" i="9"/>
  <c r="Q53" i="9"/>
  <c r="P53" i="9"/>
  <c r="R35" i="9"/>
  <c r="Q35" i="9"/>
  <c r="P35" i="9"/>
  <c r="R37" i="9"/>
  <c r="Q37" i="9"/>
  <c r="P37" i="9"/>
  <c r="R36" i="9"/>
  <c r="Q36" i="9"/>
  <c r="P36" i="9"/>
  <c r="R25" i="9"/>
  <c r="Q25" i="9"/>
  <c r="P25" i="9"/>
  <c r="R31" i="9"/>
  <c r="Q31" i="9"/>
  <c r="P31" i="9"/>
  <c r="R47" i="9"/>
  <c r="Q47" i="9"/>
  <c r="R33" i="9"/>
  <c r="Q33" i="9"/>
  <c r="P33" i="9"/>
  <c r="R42" i="9"/>
  <c r="Q42" i="9"/>
  <c r="P42" i="9"/>
  <c r="R30" i="9"/>
  <c r="Q30" i="9"/>
  <c r="P30" i="9"/>
  <c r="R44" i="9"/>
  <c r="Q44" i="9"/>
  <c r="P44" i="9"/>
  <c r="R29" i="9"/>
  <c r="Q29" i="9"/>
  <c r="P29" i="9"/>
  <c r="R27" i="9"/>
  <c r="Q27" i="9"/>
  <c r="P27" i="9"/>
  <c r="R50" i="9"/>
  <c r="Q50" i="9"/>
  <c r="P50" i="9"/>
  <c r="R40" i="9"/>
  <c r="Q40" i="9"/>
  <c r="P40" i="9"/>
  <c r="R48" i="9"/>
  <c r="Q48" i="9"/>
  <c r="P48" i="9"/>
  <c r="R22" i="9"/>
  <c r="P22" i="9"/>
  <c r="E8" i="9"/>
  <c r="R19" i="9"/>
  <c r="Q19" i="9"/>
  <c r="P19" i="9"/>
  <c r="R7" i="9"/>
  <c r="Q7" i="9"/>
  <c r="R15" i="9"/>
  <c r="Q15" i="9"/>
  <c r="R21" i="9"/>
  <c r="Q21" i="9"/>
  <c r="P21" i="9"/>
  <c r="E21" i="9"/>
  <c r="R9" i="9"/>
  <c r="Q9" i="9"/>
  <c r="P9" i="9"/>
  <c r="R17" i="9"/>
  <c r="Q17" i="9"/>
  <c r="P17" i="9"/>
  <c r="R14" i="9"/>
  <c r="Q14" i="9"/>
  <c r="P14" i="9"/>
  <c r="E14" i="9"/>
  <c r="R10" i="9"/>
  <c r="Q10" i="9"/>
  <c r="P10" i="9"/>
  <c r="R8" i="9"/>
  <c r="Q8" i="9"/>
  <c r="P8" i="9"/>
  <c r="R20" i="9"/>
  <c r="Q20" i="9"/>
  <c r="P20" i="9"/>
  <c r="E20" i="9"/>
  <c r="R6" i="9"/>
  <c r="Q6" i="9"/>
  <c r="P6" i="9"/>
  <c r="R16" i="9"/>
  <c r="Q16" i="9"/>
  <c r="P16" i="9"/>
  <c r="E16" i="9"/>
  <c r="R11" i="9"/>
  <c r="Q11" i="9"/>
  <c r="P11" i="9"/>
  <c r="R13" i="9"/>
  <c r="Q13" i="9"/>
  <c r="P13" i="9"/>
  <c r="R18" i="9"/>
  <c r="P18" i="9"/>
  <c r="E18" i="9"/>
  <c r="K180" i="9" l="1"/>
  <c r="K187" i="9"/>
  <c r="K189" i="9"/>
  <c r="K181" i="9"/>
  <c r="K188" i="9"/>
  <c r="K185" i="9"/>
  <c r="P192" i="9"/>
  <c r="K186" i="9"/>
  <c r="K182" i="9"/>
  <c r="K184" i="9"/>
  <c r="K166" i="9"/>
  <c r="K156" i="9"/>
  <c r="K163" i="9"/>
  <c r="K164" i="9"/>
  <c r="K160" i="9"/>
  <c r="K162" i="9"/>
  <c r="K123" i="9"/>
  <c r="K67" i="9"/>
  <c r="K75" i="9"/>
  <c r="K85" i="9"/>
  <c r="K78" i="9"/>
  <c r="K64" i="9"/>
  <c r="K84" i="9"/>
  <c r="K76" i="9"/>
  <c r="K63" i="9"/>
  <c r="K65" i="9"/>
  <c r="K58" i="9"/>
  <c r="K61" i="9"/>
  <c r="K35" i="9"/>
  <c r="K30" i="9"/>
  <c r="K29" i="9"/>
  <c r="K50" i="9"/>
  <c r="K36" i="9"/>
  <c r="K33" i="9"/>
  <c r="K48" i="9"/>
  <c r="K31" i="9"/>
  <c r="P54" i="9"/>
  <c r="K13" i="9"/>
  <c r="K16" i="9"/>
  <c r="K20" i="9"/>
  <c r="K15" i="9"/>
  <c r="K18" i="9"/>
  <c r="K14" i="9"/>
  <c r="K17" i="9"/>
  <c r="K10" i="9"/>
  <c r="K21" i="9"/>
  <c r="K11" i="9"/>
  <c r="K143" i="9"/>
  <c r="K138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29" i="9"/>
  <c r="K140" i="9"/>
  <c r="P146" i="9"/>
  <c r="E164" i="9"/>
  <c r="E11" i="9"/>
  <c r="E9" i="9"/>
  <c r="E10" i="9"/>
  <c r="K40" i="9"/>
  <c r="K27" i="9"/>
  <c r="K42" i="9"/>
  <c r="K47" i="9"/>
  <c r="K25" i="9"/>
  <c r="K37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K122" i="9"/>
  <c r="E162" i="9"/>
  <c r="K139" i="9"/>
  <c r="E13" i="9"/>
  <c r="E17" i="9"/>
  <c r="E19" i="9"/>
  <c r="K69" i="9"/>
  <c r="K77" i="9"/>
  <c r="K81" i="9"/>
  <c r="K142" i="9"/>
  <c r="K131" i="9"/>
  <c r="E166" i="9"/>
  <c r="E92" i="9"/>
  <c r="E6" i="9"/>
  <c r="E15" i="9"/>
  <c r="K86" i="9"/>
  <c r="E61" i="9"/>
  <c r="K83" i="9"/>
  <c r="K115" i="9"/>
  <c r="K14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2" i="11" l="1"/>
  <c r="AT137" i="11"/>
  <c r="AQ137" i="11"/>
  <c r="AS137" i="11" s="1"/>
  <c r="AT136" i="11"/>
  <c r="AS136" i="11"/>
  <c r="AT135" i="11"/>
  <c r="AS135" i="11"/>
  <c r="AT134" i="11"/>
  <c r="AS134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2" i="11" s="1"/>
  <c r="AS142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<sst xmlns="http://schemas.openxmlformats.org/spreadsheetml/2006/main" count="726" uniqueCount="288">
  <si>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</si>
  <si>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</si>
  <si>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</si>
  <si>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</si>
  <si>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</si>
  <si>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</si>
  <si>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</si>
  <si>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</si>
  <si>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</si>
  <si>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</si>
  <si>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</si>
  <si>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</si>
  <si>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</si>
  <si>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</si>
  <si>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</si>
  <si>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</si>
  <si>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</si>
  <si>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</si>
  <si>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</si>
  <si>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</si>
  <si>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</si>
  <si>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</si>
  <si>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</si>
  <si>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</si>
  <si>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</si>
  <si>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</si>
  <si>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</si>
  <si>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</si>
  <si>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</si>
  <si>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</si>
  <si>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</si>
  <si>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</si>
  <si>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</si>
  <si>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</si>
  <si>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</si>
  <si>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</si>
  <si>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</si>
  <si>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</si>
  <si>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</si>
  <si>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</si>
  <si>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</si>
  <si>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</si>
  <si>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</si>
  <si>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</si>
  <si>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</si>
  <si>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</si>
  <si>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</si>
  <si>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</si>
  <si>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</si>
  <si>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</si>
  <si>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</si>
  <si>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</si>
  <si>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</si>
  <si>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</si>
  <si>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</si>
  <si>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</si>
  <si>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</si>
  <si>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</si>
  <si>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</si>
  <si>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</si>
  <si>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</si>
  <si>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</si>
  <si>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</si>
  <si>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</si>
  <si>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</si>
  <si>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</si>
  <si>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</si>
  <si>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</si>
  <si>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</si>
  <si>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</si>
  <si>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</si>
  <si>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</si>
  <si>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</si>
  <si>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</si>
  <si>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</si>
  <si>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</si>
  <si>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</si>
  <si>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</si>
  <si>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</si>
  <si>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</si>
  <si>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</si>
  <si>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</si>
  <si>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</si>
  <si>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</si>
  <si>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</si>
  <si>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</si>
  <si>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</si>
  <si>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</si>
  <si>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</si>
  <si>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</si>
  <si>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</si>
  <si>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</si>
  <si>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</si>
  <si>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</si>
  <si>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</si>
  <si>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</si>
  <si>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</si>
  <si>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</si>
  <si>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</si>
  <si>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</si>
  <si>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</si>
  <si>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</si>
  <si>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</si>
  <si>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</si>
  <si>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</si>
  <si>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</si>
  <si>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</si>
  <si>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</si>
  <si>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</si>
  <si>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</si>
  <si>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</si>
  <si>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</si>
  <si>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</si>
  <si>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</si>
  <si>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</si>
  <si>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</si>
  <si>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</si>
  <si>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</si>
  <si>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</si>
  <si>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</si>
  <si>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</si>
  <si>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</si>
  <si>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</si>
  <si>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</si>
  <si>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</si>
  <si>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</si>
  <si>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</si>
  <si>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</si>
  <si>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</si>
  <si>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</si>
  <si>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</si>
  <si>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</si>
  <si>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</si>
  <si>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</si>
  <si>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</si>
  <si>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</si>
  <si>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</si>
  <si>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</si>
  <si>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</si>
  <si>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</si>
  <si>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</si>
  <si>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</si>
  <si>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</si>
  <si>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</si>
  <si>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</si>
  <si>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</si>
  <si>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</si>
  <si>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</si>
  <si>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</si>
  <si>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</si>
  <si>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</si>
  <si>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</si>
  <si>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</si>
  <si>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</si>
  <si>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</si>
  <si>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</si>
  <si>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</si>
  <si>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</si>
  <si>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</si>
  <si>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</si>
  <si>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</si>
  <si>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</si>
  <si>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</si>
  <si>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</si>
  <si>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</si>
  <si>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</si>
  <si>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</si>
  <si>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</si>
  <si>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</si>
  <si>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</si>
  <si>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</si>
  <si>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</si>
  <si>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</si>
  <si>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</si>
  <si>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</si>
  <si>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</si>
  <si>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</si>
  <si>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</si>
  <si>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</si>
  <si>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</si>
  <si>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</si>
  <si>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</si>
  <si>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</si>
  <si>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</si>
  <si>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</si>
  <si>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</si>
  <si>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</si>
  <si>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</si>
  <si>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</si>
  <si>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</si>
  <si>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</si>
  <si>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</si>
  <si>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</si>
  <si>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</si>
  <si>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</si>
  <si>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</si>
  <si>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</si>
  <si>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</si>
  <si>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</si>
  <si>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</si>
  <si>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</si>
  <si>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</si>
  <si>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</si>
  <si>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</si>
  <si>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</si>
  <si>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</si>
  <si>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</si>
  <si>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</si>
  <si>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</si>
  <si>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</si>
  <si>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</si>
  <si>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</si>
  <si>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</si>
  <si>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</si>
  <si>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United Capital Wealth for Women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</si>
  <si>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</si>
  <si>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</si>
  <si>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</si>
  <si>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</si>
  <si>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</si>
  <si>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</si>
  <si>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</si>
  <si>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</si>
  <si>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</si>
  <si>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</si>
  <si>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</si>
  <si>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</si>
  <si>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</si>
  <si>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</si>
  <si>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</si>
  <si>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</si>
  <si>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</si>
  <si>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</si>
  <si>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</si>
  <si>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</si>
  <si>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</si>
  <si>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</si>
  <si>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</si>
  <si>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</si>
  <si>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</si>
  <si>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</si>
  <si>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</si>
  <si>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</si>
  <si>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</si>
  <si>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</si>
  <si>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</si>
  <si>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</si>
  <si>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</si>
  <si>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</si>
  <si>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</si>
  <si>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</si>
  <si>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</si>
  <si>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</si>
  <si>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</si>
  <si>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</si>
  <si>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</si>
  <si>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</si>
  <si>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</si>
  <si>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</si>
  <si>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NAV and Unit Price as at Week Ended March 17, 2023</t>
  </si>
  <si>
    <t>Yield (WTD)</t>
  </si>
  <si>
    <t>Yield  (YTD)</t>
  </si>
  <si>
    <t>Greenwich Balanced Fund</t>
  </si>
  <si>
    <t>NAV and Unit Price as at Week Ended March 24, 2023</t>
  </si>
  <si>
    <t>Yield (%) WYD</t>
  </si>
  <si>
    <t>Yield (%) YTD</t>
  </si>
  <si>
    <t>Coronation Asset Management Ltd</t>
  </si>
  <si>
    <t>NAV and Unit Price as at Week Ended March 31, 2023</t>
  </si>
  <si>
    <t>NAV and Unit Price as at Week Ended April 6, 2023</t>
  </si>
  <si>
    <t>% Change in Total NAV of ETFs</t>
  </si>
  <si>
    <t>% Change in Total NAV of CIS</t>
  </si>
  <si>
    <t>First Ally Money Market Fund</t>
  </si>
  <si>
    <t>BOND/FIXED INCOME FUNDS</t>
  </si>
  <si>
    <t>NAV and Unit Price as at Week Ended April 14, 2023</t>
  </si>
  <si>
    <t>Emerging Africa Balanced-Diversity Fund</t>
  </si>
  <si>
    <t>GDL CanaryGrowth Fund</t>
  </si>
  <si>
    <t>Coral Balanced Fund</t>
  </si>
  <si>
    <t>FBN Specialized Dollar Fund</t>
  </si>
  <si>
    <t>NAV and Unit Price as at Week Ended April 20, 2023</t>
  </si>
  <si>
    <t>NAV and Unit Price as at Week Ended April 28, 2023</t>
  </si>
  <si>
    <t>NAV, Unit Price and Yield as at Week Ended May 5, 2023</t>
  </si>
  <si>
    <t>NAV and Unit Price as at Week Ended May 5, 2023</t>
  </si>
  <si>
    <t>NET ASSET VALUES AND UNIT PRICES OF COLLECTIVE INVESTMENT SCHEMES AS AT WEEK ENDED MAY 12, 2023</t>
  </si>
  <si>
    <t>NAV, Unit Price and Yield as at Week Ended May 12, 2023</t>
  </si>
  <si>
    <t xml:space="preserve">                 51,007.20 </t>
  </si>
  <si>
    <t xml:space="preserve">                51,007.20 </t>
  </si>
  <si>
    <t>NAV and Unit Price as at Week Ended May 12, 2023</t>
  </si>
  <si>
    <t>The chart above shows that Money Market Fund category has 49.52% share of the Net Asset Value (NAV), followed by Dollar Fund (Eurobonds and Fixed Income) with 20.17%, Bond/Fixed Income Fund at 19.88%, Real Estate Investment Trust at 5.73%.  Next is Balanced Fund at 1.93%, Shari'ah Compliant Fund at 1.54%, Equity Fund at 1.03%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</si>
</sst>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8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8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8" fillId="0" borderId="0" applyNumberFormat="0" applyFont="0" applyBorder="0" applyProtection="0"/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87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8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9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9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9" fillId="0" borderId="0"/>
    <xf numFmtId="0" fontId="89" fillId="0" borderId="0"/>
    <xf numFmtId="0" fontId="89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90" fillId="0" borderId="0"/>
    <xf numFmtId="0" fontId="90" fillId="0" borderId="0"/>
    <xf numFmtId="0" fontId="90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8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43" fontId="1" fillId="6" borderId="0" xfId="13398" applyFont="1" applyFill="1" applyBorder="1" applyAlignment="1">
      <alignment horizontal="right"/>
    </xf>
    <xf numFmtId="4" fontId="84" fillId="0" borderId="1" xfId="0" applyNumberFormat="1" applyFont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91" fillId="0" borderId="0" xfId="0" applyFont="1"/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4" fillId="45" borderId="6" xfId="0" applyFont="1" applyFill="1" applyBorder="1" applyAlignment="1">
      <alignment horizontal="center"/>
    </xf>
    <xf numFmtId="0" fontId="94" fillId="45" borderId="26" xfId="0" applyFont="1" applyFill="1" applyBorder="1" applyAlignment="1">
      <alignment horizontal="center"/>
    </xf>
    <xf numFmtId="0" fontId="94" fillId="45" borderId="1" xfId="0" applyFont="1" applyFill="1" applyBorder="1" applyAlignment="1">
      <alignment horizontal="center"/>
    </xf>
    <xf numFmtId="0" fontId="94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3" fillId="49" borderId="21" xfId="0" applyFont="1" applyFill="1" applyBorder="1" applyAlignment="1">
      <alignment horizontal="center"/>
    </xf>
    <xf numFmtId="0" fontId="93" fillId="49" borderId="25" xfId="0" applyFont="1" applyFill="1" applyBorder="1" applyAlignment="1">
      <alignment horizontal="center"/>
    </xf>
    <xf numFmtId="0" fontId="93" fillId="49" borderId="22" xfId="0" applyFont="1" applyFill="1" applyBorder="1" applyAlignment="1">
      <alignment horizontal="center"/>
    </xf>
    <xf numFmtId="0" fontId="93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2" fillId="0" borderId="0" xfId="0" applyFont="1" applyAlignment="1">
      <alignment wrapText="1"/>
    </xf>
    <xf numFmtId="0" fontId="95" fillId="6" borderId="21" xfId="0" applyFont="1" applyFill="1" applyBorder="1" applyAlignment="1">
      <alignment horizontal="center"/>
    </xf>
    <xf numFmtId="0" fontId="95" fillId="6" borderId="22" xfId="0" applyFont="1" applyFill="1" applyBorder="1" applyAlignment="1">
      <alignment horizontal="center"/>
    </xf>
    <xf numFmtId="0" fontId="95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- (</a:t>
            </a:r>
            <a:r>
              <a:rPr lang="en-GB" sz="1400">
                <a:solidFill>
                  <a:schemeClr val="bg1"/>
                </a:solidFill>
              </a:rPr>
              <a:t>PREVIOUS &amp; CURRENT</a:t>
            </a:r>
            <a:r>
              <a:rPr lang="en-GB" sz="18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89281925459"/>
          <c:y val="1.6723164957727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05-May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16995023834.229998</c:v>
                </c:pt>
                <c:pt idx="1">
                  <c:v>806100368208.14038</c:v>
                </c:pt>
                <c:pt idx="2">
                  <c:v>326343931654.87665</c:v>
                </c:pt>
                <c:pt idx="3">
                  <c:v>334539052167.92297</c:v>
                </c:pt>
                <c:pt idx="4">
                  <c:v>94163780372.309998</c:v>
                </c:pt>
                <c:pt idx="5" formatCode="_(* #,##0.00_);_(* \(#,##0.00\);_(* &quot;-&quot;??_);_(@_)">
                  <c:v>31685014995.591473</c:v>
                </c:pt>
                <c:pt idx="6">
                  <c:v>3058498106.9700003</c:v>
                </c:pt>
                <c:pt idx="7">
                  <c:v>25223397111.16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12-May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16966112297.950001</c:v>
                </c:pt>
                <c:pt idx="1">
                  <c:v>813613346034.13635</c:v>
                </c:pt>
                <c:pt idx="2">
                  <c:v>326621734089.72247</c:v>
                </c:pt>
                <c:pt idx="3">
                  <c:v>331372584980.02832</c:v>
                </c:pt>
                <c:pt idx="4">
                  <c:v>94193238006.570007</c:v>
                </c:pt>
                <c:pt idx="5" formatCode="_(* #,##0.00_);_(* \(#,##0.00\);_(* &quot;-&quot;??_);_(@_)">
                  <c:v>31764157613.919247</c:v>
                </c:pt>
                <c:pt idx="6">
                  <c:v>3052374164.9300003</c:v>
                </c:pt>
                <c:pt idx="7">
                  <c:v>25289708132.780003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12TH MAY,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3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>
                <c:manualLayout>
                  <c:x val="3.9319790522808137E-2"/>
                  <c:y val="0.14398528617830916"/>
                </c:manualLayout>
              </c:layout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16995023834.229998</c:v>
                </c:pt>
                <c:pt idx="1">
                  <c:v>806100368208.14038</c:v>
                </c:pt>
                <c:pt idx="2">
                  <c:v>326343931654.87665</c:v>
                </c:pt>
                <c:pt idx="3">
                  <c:v>334539052167.92297</c:v>
                </c:pt>
                <c:pt idx="4">
                  <c:v>94163780372.309998</c:v>
                </c:pt>
                <c:pt idx="5">
                  <c:v>31685014995.591473</c:v>
                </c:pt>
                <c:pt idx="6">
                  <c:v>3058498106.9700003</c:v>
                </c:pt>
                <c:pt idx="7">
                  <c:v>25223397111.16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MAY 12, 2023)</a:t>
            </a:r>
          </a:p>
        </c:rich>
      </c:tx>
      <c:layout>
        <c:manualLayout>
          <c:xMode val="edge"/>
          <c:yMode val="edge"/>
          <c:x val="0.24557122667358888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1574933447715.4641</c:v>
                </c:pt>
                <c:pt idx="1">
                  <c:v>1570379557163.522</c:v>
                </c:pt>
                <c:pt idx="2">
                  <c:v>1585406389332.5886</c:v>
                </c:pt>
                <c:pt idx="3">
                  <c:v>1589874095297.8513</c:v>
                </c:pt>
                <c:pt idx="4">
                  <c:v>1587789124997.645</c:v>
                </c:pt>
                <c:pt idx="5">
                  <c:v>1573619276108.0618</c:v>
                </c:pt>
                <c:pt idx="6">
                  <c:v>1638109066451.2014</c:v>
                </c:pt>
                <c:pt idx="7">
                  <c:v>1642873255320.0364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MAY 12,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332693028756017"/>
          <c:y val="1.1572756773519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25167427500.150002</c:v>
                </c:pt>
                <c:pt idx="1">
                  <c:v>25123628784.880001</c:v>
                </c:pt>
                <c:pt idx="2">
                  <c:v>25237093944.099998</c:v>
                </c:pt>
                <c:pt idx="3">
                  <c:v>25308511589.740002</c:v>
                </c:pt>
                <c:pt idx="4">
                  <c:v>25115154237.279999</c:v>
                </c:pt>
                <c:pt idx="5">
                  <c:v>25259823709.369999</c:v>
                </c:pt>
                <c:pt idx="6">
                  <c:v>25078820531.75</c:v>
                </c:pt>
                <c:pt idx="7">
                  <c:v>25223397111.16</c:v>
                </c:pt>
                <c:pt idx="8">
                  <c:v>25289708132.780003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3138053697.2600002</c:v>
                </c:pt>
                <c:pt idx="1">
                  <c:v>3062737011.3699999</c:v>
                </c:pt>
                <c:pt idx="2">
                  <c:v>3065619906.6200004</c:v>
                </c:pt>
                <c:pt idx="3">
                  <c:v>3044973052.6900001</c:v>
                </c:pt>
                <c:pt idx="4">
                  <c:v>2397610345.79</c:v>
                </c:pt>
                <c:pt idx="5">
                  <c:v>3016712191.5299997</c:v>
                </c:pt>
                <c:pt idx="6">
                  <c:v>3019546321.4400001</c:v>
                </c:pt>
                <c:pt idx="7">
                  <c:v>3058498106.9700003</c:v>
                </c:pt>
                <c:pt idx="8">
                  <c:v>3052374164.9300003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31193956823.055714</c:v>
                </c:pt>
                <c:pt idx="1">
                  <c:v>31270923143.617718</c:v>
                </c:pt>
                <c:pt idx="2">
                  <c:v>31357580652.94627</c:v>
                </c:pt>
                <c:pt idx="3">
                  <c:v>31214054403.725143</c:v>
                </c:pt>
                <c:pt idx="4">
                  <c:v>31040700634.661449</c:v>
                </c:pt>
                <c:pt idx="5">
                  <c:v>31064229357.892361</c:v>
                </c:pt>
                <c:pt idx="6">
                  <c:v>31321324637.973106</c:v>
                </c:pt>
                <c:pt idx="7">
                  <c:v>31685014995.591473</c:v>
                </c:pt>
                <c:pt idx="8">
                  <c:v>31764157613.919247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17018697028.65</c:v>
                </c:pt>
                <c:pt idx="1">
                  <c:v>17022340090.360001</c:v>
                </c:pt>
                <c:pt idx="2">
                  <c:v>16999391000.99</c:v>
                </c:pt>
                <c:pt idx="3">
                  <c:v>16887170786.960003</c:v>
                </c:pt>
                <c:pt idx="4">
                  <c:v>16546902385.180002</c:v>
                </c:pt>
                <c:pt idx="5">
                  <c:v>16580432011.360001</c:v>
                </c:pt>
                <c:pt idx="6">
                  <c:v>16794813036.269999</c:v>
                </c:pt>
                <c:pt idx="7">
                  <c:v>16995023834.229998</c:v>
                </c:pt>
                <c:pt idx="8">
                  <c:v>16966112297.950001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46442483642.769997</c:v>
                </c:pt>
                <c:pt idx="1">
                  <c:v>46448137747.110001</c:v>
                </c:pt>
                <c:pt idx="2">
                  <c:v>46504435280.830002</c:v>
                </c:pt>
                <c:pt idx="3">
                  <c:v>46547556602.110001</c:v>
                </c:pt>
                <c:pt idx="4">
                  <c:v>46562248546.230003</c:v>
                </c:pt>
                <c:pt idx="5">
                  <c:v>47203225292.739998</c:v>
                </c:pt>
                <c:pt idx="6">
                  <c:v>47216549017.909996</c:v>
                </c:pt>
                <c:pt idx="7">
                  <c:v>94163780372.309998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808804557491.32593</c:v>
                </c:pt>
                <c:pt idx="1">
                  <c:v>808555564328.63843</c:v>
                </c:pt>
                <c:pt idx="2">
                  <c:v>806141589764.57471</c:v>
                </c:pt>
                <c:pt idx="3">
                  <c:v>809389465815.42651</c:v>
                </c:pt>
                <c:pt idx="4">
                  <c:v>813597370074.91248</c:v>
                </c:pt>
                <c:pt idx="5">
                  <c:v>806059217034.32275</c:v>
                </c:pt>
                <c:pt idx="6">
                  <c:v>792540018978.42993</c:v>
                </c:pt>
                <c:pt idx="7">
                  <c:v>806100368208.14038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338781243498.64948</c:v>
                </c:pt>
                <c:pt idx="1">
                  <c:v>329560582532.39893</c:v>
                </c:pt>
                <c:pt idx="2">
                  <c:v>325274738811.00598</c:v>
                </c:pt>
                <c:pt idx="3">
                  <c:v>324645636399.64471</c:v>
                </c:pt>
                <c:pt idx="4">
                  <c:v>325325671083.40485</c:v>
                </c:pt>
                <c:pt idx="5">
                  <c:v>325304566651.13672</c:v>
                </c:pt>
                <c:pt idx="6">
                  <c:v>324966477016.1626</c:v>
                </c:pt>
                <c:pt idx="7">
                  <c:v>326343931654.87665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45009</c:v>
                </c:pt>
                <c:pt idx="1">
                  <c:v>45016</c:v>
                </c:pt>
                <c:pt idx="2">
                  <c:v>45022</c:v>
                </c:pt>
                <c:pt idx="3">
                  <c:v>45030</c:v>
                </c:pt>
                <c:pt idx="4">
                  <c:v>45036</c:v>
                </c:pt>
                <c:pt idx="5">
                  <c:v>45044</c:v>
                </c:pt>
                <c:pt idx="6">
                  <c:v>45051</c:v>
                </c:pt>
                <c:pt idx="7">
                  <c:v>45058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317395334099.62982</c:v>
                </c:pt>
                <c:pt idx="1">
                  <c:v>313889534077.08875</c:v>
                </c:pt>
                <c:pt idx="2">
                  <c:v>315799107802.45465</c:v>
                </c:pt>
                <c:pt idx="3">
                  <c:v>328369020682.2923</c:v>
                </c:pt>
                <c:pt idx="4">
                  <c:v>329288437990.39252</c:v>
                </c:pt>
                <c:pt idx="5">
                  <c:v>333300918749.29321</c:v>
                </c:pt>
                <c:pt idx="6">
                  <c:v>332681726568.12634</c:v>
                </c:pt>
                <c:pt idx="7">
                  <c:v>334539052167.92297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6" customWidth="1"/>
    <col min="9" max="9" width="7.28515625" style="226" customWidth="1"/>
    <col min="10" max="10" width="18" style="222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8" customWidth="1"/>
    <col min="19" max="19" width="7.5703125" style="108" customWidth="1"/>
    <col min="20" max="20" width="29" style="109" customWidth="1"/>
    <col min="21" max="21" width="18.42578125" style="108" customWidth="1"/>
    <col min="22" max="22" width="18.140625" style="108" customWidth="1"/>
    <col min="23" max="23" width="9.42578125" style="108" customWidth="1"/>
    <col min="24" max="24" width="18.42578125" style="108" customWidth="1"/>
    <col min="25" max="25" width="8.85546875" style="108" customWidth="1"/>
    <col min="26" max="26" width="25.140625" style="108" customWidth="1"/>
    <col min="27" max="32" width="8.85546875" style="108"/>
    <col min="33" max="33" width="9" style="108" bestFit="1" customWidth="1"/>
    <col min="34" max="42" width="8.85546875" style="108"/>
    <col min="43" max="43" width="9.28515625" style="108" bestFit="1" customWidth="1"/>
    <col min="44" max="51" width="8.85546875" style="108"/>
    <col min="52" max="52" width="8.85546875" style="108" customWidth="1"/>
    <col min="53" max="103" width="8.85546875" style="108"/>
    <col min="104" max="16384" width="8.85546875" style="3"/>
  </cols>
  <sheetData>
    <row r="1" spans="1:26" s="114" customFormat="1" ht="22.5" customHeight="1">
      <c r="A1" s="427" t="s">
        <v>282</v>
      </c>
      <c r="B1" s="428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  <c r="R1" s="429"/>
      <c r="S1" s="430"/>
      <c r="T1" s="293"/>
      <c r="U1" s="115"/>
    </row>
    <row r="2" spans="1:26" s="114" customFormat="1" ht="25.5" customHeight="1">
      <c r="A2" s="246"/>
      <c r="B2" s="247"/>
      <c r="C2" s="247"/>
      <c r="D2" s="431" t="s">
        <v>280</v>
      </c>
      <c r="E2" s="432"/>
      <c r="F2" s="432"/>
      <c r="G2" s="432"/>
      <c r="H2" s="432"/>
      <c r="I2" s="433"/>
      <c r="J2" s="431" t="s">
        <v>283</v>
      </c>
      <c r="K2" s="432"/>
      <c r="L2" s="432"/>
      <c r="M2" s="432"/>
      <c r="N2" s="432"/>
      <c r="O2" s="433"/>
      <c r="P2" s="436" t="s">
        <v>63</v>
      </c>
      <c r="Q2" s="436"/>
      <c r="R2" s="436" t="s">
        <v>221</v>
      </c>
      <c r="S2" s="437"/>
      <c r="T2" s="293"/>
      <c r="U2" s="115"/>
    </row>
    <row r="3" spans="1:26" s="114" customFormat="1" ht="24.75" customHeight="1">
      <c r="A3" s="298" t="s">
        <v>1</v>
      </c>
      <c r="B3" s="299" t="s">
        <v>2</v>
      </c>
      <c r="C3" s="299" t="s">
        <v>198</v>
      </c>
      <c r="D3" s="300" t="s">
        <v>207</v>
      </c>
      <c r="E3" s="301" t="s">
        <v>62</v>
      </c>
      <c r="F3" s="301" t="s">
        <v>218</v>
      </c>
      <c r="G3" s="301" t="s">
        <v>219</v>
      </c>
      <c r="H3" s="301" t="s">
        <v>260</v>
      </c>
      <c r="I3" s="301" t="s">
        <v>261</v>
      </c>
      <c r="J3" s="302" t="s">
        <v>207</v>
      </c>
      <c r="K3" s="301" t="s">
        <v>62</v>
      </c>
      <c r="L3" s="301" t="s">
        <v>218</v>
      </c>
      <c r="M3" s="301" t="s">
        <v>219</v>
      </c>
      <c r="N3" s="301" t="s">
        <v>260</v>
      </c>
      <c r="O3" s="301" t="s">
        <v>261</v>
      </c>
      <c r="P3" s="303" t="s">
        <v>208</v>
      </c>
      <c r="Q3" s="304" t="s">
        <v>121</v>
      </c>
      <c r="R3" s="301" t="s">
        <v>264</v>
      </c>
      <c r="S3" s="305" t="s">
        <v>265</v>
      </c>
      <c r="T3" s="293"/>
      <c r="U3" s="115"/>
    </row>
    <row r="4" spans="1:26" s="114" customFormat="1" ht="5.25" customHeight="1">
      <c r="A4" s="441"/>
      <c r="B4" s="442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293"/>
      <c r="U4" s="115"/>
    </row>
    <row r="5" spans="1:26" s="114" customFormat="1" ht="12.95" customHeight="1">
      <c r="A5" s="445" t="s">
        <v>0</v>
      </c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8"/>
      <c r="T5" s="293"/>
      <c r="U5" s="115"/>
    </row>
    <row r="6" spans="1:26" s="114" customFormat="1" ht="12.95" customHeight="1">
      <c r="A6" s="401">
        <v>1</v>
      </c>
      <c r="B6" s="373" t="s">
        <v>13</v>
      </c>
      <c r="C6" s="374" t="s">
        <v>58</v>
      </c>
      <c r="D6" s="330">
        <v>431434117.44999999</v>
      </c>
      <c r="E6" s="337">
        <f t="shared" ref="E6:E21" si="0">(D6/$D$22)</f>
        <v>2.5385908349304011E-2</v>
      </c>
      <c r="F6" s="329">
        <v>202.0376</v>
      </c>
      <c r="G6" s="329">
        <v>204.9342</v>
      </c>
      <c r="H6" s="338">
        <v>-3.3999999999999998E-3</v>
      </c>
      <c r="I6" s="338">
        <v>7.1800000000000003E-2</v>
      </c>
      <c r="J6" s="330">
        <v>433286355.20999998</v>
      </c>
      <c r="K6" s="337">
        <f t="shared" ref="K6:K11" si="1">(J6/$J$22)</f>
        <v>2.5538340640498623E-2</v>
      </c>
      <c r="L6" s="329">
        <v>202.88759999999999</v>
      </c>
      <c r="M6" s="329">
        <v>205.8792</v>
      </c>
      <c r="N6" s="338">
        <v>8.0000000000000004E-4</v>
      </c>
      <c r="O6" s="338">
        <v>7.6300000000000007E-2</v>
      </c>
      <c r="P6" s="111">
        <f>((J6-D6)/D6)</f>
        <v>4.2932111418254983E-3</v>
      </c>
      <c r="Q6" s="111">
        <f t="shared" ref="Q6:Q21" si="2">((M6-G6)/G6)</f>
        <v>4.6112361919093698E-3</v>
      </c>
      <c r="R6" s="333">
        <f>L6-H6</f>
        <v>202.89099999999999</v>
      </c>
      <c r="S6" s="369">
        <f t="shared" ref="S6:S21" si="3">O6-I6</f>
        <v>4.500000000000004E-3</v>
      </c>
      <c r="U6" s="115"/>
    </row>
    <row r="7" spans="1:26" s="114" customFormat="1" ht="12.95" customHeight="1">
      <c r="A7" s="403">
        <v>2</v>
      </c>
      <c r="B7" s="373" t="s">
        <v>139</v>
      </c>
      <c r="C7" s="374" t="s">
        <v>138</v>
      </c>
      <c r="D7" s="329">
        <v>470621417.10000002</v>
      </c>
      <c r="E7" s="337">
        <f t="shared" si="0"/>
        <v>2.7691718569532838E-2</v>
      </c>
      <c r="F7" s="329">
        <v>157.39940000000001</v>
      </c>
      <c r="G7" s="329">
        <v>158.98480000000001</v>
      </c>
      <c r="H7" s="338">
        <v>2.529E-2</v>
      </c>
      <c r="I7" s="338">
        <v>8.5900000000000004E-2</v>
      </c>
      <c r="J7" s="329">
        <v>475053455.74000001</v>
      </c>
      <c r="K7" s="337">
        <f t="shared" si="1"/>
        <v>2.8000136236125246E-2</v>
      </c>
      <c r="L7" s="329">
        <v>158.8433</v>
      </c>
      <c r="M7" s="329">
        <v>160.4314</v>
      </c>
      <c r="N7" s="338">
        <v>9.0609999999999996E-3</v>
      </c>
      <c r="O7" s="338">
        <v>9.5899999999999999E-2</v>
      </c>
      <c r="P7" s="333">
        <v>5.6480000000000002E-3</v>
      </c>
      <c r="Q7" s="333">
        <f t="shared" si="2"/>
        <v>9.0989830474359143E-3</v>
      </c>
      <c r="R7" s="333">
        <f t="shared" ref="R7:R21" si="4">N7-H7</f>
        <v>-1.6229E-2</v>
      </c>
      <c r="S7" s="369">
        <f t="shared" si="3"/>
        <v>9.999999999999995E-3</v>
      </c>
      <c r="T7" s="293"/>
      <c r="U7" s="115"/>
    </row>
    <row r="8" spans="1:26" s="114" customFormat="1" ht="12.95" customHeight="1">
      <c r="A8" s="398">
        <v>3</v>
      </c>
      <c r="B8" s="373" t="s">
        <v>11</v>
      </c>
      <c r="C8" s="374" t="s">
        <v>6</v>
      </c>
      <c r="D8" s="329">
        <v>2414176649.5999999</v>
      </c>
      <c r="E8" s="337">
        <f t="shared" si="0"/>
        <v>0.14205197198591515</v>
      </c>
      <c r="F8" s="329">
        <v>23.120699999999999</v>
      </c>
      <c r="G8" s="329">
        <v>23.817799999999998</v>
      </c>
      <c r="H8" s="319">
        <v>0.3831</v>
      </c>
      <c r="I8" s="319">
        <v>0.12609999999999999</v>
      </c>
      <c r="J8" s="329">
        <v>2403131631.46</v>
      </c>
      <c r="K8" s="337">
        <f t="shared" si="1"/>
        <v>0.14164303461261235</v>
      </c>
      <c r="L8" s="329">
        <v>23.027200000000001</v>
      </c>
      <c r="M8" s="329">
        <v>23.721499999999999</v>
      </c>
      <c r="N8" s="319">
        <v>-0.21079999999999999</v>
      </c>
      <c r="O8" s="319">
        <v>0.1077</v>
      </c>
      <c r="P8" s="333">
        <f t="shared" ref="P8:P22" si="5">((J8-D8)/D8)</f>
        <v>-4.575066261961358E-3</v>
      </c>
      <c r="Q8" s="333">
        <f t="shared" si="2"/>
        <v>-4.0431945855620328E-3</v>
      </c>
      <c r="R8" s="333">
        <f t="shared" si="4"/>
        <v>-0.59389999999999998</v>
      </c>
      <c r="S8" s="369">
        <f t="shared" si="3"/>
        <v>-1.8399999999999986E-2</v>
      </c>
      <c r="T8" s="293"/>
      <c r="U8" s="115"/>
      <c r="V8" s="148"/>
      <c r="W8" s="116"/>
      <c r="X8" s="116"/>
      <c r="Y8" s="117"/>
    </row>
    <row r="9" spans="1:26" s="114" customFormat="1" ht="12.95" customHeight="1">
      <c r="A9" s="398">
        <v>4</v>
      </c>
      <c r="B9" s="373" t="s">
        <v>82</v>
      </c>
      <c r="C9" s="374" t="s">
        <v>81</v>
      </c>
      <c r="D9" s="330">
        <v>253303753.62</v>
      </c>
      <c r="E9" s="337">
        <f t="shared" si="0"/>
        <v>1.490458360580914E-2</v>
      </c>
      <c r="F9" s="329">
        <v>133.52000000000001</v>
      </c>
      <c r="G9" s="329">
        <v>134.46</v>
      </c>
      <c r="H9" s="338">
        <v>0.02</v>
      </c>
      <c r="I9" s="338">
        <v>-1.01E-2</v>
      </c>
      <c r="J9" s="329">
        <v>260177922.62</v>
      </c>
      <c r="K9" s="337">
        <f t="shared" si="1"/>
        <v>1.5335152688541208E-2</v>
      </c>
      <c r="L9" s="329">
        <v>138.30000000000001</v>
      </c>
      <c r="M9" s="329">
        <v>139.27000000000001</v>
      </c>
      <c r="N9" s="338">
        <v>1.5599999999999999E-2</v>
      </c>
      <c r="O9" s="338">
        <v>2.53E-2</v>
      </c>
      <c r="P9" s="333">
        <f t="shared" si="5"/>
        <v>2.7138046324858087E-2</v>
      </c>
      <c r="Q9" s="333">
        <f t="shared" si="2"/>
        <v>3.5772720511676348E-2</v>
      </c>
      <c r="R9" s="333">
        <f t="shared" si="4"/>
        <v>-4.4000000000000011E-3</v>
      </c>
      <c r="S9" s="369">
        <f t="shared" si="3"/>
        <v>3.5400000000000001E-2</v>
      </c>
      <c r="T9" s="293"/>
      <c r="U9" s="115"/>
      <c r="V9" s="148"/>
      <c r="W9" s="116"/>
      <c r="X9" s="116"/>
      <c r="Y9" s="117"/>
    </row>
    <row r="10" spans="1:26" s="114" customFormat="1" ht="12.95" customHeight="1">
      <c r="A10" s="397">
        <v>5</v>
      </c>
      <c r="B10" s="373" t="s">
        <v>53</v>
      </c>
      <c r="C10" s="374" t="s">
        <v>189</v>
      </c>
      <c r="D10" s="329">
        <v>397400267.23000002</v>
      </c>
      <c r="E10" s="337">
        <f t="shared" si="0"/>
        <v>2.33833309741872E-2</v>
      </c>
      <c r="F10" s="329">
        <v>182.85</v>
      </c>
      <c r="G10" s="329">
        <v>185.22</v>
      </c>
      <c r="H10" s="319">
        <v>1.55E-2</v>
      </c>
      <c r="I10" s="319">
        <v>0.1041</v>
      </c>
      <c r="J10" s="329">
        <v>403711139.06</v>
      </c>
      <c r="K10" s="337">
        <f t="shared" si="1"/>
        <v>2.3795147171622812E-2</v>
      </c>
      <c r="L10" s="329">
        <v>184.21</v>
      </c>
      <c r="M10" s="329">
        <v>186.56</v>
      </c>
      <c r="N10" s="319">
        <v>7.3000000000000001E-3</v>
      </c>
      <c r="O10" s="319">
        <v>0.1123</v>
      </c>
      <c r="P10" s="333">
        <f t="shared" si="5"/>
        <v>1.5880391510525817E-2</v>
      </c>
      <c r="Q10" s="333">
        <f t="shared" si="2"/>
        <v>7.2346398877011307E-3</v>
      </c>
      <c r="R10" s="333">
        <f t="shared" si="4"/>
        <v>-8.199999999999999E-3</v>
      </c>
      <c r="S10" s="369">
        <f t="shared" si="3"/>
        <v>8.199999999999999E-3</v>
      </c>
      <c r="T10" s="293"/>
      <c r="U10" s="115"/>
      <c r="V10" s="148"/>
      <c r="W10" s="116"/>
      <c r="X10" s="116"/>
      <c r="Y10" s="117"/>
    </row>
    <row r="11" spans="1:26" s="114" customFormat="1" ht="12.95" customHeight="1">
      <c r="A11" s="405">
        <v>6</v>
      </c>
      <c r="B11" s="373" t="s">
        <v>8</v>
      </c>
      <c r="C11" s="374" t="s">
        <v>57</v>
      </c>
      <c r="D11" s="330">
        <v>268366586.72</v>
      </c>
      <c r="E11" s="337">
        <f t="shared" si="0"/>
        <v>1.5790892048028658E-2</v>
      </c>
      <c r="F11" s="329">
        <v>134.87</v>
      </c>
      <c r="G11" s="329">
        <v>137.27000000000001</v>
      </c>
      <c r="H11" s="338">
        <v>1.4500000000000001E-2</v>
      </c>
      <c r="I11" s="338">
        <v>7.2900000000000006E-2</v>
      </c>
      <c r="J11" s="330">
        <v>271307203.51999998</v>
      </c>
      <c r="K11" s="337">
        <f t="shared" si="1"/>
        <v>1.5991123880087825E-2</v>
      </c>
      <c r="L11" s="329">
        <v>136.35</v>
      </c>
      <c r="M11" s="329">
        <v>139.47999999999999</v>
      </c>
      <c r="N11" s="338">
        <v>1.0970000000000001E-2</v>
      </c>
      <c r="O11" s="338">
        <v>8.4599999999999995E-2</v>
      </c>
      <c r="P11" s="333">
        <f t="shared" si="5"/>
        <v>1.0957462461852868E-2</v>
      </c>
      <c r="Q11" s="333">
        <f t="shared" si="2"/>
        <v>1.609965760909142E-2</v>
      </c>
      <c r="R11" s="333">
        <f t="shared" si="4"/>
        <v>-3.5300000000000002E-3</v>
      </c>
      <c r="S11" s="369">
        <f t="shared" si="3"/>
        <v>1.1699999999999988E-2</v>
      </c>
      <c r="T11" s="293"/>
      <c r="U11" s="115"/>
      <c r="V11" s="150"/>
      <c r="W11" s="117"/>
      <c r="X11" s="117"/>
      <c r="Y11" s="118"/>
      <c r="Z11" s="119"/>
    </row>
    <row r="12" spans="1:26" s="114" customFormat="1" ht="12.95" customHeight="1">
      <c r="A12" s="394">
        <v>7</v>
      </c>
      <c r="B12" s="373" t="s">
        <v>222</v>
      </c>
      <c r="C12" s="374" t="s">
        <v>223</v>
      </c>
      <c r="D12" s="74">
        <v>26679738</v>
      </c>
      <c r="E12" s="337">
        <f t="shared" si="0"/>
        <v>1.5698558742979717E-3</v>
      </c>
      <c r="F12" s="329">
        <v>104.12</v>
      </c>
      <c r="G12" s="329">
        <v>107.37</v>
      </c>
      <c r="H12" s="338">
        <v>4.02E-2</v>
      </c>
      <c r="I12" s="338">
        <v>7.4999999999999997E-2</v>
      </c>
      <c r="J12" s="74">
        <v>27447295.370000001</v>
      </c>
      <c r="K12" s="337">
        <v>0.96619999999999995</v>
      </c>
      <c r="L12" s="329">
        <v>107.21</v>
      </c>
      <c r="M12" s="329">
        <v>110.38</v>
      </c>
      <c r="N12" s="338">
        <v>3.0499999999999999E-2</v>
      </c>
      <c r="O12" s="338">
        <v>0.1055</v>
      </c>
      <c r="P12" s="333">
        <f t="shared" si="5"/>
        <v>2.8769299383674646E-2</v>
      </c>
      <c r="Q12" s="333">
        <f t="shared" si="2"/>
        <v>2.8033901462233314E-2</v>
      </c>
      <c r="R12" s="333">
        <f t="shared" si="4"/>
        <v>-9.7000000000000003E-3</v>
      </c>
      <c r="S12" s="369">
        <f t="shared" si="3"/>
        <v>3.0499999999999999E-2</v>
      </c>
      <c r="T12" s="146"/>
      <c r="U12" s="115"/>
    </row>
    <row r="13" spans="1:26" s="114" customFormat="1" ht="12.95" customHeight="1">
      <c r="A13" s="401">
        <v>8</v>
      </c>
      <c r="B13" s="373" t="s">
        <v>45</v>
      </c>
      <c r="C13" s="374" t="s">
        <v>135</v>
      </c>
      <c r="D13" s="330">
        <v>1039769742.6900001</v>
      </c>
      <c r="E13" s="337">
        <f t="shared" si="0"/>
        <v>6.1180834627356052E-2</v>
      </c>
      <c r="F13" s="329">
        <v>2.08</v>
      </c>
      <c r="G13" s="329">
        <v>2.12</v>
      </c>
      <c r="H13" s="338">
        <v>-2.3300000000000001E-2</v>
      </c>
      <c r="I13" s="338">
        <v>5.0099999999999999E-2</v>
      </c>
      <c r="J13" s="330">
        <v>1025642836.7</v>
      </c>
      <c r="K13" s="337">
        <f t="shared" ref="K13:K18" si="6">(J13/$J$22)</f>
        <v>6.0452437110411414E-2</v>
      </c>
      <c r="L13" s="329">
        <v>2.0499999999999998</v>
      </c>
      <c r="M13" s="329">
        <v>2.09</v>
      </c>
      <c r="N13" s="338">
        <v>-3.6600000000000001E-2</v>
      </c>
      <c r="O13" s="338">
        <v>3.5799999999999998E-2</v>
      </c>
      <c r="P13" s="333">
        <f t="shared" si="5"/>
        <v>-1.3586571535975004E-2</v>
      </c>
      <c r="Q13" s="333">
        <f t="shared" si="2"/>
        <v>-1.4150943396226532E-2</v>
      </c>
      <c r="R13" s="333">
        <f t="shared" si="4"/>
        <v>-1.3299999999999999E-2</v>
      </c>
      <c r="S13" s="369">
        <f t="shared" si="3"/>
        <v>-1.43E-2</v>
      </c>
      <c r="T13" s="146"/>
      <c r="U13" s="115"/>
    </row>
    <row r="14" spans="1:26" s="114" customFormat="1" ht="12.95" customHeight="1">
      <c r="A14" s="397">
        <v>9</v>
      </c>
      <c r="B14" s="373" t="s">
        <v>54</v>
      </c>
      <c r="C14" s="374" t="s">
        <v>55</v>
      </c>
      <c r="D14" s="329">
        <v>327568482.69999999</v>
      </c>
      <c r="E14" s="337">
        <f t="shared" si="0"/>
        <v>1.9274376187707259E-2</v>
      </c>
      <c r="F14" s="329">
        <v>13.5839</v>
      </c>
      <c r="G14" s="329">
        <v>13.675599999999999</v>
      </c>
      <c r="H14" s="338">
        <v>5.4800000000000001E-2</v>
      </c>
      <c r="I14" s="338">
        <v>0.104</v>
      </c>
      <c r="J14" s="329">
        <v>322464418.95999998</v>
      </c>
      <c r="K14" s="337">
        <f t="shared" si="6"/>
        <v>1.9006382446199125E-2</v>
      </c>
      <c r="L14" s="329">
        <v>13.305763000000001</v>
      </c>
      <c r="M14" s="329">
        <v>13.423679999999999</v>
      </c>
      <c r="N14" s="338">
        <v>-1.9400000000000001E-2</v>
      </c>
      <c r="O14" s="338">
        <v>8.2500000000000004E-2</v>
      </c>
      <c r="P14" s="333">
        <f t="shared" si="5"/>
        <v>-1.5581669206785411E-2</v>
      </c>
      <c r="Q14" s="333">
        <f t="shared" si="2"/>
        <v>-1.8421129603088723E-2</v>
      </c>
      <c r="R14" s="333">
        <f t="shared" si="4"/>
        <v>-7.4200000000000002E-2</v>
      </c>
      <c r="S14" s="369">
        <f t="shared" si="3"/>
        <v>-2.1499999999999991E-2</v>
      </c>
      <c r="T14" s="146"/>
      <c r="U14" s="151"/>
      <c r="V14" s="151"/>
    </row>
    <row r="15" spans="1:26" s="114" customFormat="1" ht="12.95" customHeight="1">
      <c r="A15" s="401">
        <v>10</v>
      </c>
      <c r="B15" s="373" t="s">
        <v>128</v>
      </c>
      <c r="C15" s="374" t="s">
        <v>91</v>
      </c>
      <c r="D15" s="329">
        <v>304563016.81999999</v>
      </c>
      <c r="E15" s="337">
        <f t="shared" si="0"/>
        <v>1.792071725175071E-2</v>
      </c>
      <c r="F15" s="329">
        <v>1.5492220000000001</v>
      </c>
      <c r="G15" s="329">
        <v>1.5771029999999999</v>
      </c>
      <c r="H15" s="338">
        <v>-3.5616438356164383E-4</v>
      </c>
      <c r="I15" s="338">
        <v>1.6678999999999999</v>
      </c>
      <c r="J15" s="329">
        <v>308529932.08999997</v>
      </c>
      <c r="K15" s="337">
        <f t="shared" si="6"/>
        <v>1.8185069547563902E-2</v>
      </c>
      <c r="L15" s="329">
        <v>1.569401</v>
      </c>
      <c r="M15" s="329">
        <v>1.5971120000000001</v>
      </c>
      <c r="N15" s="338">
        <v>-3.5616438356164383E-4</v>
      </c>
      <c r="O15" s="338">
        <v>0.94699999999999995</v>
      </c>
      <c r="P15" s="333">
        <f t="shared" si="5"/>
        <v>1.3024940819864779E-2</v>
      </c>
      <c r="Q15" s="333">
        <f t="shared" si="2"/>
        <v>1.268718656929837E-2</v>
      </c>
      <c r="R15" s="333">
        <f t="shared" si="4"/>
        <v>0</v>
      </c>
      <c r="S15" s="369">
        <f t="shared" si="3"/>
        <v>-0.72089999999999999</v>
      </c>
      <c r="T15" s="146"/>
      <c r="U15" s="152"/>
      <c r="V15" s="152"/>
    </row>
    <row r="16" spans="1:26" s="114" customFormat="1" ht="12.95" customHeight="1">
      <c r="A16" s="394">
        <v>11</v>
      </c>
      <c r="B16" s="373" t="s">
        <v>10</v>
      </c>
      <c r="C16" s="374" t="s">
        <v>9</v>
      </c>
      <c r="D16" s="330">
        <v>733608279.30999994</v>
      </c>
      <c r="E16" s="337">
        <f t="shared" si="0"/>
        <v>4.3166063576352609E-2</v>
      </c>
      <c r="F16" s="329">
        <v>18.41</v>
      </c>
      <c r="G16" s="329">
        <v>18.79</v>
      </c>
      <c r="H16" s="338">
        <v>1.11E-2</v>
      </c>
      <c r="I16" s="338">
        <v>7.5899999999999995E-2</v>
      </c>
      <c r="J16" s="330">
        <v>751036579.92999995</v>
      </c>
      <c r="K16" s="337">
        <f t="shared" si="6"/>
        <v>4.4266863659787693E-2</v>
      </c>
      <c r="L16" s="329">
        <v>18.41</v>
      </c>
      <c r="M16" s="329">
        <v>18.79</v>
      </c>
      <c r="N16" s="338">
        <v>-4.0000000000000001E-3</v>
      </c>
      <c r="O16" s="338">
        <v>7.1900000000000006E-2</v>
      </c>
      <c r="P16" s="333">
        <f t="shared" si="5"/>
        <v>2.3756957372935195E-2</v>
      </c>
      <c r="Q16" s="333">
        <f t="shared" si="2"/>
        <v>0</v>
      </c>
      <c r="R16" s="333">
        <f t="shared" si="4"/>
        <v>-1.5100000000000001E-2</v>
      </c>
      <c r="S16" s="369">
        <f t="shared" si="3"/>
        <v>-3.9999999999999897E-3</v>
      </c>
      <c r="T16" s="146"/>
      <c r="U16" s="153"/>
      <c r="V16" s="153"/>
    </row>
    <row r="17" spans="1:25" s="114" customFormat="1" ht="12.95" customHeight="1">
      <c r="A17" s="405">
        <v>12</v>
      </c>
      <c r="B17" s="373" t="s">
        <v>68</v>
      </c>
      <c r="C17" s="374" t="s">
        <v>5</v>
      </c>
      <c r="D17" s="330">
        <v>360902095.77999997</v>
      </c>
      <c r="E17" s="337">
        <f t="shared" si="0"/>
        <v>2.1235751082213858E-2</v>
      </c>
      <c r="F17" s="329">
        <v>3561.75</v>
      </c>
      <c r="G17" s="329">
        <v>3602.14</v>
      </c>
      <c r="H17" s="338">
        <v>2.3300000000000001E-2</v>
      </c>
      <c r="I17" s="338">
        <v>0.10009999999999999</v>
      </c>
      <c r="J17" s="330">
        <v>359827802.38</v>
      </c>
      <c r="K17" s="337">
        <f t="shared" si="6"/>
        <v>2.1208618454298316E-2</v>
      </c>
      <c r="L17" s="329">
        <v>3551.31</v>
      </c>
      <c r="M17" s="329">
        <v>3591.3</v>
      </c>
      <c r="N17" s="338">
        <v>-3.0000000000000001E-3</v>
      </c>
      <c r="O17" s="338">
        <v>9.6799999999999997E-2</v>
      </c>
      <c r="P17" s="333">
        <f t="shared" si="5"/>
        <v>-2.9766892810033662E-3</v>
      </c>
      <c r="Q17" s="333">
        <f t="shared" si="2"/>
        <v>-3.0093222362261576E-3</v>
      </c>
      <c r="R17" s="333">
        <f t="shared" si="4"/>
        <v>-2.63E-2</v>
      </c>
      <c r="S17" s="369">
        <f t="shared" si="3"/>
        <v>-3.2999999999999974E-3</v>
      </c>
      <c r="T17" s="146"/>
      <c r="U17" s="152"/>
      <c r="V17" s="152"/>
    </row>
    <row r="18" spans="1:25" s="114" customFormat="1" ht="12.95" customHeight="1">
      <c r="A18" s="405">
        <v>13</v>
      </c>
      <c r="B18" s="373" t="s">
        <v>230</v>
      </c>
      <c r="C18" s="374" t="s">
        <v>5</v>
      </c>
      <c r="D18" s="330">
        <v>7561137652.1700001</v>
      </c>
      <c r="E18" s="337">
        <f t="shared" si="0"/>
        <v>0.44490303314202895</v>
      </c>
      <c r="F18" s="329">
        <v>13042.66</v>
      </c>
      <c r="G18" s="329">
        <v>13195.08</v>
      </c>
      <c r="H18" s="338">
        <v>4.1999999999999997E-3</v>
      </c>
      <c r="I18" s="338">
        <v>6.6500000000000004E-2</v>
      </c>
      <c r="J18" s="330">
        <v>7527063280.2200003</v>
      </c>
      <c r="K18" s="337">
        <f t="shared" si="6"/>
        <v>0.44365280318989098</v>
      </c>
      <c r="L18" s="329">
        <v>12999.24</v>
      </c>
      <c r="M18" s="329">
        <v>13157.36</v>
      </c>
      <c r="N18" s="338">
        <v>4.1999999999999997E-3</v>
      </c>
      <c r="O18" s="338">
        <v>6.3500000000000001E-2</v>
      </c>
      <c r="P18" s="333">
        <f t="shared" si="5"/>
        <v>-4.5065139027353476E-3</v>
      </c>
      <c r="Q18" s="333">
        <f t="shared" si="2"/>
        <v>-2.8586412511329485E-3</v>
      </c>
      <c r="R18" s="333">
        <f t="shared" si="4"/>
        <v>0</v>
      </c>
      <c r="S18" s="369">
        <f t="shared" si="3"/>
        <v>-3.0000000000000027E-3</v>
      </c>
      <c r="T18" s="146"/>
      <c r="U18" s="154"/>
      <c r="V18" s="154"/>
    </row>
    <row r="19" spans="1:25" s="114" customFormat="1" ht="12.95" customHeight="1">
      <c r="A19" s="401">
        <v>14</v>
      </c>
      <c r="B19" s="373" t="s">
        <v>250</v>
      </c>
      <c r="C19" s="374" t="s">
        <v>251</v>
      </c>
      <c r="D19" s="74">
        <v>58755040</v>
      </c>
      <c r="E19" s="337">
        <f t="shared" si="0"/>
        <v>3.4571907973238829E-3</v>
      </c>
      <c r="F19" s="329">
        <v>111.1263</v>
      </c>
      <c r="G19" s="329">
        <v>111.5488</v>
      </c>
      <c r="H19" s="338">
        <v>5.7747E-2</v>
      </c>
      <c r="I19" s="338">
        <v>2.6540999999999999E-2</v>
      </c>
      <c r="J19" s="74">
        <v>58830040.659999996</v>
      </c>
      <c r="K19" s="337">
        <v>0.96619999999999995</v>
      </c>
      <c r="L19" s="329">
        <v>111.27809999999999</v>
      </c>
      <c r="M19" s="329">
        <v>111.6998</v>
      </c>
      <c r="N19" s="338">
        <v>5.9192000000000002E-2</v>
      </c>
      <c r="O19" s="338">
        <v>3.0640000000000001E-2</v>
      </c>
      <c r="P19" s="333">
        <f t="shared" si="5"/>
        <v>1.2764974715359981E-3</v>
      </c>
      <c r="Q19" s="333">
        <f t="shared" si="2"/>
        <v>1.3536676324621712E-3</v>
      </c>
      <c r="R19" s="333">
        <f t="shared" si="4"/>
        <v>1.4450000000000018E-3</v>
      </c>
      <c r="S19" s="369">
        <f t="shared" si="3"/>
        <v>4.0990000000000019E-3</v>
      </c>
      <c r="T19" s="313"/>
      <c r="U19" s="313"/>
      <c r="V19" s="154"/>
    </row>
    <row r="20" spans="1:25" s="334" customFormat="1" ht="12.95" customHeight="1">
      <c r="A20" s="397">
        <v>15</v>
      </c>
      <c r="B20" s="374" t="s">
        <v>76</v>
      </c>
      <c r="C20" s="374" t="s">
        <v>41</v>
      </c>
      <c r="D20" s="329">
        <v>1994889341.1199999</v>
      </c>
      <c r="E20" s="337">
        <f t="shared" si="0"/>
        <v>0.11738079102319679</v>
      </c>
      <c r="F20" s="329">
        <v>1.0278</v>
      </c>
      <c r="G20" s="314">
        <v>1.0508999999999999</v>
      </c>
      <c r="H20" s="338">
        <v>-4.7000000000000002E-3</v>
      </c>
      <c r="I20" s="338">
        <v>7.8600000000000003E-2</v>
      </c>
      <c r="J20" s="329">
        <v>1986065591.46</v>
      </c>
      <c r="K20" s="337">
        <f>(J20/$J$22)</f>
        <v>0.11706073592946656</v>
      </c>
      <c r="L20" s="329">
        <v>1.0230999999999999</v>
      </c>
      <c r="M20" s="314">
        <v>1.0337000000000001</v>
      </c>
      <c r="N20" s="338">
        <v>-4.5999999999999999E-3</v>
      </c>
      <c r="O20" s="338">
        <v>7.3700000000000002E-2</v>
      </c>
      <c r="P20" s="333">
        <f t="shared" si="5"/>
        <v>-4.4231775056985815E-3</v>
      </c>
      <c r="Q20" s="333">
        <f t="shared" si="2"/>
        <v>-1.6366923589304295E-2</v>
      </c>
      <c r="R20" s="333">
        <f t="shared" si="4"/>
        <v>1.0000000000000026E-4</v>
      </c>
      <c r="S20" s="369">
        <f t="shared" si="3"/>
        <v>-4.9000000000000016E-3</v>
      </c>
      <c r="T20" s="313"/>
      <c r="U20" s="313"/>
      <c r="V20" s="154"/>
    </row>
    <row r="21" spans="1:25" s="114" customFormat="1" ht="12.95" customHeight="1">
      <c r="A21" s="400">
        <v>16</v>
      </c>
      <c r="B21" s="373" t="s">
        <v>125</v>
      </c>
      <c r="C21" s="374" t="s">
        <v>248</v>
      </c>
      <c r="D21" s="330">
        <v>351847653.92000002</v>
      </c>
      <c r="E21" s="337">
        <f t="shared" si="0"/>
        <v>2.0702980904995085E-2</v>
      </c>
      <c r="F21" s="329">
        <v>1.29</v>
      </c>
      <c r="G21" s="329">
        <v>1.33</v>
      </c>
      <c r="H21" s="338">
        <v>2.1600000000000001E-2</v>
      </c>
      <c r="I21" s="338">
        <v>3.9E-2</v>
      </c>
      <c r="J21" s="330">
        <v>352536812.56999999</v>
      </c>
      <c r="K21" s="337">
        <f>(J21/$J$22)</f>
        <v>2.0778880062735212E-2</v>
      </c>
      <c r="L21" s="329">
        <v>1.29</v>
      </c>
      <c r="M21" s="329">
        <v>1.33</v>
      </c>
      <c r="N21" s="338">
        <v>1.318544946870448E-3</v>
      </c>
      <c r="O21" s="338">
        <v>4.0399999999999998E-2</v>
      </c>
      <c r="P21" s="333">
        <f t="shared" si="5"/>
        <v>1.9586847953139142E-3</v>
      </c>
      <c r="Q21" s="333">
        <f t="shared" si="2"/>
        <v>0</v>
      </c>
      <c r="R21" s="333">
        <f t="shared" si="4"/>
        <v>-2.0281455053129553E-2</v>
      </c>
      <c r="S21" s="369">
        <f t="shared" si="3"/>
        <v>1.3999999999999985E-3</v>
      </c>
      <c r="T21" s="147"/>
      <c r="U21" s="121"/>
      <c r="V21" s="121"/>
    </row>
    <row r="22" spans="1:25" s="114" customFormat="1" ht="12.95" customHeight="1">
      <c r="A22" s="218"/>
      <c r="C22" s="248" t="s">
        <v>42</v>
      </c>
      <c r="D22" s="70">
        <f>SUM(D6:D21)</f>
        <v>16995023834.229998</v>
      </c>
      <c r="E22" s="266">
        <f>(D22/$D$168)</f>
        <v>1.0374781620034622E-2</v>
      </c>
      <c r="F22" s="268"/>
      <c r="G22" s="71"/>
      <c r="H22" s="285"/>
      <c r="I22" s="285"/>
      <c r="J22" s="70">
        <f>SUM(J6:J21)</f>
        <v>16966112297.950001</v>
      </c>
      <c r="K22" s="266">
        <f>(J22/$J$168)</f>
        <v>1.0327097506158473E-2</v>
      </c>
      <c r="L22" s="268"/>
      <c r="M22" s="71"/>
      <c r="N22" s="285"/>
      <c r="O22" s="285"/>
      <c r="P22" s="270">
        <f t="shared" si="5"/>
        <v>-1.7011765656818674E-3</v>
      </c>
      <c r="Q22" s="270"/>
      <c r="R22" s="270">
        <f t="shared" ref="R22" si="7">N22-H22</f>
        <v>0</v>
      </c>
      <c r="S22" s="369">
        <f t="shared" ref="S22" si="8">O22-I22</f>
        <v>0</v>
      </c>
      <c r="T22" s="146"/>
      <c r="U22" s="155"/>
      <c r="X22" s="121"/>
      <c r="Y22" s="121"/>
    </row>
    <row r="23" spans="1:25" s="114" customFormat="1" ht="5.25" customHeight="1">
      <c r="A23" s="411"/>
      <c r="B23" s="412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4"/>
      <c r="T23" s="146"/>
      <c r="U23" s="155"/>
      <c r="X23" s="121"/>
      <c r="Y23" s="121"/>
    </row>
    <row r="24" spans="1:25" s="114" customFormat="1" ht="12.95" customHeight="1">
      <c r="A24" s="407" t="s">
        <v>44</v>
      </c>
      <c r="B24" s="408"/>
      <c r="C24" s="409"/>
      <c r="D24" s="409"/>
      <c r="E24" s="409"/>
      <c r="F24" s="409"/>
      <c r="G24" s="409"/>
      <c r="H24" s="409"/>
      <c r="I24" s="409"/>
      <c r="J24" s="409"/>
      <c r="K24" s="409"/>
      <c r="L24" s="409"/>
      <c r="M24" s="409"/>
      <c r="N24" s="409"/>
      <c r="O24" s="409"/>
      <c r="P24" s="409"/>
      <c r="Q24" s="409"/>
      <c r="R24" s="409"/>
      <c r="S24" s="410"/>
      <c r="T24" s="156"/>
      <c r="V24" s="157"/>
    </row>
    <row r="25" spans="1:25" s="114" customFormat="1" ht="12.95" customHeight="1">
      <c r="A25" s="400">
        <v>17</v>
      </c>
      <c r="B25" s="373" t="s">
        <v>99</v>
      </c>
      <c r="C25" s="374" t="s">
        <v>248</v>
      </c>
      <c r="D25" s="325">
        <v>17614943373.200001</v>
      </c>
      <c r="E25" s="196">
        <v>4.7199999999999999E-2</v>
      </c>
      <c r="F25" s="314">
        <v>100</v>
      </c>
      <c r="G25" s="314">
        <v>100</v>
      </c>
      <c r="H25" s="338">
        <v>0.1043</v>
      </c>
      <c r="I25" s="338">
        <v>0.1043</v>
      </c>
      <c r="J25" s="325">
        <v>17528080985.630001</v>
      </c>
      <c r="K25" s="337">
        <f t="shared" ref="K25:K53" si="9">(J25/$J$54)</f>
        <v>2.1543502292665911E-2</v>
      </c>
      <c r="L25" s="314">
        <v>100</v>
      </c>
      <c r="M25" s="314">
        <v>100</v>
      </c>
      <c r="N25" s="338">
        <v>0.10489999999999999</v>
      </c>
      <c r="O25" s="338">
        <v>9.0899999999999995E-2</v>
      </c>
      <c r="P25" s="333">
        <f t="shared" ref="P25:P53" si="10">((J25-D25)/D25)</f>
        <v>-4.9311760889424834E-3</v>
      </c>
      <c r="Q25" s="333">
        <f t="shared" ref="Q25:Q53" si="11">((M25-G25)/G25)</f>
        <v>0</v>
      </c>
      <c r="R25" s="333">
        <f t="shared" ref="R25:R53" si="12">N25-H25</f>
        <v>5.9999999999998943E-4</v>
      </c>
      <c r="S25" s="369">
        <f t="shared" ref="S25:S53" si="13">O25-I25</f>
        <v>-1.3400000000000009E-2</v>
      </c>
      <c r="T25" s="158"/>
      <c r="U25" s="113"/>
      <c r="V25" s="113"/>
    </row>
    <row r="26" spans="1:25" s="114" customFormat="1" ht="12.95" customHeight="1">
      <c r="A26" s="401">
        <v>18</v>
      </c>
      <c r="B26" s="373" t="s">
        <v>117</v>
      </c>
      <c r="C26" s="374" t="s">
        <v>58</v>
      </c>
      <c r="D26" s="325">
        <v>773424588.75</v>
      </c>
      <c r="E26" s="196">
        <v>7.9600000000000004E-2</v>
      </c>
      <c r="F26" s="314">
        <v>100</v>
      </c>
      <c r="G26" s="314">
        <v>100</v>
      </c>
      <c r="H26" s="338">
        <v>0.1371</v>
      </c>
      <c r="I26" s="338">
        <v>0.1371</v>
      </c>
      <c r="J26" s="325">
        <v>780586901.72000003</v>
      </c>
      <c r="K26" s="337">
        <f t="shared" si="9"/>
        <v>9.5940769104253278E-4</v>
      </c>
      <c r="L26" s="314">
        <v>100</v>
      </c>
      <c r="M26" s="314">
        <v>100</v>
      </c>
      <c r="N26" s="338">
        <v>0.13589999999999999</v>
      </c>
      <c r="O26" s="338">
        <v>0.13589999999999999</v>
      </c>
      <c r="P26" s="111">
        <f t="shared" si="10"/>
        <v>9.2605188329681586E-3</v>
      </c>
      <c r="Q26" s="111">
        <f t="shared" si="11"/>
        <v>0</v>
      </c>
      <c r="R26" s="333">
        <f t="shared" si="12"/>
        <v>-1.2000000000000066E-3</v>
      </c>
      <c r="S26" s="369">
        <f t="shared" si="13"/>
        <v>-1.2000000000000066E-3</v>
      </c>
      <c r="T26" s="159"/>
      <c r="U26" s="122"/>
      <c r="V26" s="157"/>
      <c r="W26" s="160"/>
    </row>
    <row r="27" spans="1:25" s="114" customFormat="1" ht="12.95" customHeight="1">
      <c r="A27" s="397">
        <v>19</v>
      </c>
      <c r="B27" s="373" t="s">
        <v>37</v>
      </c>
      <c r="C27" s="374" t="s">
        <v>36</v>
      </c>
      <c r="D27" s="325">
        <v>2977946608.1900001</v>
      </c>
      <c r="E27" s="196">
        <v>8.6400000000000005E-2</v>
      </c>
      <c r="F27" s="314">
        <v>100</v>
      </c>
      <c r="G27" s="314">
        <v>100</v>
      </c>
      <c r="H27" s="338">
        <v>0.12500700000000001</v>
      </c>
      <c r="I27" s="338">
        <v>0.12500700000000001</v>
      </c>
      <c r="J27" s="325">
        <v>3119190246.1599998</v>
      </c>
      <c r="K27" s="337">
        <f t="shared" si="9"/>
        <v>3.833750099312075E-3</v>
      </c>
      <c r="L27" s="314">
        <v>100</v>
      </c>
      <c r="M27" s="314">
        <v>100</v>
      </c>
      <c r="N27" s="338">
        <v>2.3770000000000002E-3</v>
      </c>
      <c r="O27" s="338">
        <v>0.127384</v>
      </c>
      <c r="P27" s="333">
        <f t="shared" si="10"/>
        <v>4.7429875868677127E-2</v>
      </c>
      <c r="Q27" s="333">
        <f t="shared" si="11"/>
        <v>0</v>
      </c>
      <c r="R27" s="333">
        <f t="shared" si="12"/>
        <v>-0.12263</v>
      </c>
      <c r="S27" s="369">
        <f t="shared" si="13"/>
        <v>2.3769999999999902E-3</v>
      </c>
      <c r="T27" s="146"/>
      <c r="U27" s="115"/>
    </row>
    <row r="28" spans="1:25" s="114" customFormat="1" ht="12.95" customHeight="1">
      <c r="A28" s="403">
        <v>20</v>
      </c>
      <c r="B28" s="373" t="s">
        <v>140</v>
      </c>
      <c r="C28" s="374" t="s">
        <v>138</v>
      </c>
      <c r="D28" s="325">
        <v>445987014.75</v>
      </c>
      <c r="E28" s="196">
        <v>2.0000000000000001E-4</v>
      </c>
      <c r="F28" s="314">
        <v>100</v>
      </c>
      <c r="G28" s="314">
        <v>100</v>
      </c>
      <c r="H28" s="338">
        <v>6.4699999999999994E-2</v>
      </c>
      <c r="I28" s="338">
        <v>6.4699999999999994E-2</v>
      </c>
      <c r="J28" s="325">
        <v>455989204.56</v>
      </c>
      <c r="K28" s="337">
        <f t="shared" si="9"/>
        <v>5.6044951423506802E-4</v>
      </c>
      <c r="L28" s="314">
        <v>100</v>
      </c>
      <c r="M28" s="314">
        <v>100</v>
      </c>
      <c r="N28" s="338">
        <v>5.8799999999999998E-2</v>
      </c>
      <c r="O28" s="338">
        <v>5.8799999999999998E-2</v>
      </c>
      <c r="P28" s="333">
        <f t="shared" si="10"/>
        <v>2.2427087514211089E-2</v>
      </c>
      <c r="Q28" s="333">
        <f t="shared" si="11"/>
        <v>0</v>
      </c>
      <c r="R28" s="333">
        <f t="shared" si="12"/>
        <v>-5.8999999999999955E-3</v>
      </c>
      <c r="S28" s="369">
        <f t="shared" si="13"/>
        <v>-5.8999999999999955E-3</v>
      </c>
      <c r="T28" s="146"/>
      <c r="U28" s="122"/>
    </row>
    <row r="29" spans="1:25" s="114" customFormat="1" ht="12.95" customHeight="1">
      <c r="A29" s="398">
        <v>21</v>
      </c>
      <c r="B29" s="373" t="s">
        <v>15</v>
      </c>
      <c r="C29" s="374" t="s">
        <v>6</v>
      </c>
      <c r="D29" s="325">
        <v>78231363248.449997</v>
      </c>
      <c r="E29" s="196">
        <v>6.54E-2</v>
      </c>
      <c r="F29" s="314">
        <v>1</v>
      </c>
      <c r="G29" s="314">
        <v>1</v>
      </c>
      <c r="H29" s="338">
        <v>0.1091</v>
      </c>
      <c r="I29" s="338">
        <v>0.1091</v>
      </c>
      <c r="J29" s="325">
        <v>78641641385.800003</v>
      </c>
      <c r="K29" s="337">
        <f t="shared" si="9"/>
        <v>9.6657265725948988E-2</v>
      </c>
      <c r="L29" s="314">
        <v>1</v>
      </c>
      <c r="M29" s="314">
        <v>1</v>
      </c>
      <c r="N29" s="338">
        <v>0.1134</v>
      </c>
      <c r="O29" s="338">
        <v>0.1134</v>
      </c>
      <c r="P29" s="333">
        <f t="shared" si="10"/>
        <v>5.2444201444761989E-3</v>
      </c>
      <c r="Q29" s="333">
        <f t="shared" si="11"/>
        <v>0</v>
      </c>
      <c r="R29" s="333">
        <f t="shared" si="12"/>
        <v>4.2999999999999983E-3</v>
      </c>
      <c r="S29" s="369">
        <f t="shared" si="13"/>
        <v>4.2999999999999983E-3</v>
      </c>
      <c r="T29" s="156"/>
      <c r="U29" s="115"/>
    </row>
    <row r="30" spans="1:25" s="114" customFormat="1" ht="12.95" customHeight="1">
      <c r="A30" s="397">
        <v>22</v>
      </c>
      <c r="B30" s="373" t="s">
        <v>83</v>
      </c>
      <c r="C30" s="374" t="s">
        <v>81</v>
      </c>
      <c r="D30" s="325">
        <v>38293583803.980003</v>
      </c>
      <c r="E30" s="196">
        <v>6.9800000000000001E-2</v>
      </c>
      <c r="F30" s="314">
        <v>1</v>
      </c>
      <c r="G30" s="314">
        <v>1</v>
      </c>
      <c r="H30" s="338">
        <v>9.4500000000000001E-2</v>
      </c>
      <c r="I30" s="338">
        <v>9.4500000000000001E-2</v>
      </c>
      <c r="J30" s="325">
        <v>38293583803.980003</v>
      </c>
      <c r="K30" s="337">
        <f t="shared" si="9"/>
        <v>4.7066071360109353E-2</v>
      </c>
      <c r="L30" s="314">
        <v>1</v>
      </c>
      <c r="M30" s="314">
        <v>1</v>
      </c>
      <c r="N30" s="338">
        <v>0.10580000000000001</v>
      </c>
      <c r="O30" s="338">
        <v>0.10580000000000001</v>
      </c>
      <c r="P30" s="333">
        <f t="shared" si="10"/>
        <v>0</v>
      </c>
      <c r="Q30" s="333">
        <f t="shared" si="11"/>
        <v>0</v>
      </c>
      <c r="R30" s="333">
        <f t="shared" si="12"/>
        <v>1.1300000000000004E-2</v>
      </c>
      <c r="S30" s="369">
        <f t="shared" si="13"/>
        <v>1.1300000000000004E-2</v>
      </c>
      <c r="T30" s="146"/>
      <c r="U30" s="151"/>
      <c r="V30" s="435"/>
      <c r="W30" s="435"/>
    </row>
    <row r="31" spans="1:25" s="114" customFormat="1" ht="12.95" customHeight="1">
      <c r="A31" s="394">
        <v>23</v>
      </c>
      <c r="B31" s="373" t="s">
        <v>98</v>
      </c>
      <c r="C31" s="374" t="s">
        <v>9</v>
      </c>
      <c r="D31" s="325">
        <v>6026943927.4200001</v>
      </c>
      <c r="E31" s="196">
        <v>5.3699999999999998E-2</v>
      </c>
      <c r="F31" s="314">
        <v>100</v>
      </c>
      <c r="G31" s="314">
        <v>100</v>
      </c>
      <c r="H31" s="338">
        <v>9.3899999999999997E-2</v>
      </c>
      <c r="I31" s="338">
        <v>9.3899999999999997E-2</v>
      </c>
      <c r="J31" s="325">
        <v>6122434597.0100002</v>
      </c>
      <c r="K31" s="337">
        <f t="shared" si="9"/>
        <v>7.5249928321027377E-3</v>
      </c>
      <c r="L31" s="314">
        <v>100</v>
      </c>
      <c r="M31" s="314">
        <v>100</v>
      </c>
      <c r="N31" s="338">
        <v>9.3899999999999997E-2</v>
      </c>
      <c r="O31" s="338">
        <v>9.3899999999999997E-2</v>
      </c>
      <c r="P31" s="333">
        <f t="shared" si="10"/>
        <v>1.5843961838695516E-2</v>
      </c>
      <c r="Q31" s="333">
        <f t="shared" si="11"/>
        <v>0</v>
      </c>
      <c r="R31" s="333">
        <f t="shared" si="12"/>
        <v>0</v>
      </c>
      <c r="S31" s="369">
        <f t="shared" si="13"/>
        <v>0</v>
      </c>
      <c r="T31" s="146"/>
      <c r="U31" s="115"/>
      <c r="V31" s="438"/>
      <c r="W31" s="438"/>
    </row>
    <row r="32" spans="1:25" s="114" customFormat="1" ht="12.95" customHeight="1">
      <c r="A32" s="398">
        <v>24</v>
      </c>
      <c r="B32" s="373" t="s">
        <v>235</v>
      </c>
      <c r="C32" s="374" t="s">
        <v>7</v>
      </c>
      <c r="D32" s="325">
        <v>12009793803.210001</v>
      </c>
      <c r="E32" s="196">
        <v>6.1269999999999998E-2</v>
      </c>
      <c r="F32" s="314">
        <v>100</v>
      </c>
      <c r="G32" s="314">
        <v>100</v>
      </c>
      <c r="H32" s="338">
        <v>0.1181</v>
      </c>
      <c r="I32" s="338">
        <v>0.1181</v>
      </c>
      <c r="J32" s="325">
        <v>12230978720.610001</v>
      </c>
      <c r="K32" s="337">
        <f t="shared" si="9"/>
        <v>1.5032913091001375E-2</v>
      </c>
      <c r="L32" s="314">
        <v>100</v>
      </c>
      <c r="M32" s="314">
        <v>100</v>
      </c>
      <c r="N32" s="338">
        <v>0.113630728783222</v>
      </c>
      <c r="O32" s="338">
        <v>0.113630728783222</v>
      </c>
      <c r="P32" s="333">
        <f t="shared" si="10"/>
        <v>1.8417045373491831E-2</v>
      </c>
      <c r="Q32" s="333">
        <f t="shared" si="11"/>
        <v>0</v>
      </c>
      <c r="R32" s="333">
        <f t="shared" si="12"/>
        <v>-4.4692712167779952E-3</v>
      </c>
      <c r="S32" s="369">
        <f t="shared" si="13"/>
        <v>-4.4692712167779952E-3</v>
      </c>
      <c r="T32" s="146"/>
      <c r="U32" s="115"/>
      <c r="V32" s="439"/>
      <c r="W32" s="439"/>
    </row>
    <row r="33" spans="1:23" s="114" customFormat="1" ht="12.95" customHeight="1">
      <c r="A33" s="398">
        <v>25</v>
      </c>
      <c r="B33" s="373" t="s">
        <v>90</v>
      </c>
      <c r="C33" s="374" t="s">
        <v>89</v>
      </c>
      <c r="D33" s="325">
        <v>5611898702.1599998</v>
      </c>
      <c r="E33" s="196">
        <v>7.0599999999999996E-2</v>
      </c>
      <c r="F33" s="314">
        <v>100</v>
      </c>
      <c r="G33" s="314">
        <v>100</v>
      </c>
      <c r="H33" s="338">
        <v>9.4E-2</v>
      </c>
      <c r="I33" s="338">
        <v>9.4E-2</v>
      </c>
      <c r="J33" s="325">
        <v>5499227227.9899998</v>
      </c>
      <c r="K33" s="337">
        <f t="shared" si="9"/>
        <v>6.7590179718601514E-3</v>
      </c>
      <c r="L33" s="314">
        <v>100</v>
      </c>
      <c r="M33" s="314">
        <v>100</v>
      </c>
      <c r="N33" s="338">
        <v>0.10059999999999999</v>
      </c>
      <c r="O33" s="338">
        <v>0.10059999999999999</v>
      </c>
      <c r="P33" s="333">
        <f t="shared" si="10"/>
        <v>-2.0077246605793728E-2</v>
      </c>
      <c r="Q33" s="333">
        <f t="shared" si="11"/>
        <v>0</v>
      </c>
      <c r="R33" s="333">
        <f t="shared" si="12"/>
        <v>6.5999999999999948E-3</v>
      </c>
      <c r="S33" s="369">
        <f t="shared" si="13"/>
        <v>6.5999999999999948E-3</v>
      </c>
      <c r="T33" s="146"/>
      <c r="U33" s="115"/>
    </row>
    <row r="34" spans="1:23" s="114" customFormat="1" ht="12.95" customHeight="1">
      <c r="A34" s="405">
        <v>26</v>
      </c>
      <c r="B34" s="373" t="s">
        <v>183</v>
      </c>
      <c r="C34" s="374" t="s">
        <v>182</v>
      </c>
      <c r="D34" s="325">
        <v>44514190.369999997</v>
      </c>
      <c r="E34" s="196">
        <v>3.7000000000000002E-3</v>
      </c>
      <c r="F34" s="314">
        <v>100</v>
      </c>
      <c r="G34" s="314">
        <v>100</v>
      </c>
      <c r="H34" s="338">
        <v>0</v>
      </c>
      <c r="I34" s="338">
        <v>0</v>
      </c>
      <c r="J34" s="325">
        <v>44514190.369999997</v>
      </c>
      <c r="K34" s="337">
        <f t="shared" si="9"/>
        <v>5.4711725891640347E-5</v>
      </c>
      <c r="L34" s="314">
        <v>100</v>
      </c>
      <c r="M34" s="314">
        <v>100</v>
      </c>
      <c r="N34" s="338">
        <v>0</v>
      </c>
      <c r="O34" s="338">
        <v>0</v>
      </c>
      <c r="P34" s="333">
        <f t="shared" si="10"/>
        <v>0</v>
      </c>
      <c r="Q34" s="333">
        <f t="shared" si="11"/>
        <v>0</v>
      </c>
      <c r="R34" s="333">
        <f t="shared" si="12"/>
        <v>0</v>
      </c>
      <c r="S34" s="369">
        <f t="shared" si="13"/>
        <v>0</v>
      </c>
      <c r="T34" s="149"/>
      <c r="U34" s="161"/>
    </row>
    <row r="35" spans="1:23" s="114" customFormat="1" ht="12.95" customHeight="1">
      <c r="A35" s="398">
        <v>27</v>
      </c>
      <c r="B35" s="373" t="s">
        <v>110</v>
      </c>
      <c r="C35" s="374" t="s">
        <v>266</v>
      </c>
      <c r="D35" s="325">
        <v>5806944067.2600002</v>
      </c>
      <c r="E35" s="196">
        <v>6.3E-2</v>
      </c>
      <c r="F35" s="314">
        <v>1</v>
      </c>
      <c r="G35" s="314">
        <v>1</v>
      </c>
      <c r="H35" s="338">
        <v>9.69E-2</v>
      </c>
      <c r="I35" s="338">
        <v>9.69E-2</v>
      </c>
      <c r="J35" s="325">
        <v>5849251583.5699997</v>
      </c>
      <c r="K35" s="337">
        <f t="shared" si="9"/>
        <v>7.1892276744002495E-3</v>
      </c>
      <c r="L35" s="314">
        <v>1</v>
      </c>
      <c r="M35" s="314">
        <v>1</v>
      </c>
      <c r="N35" s="338">
        <v>9.69E-2</v>
      </c>
      <c r="O35" s="338">
        <v>9.69E-2</v>
      </c>
      <c r="P35" s="333">
        <f t="shared" si="10"/>
        <v>7.2856765658433865E-3</v>
      </c>
      <c r="Q35" s="333">
        <f t="shared" si="11"/>
        <v>0</v>
      </c>
      <c r="R35" s="333">
        <f t="shared" si="12"/>
        <v>0</v>
      </c>
      <c r="S35" s="369">
        <f t="shared" si="13"/>
        <v>0</v>
      </c>
      <c r="T35" s="162"/>
      <c r="U35" s="115"/>
      <c r="V35" s="435"/>
      <c r="W35" s="435"/>
    </row>
    <row r="36" spans="1:23" s="114" customFormat="1" ht="12.95" customHeight="1">
      <c r="A36" s="402">
        <v>28</v>
      </c>
      <c r="B36" s="373" t="s">
        <v>102</v>
      </c>
      <c r="C36" s="374" t="s">
        <v>100</v>
      </c>
      <c r="D36" s="325">
        <v>12497940144.360001</v>
      </c>
      <c r="E36" s="196">
        <v>4.5100000000000001E-2</v>
      </c>
      <c r="F36" s="69">
        <v>100</v>
      </c>
      <c r="G36" s="69">
        <v>100</v>
      </c>
      <c r="H36" s="338">
        <v>8.9200000000000002E-2</v>
      </c>
      <c r="I36" s="338">
        <v>8.9200000000000002E-2</v>
      </c>
      <c r="J36" s="325">
        <v>12859844781.469999</v>
      </c>
      <c r="K36" s="337">
        <f t="shared" si="9"/>
        <v>1.5805842964786428E-2</v>
      </c>
      <c r="L36" s="69">
        <v>100</v>
      </c>
      <c r="M36" s="69">
        <v>100</v>
      </c>
      <c r="N36" s="338">
        <v>9.01E-2</v>
      </c>
      <c r="O36" s="338">
        <v>9.01E-2</v>
      </c>
      <c r="P36" s="333">
        <f t="shared" si="10"/>
        <v>2.895714277150839E-2</v>
      </c>
      <c r="Q36" s="333">
        <f t="shared" si="11"/>
        <v>0</v>
      </c>
      <c r="R36" s="333">
        <f t="shared" si="12"/>
        <v>8.9999999999999802E-4</v>
      </c>
      <c r="S36" s="369">
        <f t="shared" si="13"/>
        <v>8.9999999999999802E-4</v>
      </c>
      <c r="T36" s="146"/>
      <c r="U36" s="124"/>
    </row>
    <row r="37" spans="1:23" s="114" customFormat="1" ht="12.95" customHeight="1">
      <c r="A37" s="402">
        <v>29</v>
      </c>
      <c r="B37" s="373" t="s">
        <v>101</v>
      </c>
      <c r="C37" s="374" t="s">
        <v>100</v>
      </c>
      <c r="D37" s="325">
        <v>423733184.42000002</v>
      </c>
      <c r="E37" s="196">
        <v>5.2900000000000003E-2</v>
      </c>
      <c r="F37" s="69">
        <v>1000000</v>
      </c>
      <c r="G37" s="69">
        <v>1000000</v>
      </c>
      <c r="H37" s="338">
        <v>0.1085</v>
      </c>
      <c r="I37" s="338">
        <v>0.1085</v>
      </c>
      <c r="J37" s="325">
        <v>492195524.19999999</v>
      </c>
      <c r="K37" s="337">
        <f t="shared" si="9"/>
        <v>6.0495016041606231E-4</v>
      </c>
      <c r="L37" s="69">
        <v>1000000</v>
      </c>
      <c r="M37" s="69">
        <v>1000000</v>
      </c>
      <c r="N37" s="338">
        <v>9.6299999999999997E-2</v>
      </c>
      <c r="O37" s="338">
        <v>9.6299999999999997E-2</v>
      </c>
      <c r="P37" s="333">
        <f t="shared" si="10"/>
        <v>0.1615694552545141</v>
      </c>
      <c r="Q37" s="333">
        <f t="shared" si="11"/>
        <v>0</v>
      </c>
      <c r="R37" s="333">
        <f t="shared" si="12"/>
        <v>-1.2200000000000003E-2</v>
      </c>
      <c r="S37" s="369">
        <f t="shared" si="13"/>
        <v>-1.2200000000000003E-2</v>
      </c>
      <c r="T37" s="146"/>
      <c r="U37" s="125"/>
    </row>
    <row r="38" spans="1:23" s="114" customFormat="1" ht="12.95" customHeight="1">
      <c r="A38" s="402">
        <v>30</v>
      </c>
      <c r="B38" s="373" t="s">
        <v>173</v>
      </c>
      <c r="C38" s="374" t="s">
        <v>172</v>
      </c>
      <c r="D38" s="325">
        <v>1789189666.3800001</v>
      </c>
      <c r="E38" s="196">
        <v>9.0300000000000005E-2</v>
      </c>
      <c r="F38" s="314">
        <v>1</v>
      </c>
      <c r="G38" s="314">
        <v>1</v>
      </c>
      <c r="H38" s="338">
        <v>0.1323</v>
      </c>
      <c r="I38" s="338">
        <v>0.1323</v>
      </c>
      <c r="J38" s="325">
        <v>1944347523.0699999</v>
      </c>
      <c r="K38" s="337">
        <f t="shared" si="9"/>
        <v>2.3897684723923176E-3</v>
      </c>
      <c r="L38" s="314">
        <v>1</v>
      </c>
      <c r="M38" s="314">
        <v>1</v>
      </c>
      <c r="N38" s="338">
        <v>0.13800000000000001</v>
      </c>
      <c r="O38" s="338">
        <v>0.13800000000000001</v>
      </c>
      <c r="P38" s="333">
        <f t="shared" si="10"/>
        <v>8.671962487013736E-2</v>
      </c>
      <c r="Q38" s="333">
        <f t="shared" si="11"/>
        <v>0</v>
      </c>
      <c r="R38" s="333">
        <f t="shared" si="12"/>
        <v>5.7000000000000106E-3</v>
      </c>
      <c r="S38" s="369">
        <f t="shared" si="13"/>
        <v>5.7000000000000106E-3</v>
      </c>
      <c r="T38" s="146"/>
      <c r="U38" s="124"/>
    </row>
    <row r="39" spans="1:23" s="114" customFormat="1" ht="12.95" customHeight="1">
      <c r="A39" s="405">
        <v>31</v>
      </c>
      <c r="B39" s="373" t="s">
        <v>271</v>
      </c>
      <c r="C39" s="374" t="s">
        <v>136</v>
      </c>
      <c r="D39" s="325">
        <v>312532306.63</v>
      </c>
      <c r="E39" s="337">
        <f>(D39/$J$54)</f>
        <v>3.8412878568598016E-4</v>
      </c>
      <c r="F39" s="314">
        <v>1</v>
      </c>
      <c r="G39" s="314">
        <v>1</v>
      </c>
      <c r="H39" s="324">
        <v>6.8199999999999997E-2</v>
      </c>
      <c r="I39" s="324">
        <v>6.8199999999999997E-2</v>
      </c>
      <c r="J39" s="325">
        <v>267748658.43000001</v>
      </c>
      <c r="K39" s="337">
        <f t="shared" si="9"/>
        <v>3.2908587320391153E-4</v>
      </c>
      <c r="L39" s="314">
        <v>1</v>
      </c>
      <c r="M39" s="314">
        <v>1</v>
      </c>
      <c r="N39" s="324">
        <v>5.8599999999999999E-2</v>
      </c>
      <c r="O39" s="324">
        <v>5.8599999999999999E-2</v>
      </c>
      <c r="P39" s="333">
        <f t="shared" si="10"/>
        <v>-0.14329286044984255</v>
      </c>
      <c r="Q39" s="333">
        <f t="shared" si="11"/>
        <v>0</v>
      </c>
      <c r="R39" s="333">
        <f t="shared" si="12"/>
        <v>-9.5999999999999974E-3</v>
      </c>
      <c r="S39" s="369">
        <f t="shared" si="13"/>
        <v>-9.5999999999999974E-3</v>
      </c>
      <c r="T39" s="146"/>
      <c r="U39" s="124"/>
      <c r="V39" s="126"/>
    </row>
    <row r="40" spans="1:23" s="114" customFormat="1" ht="12.95" customHeight="1">
      <c r="A40" s="397">
        <v>32</v>
      </c>
      <c r="B40" s="373" t="s">
        <v>14</v>
      </c>
      <c r="C40" s="374" t="s">
        <v>189</v>
      </c>
      <c r="D40" s="325">
        <v>192496167589.39999</v>
      </c>
      <c r="E40" s="196">
        <v>6.2600000000000003E-2</v>
      </c>
      <c r="F40" s="314">
        <v>100</v>
      </c>
      <c r="G40" s="314">
        <v>100</v>
      </c>
      <c r="H40" s="338">
        <v>0.1087</v>
      </c>
      <c r="I40" s="338">
        <v>0.1087</v>
      </c>
      <c r="J40" s="325">
        <v>191162635391.41</v>
      </c>
      <c r="K40" s="337">
        <f t="shared" si="9"/>
        <v>0.23495513725679407</v>
      </c>
      <c r="L40" s="314">
        <v>100</v>
      </c>
      <c r="M40" s="314">
        <v>100</v>
      </c>
      <c r="N40" s="338">
        <v>0.10489999999999999</v>
      </c>
      <c r="O40" s="338">
        <v>0.10489999999999999</v>
      </c>
      <c r="P40" s="333">
        <f t="shared" si="10"/>
        <v>-6.9275779081194684E-3</v>
      </c>
      <c r="Q40" s="333">
        <f t="shared" si="11"/>
        <v>0</v>
      </c>
      <c r="R40" s="333">
        <f t="shared" si="12"/>
        <v>-3.8000000000000117E-3</v>
      </c>
      <c r="S40" s="369">
        <f t="shared" si="13"/>
        <v>-3.8000000000000117E-3</v>
      </c>
      <c r="T40" s="156"/>
      <c r="U40" s="440"/>
      <c r="V40" s="189"/>
    </row>
    <row r="41" spans="1:23" s="114" customFormat="1" ht="12.95" customHeight="1">
      <c r="A41" s="403">
        <v>33</v>
      </c>
      <c r="B41" s="373" t="s">
        <v>124</v>
      </c>
      <c r="C41" s="374" t="s">
        <v>179</v>
      </c>
      <c r="D41" s="325">
        <v>593191366.59000003</v>
      </c>
      <c r="E41" s="196">
        <v>4.9799999999999997E-2</v>
      </c>
      <c r="F41" s="314">
        <v>10</v>
      </c>
      <c r="G41" s="314">
        <v>10</v>
      </c>
      <c r="H41" s="338">
        <v>7.1900000000000006E-2</v>
      </c>
      <c r="I41" s="338">
        <v>7.1900000000000006E-2</v>
      </c>
      <c r="J41" s="325">
        <v>592894163.17999995</v>
      </c>
      <c r="K41" s="337">
        <f t="shared" si="9"/>
        <v>7.2871735213046046E-4</v>
      </c>
      <c r="L41" s="314">
        <v>10</v>
      </c>
      <c r="M41" s="314">
        <v>10</v>
      </c>
      <c r="N41" s="338">
        <v>9.1399999999999995E-2</v>
      </c>
      <c r="O41" s="338">
        <v>9.1399999999999995E-2</v>
      </c>
      <c r="P41" s="111">
        <f t="shared" si="10"/>
        <v>-5.0102450362448693E-4</v>
      </c>
      <c r="Q41" s="333">
        <f t="shared" si="11"/>
        <v>0</v>
      </c>
      <c r="R41" s="333">
        <f t="shared" si="12"/>
        <v>1.949999999999999E-2</v>
      </c>
      <c r="S41" s="369">
        <f t="shared" si="13"/>
        <v>1.949999999999999E-2</v>
      </c>
      <c r="T41" s="158"/>
      <c r="U41" s="440"/>
      <c r="V41" s="189"/>
    </row>
    <row r="42" spans="1:23" s="114" customFormat="1" ht="12.95" customHeight="1">
      <c r="A42" s="405">
        <v>34</v>
      </c>
      <c r="B42" s="373" t="s">
        <v>87</v>
      </c>
      <c r="C42" s="374" t="s">
        <v>88</v>
      </c>
      <c r="D42" s="325">
        <v>2005360529.7502565</v>
      </c>
      <c r="E42" s="196">
        <v>4.2599999999999999E-2</v>
      </c>
      <c r="F42" s="314">
        <v>100</v>
      </c>
      <c r="G42" s="314">
        <v>100</v>
      </c>
      <c r="H42" s="338">
        <v>8.6400000000000005E-2</v>
      </c>
      <c r="I42" s="338">
        <v>8.6400000000000005E-2</v>
      </c>
      <c r="J42" s="325">
        <v>2235671285.2163291</v>
      </c>
      <c r="K42" s="337">
        <f t="shared" si="9"/>
        <v>2.7478301531235309E-3</v>
      </c>
      <c r="L42" s="314">
        <v>100</v>
      </c>
      <c r="M42" s="314">
        <v>100</v>
      </c>
      <c r="N42" s="338">
        <v>7.0999999999999994E-2</v>
      </c>
      <c r="O42" s="338">
        <v>0.08</v>
      </c>
      <c r="P42" s="333">
        <f t="shared" si="10"/>
        <v>0.11484755586306218</v>
      </c>
      <c r="Q42" s="333">
        <f t="shared" si="11"/>
        <v>0</v>
      </c>
      <c r="R42" s="333">
        <f t="shared" si="12"/>
        <v>-1.5400000000000011E-2</v>
      </c>
      <c r="S42" s="369">
        <f t="shared" si="13"/>
        <v>-6.4000000000000029E-3</v>
      </c>
      <c r="T42" s="149"/>
      <c r="U42" s="124"/>
    </row>
    <row r="43" spans="1:23" s="114" customFormat="1" ht="12.95" customHeight="1">
      <c r="A43" s="401">
        <v>35</v>
      </c>
      <c r="B43" s="373" t="s">
        <v>123</v>
      </c>
      <c r="C43" s="374" t="s">
        <v>135</v>
      </c>
      <c r="D43" s="325">
        <v>3429760394.7600002</v>
      </c>
      <c r="E43" s="196">
        <v>4.8399999999999999E-2</v>
      </c>
      <c r="F43" s="314">
        <v>1</v>
      </c>
      <c r="G43" s="314">
        <v>1</v>
      </c>
      <c r="H43" s="338">
        <v>8.7800000000000003E-2</v>
      </c>
      <c r="I43" s="338">
        <v>8.7800000000000003E-2</v>
      </c>
      <c r="J43" s="325">
        <v>3336785148.4099998</v>
      </c>
      <c r="K43" s="337">
        <f t="shared" si="9"/>
        <v>4.1011927405994152E-3</v>
      </c>
      <c r="L43" s="314">
        <v>1</v>
      </c>
      <c r="M43" s="314">
        <v>1</v>
      </c>
      <c r="N43" s="338">
        <v>8.5500000000000007E-2</v>
      </c>
      <c r="O43" s="338">
        <v>8.5500000000000007E-2</v>
      </c>
      <c r="P43" s="111">
        <f t="shared" si="10"/>
        <v>-2.710837949264569E-2</v>
      </c>
      <c r="Q43" s="111">
        <f t="shared" si="11"/>
        <v>0</v>
      </c>
      <c r="R43" s="333">
        <f t="shared" si="12"/>
        <v>-2.2999999999999965E-3</v>
      </c>
      <c r="S43" s="369">
        <f t="shared" si="13"/>
        <v>-2.2999999999999965E-3</v>
      </c>
      <c r="T43" s="146"/>
      <c r="U43" s="163"/>
      <c r="V43" s="189"/>
    </row>
    <row r="44" spans="1:23" s="114" customFormat="1" ht="12.95" customHeight="1">
      <c r="A44" s="397">
        <v>36</v>
      </c>
      <c r="B44" s="373" t="s">
        <v>56</v>
      </c>
      <c r="C44" s="374" t="s">
        <v>55</v>
      </c>
      <c r="D44" s="320">
        <v>2679078960.8699999</v>
      </c>
      <c r="E44" s="196">
        <v>6.4500000000000002E-2</v>
      </c>
      <c r="F44" s="314">
        <v>10</v>
      </c>
      <c r="G44" s="314">
        <v>10</v>
      </c>
      <c r="H44" s="338">
        <v>0.12130000000000001</v>
      </c>
      <c r="I44" s="338">
        <v>0.12130000000000001</v>
      </c>
      <c r="J44" s="320">
        <v>2677023149.29</v>
      </c>
      <c r="K44" s="337">
        <f t="shared" si="9"/>
        <v>3.2902891309967296E-3</v>
      </c>
      <c r="L44" s="314">
        <v>10</v>
      </c>
      <c r="M44" s="314">
        <v>10</v>
      </c>
      <c r="N44" s="338">
        <v>0.1181</v>
      </c>
      <c r="O44" s="338">
        <v>0.1181</v>
      </c>
      <c r="P44" s="333">
        <f t="shared" si="10"/>
        <v>-7.6735759192865397E-4</v>
      </c>
      <c r="Q44" s="333">
        <f t="shared" si="11"/>
        <v>0</v>
      </c>
      <c r="R44" s="333">
        <f t="shared" si="12"/>
        <v>-3.2000000000000084E-3</v>
      </c>
      <c r="S44" s="369">
        <f t="shared" si="13"/>
        <v>-3.2000000000000084E-3</v>
      </c>
      <c r="T44" s="146"/>
      <c r="U44" s="163"/>
      <c r="V44" s="189"/>
    </row>
    <row r="45" spans="1:23" s="114" customFormat="1" ht="12.95" customHeight="1">
      <c r="A45" s="405">
        <v>37</v>
      </c>
      <c r="B45" s="373" t="s">
        <v>192</v>
      </c>
      <c r="C45" s="374" t="s">
        <v>176</v>
      </c>
      <c r="D45" s="325">
        <v>3495845153.1100001</v>
      </c>
      <c r="E45" s="196">
        <v>7.8700000000000006E-2</v>
      </c>
      <c r="F45" s="314">
        <v>100</v>
      </c>
      <c r="G45" s="314">
        <v>100</v>
      </c>
      <c r="H45" s="338">
        <v>0.1116</v>
      </c>
      <c r="I45" s="338">
        <v>0.1116</v>
      </c>
      <c r="J45" s="325">
        <v>3615054648.0999999</v>
      </c>
      <c r="K45" s="337">
        <f t="shared" si="9"/>
        <v>4.4432096225082386E-3</v>
      </c>
      <c r="L45" s="314">
        <v>100</v>
      </c>
      <c r="M45" s="314">
        <v>100</v>
      </c>
      <c r="N45" s="338">
        <v>0.1081</v>
      </c>
      <c r="O45" s="338">
        <v>0.1081</v>
      </c>
      <c r="P45" s="333">
        <f t="shared" si="10"/>
        <v>3.4100336190219328E-2</v>
      </c>
      <c r="Q45" s="333">
        <f t="shared" si="11"/>
        <v>0</v>
      </c>
      <c r="R45" s="333">
        <f t="shared" si="12"/>
        <v>-3.5000000000000031E-3</v>
      </c>
      <c r="S45" s="369">
        <f t="shared" si="13"/>
        <v>-3.5000000000000031E-3</v>
      </c>
      <c r="T45" s="146"/>
      <c r="U45" s="124"/>
    </row>
    <row r="46" spans="1:23" s="114" customFormat="1" ht="12.95" customHeight="1">
      <c r="A46" s="397">
        <v>38</v>
      </c>
      <c r="B46" s="373" t="s">
        <v>165</v>
      </c>
      <c r="C46" s="374" t="s">
        <v>163</v>
      </c>
      <c r="D46" s="325">
        <v>140973409.09999999</v>
      </c>
      <c r="E46" s="196">
        <v>2.9985000000000001E-2</v>
      </c>
      <c r="F46" s="314">
        <v>1</v>
      </c>
      <c r="G46" s="314">
        <v>1</v>
      </c>
      <c r="H46" s="338">
        <v>7.4399999999999994E-2</v>
      </c>
      <c r="I46" s="338">
        <v>7.4399999999999994E-2</v>
      </c>
      <c r="J46" s="325">
        <v>140315263.97</v>
      </c>
      <c r="K46" s="337">
        <f t="shared" si="9"/>
        <v>1.7245939321663102E-4</v>
      </c>
      <c r="L46" s="314">
        <v>1</v>
      </c>
      <c r="M46" s="314">
        <v>1</v>
      </c>
      <c r="N46" s="338">
        <v>7.4999999999999997E-2</v>
      </c>
      <c r="O46" s="338">
        <v>7.4832999999999997E-2</v>
      </c>
      <c r="P46" s="333">
        <f t="shared" si="10"/>
        <v>-4.6685763946670089E-3</v>
      </c>
      <c r="Q46" s="333">
        <f t="shared" si="11"/>
        <v>0</v>
      </c>
      <c r="R46" s="333">
        <f t="shared" si="12"/>
        <v>6.0000000000000331E-4</v>
      </c>
      <c r="S46" s="369">
        <f t="shared" si="13"/>
        <v>4.3300000000000283E-4</v>
      </c>
      <c r="T46" s="146"/>
      <c r="U46" s="124"/>
    </row>
    <row r="47" spans="1:23" s="114" customFormat="1" ht="12.95" customHeight="1">
      <c r="A47" s="401">
        <v>39</v>
      </c>
      <c r="B47" s="373" t="s">
        <v>96</v>
      </c>
      <c r="C47" s="374" t="s">
        <v>91</v>
      </c>
      <c r="D47" s="320">
        <v>649816957.09000003</v>
      </c>
      <c r="E47" s="196">
        <v>6.6600000000000006E-2</v>
      </c>
      <c r="F47" s="314">
        <v>10</v>
      </c>
      <c r="G47" s="314">
        <v>10</v>
      </c>
      <c r="H47" s="338">
        <v>0.11260000000000001</v>
      </c>
      <c r="I47" s="338">
        <v>0.11260000000000001</v>
      </c>
      <c r="J47" s="320">
        <v>658939973.36000001</v>
      </c>
      <c r="K47" s="337">
        <f t="shared" si="9"/>
        <v>8.0989327003044669E-4</v>
      </c>
      <c r="L47" s="314">
        <v>10</v>
      </c>
      <c r="M47" s="314">
        <v>10</v>
      </c>
      <c r="N47" s="338">
        <v>0.10390000000000001</v>
      </c>
      <c r="O47" s="338">
        <v>0.10390000000000001</v>
      </c>
      <c r="P47" s="333">
        <f t="shared" si="10"/>
        <v>1.4039363193682305E-2</v>
      </c>
      <c r="Q47" s="333">
        <f t="shared" si="11"/>
        <v>0</v>
      </c>
      <c r="R47" s="333">
        <f t="shared" si="12"/>
        <v>-8.6999999999999994E-3</v>
      </c>
      <c r="S47" s="369">
        <f t="shared" si="13"/>
        <v>-8.6999999999999994E-3</v>
      </c>
      <c r="T47" s="156"/>
      <c r="U47" s="124"/>
    </row>
    <row r="48" spans="1:23" s="114" customFormat="1" ht="12.95" customHeight="1">
      <c r="A48" s="405">
        <v>40</v>
      </c>
      <c r="B48" s="373" t="s">
        <v>34</v>
      </c>
      <c r="C48" s="374" t="s">
        <v>5</v>
      </c>
      <c r="D48" s="325">
        <v>346941578575.98999</v>
      </c>
      <c r="E48" s="196">
        <v>3.6200000000000003E-2</v>
      </c>
      <c r="F48" s="314">
        <v>100</v>
      </c>
      <c r="G48" s="314">
        <v>100</v>
      </c>
      <c r="H48" s="338">
        <v>0.1017</v>
      </c>
      <c r="I48" s="338">
        <v>0.1017</v>
      </c>
      <c r="J48" s="325">
        <v>350499771127.26001</v>
      </c>
      <c r="K48" s="337">
        <f t="shared" si="9"/>
        <v>0.43079402868172012</v>
      </c>
      <c r="L48" s="314">
        <v>100</v>
      </c>
      <c r="M48" s="314">
        <v>100</v>
      </c>
      <c r="N48" s="338">
        <v>0.1167</v>
      </c>
      <c r="O48" s="338">
        <v>0.1167</v>
      </c>
      <c r="P48" s="333">
        <f t="shared" si="10"/>
        <v>1.0255883903781441E-2</v>
      </c>
      <c r="Q48" s="333">
        <f t="shared" si="11"/>
        <v>0</v>
      </c>
      <c r="R48" s="333">
        <f t="shared" si="12"/>
        <v>1.4999999999999999E-2</v>
      </c>
      <c r="S48" s="369">
        <f t="shared" si="13"/>
        <v>1.4999999999999999E-2</v>
      </c>
      <c r="T48" s="156"/>
      <c r="U48" s="124"/>
    </row>
    <row r="49" spans="1:23" s="114" customFormat="1" ht="12.95" customHeight="1">
      <c r="A49" s="398">
        <v>41</v>
      </c>
      <c r="B49" s="373" t="s">
        <v>153</v>
      </c>
      <c r="C49" s="374" t="s">
        <v>152</v>
      </c>
      <c r="D49" s="325">
        <v>1419447567.9300001</v>
      </c>
      <c r="E49" s="196">
        <v>5.3145060299999998E-2</v>
      </c>
      <c r="F49" s="314">
        <v>1</v>
      </c>
      <c r="G49" s="314">
        <v>1</v>
      </c>
      <c r="H49" s="338">
        <v>0.14074320125837714</v>
      </c>
      <c r="I49" s="338">
        <v>0.14074320125837714</v>
      </c>
      <c r="J49" s="325">
        <v>1469597745.29</v>
      </c>
      <c r="K49" s="337">
        <f t="shared" si="9"/>
        <v>1.8062606180852161E-3</v>
      </c>
      <c r="L49" s="314">
        <v>1</v>
      </c>
      <c r="M49" s="314">
        <v>1</v>
      </c>
      <c r="N49" s="338">
        <v>0.13948406739665326</v>
      </c>
      <c r="O49" s="338">
        <v>0.13948406739665326</v>
      </c>
      <c r="P49" s="333">
        <f t="shared" si="10"/>
        <v>3.5330771275429773E-2</v>
      </c>
      <c r="Q49" s="333">
        <f t="shared" si="11"/>
        <v>0</v>
      </c>
      <c r="R49" s="333">
        <f t="shared" si="12"/>
        <v>-1.2591338617238823E-3</v>
      </c>
      <c r="S49" s="369">
        <f t="shared" si="13"/>
        <v>-1.2591338617238823E-3</v>
      </c>
      <c r="T49" s="146"/>
      <c r="U49" s="124"/>
    </row>
    <row r="50" spans="1:23" s="114" customFormat="1" ht="12.95" customHeight="1">
      <c r="A50" s="397">
        <v>42</v>
      </c>
      <c r="B50" s="373" t="s">
        <v>77</v>
      </c>
      <c r="C50" s="374" t="s">
        <v>41</v>
      </c>
      <c r="D50" s="325">
        <v>44507670041.57</v>
      </c>
      <c r="E50" s="196">
        <v>5.2600000000000001E-2</v>
      </c>
      <c r="F50" s="314">
        <v>1</v>
      </c>
      <c r="G50" s="314">
        <v>1</v>
      </c>
      <c r="H50" s="338">
        <v>0.10780000000000001</v>
      </c>
      <c r="I50" s="338">
        <v>0.10780000000000001</v>
      </c>
      <c r="J50" s="325">
        <v>47601196591.650002</v>
      </c>
      <c r="K50" s="337">
        <f t="shared" si="9"/>
        <v>5.8505919087581959E-2</v>
      </c>
      <c r="L50" s="314">
        <v>1</v>
      </c>
      <c r="M50" s="314">
        <v>1</v>
      </c>
      <c r="N50" s="338">
        <v>0.10249999999999999</v>
      </c>
      <c r="O50" s="338">
        <v>0.10249999999999999</v>
      </c>
      <c r="P50" s="333">
        <f t="shared" si="10"/>
        <v>6.950547056699799E-2</v>
      </c>
      <c r="Q50" s="333">
        <f t="shared" si="11"/>
        <v>0</v>
      </c>
      <c r="R50" s="333">
        <f t="shared" si="12"/>
        <v>-5.300000000000013E-3</v>
      </c>
      <c r="S50" s="369">
        <f t="shared" si="13"/>
        <v>-5.300000000000013E-3</v>
      </c>
      <c r="T50" s="146"/>
      <c r="U50" s="124"/>
    </row>
    <row r="51" spans="1:23" s="114" customFormat="1" ht="12.95" customHeight="1">
      <c r="A51" s="401">
        <v>43</v>
      </c>
      <c r="B51" s="373" t="s">
        <v>162</v>
      </c>
      <c r="C51" s="374" t="s">
        <v>108</v>
      </c>
      <c r="D51" s="325">
        <v>1224875447.25</v>
      </c>
      <c r="E51" s="196">
        <v>6.4199999999999993E-2</v>
      </c>
      <c r="F51" s="314">
        <v>1</v>
      </c>
      <c r="G51" s="314">
        <v>1</v>
      </c>
      <c r="H51" s="338">
        <v>7.0900000000000005E-2</v>
      </c>
      <c r="I51" s="338">
        <v>7.0900000000000005E-2</v>
      </c>
      <c r="J51" s="325">
        <v>1226542907.54</v>
      </c>
      <c r="K51" s="337">
        <f t="shared" si="9"/>
        <v>1.5075255507037105E-3</v>
      </c>
      <c r="L51" s="314">
        <v>1</v>
      </c>
      <c r="M51" s="314">
        <v>1</v>
      </c>
      <c r="N51" s="338">
        <v>7.2300000000000003E-2</v>
      </c>
      <c r="O51" s="338">
        <v>7.2300000000000003E-2</v>
      </c>
      <c r="P51" s="333">
        <f t="shared" si="10"/>
        <v>1.3613304877190743E-3</v>
      </c>
      <c r="Q51" s="333">
        <f t="shared" si="11"/>
        <v>0</v>
      </c>
      <c r="R51" s="333">
        <f t="shared" si="12"/>
        <v>1.3999999999999985E-3</v>
      </c>
      <c r="S51" s="369">
        <f t="shared" si="13"/>
        <v>1.3999999999999985E-3</v>
      </c>
      <c r="T51" s="90"/>
      <c r="U51" s="124"/>
    </row>
    <row r="52" spans="1:23" s="114" customFormat="1" ht="12.95" customHeight="1">
      <c r="A52" s="397">
        <v>44</v>
      </c>
      <c r="B52" s="373" t="s">
        <v>134</v>
      </c>
      <c r="C52" s="374" t="s">
        <v>38</v>
      </c>
      <c r="D52" s="325">
        <v>1326413539.1800001</v>
      </c>
      <c r="E52" s="196">
        <v>2.2200000000000001E-2</v>
      </c>
      <c r="F52" s="314">
        <v>1</v>
      </c>
      <c r="G52" s="314">
        <v>1</v>
      </c>
      <c r="H52" s="338">
        <v>6.3799999999999996E-2</v>
      </c>
      <c r="I52" s="338">
        <v>6.3799999999999996E-2</v>
      </c>
      <c r="J52" s="325">
        <v>1357634841.6800001</v>
      </c>
      <c r="K52" s="337">
        <f t="shared" si="9"/>
        <v>1.6686486871161017E-3</v>
      </c>
      <c r="L52" s="314">
        <v>1</v>
      </c>
      <c r="M52" s="314">
        <v>1</v>
      </c>
      <c r="N52" s="338">
        <v>0.1056</v>
      </c>
      <c r="O52" s="338">
        <v>0.1056</v>
      </c>
      <c r="P52" s="333">
        <f t="shared" si="10"/>
        <v>2.3538136167775604E-2</v>
      </c>
      <c r="Q52" s="333">
        <f t="shared" si="11"/>
        <v>0</v>
      </c>
      <c r="R52" s="333">
        <f t="shared" si="12"/>
        <v>4.1800000000000004E-2</v>
      </c>
      <c r="S52" s="369">
        <f t="shared" si="13"/>
        <v>4.1800000000000004E-2</v>
      </c>
      <c r="U52" s="124"/>
    </row>
    <row r="53" spans="1:23" s="114" customFormat="1" ht="12.95" customHeight="1">
      <c r="A53" s="401">
        <v>45</v>
      </c>
      <c r="B53" s="373" t="s">
        <v>114</v>
      </c>
      <c r="C53" s="374" t="s">
        <v>12</v>
      </c>
      <c r="D53" s="325">
        <v>22329450046.02</v>
      </c>
      <c r="E53" s="196">
        <v>5.9200000000000003E-2</v>
      </c>
      <c r="F53" s="314">
        <v>1</v>
      </c>
      <c r="G53" s="314">
        <v>1</v>
      </c>
      <c r="H53" s="338">
        <v>0.107</v>
      </c>
      <c r="I53" s="338">
        <v>0.107</v>
      </c>
      <c r="J53" s="325">
        <v>22909668463.209999</v>
      </c>
      <c r="K53" s="337">
        <f t="shared" si="9"/>
        <v>2.8157931006024563E-2</v>
      </c>
      <c r="L53" s="314">
        <v>1</v>
      </c>
      <c r="M53" s="314">
        <v>1</v>
      </c>
      <c r="N53" s="338">
        <v>0.10150000000000001</v>
      </c>
      <c r="O53" s="338">
        <v>0.10150000000000001</v>
      </c>
      <c r="P53" s="333">
        <f t="shared" si="10"/>
        <v>2.5984447265570552E-2</v>
      </c>
      <c r="Q53" s="333">
        <f t="shared" si="11"/>
        <v>0</v>
      </c>
      <c r="R53" s="333">
        <f t="shared" si="12"/>
        <v>-5.499999999999991E-3</v>
      </c>
      <c r="S53" s="369">
        <f t="shared" si="13"/>
        <v>-5.499999999999991E-3</v>
      </c>
      <c r="T53" s="164"/>
      <c r="U53" s="124"/>
    </row>
    <row r="54" spans="1:23" s="114" customFormat="1" ht="12.95" customHeight="1">
      <c r="A54" s="218"/>
      <c r="C54" s="248" t="s">
        <v>42</v>
      </c>
      <c r="D54" s="76">
        <f>SUM(D25:D53)</f>
        <v>806100368208.14038</v>
      </c>
      <c r="E54" s="266">
        <f>(D54/$D$168)</f>
        <v>0.49209200090350258</v>
      </c>
      <c r="F54" s="268"/>
      <c r="G54" s="73"/>
      <c r="H54" s="284"/>
      <c r="I54" s="284"/>
      <c r="J54" s="76">
        <f>SUM(J25:J53)</f>
        <v>813613346034.13635</v>
      </c>
      <c r="K54" s="266">
        <f>(J54/$J$168)</f>
        <v>0.49523804919183628</v>
      </c>
      <c r="L54" s="268"/>
      <c r="M54" s="73"/>
      <c r="N54" s="284"/>
      <c r="O54" s="284"/>
      <c r="P54" s="270">
        <f t="shared" ref="P54" si="14">((J54-D54)/D54)</f>
        <v>9.3201518350579295E-3</v>
      </c>
      <c r="Q54" s="270"/>
      <c r="R54" s="270">
        <f t="shared" ref="R54:S54" si="15">N54-H54</f>
        <v>0</v>
      </c>
      <c r="S54" s="369">
        <f t="shared" si="15"/>
        <v>0</v>
      </c>
    </row>
    <row r="55" spans="1:23" s="114" customFormat="1" ht="4.5" customHeight="1">
      <c r="A55" s="411"/>
      <c r="B55" s="412"/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4"/>
    </row>
    <row r="56" spans="1:23" s="114" customFormat="1" ht="12.95" customHeight="1">
      <c r="A56" s="407" t="s">
        <v>272</v>
      </c>
      <c r="B56" s="408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10"/>
      <c r="V56" s="126"/>
      <c r="W56" s="127"/>
    </row>
    <row r="57" spans="1:23" s="114" customFormat="1" ht="12.95" customHeight="1">
      <c r="A57" s="403">
        <v>46</v>
      </c>
      <c r="B57" s="373" t="s">
        <v>141</v>
      </c>
      <c r="C57" s="374" t="s">
        <v>138</v>
      </c>
      <c r="D57" s="330">
        <v>441287934.61000001</v>
      </c>
      <c r="E57" s="337">
        <f>(D57/$D$87)</f>
        <v>1.3522173750014196E-3</v>
      </c>
      <c r="F57" s="331">
        <v>1.2697000000000001</v>
      </c>
      <c r="G57" s="331">
        <v>1.2697000000000001</v>
      </c>
      <c r="H57" s="338">
        <v>3.3960000000000001E-3</v>
      </c>
      <c r="I57" s="338">
        <v>3.1300000000000001E-2</v>
      </c>
      <c r="J57" s="330">
        <v>441073490.06999999</v>
      </c>
      <c r="K57" s="337">
        <f t="shared" ref="K57:K76" si="16">(J57/$J$87)</f>
        <v>1.3504107168472684E-3</v>
      </c>
      <c r="L57" s="331">
        <v>1.2733000000000001</v>
      </c>
      <c r="M57" s="331">
        <v>1.2733000000000001</v>
      </c>
      <c r="N57" s="338">
        <v>2.202E-3</v>
      </c>
      <c r="O57" s="338">
        <v>3.4200000000000001E-2</v>
      </c>
      <c r="P57" s="333">
        <v>-8.3999999999999995E-5</v>
      </c>
      <c r="Q57" s="333">
        <f t="shared" ref="Q57:Q67" si="17">((M57-G57)/G57)</f>
        <v>2.8353154288414959E-3</v>
      </c>
      <c r="R57" s="333">
        <f t="shared" ref="R57:R86" si="18">N57-H57</f>
        <v>-1.1940000000000002E-3</v>
      </c>
      <c r="S57" s="369">
        <f t="shared" ref="S57:S86" si="19">O57-I57</f>
        <v>2.8999999999999998E-3</v>
      </c>
      <c r="T57" s="146"/>
    </row>
    <row r="58" spans="1:23" s="114" customFormat="1" ht="12.95" customHeight="1">
      <c r="A58" s="398">
        <v>47</v>
      </c>
      <c r="B58" s="373" t="s">
        <v>147</v>
      </c>
      <c r="C58" s="374" t="s">
        <v>6</v>
      </c>
      <c r="D58" s="330">
        <v>1019832818.21</v>
      </c>
      <c r="E58" s="337">
        <f>(D58/$D$87)</f>
        <v>3.1250246114228929E-3</v>
      </c>
      <c r="F58" s="331">
        <v>1.1321000000000001</v>
      </c>
      <c r="G58" s="331">
        <v>1.1321000000000001</v>
      </c>
      <c r="H58" s="338">
        <v>9.2299999999999993E-2</v>
      </c>
      <c r="I58" s="338">
        <v>6.4600000000000005E-2</v>
      </c>
      <c r="J58" s="330">
        <v>1022492186.75</v>
      </c>
      <c r="K58" s="337">
        <f t="shared" si="16"/>
        <v>3.1305087201243106E-3</v>
      </c>
      <c r="L58" s="331">
        <v>1.1339999999999999</v>
      </c>
      <c r="M58" s="331">
        <v>1.1339999999999999</v>
      </c>
      <c r="N58" s="338">
        <v>8.7499999999999994E-2</v>
      </c>
      <c r="O58" s="338">
        <v>6.59E-2</v>
      </c>
      <c r="P58" s="333">
        <f t="shared" ref="P58:P68" si="20">((J58-D58)/D58)</f>
        <v>2.6076514625874249E-3</v>
      </c>
      <c r="Q58" s="333">
        <f t="shared" si="17"/>
        <v>1.6782969702321265E-3</v>
      </c>
      <c r="R58" s="333">
        <f t="shared" si="18"/>
        <v>-4.7999999999999987E-3</v>
      </c>
      <c r="S58" s="369">
        <f t="shared" si="19"/>
        <v>1.2999999999999956E-3</v>
      </c>
      <c r="T58" s="146"/>
      <c r="U58" s="128"/>
    </row>
    <row r="59" spans="1:23" s="114" customFormat="1" ht="12.95" customHeight="1">
      <c r="A59" s="398">
        <v>48</v>
      </c>
      <c r="B59" s="373" t="s">
        <v>231</v>
      </c>
      <c r="C59" s="374" t="s">
        <v>6</v>
      </c>
      <c r="D59" s="330">
        <v>862357715.15999997</v>
      </c>
      <c r="E59" s="337">
        <f>(D59/$D$87)</f>
        <v>2.6424812337922741E-3</v>
      </c>
      <c r="F59" s="331">
        <v>1.0564</v>
      </c>
      <c r="G59" s="331">
        <v>1.0564</v>
      </c>
      <c r="H59" s="338">
        <v>5.9299999999999999E-2</v>
      </c>
      <c r="I59" s="338">
        <v>5.9200000000000003E-2</v>
      </c>
      <c r="J59" s="330">
        <v>861426535.37</v>
      </c>
      <c r="K59" s="337">
        <f t="shared" si="16"/>
        <v>2.6373827748197784E-3</v>
      </c>
      <c r="L59" s="331">
        <v>1.0579000000000001</v>
      </c>
      <c r="M59" s="331">
        <v>1.0579000000000001</v>
      </c>
      <c r="N59" s="338">
        <v>7.3999999999999996E-2</v>
      </c>
      <c r="O59" s="338">
        <v>6.0100000000000001E-2</v>
      </c>
      <c r="P59" s="333">
        <f t="shared" si="20"/>
        <v>-1.0798068755344674E-3</v>
      </c>
      <c r="Q59" s="333">
        <f t="shared" si="17"/>
        <v>1.4199166982204249E-3</v>
      </c>
      <c r="R59" s="333">
        <f t="shared" si="18"/>
        <v>1.4699999999999998E-2</v>
      </c>
      <c r="S59" s="369">
        <f t="shared" si="19"/>
        <v>8.9999999999999802E-4</v>
      </c>
      <c r="T59" s="146"/>
      <c r="U59" s="129"/>
      <c r="V59" s="122"/>
    </row>
    <row r="60" spans="1:23" s="130" customFormat="1" ht="12.95" customHeight="1">
      <c r="A60" s="398">
        <v>49</v>
      </c>
      <c r="B60" s="373" t="s">
        <v>171</v>
      </c>
      <c r="C60" s="374" t="s">
        <v>150</v>
      </c>
      <c r="D60" s="330">
        <v>259095700.47</v>
      </c>
      <c r="E60" s="337">
        <f>(D60/$D$87)</f>
        <v>7.9393448242207651E-4</v>
      </c>
      <c r="F60" s="74">
        <v>1130.58</v>
      </c>
      <c r="G60" s="74">
        <v>1130.58</v>
      </c>
      <c r="H60" s="338">
        <v>1.8E-3</v>
      </c>
      <c r="I60" s="338">
        <v>5.3800000000000001E-2</v>
      </c>
      <c r="J60" s="330">
        <v>259095700.47</v>
      </c>
      <c r="K60" s="337">
        <f t="shared" si="16"/>
        <v>7.9325921525732525E-4</v>
      </c>
      <c r="L60" s="74">
        <v>1130.58</v>
      </c>
      <c r="M60" s="74">
        <v>1130.58</v>
      </c>
      <c r="N60" s="338">
        <v>1.8E-3</v>
      </c>
      <c r="O60" s="338">
        <v>0.58140000000000003</v>
      </c>
      <c r="P60" s="333">
        <f t="shared" si="20"/>
        <v>0</v>
      </c>
      <c r="Q60" s="333">
        <f t="shared" si="17"/>
        <v>0</v>
      </c>
      <c r="R60" s="333">
        <f t="shared" si="18"/>
        <v>0</v>
      </c>
      <c r="S60" s="369">
        <f t="shared" si="19"/>
        <v>0.52760000000000007</v>
      </c>
      <c r="T60" s="156"/>
      <c r="U60" s="165"/>
    </row>
    <row r="61" spans="1:23" s="114" customFormat="1" ht="12.95" customHeight="1">
      <c r="A61" s="403">
        <v>50</v>
      </c>
      <c r="B61" s="373" t="s">
        <v>180</v>
      </c>
      <c r="C61" s="374" t="s">
        <v>181</v>
      </c>
      <c r="D61" s="330">
        <v>1376899333.3199999</v>
      </c>
      <c r="E61" s="337">
        <f>(D61/$J$87)</f>
        <v>4.2155778064106655E-3</v>
      </c>
      <c r="F61" s="331">
        <v>1.0303</v>
      </c>
      <c r="G61" s="331">
        <v>1.0303</v>
      </c>
      <c r="H61" s="338">
        <v>1.6000000000000001E-3</v>
      </c>
      <c r="I61" s="338">
        <v>2.81E-2</v>
      </c>
      <c r="J61" s="330">
        <v>1379199832.27</v>
      </c>
      <c r="K61" s="337">
        <f t="shared" si="16"/>
        <v>4.2226211189336713E-3</v>
      </c>
      <c r="L61" s="331">
        <v>1.0319</v>
      </c>
      <c r="M61" s="331">
        <v>1.0319</v>
      </c>
      <c r="N61" s="338">
        <v>1.5E-3</v>
      </c>
      <c r="O61" s="338">
        <v>2.9499999999999998E-2</v>
      </c>
      <c r="P61" s="333">
        <f t="shared" si="20"/>
        <v>1.6707822382723149E-3</v>
      </c>
      <c r="Q61" s="333">
        <f t="shared" si="17"/>
        <v>1.552945743958115E-3</v>
      </c>
      <c r="R61" s="333">
        <f t="shared" si="18"/>
        <v>-1.0000000000000005E-4</v>
      </c>
      <c r="S61" s="369">
        <f t="shared" si="19"/>
        <v>1.3999999999999985E-3</v>
      </c>
      <c r="T61" s="146"/>
      <c r="U61" s="133"/>
      <c r="V61" s="133"/>
    </row>
    <row r="62" spans="1:23" s="114" customFormat="1" ht="12.95" customHeight="1">
      <c r="A62" s="403">
        <v>51</v>
      </c>
      <c r="B62" s="373" t="s">
        <v>107</v>
      </c>
      <c r="C62" s="374" t="s">
        <v>104</v>
      </c>
      <c r="D62" s="330">
        <v>422419220.49000001</v>
      </c>
      <c r="E62" s="337">
        <f t="shared" ref="E62:E86" si="21">(D62/$D$87)</f>
        <v>1.2943988826387227E-3</v>
      </c>
      <c r="F62" s="331">
        <v>2.1812999999999998</v>
      </c>
      <c r="G62" s="331">
        <v>2.1812999999999998</v>
      </c>
      <c r="H62" s="338">
        <v>8.3800165304431767E-2</v>
      </c>
      <c r="I62" s="338">
        <v>0.20025094583592731</v>
      </c>
      <c r="J62" s="330">
        <v>423265978.16000003</v>
      </c>
      <c r="K62" s="337">
        <f t="shared" si="16"/>
        <v>1.2958904260906578E-3</v>
      </c>
      <c r="L62" s="331">
        <v>2.1854</v>
      </c>
      <c r="M62" s="331">
        <v>2.1854</v>
      </c>
      <c r="N62" s="338">
        <v>9.8008396041684084E-2</v>
      </c>
      <c r="O62" s="338">
        <v>0.19506097322054436</v>
      </c>
      <c r="P62" s="111">
        <f t="shared" si="20"/>
        <v>2.0045434225691491E-3</v>
      </c>
      <c r="Q62" s="111">
        <f t="shared" si="17"/>
        <v>1.8796130747720235E-3</v>
      </c>
      <c r="R62" s="333">
        <f t="shared" si="18"/>
        <v>1.4208230737252317E-2</v>
      </c>
      <c r="S62" s="369">
        <f t="shared" si="19"/>
        <v>-5.189972615382954E-3</v>
      </c>
      <c r="T62" s="146"/>
      <c r="U62" s="133"/>
      <c r="V62" s="133"/>
    </row>
    <row r="63" spans="1:23" s="114" customFormat="1" ht="12" customHeight="1">
      <c r="A63" s="398">
        <v>52</v>
      </c>
      <c r="B63" s="373" t="s">
        <v>18</v>
      </c>
      <c r="C63" s="374" t="s">
        <v>7</v>
      </c>
      <c r="D63" s="330">
        <v>3340289973.44666</v>
      </c>
      <c r="E63" s="337">
        <f t="shared" si="21"/>
        <v>1.0235489768442107E-2</v>
      </c>
      <c r="F63" s="330">
        <v>3809.01802943763</v>
      </c>
      <c r="G63" s="330">
        <v>3809.01802943763</v>
      </c>
      <c r="H63" s="338">
        <v>7.3979981386455673E-2</v>
      </c>
      <c r="I63" s="338">
        <v>7.6230962669299837E-2</v>
      </c>
      <c r="J63" s="330">
        <v>3341682810.9524202</v>
      </c>
      <c r="K63" s="337">
        <f t="shared" si="16"/>
        <v>1.0231048525492384E-2</v>
      </c>
      <c r="L63" s="330">
        <v>3814.4232717916202</v>
      </c>
      <c r="M63" s="330">
        <v>3814.4232717916202</v>
      </c>
      <c r="N63" s="338">
        <v>7.3994078712261144E-2</v>
      </c>
      <c r="O63" s="338">
        <v>7.621478004913218E-2</v>
      </c>
      <c r="P63" s="333">
        <f t="shared" si="20"/>
        <v>4.1698101567002612E-4</v>
      </c>
      <c r="Q63" s="333">
        <f t="shared" si="17"/>
        <v>1.4190645232488438E-3</v>
      </c>
      <c r="R63" s="333">
        <f t="shared" si="18"/>
        <v>1.4097325805470518E-5</v>
      </c>
      <c r="S63" s="369">
        <f t="shared" si="19"/>
        <v>-1.6182620167656814E-5</v>
      </c>
      <c r="T63" s="146"/>
      <c r="U63" s="167"/>
      <c r="V63" s="133"/>
    </row>
    <row r="64" spans="1:23" s="114" customFormat="1" ht="12.75" customHeight="1">
      <c r="A64" s="398">
        <v>53</v>
      </c>
      <c r="B64" s="373" t="s">
        <v>227</v>
      </c>
      <c r="C64" s="374" t="s">
        <v>89</v>
      </c>
      <c r="D64" s="330">
        <v>375569073.83999997</v>
      </c>
      <c r="E64" s="337">
        <f t="shared" si="21"/>
        <v>1.150838233563911E-3</v>
      </c>
      <c r="F64" s="331">
        <v>109.19</v>
      </c>
      <c r="G64" s="331">
        <v>109.19</v>
      </c>
      <c r="H64" s="338">
        <v>2.5000000000000001E-3</v>
      </c>
      <c r="I64" s="338">
        <v>9.9599999999999994E-2</v>
      </c>
      <c r="J64" s="330">
        <v>376692688.17000002</v>
      </c>
      <c r="K64" s="337">
        <f t="shared" si="16"/>
        <v>1.1532995170080234E-3</v>
      </c>
      <c r="L64" s="331">
        <v>109.34</v>
      </c>
      <c r="M64" s="331">
        <v>109.34</v>
      </c>
      <c r="N64" s="338">
        <v>1.4E-3</v>
      </c>
      <c r="O64" s="338">
        <v>9.4899999999999998E-2</v>
      </c>
      <c r="P64" s="333">
        <f t="shared" si="20"/>
        <v>2.991764786465686E-3</v>
      </c>
      <c r="Q64" s="333">
        <f t="shared" si="17"/>
        <v>1.3737521751076627E-3</v>
      </c>
      <c r="R64" s="333">
        <f t="shared" si="18"/>
        <v>-1.1000000000000001E-3</v>
      </c>
      <c r="S64" s="369">
        <f t="shared" si="19"/>
        <v>-4.6999999999999958E-3</v>
      </c>
      <c r="T64" s="149"/>
      <c r="U64" s="187"/>
      <c r="V64" s="168"/>
    </row>
    <row r="65" spans="1:23" s="114" customFormat="1" ht="12" customHeight="1">
      <c r="A65" s="398">
        <v>54</v>
      </c>
      <c r="B65" s="373" t="s">
        <v>112</v>
      </c>
      <c r="C65" s="374" t="s">
        <v>109</v>
      </c>
      <c r="D65" s="330">
        <v>341383129.22000003</v>
      </c>
      <c r="E65" s="337">
        <f t="shared" si="21"/>
        <v>1.0460838891315069E-3</v>
      </c>
      <c r="F65" s="331">
        <v>1.3942000000000001</v>
      </c>
      <c r="G65" s="331">
        <v>1.3942000000000001</v>
      </c>
      <c r="H65" s="338">
        <v>1.6999999999999999E-3</v>
      </c>
      <c r="I65" s="338">
        <v>4.0500000000000001E-2</v>
      </c>
      <c r="J65" s="330">
        <v>342481464.06</v>
      </c>
      <c r="K65" s="337">
        <f t="shared" si="16"/>
        <v>1.0485568727215222E-3</v>
      </c>
      <c r="L65" s="331">
        <v>1.3987000000000001</v>
      </c>
      <c r="M65" s="331">
        <v>1.3987000000000001</v>
      </c>
      <c r="N65" s="338">
        <v>3.2000000000000002E-3</v>
      </c>
      <c r="O65" s="338">
        <v>4.3700000000000003E-2</v>
      </c>
      <c r="P65" s="333">
        <f t="shared" si="20"/>
        <v>3.2173084900518497E-3</v>
      </c>
      <c r="Q65" s="333">
        <f t="shared" si="17"/>
        <v>3.2276574379572144E-3</v>
      </c>
      <c r="R65" s="333">
        <f t="shared" si="18"/>
        <v>1.5000000000000002E-3</v>
      </c>
      <c r="S65" s="369">
        <f t="shared" si="19"/>
        <v>3.2000000000000015E-3</v>
      </c>
      <c r="T65" s="156"/>
      <c r="U65" s="189"/>
      <c r="V65" s="169"/>
      <c r="W65" s="187"/>
    </row>
    <row r="66" spans="1:23" s="114" customFormat="1" ht="12.95" customHeight="1">
      <c r="A66" s="401">
        <v>55</v>
      </c>
      <c r="B66" s="373" t="s">
        <v>243</v>
      </c>
      <c r="C66" s="374" t="s">
        <v>242</v>
      </c>
      <c r="D66" s="330">
        <v>531561966.30000001</v>
      </c>
      <c r="E66" s="337">
        <f t="shared" si="21"/>
        <v>1.6288397446352723E-3</v>
      </c>
      <c r="F66" s="74">
        <v>1000</v>
      </c>
      <c r="G66" s="74">
        <v>1000</v>
      </c>
      <c r="H66" s="338">
        <v>1.7308256202077654E-3</v>
      </c>
      <c r="I66" s="338">
        <v>0.1565</v>
      </c>
      <c r="J66" s="330">
        <v>538228101.69000006</v>
      </c>
      <c r="K66" s="337">
        <f t="shared" si="16"/>
        <v>1.6478637075086669E-3</v>
      </c>
      <c r="L66" s="74">
        <v>1000</v>
      </c>
      <c r="M66" s="74">
        <v>1000</v>
      </c>
      <c r="N66" s="338">
        <v>1.2540655300078199E-4</v>
      </c>
      <c r="O66" s="338">
        <v>0.15529999999999999</v>
      </c>
      <c r="P66" s="333">
        <f t="shared" si="20"/>
        <v>1.2540655300078125E-2</v>
      </c>
      <c r="Q66" s="333">
        <f t="shared" si="17"/>
        <v>0</v>
      </c>
      <c r="R66" s="333">
        <f t="shared" si="18"/>
        <v>-1.6054190672069833E-3</v>
      </c>
      <c r="S66" s="369">
        <f t="shared" si="19"/>
        <v>-1.2000000000000066E-3</v>
      </c>
      <c r="T66" s="146"/>
      <c r="U66" s="133"/>
      <c r="V66" s="169"/>
      <c r="W66" s="187"/>
    </row>
    <row r="67" spans="1:23" s="114" customFormat="1" ht="12.95" customHeight="1">
      <c r="A67" s="402">
        <v>56</v>
      </c>
      <c r="B67" s="373" t="s">
        <v>103</v>
      </c>
      <c r="C67" s="374" t="s">
        <v>100</v>
      </c>
      <c r="D67" s="330">
        <v>314541731.98000002</v>
      </c>
      <c r="E67" s="337">
        <f t="shared" si="21"/>
        <v>9.6383508767873159E-4</v>
      </c>
      <c r="F67" s="74">
        <v>1140.21</v>
      </c>
      <c r="G67" s="74">
        <v>1151.0999999999999</v>
      </c>
      <c r="H67" s="338">
        <v>1.9E-3</v>
      </c>
      <c r="I67" s="338">
        <v>3.3099999999999997E-2</v>
      </c>
      <c r="J67" s="330">
        <v>312162311.66000003</v>
      </c>
      <c r="K67" s="337">
        <f t="shared" si="16"/>
        <v>9.5573037271992904E-4</v>
      </c>
      <c r="L67" s="74">
        <v>1141.5999999999999</v>
      </c>
      <c r="M67" s="74">
        <v>1153.1600000000001</v>
      </c>
      <c r="N67" s="338">
        <v>1.5E-3</v>
      </c>
      <c r="O67" s="338">
        <v>3.4599999999999999E-2</v>
      </c>
      <c r="P67" s="333">
        <f t="shared" si="20"/>
        <v>-7.5647206016888312E-3</v>
      </c>
      <c r="Q67" s="333">
        <f t="shared" si="17"/>
        <v>1.7895925636349343E-3</v>
      </c>
      <c r="R67" s="333">
        <f t="shared" si="18"/>
        <v>-3.9999999999999996E-4</v>
      </c>
      <c r="S67" s="369">
        <f t="shared" si="19"/>
        <v>1.5000000000000013E-3</v>
      </c>
      <c r="T67" s="146"/>
      <c r="U67" s="170"/>
      <c r="V67" s="166"/>
    </row>
    <row r="68" spans="1:23" s="114" customFormat="1" ht="12.95" customHeight="1">
      <c r="A68" s="402">
        <v>57</v>
      </c>
      <c r="B68" s="373" t="s">
        <v>174</v>
      </c>
      <c r="C68" s="374" t="s">
        <v>172</v>
      </c>
      <c r="D68" s="330">
        <v>703767099.83000004</v>
      </c>
      <c r="E68" s="337">
        <f t="shared" si="21"/>
        <v>2.1565196455813535E-3</v>
      </c>
      <c r="F68" s="315">
        <v>1.1048</v>
      </c>
      <c r="G68" s="315">
        <v>1.1048</v>
      </c>
      <c r="H68" s="338">
        <v>0.10403980202638204</v>
      </c>
      <c r="I68" s="338">
        <v>0.10202903981264651</v>
      </c>
      <c r="J68" s="330">
        <v>705652857.17999995</v>
      </c>
      <c r="K68" s="337">
        <f t="shared" si="16"/>
        <v>2.160458976028087E-3</v>
      </c>
      <c r="L68" s="315">
        <v>1.0418000000000001</v>
      </c>
      <c r="M68" s="315">
        <v>1.0418000000000001</v>
      </c>
      <c r="N68" s="338">
        <v>0.10383262646115221</v>
      </c>
      <c r="O68" s="338">
        <v>0.10231708182527903</v>
      </c>
      <c r="P68" s="333">
        <f t="shared" si="20"/>
        <v>2.6795190489231776E-3</v>
      </c>
      <c r="Q68" s="333">
        <f>(M68-G68)/G68</f>
        <v>-5.7023895727733476E-2</v>
      </c>
      <c r="R68" s="333">
        <f t="shared" si="18"/>
        <v>-2.0717556522982516E-4</v>
      </c>
      <c r="S68" s="369">
        <f t="shared" si="19"/>
        <v>2.8804201263252227E-4</v>
      </c>
      <c r="T68" s="90"/>
      <c r="U68" s="169"/>
      <c r="V68" s="189"/>
    </row>
    <row r="69" spans="1:23" s="114" customFormat="1" ht="12" customHeight="1">
      <c r="A69" s="397">
        <v>58</v>
      </c>
      <c r="B69" s="373" t="s">
        <v>256</v>
      </c>
      <c r="C69" s="374" t="s">
        <v>189</v>
      </c>
      <c r="D69" s="330">
        <v>65196292622.389999</v>
      </c>
      <c r="E69" s="337">
        <f t="shared" si="21"/>
        <v>0.19977786101853429</v>
      </c>
      <c r="F69" s="315">
        <v>1529.95</v>
      </c>
      <c r="G69" s="330">
        <v>1529.95</v>
      </c>
      <c r="H69" s="338">
        <v>2.2000000000000001E-3</v>
      </c>
      <c r="I69" s="338">
        <v>0.1191</v>
      </c>
      <c r="J69" s="330">
        <v>66292805221.339996</v>
      </c>
      <c r="K69" s="337">
        <f t="shared" si="16"/>
        <v>0.20296507642424513</v>
      </c>
      <c r="L69" s="315">
        <v>1533.3</v>
      </c>
      <c r="M69" s="330">
        <v>1533.3</v>
      </c>
      <c r="N69" s="338">
        <v>2.2000000000000001E-3</v>
      </c>
      <c r="O69" s="338">
        <v>0.1198</v>
      </c>
      <c r="P69" s="333">
        <f t="shared" ref="P69:P86" si="22">((J69-D69)/D69)</f>
        <v>1.681863423279114E-2</v>
      </c>
      <c r="Q69" s="333">
        <f t="shared" ref="Q69:Q86" si="23">((M69-G69)/G69)</f>
        <v>2.1896140396744398E-3</v>
      </c>
      <c r="R69" s="333">
        <f t="shared" si="18"/>
        <v>0</v>
      </c>
      <c r="S69" s="369">
        <f t="shared" si="19"/>
        <v>7.0000000000000617E-4</v>
      </c>
      <c r="U69" s="169"/>
      <c r="V69" s="189"/>
    </row>
    <row r="70" spans="1:23" s="114" customFormat="1" ht="12.95" customHeight="1">
      <c r="A70" s="403">
        <v>59</v>
      </c>
      <c r="B70" s="373" t="s">
        <v>178</v>
      </c>
      <c r="C70" s="374" t="s">
        <v>179</v>
      </c>
      <c r="D70" s="330">
        <v>21256349.329999998</v>
      </c>
      <c r="E70" s="337">
        <f t="shared" si="21"/>
        <v>6.5134807999063833E-5</v>
      </c>
      <c r="F70" s="330">
        <v>0.63560000000000005</v>
      </c>
      <c r="G70" s="330">
        <v>0.63560000000000005</v>
      </c>
      <c r="H70" s="338">
        <v>2E-3</v>
      </c>
      <c r="I70" s="338">
        <v>-6.9800000000000001E-2</v>
      </c>
      <c r="J70" s="330">
        <v>21343973.510000002</v>
      </c>
      <c r="K70" s="337">
        <f t="shared" si="16"/>
        <v>6.534768290752153E-5</v>
      </c>
      <c r="L70" s="330">
        <v>0.63670000000000004</v>
      </c>
      <c r="M70" s="330">
        <v>0.63670000000000004</v>
      </c>
      <c r="N70" s="338">
        <v>1.4155394778232334E-3</v>
      </c>
      <c r="O70" s="338">
        <v>-6.8198448704814826E-2</v>
      </c>
      <c r="P70" s="111">
        <f t="shared" si="22"/>
        <v>4.1222591254809525E-3</v>
      </c>
      <c r="Q70" s="111">
        <f t="shared" si="23"/>
        <v>1.7306482064191155E-3</v>
      </c>
      <c r="R70" s="333">
        <f t="shared" si="18"/>
        <v>-5.8446052217676664E-4</v>
      </c>
      <c r="S70" s="369">
        <f t="shared" si="19"/>
        <v>1.6015512951851746E-3</v>
      </c>
      <c r="U70" s="434"/>
      <c r="V70" s="434"/>
    </row>
    <row r="71" spans="1:23" s="130" customFormat="1" ht="12.95" customHeight="1">
      <c r="A71" s="402">
        <v>60</v>
      </c>
      <c r="B71" s="373" t="s">
        <v>106</v>
      </c>
      <c r="C71" s="374" t="s">
        <v>105</v>
      </c>
      <c r="D71" s="330">
        <v>757080412.45000005</v>
      </c>
      <c r="E71" s="337">
        <f t="shared" si="21"/>
        <v>2.3198850630096793E-3</v>
      </c>
      <c r="F71" s="331">
        <v>199.015423</v>
      </c>
      <c r="G71" s="331">
        <v>200.50473099999999</v>
      </c>
      <c r="H71" s="338">
        <v>1.5E-3</v>
      </c>
      <c r="I71" s="338">
        <v>5.4999999999999997E-3</v>
      </c>
      <c r="J71" s="330">
        <v>742098925.64999998</v>
      </c>
      <c r="K71" s="337">
        <f t="shared" si="16"/>
        <v>2.2720439217500036E-3</v>
      </c>
      <c r="L71" s="331">
        <v>201.355638</v>
      </c>
      <c r="M71" s="331">
        <v>202.98336800000001</v>
      </c>
      <c r="N71" s="338">
        <v>8.9999999999999998E-4</v>
      </c>
      <c r="O71" s="338">
        <v>1.7899999999999999E-2</v>
      </c>
      <c r="P71" s="333">
        <f t="shared" si="22"/>
        <v>-1.9788501397781832E-2</v>
      </c>
      <c r="Q71" s="333">
        <f t="shared" si="23"/>
        <v>1.2361987608162824E-2</v>
      </c>
      <c r="R71" s="333">
        <f t="shared" si="18"/>
        <v>-6.0000000000000006E-4</v>
      </c>
      <c r="S71" s="369">
        <f t="shared" si="19"/>
        <v>1.24E-2</v>
      </c>
      <c r="T71" s="171"/>
      <c r="U71" s="172"/>
      <c r="V71" s="450"/>
      <c r="W71" s="131"/>
    </row>
    <row r="72" spans="1:23" s="114" customFormat="1" ht="12.95" customHeight="1">
      <c r="A72" s="401">
        <v>61</v>
      </c>
      <c r="B72" s="373" t="s">
        <v>113</v>
      </c>
      <c r="C72" s="374" t="s">
        <v>135</v>
      </c>
      <c r="D72" s="330">
        <v>1355220008.55</v>
      </c>
      <c r="E72" s="337">
        <f t="shared" si="21"/>
        <v>4.1527354336810714E-3</v>
      </c>
      <c r="F72" s="331">
        <v>3.55</v>
      </c>
      <c r="G72" s="331">
        <v>3.55</v>
      </c>
      <c r="H72" s="324">
        <v>4.0000000000000001E-3</v>
      </c>
      <c r="I72" s="324">
        <v>-1.8200000000000001E-2</v>
      </c>
      <c r="J72" s="330">
        <v>1355564768.8499999</v>
      </c>
      <c r="K72" s="337">
        <f t="shared" si="16"/>
        <v>4.1502589306492031E-3</v>
      </c>
      <c r="L72" s="331">
        <v>3.56</v>
      </c>
      <c r="M72" s="331">
        <v>3.56</v>
      </c>
      <c r="N72" s="324">
        <v>5.0000000000000001E-3</v>
      </c>
      <c r="O72" s="324">
        <v>-1.46E-2</v>
      </c>
      <c r="P72" s="333">
        <f t="shared" si="22"/>
        <v>2.5439434027307796E-4</v>
      </c>
      <c r="Q72" s="333">
        <f t="shared" si="23"/>
        <v>2.8169014084507694E-3</v>
      </c>
      <c r="R72" s="333">
        <f t="shared" si="18"/>
        <v>1E-3</v>
      </c>
      <c r="S72" s="369">
        <f t="shared" si="19"/>
        <v>3.6000000000000008E-3</v>
      </c>
      <c r="U72" s="173"/>
      <c r="V72" s="450"/>
    </row>
    <row r="73" spans="1:23" s="114" customFormat="1" ht="12.95" customHeight="1">
      <c r="A73" s="401">
        <v>62</v>
      </c>
      <c r="B73" s="373" t="s">
        <v>86</v>
      </c>
      <c r="C73" s="374" t="s">
        <v>23</v>
      </c>
      <c r="D73" s="330">
        <v>15911278976.85</v>
      </c>
      <c r="E73" s="337">
        <f t="shared" si="21"/>
        <v>4.8756166220602172E-2</v>
      </c>
      <c r="F73" s="330">
        <v>1175.8</v>
      </c>
      <c r="G73" s="330">
        <v>1175.8</v>
      </c>
      <c r="H73" s="338">
        <v>1.6000000000000001E-3</v>
      </c>
      <c r="I73" s="338">
        <v>3.1099999999999999E-2</v>
      </c>
      <c r="J73" s="330">
        <v>15915159275.120001</v>
      </c>
      <c r="K73" s="337">
        <f t="shared" si="16"/>
        <v>4.8726577609645938E-2</v>
      </c>
      <c r="L73" s="330">
        <v>1177.8599999999999</v>
      </c>
      <c r="M73" s="330">
        <v>1177.8599999999999</v>
      </c>
      <c r="N73" s="338">
        <v>1.8E-3</v>
      </c>
      <c r="O73" s="338">
        <v>3.2800000000000003E-2</v>
      </c>
      <c r="P73" s="333">
        <f t="shared" si="22"/>
        <v>2.4387092173080928E-4</v>
      </c>
      <c r="Q73" s="333">
        <f t="shared" si="23"/>
        <v>1.7519986392243116E-3</v>
      </c>
      <c r="R73" s="333">
        <f t="shared" si="18"/>
        <v>1.9999999999999987E-4</v>
      </c>
      <c r="S73" s="369">
        <f t="shared" si="19"/>
        <v>1.7000000000000036E-3</v>
      </c>
      <c r="T73" s="174"/>
      <c r="U73" s="132"/>
      <c r="V73" s="450"/>
    </row>
    <row r="74" spans="1:23" s="114" customFormat="1" ht="12.95" customHeight="1">
      <c r="A74" s="394">
        <v>63</v>
      </c>
      <c r="B74" s="374" t="s">
        <v>237</v>
      </c>
      <c r="C74" s="392" t="s">
        <v>9</v>
      </c>
      <c r="D74" s="330">
        <v>2080171735.4400001</v>
      </c>
      <c r="E74" s="337">
        <f t="shared" si="21"/>
        <v>6.3741701121621435E-3</v>
      </c>
      <c r="F74" s="331">
        <v>103.17</v>
      </c>
      <c r="G74" s="331">
        <v>103.17</v>
      </c>
      <c r="H74" s="338">
        <v>1.6999999999999999E-3</v>
      </c>
      <c r="I74" s="338">
        <v>0.1022</v>
      </c>
      <c r="J74" s="330">
        <v>2180810306</v>
      </c>
      <c r="K74" s="337">
        <f t="shared" si="16"/>
        <v>6.6768683109156932E-3</v>
      </c>
      <c r="L74" s="331">
        <v>103.36</v>
      </c>
      <c r="M74" s="331">
        <v>103.36</v>
      </c>
      <c r="N74" s="338">
        <v>1.6999999999999999E-3</v>
      </c>
      <c r="O74" s="338">
        <v>0.10249999999999999</v>
      </c>
      <c r="P74" s="333">
        <f t="shared" si="22"/>
        <v>4.8379933659041266E-2</v>
      </c>
      <c r="Q74" s="333">
        <f t="shared" si="23"/>
        <v>1.8416206261509908E-3</v>
      </c>
      <c r="R74" s="333">
        <f t="shared" si="18"/>
        <v>0</v>
      </c>
      <c r="S74" s="369">
        <f t="shared" si="19"/>
        <v>2.9999999999999472E-4</v>
      </c>
      <c r="T74" s="125"/>
      <c r="U74" s="132"/>
      <c r="V74" s="450"/>
    </row>
    <row r="75" spans="1:23" s="114" customFormat="1" ht="12.95" customHeight="1">
      <c r="A75" s="403">
        <v>64</v>
      </c>
      <c r="B75" s="373" t="s">
        <v>17</v>
      </c>
      <c r="C75" s="374" t="s">
        <v>58</v>
      </c>
      <c r="D75" s="330">
        <v>1552767234.51</v>
      </c>
      <c r="E75" s="337">
        <f t="shared" si="21"/>
        <v>4.7580698885252171E-3</v>
      </c>
      <c r="F75" s="331">
        <v>335.15839999999997</v>
      </c>
      <c r="G75" s="331">
        <v>335.15839999999997</v>
      </c>
      <c r="H75" s="338">
        <v>1.8E-3</v>
      </c>
      <c r="I75" s="338">
        <v>8.2799999999999999E-2</v>
      </c>
      <c r="J75" s="330">
        <v>1555885335.6700001</v>
      </c>
      <c r="K75" s="337">
        <f t="shared" si="16"/>
        <v>4.7635695156850793E-3</v>
      </c>
      <c r="L75" s="331">
        <v>335.8014</v>
      </c>
      <c r="M75" s="331">
        <v>335.8014</v>
      </c>
      <c r="N75" s="338">
        <v>1.9E-3</v>
      </c>
      <c r="O75" s="338">
        <v>8.2799999999999999E-2</v>
      </c>
      <c r="P75" s="111">
        <f t="shared" si="22"/>
        <v>2.0080930938654509E-3</v>
      </c>
      <c r="Q75" s="111">
        <f t="shared" si="23"/>
        <v>1.9184958515138786E-3</v>
      </c>
      <c r="R75" s="333">
        <f t="shared" si="18"/>
        <v>1.0000000000000005E-4</v>
      </c>
      <c r="S75" s="369">
        <f t="shared" si="19"/>
        <v>0</v>
      </c>
      <c r="T75" s="146"/>
      <c r="U75" s="175"/>
      <c r="V75" s="450"/>
    </row>
    <row r="76" spans="1:23" s="114" customFormat="1" ht="12.95" customHeight="1">
      <c r="A76" s="401">
        <v>65</v>
      </c>
      <c r="B76" s="373" t="s">
        <v>92</v>
      </c>
      <c r="C76" s="374" t="s">
        <v>91</v>
      </c>
      <c r="D76" s="330">
        <v>53101176.450000003</v>
      </c>
      <c r="E76" s="337">
        <f t="shared" si="21"/>
        <v>1.6271537877455273E-4</v>
      </c>
      <c r="F76" s="331">
        <v>11.650169</v>
      </c>
      <c r="G76" s="330">
        <v>11.818387</v>
      </c>
      <c r="H76" s="338">
        <v>2.0400000000000001E-2</v>
      </c>
      <c r="I76" s="338">
        <v>3.85E-2</v>
      </c>
      <c r="J76" s="330">
        <v>96156931.060000002</v>
      </c>
      <c r="K76" s="337">
        <f t="shared" si="16"/>
        <v>2.9439844634951895E-4</v>
      </c>
      <c r="L76" s="331">
        <v>21.115895999999999</v>
      </c>
      <c r="M76" s="330">
        <v>21.393173000000001</v>
      </c>
      <c r="N76" s="338">
        <v>2.0400000000000001E-2</v>
      </c>
      <c r="O76" s="338">
        <v>3.56E-2</v>
      </c>
      <c r="P76" s="333">
        <f t="shared" si="22"/>
        <v>0.81082487222371125</v>
      </c>
      <c r="Q76" s="333">
        <f t="shared" si="23"/>
        <v>0.81016013437366718</v>
      </c>
      <c r="R76" s="333">
        <f t="shared" si="18"/>
        <v>0</v>
      </c>
      <c r="S76" s="369">
        <f t="shared" si="19"/>
        <v>-2.8999999999999998E-3</v>
      </c>
      <c r="T76" s="156"/>
      <c r="U76" s="175"/>
      <c r="V76" s="450"/>
    </row>
    <row r="77" spans="1:23" s="114" customFormat="1" ht="12.95" customHeight="1">
      <c r="A77" s="397">
        <v>66</v>
      </c>
      <c r="B77" s="373" t="s">
        <v>35</v>
      </c>
      <c r="C77" s="374" t="s">
        <v>20</v>
      </c>
      <c r="D77" s="330">
        <v>6755116533.3999996</v>
      </c>
      <c r="E77" s="337">
        <f t="shared" si="21"/>
        <v>2.0699378410822845E-2</v>
      </c>
      <c r="F77" s="331">
        <v>1.04</v>
      </c>
      <c r="G77" s="331">
        <v>1.04</v>
      </c>
      <c r="H77" s="338">
        <v>0</v>
      </c>
      <c r="I77" s="338">
        <v>0.1101</v>
      </c>
      <c r="J77" s="330">
        <v>6821437756.9899998</v>
      </c>
      <c r="K77" s="337">
        <f>(J77/$J$119)</f>
        <v>7.2419612079947848E-2</v>
      </c>
      <c r="L77" s="331">
        <v>1.04</v>
      </c>
      <c r="M77" s="331">
        <v>1.04</v>
      </c>
      <c r="N77" s="338">
        <v>0</v>
      </c>
      <c r="O77" s="338">
        <v>0.1104</v>
      </c>
      <c r="P77" s="333">
        <f t="shared" si="22"/>
        <v>9.8179244224850127E-3</v>
      </c>
      <c r="Q77" s="333">
        <f t="shared" si="23"/>
        <v>0</v>
      </c>
      <c r="R77" s="333">
        <f t="shared" si="18"/>
        <v>0</v>
      </c>
      <c r="S77" s="369">
        <f t="shared" si="19"/>
        <v>2.9999999999999472E-4</v>
      </c>
      <c r="T77" s="146"/>
      <c r="U77" s="175"/>
      <c r="V77" s="450"/>
    </row>
    <row r="78" spans="1:23" s="114" customFormat="1" ht="12.95" customHeight="1">
      <c r="A78" s="405">
        <v>67</v>
      </c>
      <c r="B78" s="373" t="s">
        <v>69</v>
      </c>
      <c r="C78" s="374" t="s">
        <v>5</v>
      </c>
      <c r="D78" s="330">
        <v>32079223039.369999</v>
      </c>
      <c r="E78" s="337">
        <f t="shared" si="21"/>
        <v>9.8298818907701396E-2</v>
      </c>
      <c r="F78" s="330">
        <v>4707.3599999999997</v>
      </c>
      <c r="G78" s="330">
        <v>4707.3599999999997</v>
      </c>
      <c r="H78" s="338">
        <v>1.2999999999999999E-3</v>
      </c>
      <c r="I78" s="338">
        <v>2.9600000000000001E-2</v>
      </c>
      <c r="J78" s="330">
        <v>32114586818.380001</v>
      </c>
      <c r="K78" s="337">
        <f t="shared" ref="K78:K86" si="24">(J78/$J$87)</f>
        <v>9.8323483915979018E-2</v>
      </c>
      <c r="L78" s="330">
        <v>4715.96</v>
      </c>
      <c r="M78" s="330">
        <v>4715.96</v>
      </c>
      <c r="N78" s="338">
        <v>1.8E-3</v>
      </c>
      <c r="O78" s="338">
        <v>3.15E-2</v>
      </c>
      <c r="P78" s="333">
        <f t="shared" si="22"/>
        <v>1.1023888878668004E-3</v>
      </c>
      <c r="Q78" s="333">
        <f t="shared" si="23"/>
        <v>1.8269263451277074E-3</v>
      </c>
      <c r="R78" s="333">
        <f t="shared" si="18"/>
        <v>5.0000000000000001E-4</v>
      </c>
      <c r="S78" s="369">
        <f t="shared" si="19"/>
        <v>1.8999999999999989E-3</v>
      </c>
      <c r="T78" s="146"/>
      <c r="U78" s="175"/>
      <c r="V78" s="450"/>
    </row>
    <row r="79" spans="1:23" s="114" customFormat="1" ht="12.95" customHeight="1">
      <c r="A79" s="405">
        <v>68</v>
      </c>
      <c r="B79" s="373" t="s">
        <v>16</v>
      </c>
      <c r="C79" s="374" t="s">
        <v>5</v>
      </c>
      <c r="D79" s="330">
        <v>40603770319.120003</v>
      </c>
      <c r="E79" s="337">
        <f t="shared" si="21"/>
        <v>0.12442017877648269</v>
      </c>
      <c r="F79" s="331">
        <v>248.58</v>
      </c>
      <c r="G79" s="331">
        <v>248.58</v>
      </c>
      <c r="H79" s="338">
        <v>4.0000000000000002E-4</v>
      </c>
      <c r="I79" s="338">
        <v>1.43E-2</v>
      </c>
      <c r="J79" s="330">
        <v>40527889205.389999</v>
      </c>
      <c r="K79" s="337">
        <f t="shared" si="24"/>
        <v>0.12408203427839573</v>
      </c>
      <c r="L79" s="331">
        <v>248.87</v>
      </c>
      <c r="M79" s="331">
        <v>248.87</v>
      </c>
      <c r="N79" s="338">
        <v>1.1999999999999999E-3</v>
      </c>
      <c r="O79" s="338">
        <v>1.55E-2</v>
      </c>
      <c r="P79" s="333">
        <f t="shared" si="22"/>
        <v>-1.8688194010956546E-3</v>
      </c>
      <c r="Q79" s="333">
        <f t="shared" si="23"/>
        <v>1.1666264381687667E-3</v>
      </c>
      <c r="R79" s="333">
        <f t="shared" si="18"/>
        <v>7.9999999999999993E-4</v>
      </c>
      <c r="S79" s="369">
        <f t="shared" si="19"/>
        <v>1.1999999999999997E-3</v>
      </c>
      <c r="T79" s="146"/>
      <c r="U79" s="175"/>
      <c r="V79" s="450"/>
    </row>
    <row r="80" spans="1:23" s="114" customFormat="1" ht="12.95" customHeight="1">
      <c r="A80" s="405">
        <v>69</v>
      </c>
      <c r="B80" s="373" t="s">
        <v>70</v>
      </c>
      <c r="C80" s="374" t="s">
        <v>5</v>
      </c>
      <c r="D80" s="330">
        <v>251502426.25</v>
      </c>
      <c r="E80" s="337">
        <f t="shared" si="21"/>
        <v>7.7066677776002005E-4</v>
      </c>
      <c r="F80" s="330">
        <v>4445.8500000000004</v>
      </c>
      <c r="G80" s="330">
        <v>4462.28</v>
      </c>
      <c r="H80" s="338">
        <v>5.8999999999999999E-3</v>
      </c>
      <c r="I80" s="338">
        <v>4.7800000000000002E-2</v>
      </c>
      <c r="J80" s="330">
        <v>251564123.09999999</v>
      </c>
      <c r="K80" s="337">
        <f t="shared" si="24"/>
        <v>7.7020019442703628E-4</v>
      </c>
      <c r="L80" s="330">
        <v>4447.03</v>
      </c>
      <c r="M80" s="330">
        <v>4463.32</v>
      </c>
      <c r="N80" s="338">
        <v>2.0000000000000001E-4</v>
      </c>
      <c r="O80" s="338">
        <v>4.8000000000000001E-2</v>
      </c>
      <c r="P80" s="333">
        <f t="shared" si="22"/>
        <v>2.453131403935871E-4</v>
      </c>
      <c r="Q80" s="333">
        <f t="shared" si="23"/>
        <v>2.3306471131349078E-4</v>
      </c>
      <c r="R80" s="333">
        <f t="shared" si="18"/>
        <v>-5.7000000000000002E-3</v>
      </c>
      <c r="S80" s="369">
        <f t="shared" si="19"/>
        <v>1.9999999999999879E-4</v>
      </c>
      <c r="T80" s="146"/>
      <c r="U80" s="175"/>
      <c r="V80" s="450"/>
    </row>
    <row r="81" spans="1:22" s="114" customFormat="1" ht="12.95" customHeight="1">
      <c r="A81" s="405">
        <v>70</v>
      </c>
      <c r="B81" s="373" t="s">
        <v>169</v>
      </c>
      <c r="C81" s="374" t="s">
        <v>5</v>
      </c>
      <c r="D81" s="330">
        <v>19932872774.810001</v>
      </c>
      <c r="E81" s="337">
        <f t="shared" si="21"/>
        <v>6.1079342501425486E-2</v>
      </c>
      <c r="F81" s="331">
        <v>118.54</v>
      </c>
      <c r="G81" s="331">
        <v>118.54</v>
      </c>
      <c r="H81" s="338">
        <v>1.2999999999999999E-3</v>
      </c>
      <c r="I81" s="338">
        <v>3.0800000000000001E-2</v>
      </c>
      <c r="J81" s="330">
        <v>19942192679.689999</v>
      </c>
      <c r="K81" s="337">
        <f t="shared" si="24"/>
        <v>6.1055926774952182E-2</v>
      </c>
      <c r="L81" s="331">
        <v>118.76</v>
      </c>
      <c r="M81" s="331">
        <v>118.76</v>
      </c>
      <c r="N81" s="338">
        <v>1.9E-3</v>
      </c>
      <c r="O81" s="338">
        <v>3.27E-2</v>
      </c>
      <c r="P81" s="333">
        <f t="shared" si="22"/>
        <v>4.6756455957393174E-4</v>
      </c>
      <c r="Q81" s="333">
        <f t="shared" si="23"/>
        <v>1.8559136156571525E-3</v>
      </c>
      <c r="R81" s="333">
        <f t="shared" si="18"/>
        <v>6.0000000000000006E-4</v>
      </c>
      <c r="S81" s="369">
        <f t="shared" si="19"/>
        <v>1.8999999999999989E-3</v>
      </c>
      <c r="T81" s="146"/>
      <c r="U81" s="175"/>
      <c r="V81" s="450"/>
    </row>
    <row r="82" spans="1:22" s="114" customFormat="1" ht="12.95" customHeight="1">
      <c r="A82" s="405">
        <v>71</v>
      </c>
      <c r="B82" s="373" t="s">
        <v>64</v>
      </c>
      <c r="C82" s="374" t="s">
        <v>5</v>
      </c>
      <c r="D82" s="330">
        <v>14916045769.65</v>
      </c>
      <c r="E82" s="337">
        <f t="shared" si="21"/>
        <v>4.5706521013004119E-2</v>
      </c>
      <c r="F82" s="331">
        <v>339.32</v>
      </c>
      <c r="G82" s="331">
        <v>339.32</v>
      </c>
      <c r="H82" s="338">
        <v>5.0000000000000001E-4</v>
      </c>
      <c r="I82" s="338">
        <v>2.0400000000000001E-2</v>
      </c>
      <c r="J82" s="330">
        <v>14885535672.709999</v>
      </c>
      <c r="K82" s="337">
        <f t="shared" si="24"/>
        <v>4.5574235022036121E-2</v>
      </c>
      <c r="L82" s="331">
        <v>339.72</v>
      </c>
      <c r="M82" s="331">
        <v>339.72</v>
      </c>
      <c r="N82" s="338">
        <v>1.1999999999999999E-3</v>
      </c>
      <c r="O82" s="338">
        <v>2.1700000000000001E-2</v>
      </c>
      <c r="P82" s="333">
        <f t="shared" si="22"/>
        <v>-2.0454547680512007E-3</v>
      </c>
      <c r="Q82" s="333">
        <f t="shared" si="23"/>
        <v>1.1788282447248442E-3</v>
      </c>
      <c r="R82" s="333">
        <f t="shared" si="18"/>
        <v>6.9999999999999988E-4</v>
      </c>
      <c r="S82" s="369">
        <f t="shared" si="19"/>
        <v>1.2999999999999991E-3</v>
      </c>
      <c r="T82" s="146"/>
      <c r="U82" s="175"/>
      <c r="V82" s="450"/>
    </row>
    <row r="83" spans="1:22" s="114" customFormat="1" ht="12.95" customHeight="1">
      <c r="A83" s="401">
        <v>72</v>
      </c>
      <c r="B83" s="373" t="s">
        <v>252</v>
      </c>
      <c r="C83" s="374" t="s">
        <v>251</v>
      </c>
      <c r="D83" s="330">
        <v>57549172.159999996</v>
      </c>
      <c r="E83" s="337">
        <f t="shared" si="21"/>
        <v>1.7634515790800986E-4</v>
      </c>
      <c r="F83" s="74">
        <v>105.04559999999999</v>
      </c>
      <c r="G83" s="74">
        <v>105.04559999999999</v>
      </c>
      <c r="H83" s="338">
        <v>3.0383E-2</v>
      </c>
      <c r="I83" s="338">
        <v>1.3235E-2</v>
      </c>
      <c r="J83" s="330">
        <v>57752216.039999999</v>
      </c>
      <c r="K83" s="337">
        <f t="shared" si="24"/>
        <v>1.7681681900609699E-4</v>
      </c>
      <c r="L83" s="74">
        <v>105.1422</v>
      </c>
      <c r="M83" s="74">
        <v>105.1422</v>
      </c>
      <c r="N83" s="338">
        <v>3.1212E-2</v>
      </c>
      <c r="O83" s="338">
        <v>1.7232000000000001E-2</v>
      </c>
      <c r="P83" s="333">
        <f t="shared" si="22"/>
        <v>3.5281807257886138E-3</v>
      </c>
      <c r="Q83" s="333">
        <f t="shared" si="23"/>
        <v>9.1960063058337861E-4</v>
      </c>
      <c r="R83" s="333">
        <f t="shared" si="18"/>
        <v>8.2899999999999988E-4</v>
      </c>
      <c r="S83" s="369">
        <f t="shared" si="19"/>
        <v>3.9970000000000006E-3</v>
      </c>
      <c r="T83" s="146"/>
      <c r="U83" s="175"/>
      <c r="V83" s="450"/>
    </row>
    <row r="84" spans="1:22" s="334" customFormat="1" ht="12.95" customHeight="1">
      <c r="A84" s="397">
        <v>73</v>
      </c>
      <c r="B84" s="373" t="s">
        <v>160</v>
      </c>
      <c r="C84" s="374" t="s">
        <v>41</v>
      </c>
      <c r="D84" s="330">
        <v>102523698297.03999</v>
      </c>
      <c r="E84" s="337">
        <f t="shared" si="21"/>
        <v>0.31415843333487631</v>
      </c>
      <c r="F84" s="330">
        <v>2</v>
      </c>
      <c r="G84" s="330">
        <v>2</v>
      </c>
      <c r="H84" s="338">
        <v>7.0199999999999999E-2</v>
      </c>
      <c r="I84" s="338">
        <v>7.3400000000000007E-2</v>
      </c>
      <c r="J84" s="330">
        <v>101582871782.85001</v>
      </c>
      <c r="K84" s="337">
        <f t="shared" si="24"/>
        <v>0.31101075397188771</v>
      </c>
      <c r="L84" s="330">
        <v>2.0026999999999999</v>
      </c>
      <c r="M84" s="330">
        <v>2.0026999999999999</v>
      </c>
      <c r="N84" s="338">
        <v>7.2900000000000006E-2</v>
      </c>
      <c r="O84" s="338">
        <v>7.3400000000000007E-2</v>
      </c>
      <c r="P84" s="111">
        <f t="shared" si="22"/>
        <v>-9.1766735868632834E-3</v>
      </c>
      <c r="Q84" s="111">
        <f t="shared" si="23"/>
        <v>1.3499999999999623E-3</v>
      </c>
      <c r="R84" s="333">
        <f t="shared" si="18"/>
        <v>2.7000000000000079E-3</v>
      </c>
      <c r="S84" s="369">
        <f t="shared" si="19"/>
        <v>0</v>
      </c>
      <c r="T84" s="146"/>
      <c r="U84" s="175"/>
      <c r="V84" s="342"/>
    </row>
    <row r="85" spans="1:22" s="334" customFormat="1" ht="12.95" customHeight="1">
      <c r="A85" s="400">
        <v>74</v>
      </c>
      <c r="B85" s="373" t="s">
        <v>49</v>
      </c>
      <c r="C85" s="374" t="s">
        <v>248</v>
      </c>
      <c r="D85" s="330">
        <v>9688464346.5499992</v>
      </c>
      <c r="E85" s="337">
        <f t="shared" si="21"/>
        <v>2.9687894907131245E-2</v>
      </c>
      <c r="F85" s="331">
        <v>1</v>
      </c>
      <c r="G85" s="331">
        <v>1</v>
      </c>
      <c r="H85" s="338">
        <v>0.06</v>
      </c>
      <c r="I85" s="338">
        <v>0.06</v>
      </c>
      <c r="J85" s="330">
        <v>9651379398.7800007</v>
      </c>
      <c r="K85" s="337">
        <f t="shared" si="24"/>
        <v>2.9549103416763998E-2</v>
      </c>
      <c r="L85" s="331">
        <v>1</v>
      </c>
      <c r="M85" s="331">
        <v>1</v>
      </c>
      <c r="N85" s="338">
        <v>0.06</v>
      </c>
      <c r="O85" s="338">
        <v>0.06</v>
      </c>
      <c r="P85" s="333">
        <f t="shared" si="22"/>
        <v>-3.8277426064125698E-3</v>
      </c>
      <c r="Q85" s="333">
        <f t="shared" si="23"/>
        <v>0</v>
      </c>
      <c r="R85" s="333">
        <f t="shared" si="18"/>
        <v>0</v>
      </c>
      <c r="S85" s="369">
        <f t="shared" si="19"/>
        <v>0</v>
      </c>
      <c r="T85" s="146"/>
      <c r="U85" s="175"/>
      <c r="V85" s="343"/>
    </row>
    <row r="86" spans="1:22" s="114" customFormat="1" ht="12.95" customHeight="1">
      <c r="A86" s="405">
        <v>75</v>
      </c>
      <c r="B86" s="373" t="s">
        <v>19</v>
      </c>
      <c r="C86" s="374" t="s">
        <v>12</v>
      </c>
      <c r="D86" s="330">
        <v>2619514763.6799998</v>
      </c>
      <c r="E86" s="337">
        <f t="shared" si="21"/>
        <v>8.0268529903300117E-3</v>
      </c>
      <c r="F86" s="331">
        <v>24.122399999999999</v>
      </c>
      <c r="G86" s="331">
        <v>24.122399999999999</v>
      </c>
      <c r="H86" s="338">
        <v>1E-3</v>
      </c>
      <c r="I86" s="338">
        <v>2.4E-2</v>
      </c>
      <c r="J86" s="330">
        <v>2623245741.79</v>
      </c>
      <c r="K86" s="337">
        <f t="shared" si="24"/>
        <v>8.0314488229047201E-3</v>
      </c>
      <c r="L86" s="331">
        <v>24.156099999999999</v>
      </c>
      <c r="M86" s="331">
        <v>24.156099999999999</v>
      </c>
      <c r="N86" s="338">
        <v>1.4E-3</v>
      </c>
      <c r="O86" s="338">
        <v>2.5600000000000001E-2</v>
      </c>
      <c r="P86" s="333">
        <f t="shared" si="22"/>
        <v>1.4243012338509232E-3</v>
      </c>
      <c r="Q86" s="333">
        <f t="shared" si="23"/>
        <v>1.3970417537226654E-3</v>
      </c>
      <c r="R86" s="333">
        <f t="shared" si="18"/>
        <v>3.9999999999999996E-4</v>
      </c>
      <c r="S86" s="369">
        <f t="shared" si="19"/>
        <v>1.6000000000000007E-3</v>
      </c>
      <c r="T86" s="146"/>
      <c r="U86" s="175"/>
      <c r="V86" s="295"/>
    </row>
    <row r="87" spans="1:22" s="114" customFormat="1" ht="12.95" customHeight="1">
      <c r="A87" s="218"/>
      <c r="C87" s="248" t="s">
        <v>42</v>
      </c>
      <c r="D87" s="76">
        <f>SUM(D57:D86)</f>
        <v>326343931654.87665</v>
      </c>
      <c r="E87" s="266">
        <f>(D87/$D$168)</f>
        <v>0.19921990442423224</v>
      </c>
      <c r="F87" s="331"/>
      <c r="G87" s="331"/>
      <c r="H87" s="338"/>
      <c r="I87" s="338"/>
      <c r="J87" s="76">
        <f>SUM(J57:J86)</f>
        <v>326621734089.72247</v>
      </c>
      <c r="K87" s="266">
        <f>(J87/$J$168)</f>
        <v>0.19881127958717401</v>
      </c>
      <c r="L87" s="268"/>
      <c r="M87" s="73"/>
      <c r="N87" s="283"/>
      <c r="O87" s="283"/>
      <c r="P87" s="270">
        <f t="shared" ref="P87" si="25">((J87-D87)/D87)</f>
        <v>8.5125662805219174E-4</v>
      </c>
      <c r="Q87" s="270"/>
      <c r="R87" s="270">
        <f t="shared" ref="R87:S87" si="26">N87-H87</f>
        <v>0</v>
      </c>
      <c r="S87" s="369">
        <f t="shared" si="26"/>
        <v>0</v>
      </c>
      <c r="T87" s="90"/>
      <c r="U87" s="176"/>
      <c r="V87" s="188"/>
    </row>
    <row r="88" spans="1:22" s="114" customFormat="1" ht="5.25" customHeight="1">
      <c r="A88" s="411"/>
      <c r="B88" s="412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4"/>
      <c r="T88" s="90"/>
      <c r="U88" s="176"/>
      <c r="V88" s="188"/>
    </row>
    <row r="89" spans="1:22" s="114" customFormat="1" ht="12" customHeight="1">
      <c r="A89" s="407" t="s">
        <v>199</v>
      </c>
      <c r="B89" s="408"/>
      <c r="C89" s="409"/>
      <c r="D89" s="409"/>
      <c r="E89" s="409"/>
      <c r="F89" s="409"/>
      <c r="G89" s="409"/>
      <c r="H89" s="409"/>
      <c r="I89" s="409"/>
      <c r="J89" s="409"/>
      <c r="K89" s="409"/>
      <c r="L89" s="409"/>
      <c r="M89" s="409"/>
      <c r="N89" s="409"/>
      <c r="O89" s="409"/>
      <c r="P89" s="409"/>
      <c r="Q89" s="409"/>
      <c r="R89" s="409"/>
      <c r="S89" s="410"/>
      <c r="T89" s="90"/>
      <c r="U89" s="176"/>
      <c r="V89" s="188"/>
    </row>
    <row r="90" spans="1:22" s="114" customFormat="1" ht="12.95" customHeight="1">
      <c r="A90" s="419" t="s">
        <v>200</v>
      </c>
      <c r="B90" s="420"/>
      <c r="C90" s="421"/>
      <c r="D90" s="421"/>
      <c r="E90" s="421"/>
      <c r="F90" s="421"/>
      <c r="G90" s="421"/>
      <c r="H90" s="421"/>
      <c r="I90" s="421"/>
      <c r="J90" s="421"/>
      <c r="K90" s="421"/>
      <c r="L90" s="421"/>
      <c r="M90" s="421"/>
      <c r="N90" s="421"/>
      <c r="O90" s="421"/>
      <c r="P90" s="421"/>
      <c r="Q90" s="421"/>
      <c r="R90" s="421"/>
      <c r="S90" s="422"/>
      <c r="T90" s="90"/>
      <c r="U90" s="176"/>
      <c r="V90" s="188"/>
    </row>
    <row r="91" spans="1:22" s="114" customFormat="1" ht="12.95" customHeight="1">
      <c r="A91" s="403">
        <v>76</v>
      </c>
      <c r="B91" s="373" t="s">
        <v>148</v>
      </c>
      <c r="C91" s="374" t="s">
        <v>58</v>
      </c>
      <c r="D91" s="330">
        <v>795010939.25999999</v>
      </c>
      <c r="E91" s="337">
        <f t="shared" ref="E91:E100" si="27">(D91/$D$112)</f>
        <v>2.3764368736865485E-3</v>
      </c>
      <c r="F91" s="330">
        <f>108.026*460.5</f>
        <v>49745.972999999998</v>
      </c>
      <c r="G91" s="330">
        <f>108.026*460.5</f>
        <v>49745.972999999998</v>
      </c>
      <c r="H91" s="338">
        <v>-8.9999999999999998E-4</v>
      </c>
      <c r="I91" s="338">
        <v>8.48E-2</v>
      </c>
      <c r="J91" s="330">
        <v>792032015.80999994</v>
      </c>
      <c r="K91" s="337">
        <f t="shared" ref="K91:K100" si="28">(J91/$J$112)</f>
        <v>2.3901555279768703E-3</v>
      </c>
      <c r="L91" s="330">
        <f>108.1469*461.03</f>
        <v>49858.965306999999</v>
      </c>
      <c r="M91" s="330">
        <f>108.1469*461.03</f>
        <v>49858.965306999999</v>
      </c>
      <c r="N91" s="338">
        <v>1.1000000000000001E-3</v>
      </c>
      <c r="O91" s="338">
        <v>8.48E-2</v>
      </c>
      <c r="P91" s="333">
        <f t="shared" ref="P91:P100" si="29">((J91-D91)/D91)</f>
        <v>-3.7470219627076377E-3</v>
      </c>
      <c r="Q91" s="333">
        <f t="shared" ref="Q91:Q100" si="30">((M91-G91)/G91)</f>
        <v>2.2713860074663819E-3</v>
      </c>
      <c r="R91" s="333">
        <f t="shared" ref="R91:R100" si="31">N91-H91</f>
        <v>2E-3</v>
      </c>
      <c r="S91" s="369">
        <f t="shared" ref="S91:S100" si="32">O91-I91</f>
        <v>0</v>
      </c>
      <c r="T91" s="90"/>
      <c r="U91" s="176"/>
      <c r="V91" s="188"/>
    </row>
    <row r="92" spans="1:22" s="114" customFormat="1" ht="12.95" customHeight="1">
      <c r="A92" s="398">
        <v>77</v>
      </c>
      <c r="B92" s="373" t="s">
        <v>149</v>
      </c>
      <c r="C92" s="374" t="s">
        <v>6</v>
      </c>
      <c r="D92" s="330">
        <f>11799004.44*461</f>
        <v>5439341046.8400002</v>
      </c>
      <c r="E92" s="337">
        <f t="shared" si="27"/>
        <v>1.6259211029598139E-2</v>
      </c>
      <c r="F92" s="330">
        <f>1.146*461</f>
        <v>528.30599999999993</v>
      </c>
      <c r="G92" s="330">
        <f>1.146*461</f>
        <v>528.30599999999993</v>
      </c>
      <c r="H92" s="338">
        <v>6.3799999999999996E-2</v>
      </c>
      <c r="I92" s="338">
        <v>5.3699999999999998E-2</v>
      </c>
      <c r="J92" s="330">
        <f>11820551.48*460.57</f>
        <v>5444191395.1436005</v>
      </c>
      <c r="K92" s="337">
        <f t="shared" si="28"/>
        <v>1.6429214853340143E-2</v>
      </c>
      <c r="L92" s="330">
        <f>1.1471*460.57</f>
        <v>528.31984699999998</v>
      </c>
      <c r="M92" s="330">
        <f>1.1471*460.57</f>
        <v>528.31984699999998</v>
      </c>
      <c r="N92" s="338">
        <v>0.05</v>
      </c>
      <c r="O92" s="338">
        <v>5.3600000000000002E-2</v>
      </c>
      <c r="P92" s="333">
        <f t="shared" si="29"/>
        <v>8.917161585994197E-4</v>
      </c>
      <c r="Q92" s="333">
        <f t="shared" si="30"/>
        <v>2.6210188792206096E-5</v>
      </c>
      <c r="R92" s="333">
        <f t="shared" si="31"/>
        <v>-1.3799999999999993E-2</v>
      </c>
      <c r="S92" s="369">
        <f t="shared" si="32"/>
        <v>-9.9999999999995925E-5</v>
      </c>
      <c r="U92" s="167"/>
      <c r="V92" s="166"/>
    </row>
    <row r="93" spans="1:22" s="114" customFormat="1" ht="12.95" customHeight="1">
      <c r="A93" s="402">
        <v>78</v>
      </c>
      <c r="B93" s="373" t="s">
        <v>175</v>
      </c>
      <c r="C93" s="374" t="s">
        <v>172</v>
      </c>
      <c r="D93" s="330">
        <v>1013070328.72</v>
      </c>
      <c r="E93" s="337">
        <f t="shared" si="27"/>
        <v>3.0282573055521365E-3</v>
      </c>
      <c r="F93" s="330">
        <v>49193.263900000005</v>
      </c>
      <c r="G93" s="330">
        <v>49193.263900000005</v>
      </c>
      <c r="H93" s="338">
        <v>5.3757035647278933E-2</v>
      </c>
      <c r="I93" s="338">
        <v>4.8077278451230422E-2</v>
      </c>
      <c r="J93" s="330">
        <v>1112084505.4552</v>
      </c>
      <c r="K93" s="337">
        <f t="shared" si="28"/>
        <v>3.3559942972416525E-3</v>
      </c>
      <c r="L93" s="330">
        <v>47605.035739999992</v>
      </c>
      <c r="M93" s="330">
        <v>47605.035739999992</v>
      </c>
      <c r="N93" s="338">
        <v>6.7872267307367132E-2</v>
      </c>
      <c r="O93" s="338">
        <v>4.9186274324727663E-2</v>
      </c>
      <c r="P93" s="333">
        <f t="shared" si="29"/>
        <v>9.7736725603545155E-2</v>
      </c>
      <c r="Q93" s="333">
        <f t="shared" si="30"/>
        <v>-3.2285480451725287E-2</v>
      </c>
      <c r="R93" s="333">
        <f t="shared" si="31"/>
        <v>1.4115231660088198E-2</v>
      </c>
      <c r="S93" s="369">
        <f t="shared" si="32"/>
        <v>1.1089958734972413E-3</v>
      </c>
      <c r="T93" s="467">
        <v>461.03</v>
      </c>
      <c r="U93" s="177"/>
      <c r="V93" s="166"/>
    </row>
    <row r="94" spans="1:22" s="114" customFormat="1" ht="12.95" customHeight="1">
      <c r="A94" s="397">
        <v>79</v>
      </c>
      <c r="B94" s="373" t="s">
        <v>244</v>
      </c>
      <c r="C94" s="374" t="s">
        <v>189</v>
      </c>
      <c r="D94" s="330">
        <v>13184477272.639999</v>
      </c>
      <c r="E94" s="337">
        <f t="shared" si="27"/>
        <v>3.9410876509633944E-2</v>
      </c>
      <c r="F94" s="330">
        <v>56919</v>
      </c>
      <c r="G94" s="330">
        <v>56919</v>
      </c>
      <c r="H94" s="338">
        <v>1.4E-3</v>
      </c>
      <c r="I94" s="338">
        <v>7.0000000000000007E-2</v>
      </c>
      <c r="J94" s="330">
        <v>13187329635.59</v>
      </c>
      <c r="K94" s="337">
        <f t="shared" si="28"/>
        <v>3.9796079197030723E-2</v>
      </c>
      <c r="L94" s="330">
        <v>57009.91</v>
      </c>
      <c r="M94" s="330">
        <v>57009.91</v>
      </c>
      <c r="N94" s="338">
        <v>1.4E-3</v>
      </c>
      <c r="O94" s="338">
        <v>7.0000000000000007E-2</v>
      </c>
      <c r="P94" s="333">
        <f t="shared" si="29"/>
        <v>2.163425133220787E-4</v>
      </c>
      <c r="Q94" s="333">
        <f t="shared" si="30"/>
        <v>1.5971819603296526E-3</v>
      </c>
      <c r="R94" s="333">
        <f t="shared" si="31"/>
        <v>0</v>
      </c>
      <c r="S94" s="369">
        <f t="shared" si="32"/>
        <v>0</v>
      </c>
      <c r="U94" s="177"/>
      <c r="V94" s="166"/>
    </row>
    <row r="95" spans="1:22" s="334" customFormat="1" ht="12.95" customHeight="1">
      <c r="A95" s="397">
        <v>80</v>
      </c>
      <c r="B95" s="399" t="s">
        <v>277</v>
      </c>
      <c r="C95" s="399" t="s">
        <v>189</v>
      </c>
      <c r="D95" s="330">
        <v>7470822431.4300003</v>
      </c>
      <c r="E95" s="337">
        <f t="shared" si="27"/>
        <v>2.2331690076290395E-2</v>
      </c>
      <c r="F95" s="330">
        <v>49740.57</v>
      </c>
      <c r="G95" s="330">
        <v>49740.57</v>
      </c>
      <c r="H95" s="338">
        <v>1.9E-3</v>
      </c>
      <c r="I95" s="338">
        <v>9.4100000000000003E-2</v>
      </c>
      <c r="J95" s="330">
        <v>7636845106.1330996</v>
      </c>
      <c r="K95" s="337">
        <f t="shared" si="28"/>
        <v>2.304609811518768E-2</v>
      </c>
      <c r="L95" s="330">
        <v>49848.42</v>
      </c>
      <c r="M95" s="330">
        <v>49848.42</v>
      </c>
      <c r="N95" s="338">
        <v>2E-3</v>
      </c>
      <c r="O95" s="338">
        <v>9.5600000000000004E-2</v>
      </c>
      <c r="P95" s="333">
        <f t="shared" si="29"/>
        <v>2.22228109725425E-2</v>
      </c>
      <c r="Q95" s="333">
        <f t="shared" si="30"/>
        <v>2.1682501828989603E-3</v>
      </c>
      <c r="R95" s="333">
        <f t="shared" si="31"/>
        <v>1.0000000000000005E-4</v>
      </c>
      <c r="S95" s="369">
        <f t="shared" si="32"/>
        <v>1.5000000000000013E-3</v>
      </c>
      <c r="U95" s="336"/>
      <c r="V95" s="166"/>
    </row>
    <row r="96" spans="1:22" s="114" customFormat="1" ht="12.95" customHeight="1">
      <c r="A96" s="394">
        <v>81</v>
      </c>
      <c r="B96" s="373" t="s">
        <v>241</v>
      </c>
      <c r="C96" s="374" t="s">
        <v>223</v>
      </c>
      <c r="D96" s="330">
        <f>84375.74*461</f>
        <v>38897216.140000001</v>
      </c>
      <c r="E96" s="337">
        <f t="shared" si="27"/>
        <v>1.1627107773497073E-4</v>
      </c>
      <c r="F96" s="330">
        <f>101.72*461</f>
        <v>46892.92</v>
      </c>
      <c r="G96" s="330">
        <f>101.72*461</f>
        <v>46892.92</v>
      </c>
      <c r="H96" s="338">
        <v>1E-3</v>
      </c>
      <c r="I96" s="338">
        <v>3.5999999999999997E-2</v>
      </c>
      <c r="J96" s="330">
        <f>84427.53*461.03</f>
        <v>38923624.155899994</v>
      </c>
      <c r="K96" s="337">
        <f t="shared" si="28"/>
        <v>1.1746181162888265E-4</v>
      </c>
      <c r="L96" s="330">
        <f>101.78*461.03</f>
        <v>46923.633399999999</v>
      </c>
      <c r="M96" s="330">
        <f>101.78*461.03</f>
        <v>46923.633399999999</v>
      </c>
      <c r="N96" s="338">
        <v>1E-3</v>
      </c>
      <c r="O96" s="338">
        <v>3.6999999999999998E-2</v>
      </c>
      <c r="P96" s="333">
        <f t="shared" si="29"/>
        <v>6.7891788977763787E-4</v>
      </c>
      <c r="Q96" s="333">
        <f t="shared" si="30"/>
        <v>6.5496880979048751E-4</v>
      </c>
      <c r="R96" s="333">
        <f t="shared" si="31"/>
        <v>0</v>
      </c>
      <c r="S96" s="369">
        <f t="shared" si="32"/>
        <v>1.0000000000000009E-3</v>
      </c>
      <c r="T96" s="126"/>
      <c r="U96" s="177"/>
      <c r="V96" s="133"/>
    </row>
    <row r="97" spans="1:43" s="114" customFormat="1" ht="12.95" customHeight="1">
      <c r="A97" s="401">
        <v>82</v>
      </c>
      <c r="B97" s="373" t="s">
        <v>122</v>
      </c>
      <c r="C97" s="374" t="s">
        <v>135</v>
      </c>
      <c r="D97" s="330">
        <v>5848133666.3100004</v>
      </c>
      <c r="E97" s="337">
        <f t="shared" si="27"/>
        <v>1.7481168875239445E-2</v>
      </c>
      <c r="F97" s="330">
        <v>460.5</v>
      </c>
      <c r="G97" s="330">
        <v>460.5</v>
      </c>
      <c r="H97" s="324">
        <v>3.7000000000000002E-3</v>
      </c>
      <c r="I97" s="324">
        <v>5.9200000000000003E-2</v>
      </c>
      <c r="J97" s="330">
        <v>5891862899.6499996</v>
      </c>
      <c r="K97" s="337">
        <f t="shared" si="28"/>
        <v>1.7780176051694498E-2</v>
      </c>
      <c r="L97" s="330">
        <v>460.53</v>
      </c>
      <c r="M97" s="330">
        <v>460.53</v>
      </c>
      <c r="N97" s="324">
        <v>4.7000000000000002E-3</v>
      </c>
      <c r="O97" s="324">
        <v>5.8700000000000002E-2</v>
      </c>
      <c r="P97" s="333">
        <f t="shared" si="29"/>
        <v>7.4774681693606116E-3</v>
      </c>
      <c r="Q97" s="333">
        <f t="shared" si="30"/>
        <v>6.5146579804501004E-5</v>
      </c>
      <c r="R97" s="333">
        <f t="shared" si="31"/>
        <v>1E-3</v>
      </c>
      <c r="S97" s="369">
        <f t="shared" si="32"/>
        <v>-5.0000000000000044E-4</v>
      </c>
      <c r="U97" s="177"/>
      <c r="V97" s="133"/>
    </row>
    <row r="98" spans="1:43" s="334" customFormat="1" ht="12.95" customHeight="1">
      <c r="A98" s="405">
        <v>83</v>
      </c>
      <c r="B98" s="373" t="s">
        <v>255</v>
      </c>
      <c r="C98" s="374" t="s">
        <v>176</v>
      </c>
      <c r="D98" s="330">
        <f>1573650.61*461</f>
        <v>725452931.21000004</v>
      </c>
      <c r="E98" s="337">
        <f t="shared" si="27"/>
        <v>2.168514935726716E-3</v>
      </c>
      <c r="F98" s="330">
        <f>101.24*461</f>
        <v>46671.64</v>
      </c>
      <c r="G98" s="330">
        <f>101.24*461</f>
        <v>46671.64</v>
      </c>
      <c r="H98" s="338">
        <v>1.9E-3</v>
      </c>
      <c r="I98" s="338">
        <v>3.6299999999999999E-2</v>
      </c>
      <c r="J98" s="330">
        <f>1754294.48*461.03</f>
        <v>808782384.11439991</v>
      </c>
      <c r="K98" s="337">
        <f t="shared" si="28"/>
        <v>2.4407039712206272E-3</v>
      </c>
      <c r="L98" s="330">
        <f>101.42*461.03</f>
        <v>46757.662599999996</v>
      </c>
      <c r="M98" s="330">
        <f>101.42*461.03</f>
        <v>46757.662599999996</v>
      </c>
      <c r="N98" s="338">
        <v>1.8E-3</v>
      </c>
      <c r="O98" s="338">
        <v>3.8199999999999998E-2</v>
      </c>
      <c r="P98" s="333">
        <f t="shared" si="29"/>
        <v>0.11486541623784291</v>
      </c>
      <c r="Q98" s="333">
        <f t="shared" si="30"/>
        <v>1.8431450019754309E-3</v>
      </c>
      <c r="R98" s="333">
        <f t="shared" si="31"/>
        <v>-1.0000000000000005E-4</v>
      </c>
      <c r="S98" s="369">
        <f t="shared" si="32"/>
        <v>1.8999999999999989E-3</v>
      </c>
      <c r="U98" s="336"/>
      <c r="V98" s="335"/>
    </row>
    <row r="99" spans="1:43" s="334" customFormat="1" ht="12.95" customHeight="1">
      <c r="A99" s="401">
        <v>84</v>
      </c>
      <c r="B99" s="373" t="s">
        <v>130</v>
      </c>
      <c r="C99" s="374" t="s">
        <v>91</v>
      </c>
      <c r="D99" s="330">
        <f>1720954.35*461</f>
        <v>793359955.35000002</v>
      </c>
      <c r="E99" s="337">
        <f t="shared" si="27"/>
        <v>2.3715017729881364E-3</v>
      </c>
      <c r="F99" s="330">
        <f>125.07*461</f>
        <v>57657.27</v>
      </c>
      <c r="G99" s="330">
        <f>128.42*461</f>
        <v>59201.619999999995</v>
      </c>
      <c r="H99" s="338">
        <v>1.6799999999999999E-2</v>
      </c>
      <c r="I99" s="338">
        <v>6.0499999999999998E-2</v>
      </c>
      <c r="J99" s="330">
        <f>1722269.22*461.03</f>
        <v>794017778.49659991</v>
      </c>
      <c r="K99" s="337">
        <f t="shared" si="28"/>
        <v>2.3961480656115685E-3</v>
      </c>
      <c r="L99" s="330">
        <f>125.160912*461.03</f>
        <v>57702.935259359998</v>
      </c>
      <c r="M99" s="330">
        <f>128.553101*461.03</f>
        <v>59266.836154029996</v>
      </c>
      <c r="N99" s="338">
        <v>1.6799999999999999E-2</v>
      </c>
      <c r="O99" s="338">
        <v>0.39240000000000003</v>
      </c>
      <c r="P99" s="333">
        <f t="shared" si="29"/>
        <v>8.2916101595987711E-4</v>
      </c>
      <c r="Q99" s="333">
        <f t="shared" si="30"/>
        <v>1.1015940785066411E-3</v>
      </c>
      <c r="R99" s="333">
        <f t="shared" si="31"/>
        <v>0</v>
      </c>
      <c r="S99" s="369">
        <f t="shared" si="32"/>
        <v>0.33190000000000003</v>
      </c>
      <c r="U99" s="336"/>
      <c r="V99" s="335"/>
    </row>
    <row r="100" spans="1:43" s="334" customFormat="1" ht="12.95" customHeight="1">
      <c r="A100" s="397">
        <v>85</v>
      </c>
      <c r="B100" s="373" t="s">
        <v>257</v>
      </c>
      <c r="C100" s="374" t="s">
        <v>41</v>
      </c>
      <c r="D100" s="330">
        <v>68829528747.479996</v>
      </c>
      <c r="E100" s="337">
        <f t="shared" si="27"/>
        <v>0.20574437663239026</v>
      </c>
      <c r="F100" s="330">
        <v>59163.86</v>
      </c>
      <c r="G100" s="330">
        <v>59163.86</v>
      </c>
      <c r="H100" s="338">
        <v>6.2399999999999997E-2</v>
      </c>
      <c r="I100" s="338">
        <v>6.1800000000000001E-2</v>
      </c>
      <c r="J100" s="330">
        <v>67931334769.089996</v>
      </c>
      <c r="K100" s="337">
        <f t="shared" si="28"/>
        <v>0.20499986374305584</v>
      </c>
      <c r="L100" s="330">
        <v>59234.32</v>
      </c>
      <c r="M100" s="330">
        <v>59234.32</v>
      </c>
      <c r="N100" s="338">
        <v>6.4000000000000001E-2</v>
      </c>
      <c r="O100" s="338">
        <v>6.1899999999999997E-2</v>
      </c>
      <c r="P100" s="333">
        <f t="shared" si="29"/>
        <v>-1.3049544210672578E-2</v>
      </c>
      <c r="Q100" s="333">
        <f t="shared" si="30"/>
        <v>1.1909297331174661E-3</v>
      </c>
      <c r="R100" s="333">
        <f t="shared" si="31"/>
        <v>1.6000000000000042E-3</v>
      </c>
      <c r="S100" s="369">
        <f t="shared" si="32"/>
        <v>9.9999999999995925E-5</v>
      </c>
      <c r="U100" s="336"/>
      <c r="V100" s="335"/>
    </row>
    <row r="101" spans="1:43" s="114" customFormat="1" ht="4.5" customHeight="1">
      <c r="A101" s="411"/>
      <c r="B101" s="412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4"/>
      <c r="U101" s="178"/>
      <c r="V101" s="133"/>
    </row>
    <row r="102" spans="1:43" s="114" customFormat="1" ht="12.95" customHeight="1">
      <c r="A102" s="419" t="s">
        <v>201</v>
      </c>
      <c r="B102" s="420"/>
      <c r="C102" s="421"/>
      <c r="D102" s="421"/>
      <c r="E102" s="421"/>
      <c r="F102" s="421"/>
      <c r="G102" s="421"/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2"/>
      <c r="T102" s="179"/>
      <c r="U102" s="178"/>
      <c r="V102" s="133"/>
      <c r="AG102" s="114">
        <v>136.96</v>
      </c>
      <c r="AQ102" s="123">
        <v>185280902</v>
      </c>
    </row>
    <row r="103" spans="1:43" s="114" customFormat="1" ht="12.95" customHeight="1">
      <c r="A103" s="398">
        <v>86</v>
      </c>
      <c r="B103" s="373" t="s">
        <v>151</v>
      </c>
      <c r="C103" s="374" t="s">
        <v>150</v>
      </c>
      <c r="D103" s="329">
        <v>390563596.22000003</v>
      </c>
      <c r="E103" s="337">
        <f>(D103/$D$112)</f>
        <v>1.1674678746442892E-3</v>
      </c>
      <c r="F103" s="330">
        <v>42122.03</v>
      </c>
      <c r="G103" s="330">
        <v>42122.03</v>
      </c>
      <c r="H103" s="338">
        <v>-1.6000000000000001E-3</v>
      </c>
      <c r="I103" s="338">
        <v>5.1999999999999998E-2</v>
      </c>
      <c r="J103" s="329">
        <v>390563596.22000003</v>
      </c>
      <c r="K103" s="337">
        <f t="shared" ref="K103:K111" si="33">(J103/$J$112)</f>
        <v>1.178623742345913E-3</v>
      </c>
      <c r="L103" s="330">
        <v>42122.03</v>
      </c>
      <c r="M103" s="330">
        <v>42122.03</v>
      </c>
      <c r="N103" s="338">
        <v>-1.6000000000000001E-3</v>
      </c>
      <c r="O103" s="338">
        <v>5.1999999999999998E-2</v>
      </c>
      <c r="P103" s="333">
        <f t="shared" ref="P103:P111" si="34">((J103-D103)/D103)</f>
        <v>0</v>
      </c>
      <c r="Q103" s="333">
        <f t="shared" ref="Q103:Q111" si="35">((M103-G103)/G103)</f>
        <v>0</v>
      </c>
      <c r="R103" s="333">
        <f t="shared" ref="R103:R111" si="36">N103-H103</f>
        <v>0</v>
      </c>
      <c r="S103" s="369">
        <f t="shared" ref="S103:S111" si="37">O103-I103</f>
        <v>0</v>
      </c>
      <c r="T103"/>
      <c r="U103" s="456"/>
      <c r="V103" s="133"/>
    </row>
    <row r="104" spans="1:43" s="114" customFormat="1" ht="12.95" customHeight="1">
      <c r="A104" s="398">
        <v>87</v>
      </c>
      <c r="B104" s="374" t="s">
        <v>232</v>
      </c>
      <c r="C104" s="374" t="s">
        <v>81</v>
      </c>
      <c r="D104" s="330">
        <f>6373878.32  *461</f>
        <v>2938357905.52</v>
      </c>
      <c r="E104" s="337">
        <f>(D104/$J$112)</f>
        <v>8.8672329537975922E-3</v>
      </c>
      <c r="F104" s="329">
        <f>125.77*461</f>
        <v>57979.97</v>
      </c>
      <c r="G104" s="329">
        <f>126.65*461</f>
        <v>58385.65</v>
      </c>
      <c r="H104" s="338">
        <v>8.0000000000000004E-4</v>
      </c>
      <c r="I104" s="338">
        <v>1.5100000000000001E-2</v>
      </c>
      <c r="J104" s="330">
        <f>6439295.42*461.03</f>
        <v>2968708367.4825997</v>
      </c>
      <c r="K104" s="337">
        <f t="shared" si="33"/>
        <v>8.9588230953430333E-3</v>
      </c>
      <c r="L104" s="329">
        <f>125.97*461.03</f>
        <v>58075.949099999998</v>
      </c>
      <c r="M104" s="329">
        <f>126.86*461.03</f>
        <v>58486.265799999994</v>
      </c>
      <c r="N104" s="338">
        <v>8.0000000000000004E-4</v>
      </c>
      <c r="O104" s="338">
        <v>1.6799999999999999E-2</v>
      </c>
      <c r="P104" s="333">
        <f t="shared" si="34"/>
        <v>1.0329055526416086E-2</v>
      </c>
      <c r="Q104" s="333">
        <f t="shared" si="35"/>
        <v>1.7232967347283502E-3</v>
      </c>
      <c r="R104" s="333">
        <f t="shared" si="36"/>
        <v>0</v>
      </c>
      <c r="S104" s="369">
        <f t="shared" si="37"/>
        <v>1.6999999999999984E-3</v>
      </c>
      <c r="U104" s="456"/>
      <c r="V104" s="134"/>
    </row>
    <row r="105" spans="1:43" s="114" customFormat="1" ht="12.75" customHeight="1">
      <c r="A105" s="398">
        <v>88</v>
      </c>
      <c r="B105" s="373" t="s">
        <v>145</v>
      </c>
      <c r="C105" s="374" t="s">
        <v>89</v>
      </c>
      <c r="D105" s="329">
        <v>5714030357.4499998</v>
      </c>
      <c r="E105" s="337">
        <f t="shared" ref="E105:E111" si="38">(D105/$D$112)</f>
        <v>1.7080308921846959E-2</v>
      </c>
      <c r="F105" s="329">
        <v>53162.43</v>
      </c>
      <c r="G105" s="329">
        <v>53162.43</v>
      </c>
      <c r="H105" s="338">
        <v>2.3E-3</v>
      </c>
      <c r="I105" s="338">
        <v>6.0199999999999997E-2</v>
      </c>
      <c r="J105" s="329">
        <v>5686187129.4399996</v>
      </c>
      <c r="K105" s="337">
        <f t="shared" si="33"/>
        <v>1.715949775924494E-2</v>
      </c>
      <c r="L105" s="329" t="s">
        <v>284</v>
      </c>
      <c r="M105" s="329" t="s">
        <v>285</v>
      </c>
      <c r="N105" s="338">
        <v>-4.0500000000000001E-2</v>
      </c>
      <c r="O105" s="338">
        <v>6.0100000000000001E-2</v>
      </c>
      <c r="P105" s="333">
        <f t="shared" si="34"/>
        <v>-4.8727826539629775E-3</v>
      </c>
      <c r="Q105" s="333" t="e">
        <f t="shared" si="35"/>
        <v>#VALUE!</v>
      </c>
      <c r="R105" s="333">
        <f t="shared" si="36"/>
        <v>-4.2800000000000005E-2</v>
      </c>
      <c r="S105" s="369">
        <f t="shared" si="37"/>
        <v>-9.9999999999995925E-5</v>
      </c>
      <c r="T105" s="180"/>
      <c r="U105" s="181"/>
      <c r="V105" s="182"/>
      <c r="W105" s="189"/>
      <c r="X105" s="187"/>
      <c r="Y105" s="144"/>
    </row>
    <row r="106" spans="1:43" s="114" customFormat="1" ht="12.95" customHeight="1" thickBot="1">
      <c r="A106" s="398">
        <v>89</v>
      </c>
      <c r="B106" s="373" t="s">
        <v>156</v>
      </c>
      <c r="C106" s="374" t="s">
        <v>7</v>
      </c>
      <c r="D106" s="329">
        <v>1685301911.6629212</v>
      </c>
      <c r="E106" s="337">
        <f t="shared" si="38"/>
        <v>5.0376836448289405E-3</v>
      </c>
      <c r="F106" s="329">
        <v>533.31672585611852</v>
      </c>
      <c r="G106" s="329">
        <v>533.31672585611852</v>
      </c>
      <c r="H106" s="338">
        <v>5.5506478598182474E-2</v>
      </c>
      <c r="I106" s="338">
        <v>5.5782355405476769E-2</v>
      </c>
      <c r="J106" s="329">
        <v>1701605744.8269351</v>
      </c>
      <c r="K106" s="337">
        <f t="shared" si="33"/>
        <v>5.1350226963690739E-3</v>
      </c>
      <c r="L106" s="329">
        <v>535.97687989856763</v>
      </c>
      <c r="M106" s="329">
        <v>535.97687989856763</v>
      </c>
      <c r="N106" s="338">
        <v>5.3632730627527048E-2</v>
      </c>
      <c r="O106" s="338">
        <v>5.5722693693737751E-2</v>
      </c>
      <c r="P106" s="333">
        <f t="shared" si="34"/>
        <v>9.6741320063694364E-3</v>
      </c>
      <c r="Q106" s="333">
        <f t="shared" si="35"/>
        <v>4.9879441492835918E-3</v>
      </c>
      <c r="R106" s="333">
        <f t="shared" si="36"/>
        <v>-1.8737479706554261E-3</v>
      </c>
      <c r="S106" s="369">
        <f t="shared" si="37"/>
        <v>-5.9661711739017464E-5</v>
      </c>
      <c r="T106" s="169"/>
      <c r="U106" s="163"/>
      <c r="V106" s="182"/>
      <c r="W106" s="189"/>
      <c r="X106" s="187"/>
      <c r="Y106" s="145"/>
    </row>
    <row r="107" spans="1:43" s="114" customFormat="1" ht="12.75" customHeight="1">
      <c r="A107" s="396">
        <v>90</v>
      </c>
      <c r="B107" s="374" t="s">
        <v>196</v>
      </c>
      <c r="C107" s="392" t="s">
        <v>9</v>
      </c>
      <c r="D107" s="330">
        <v>4815917235.7700005</v>
      </c>
      <c r="E107" s="337">
        <f t="shared" si="38"/>
        <v>1.4395680278763494E-2</v>
      </c>
      <c r="F107" s="329">
        <f>1.0088*461</f>
        <v>465.05679999999995</v>
      </c>
      <c r="G107" s="329">
        <f>1.0088*461</f>
        <v>465.05679999999995</v>
      </c>
      <c r="H107" s="338">
        <v>1.6000000000000001E-3</v>
      </c>
      <c r="I107" s="338">
        <v>9.1300000000000006E-2</v>
      </c>
      <c r="J107" s="330">
        <v>4794772026.1099997</v>
      </c>
      <c r="K107" s="337">
        <f t="shared" si="33"/>
        <v>1.4469428804434678E-2</v>
      </c>
      <c r="L107" s="329">
        <f>1.0107*461.03</f>
        <v>465.96302099999997</v>
      </c>
      <c r="M107" s="329">
        <f>1.0107*461.03</f>
        <v>465.96302099999997</v>
      </c>
      <c r="N107" s="338">
        <v>1.6000000000000001E-3</v>
      </c>
      <c r="O107" s="338">
        <v>9.2399999999999996E-2</v>
      </c>
      <c r="P107" s="333">
        <f t="shared" si="34"/>
        <v>-4.3906920789555399E-3</v>
      </c>
      <c r="Q107" s="333">
        <f t="shared" si="35"/>
        <v>1.948624340080645E-3</v>
      </c>
      <c r="R107" s="333">
        <f t="shared" si="36"/>
        <v>0</v>
      </c>
      <c r="S107" s="369">
        <f t="shared" si="37"/>
        <v>1.0999999999999899E-3</v>
      </c>
      <c r="U107" s="187"/>
      <c r="V107" s="187"/>
      <c r="W107" s="187"/>
      <c r="X107" s="189"/>
    </row>
    <row r="108" spans="1:43" s="114" customFormat="1" ht="12.75" customHeight="1">
      <c r="A108" s="397">
        <v>91</v>
      </c>
      <c r="B108" s="373" t="s">
        <v>164</v>
      </c>
      <c r="C108" s="374" t="s">
        <v>163</v>
      </c>
      <c r="D108" s="329">
        <v>101675429.23</v>
      </c>
      <c r="E108" s="337">
        <f t="shared" si="38"/>
        <v>3.0392693639534699E-4</v>
      </c>
      <c r="F108" s="329">
        <v>397.9</v>
      </c>
      <c r="G108" s="329">
        <v>397.9</v>
      </c>
      <c r="H108" s="338">
        <v>-7.2969999999999997E-3</v>
      </c>
      <c r="I108" s="338">
        <v>-1.8220000000000001E-3</v>
      </c>
      <c r="J108" s="329">
        <v>102366570.39</v>
      </c>
      <c r="K108" s="337">
        <f t="shared" si="33"/>
        <v>3.0891683570072516E-4</v>
      </c>
      <c r="L108" s="329">
        <v>399.47</v>
      </c>
      <c r="M108" s="329">
        <v>399.47</v>
      </c>
      <c r="N108" s="338">
        <v>2.8310000000000002E-3</v>
      </c>
      <c r="O108" s="338">
        <v>1.0039999999999999E-3</v>
      </c>
      <c r="P108" s="333">
        <f t="shared" si="34"/>
        <v>6.7975238977016359E-3</v>
      </c>
      <c r="Q108" s="333">
        <f t="shared" si="35"/>
        <v>3.9457150037699174E-3</v>
      </c>
      <c r="R108" s="333">
        <f t="shared" si="36"/>
        <v>1.0128E-2</v>
      </c>
      <c r="S108" s="369">
        <f t="shared" si="37"/>
        <v>2.826E-3</v>
      </c>
      <c r="U108" s="187"/>
      <c r="V108" s="187"/>
      <c r="W108" s="187"/>
      <c r="X108" s="189"/>
    </row>
    <row r="109" spans="1:43" s="114" customFormat="1" ht="12.75" customHeight="1">
      <c r="A109" s="405">
        <v>92</v>
      </c>
      <c r="B109" s="373" t="s">
        <v>94</v>
      </c>
      <c r="C109" s="374" t="s">
        <v>5</v>
      </c>
      <c r="D109" s="330">
        <v>204650408125.57999</v>
      </c>
      <c r="E109" s="337">
        <f t="shared" si="38"/>
        <v>0.61173847058924247</v>
      </c>
      <c r="F109" s="329">
        <v>645.74</v>
      </c>
      <c r="G109" s="329">
        <v>645.74</v>
      </c>
      <c r="H109" s="338">
        <v>8.9999999999999998E-4</v>
      </c>
      <c r="I109" s="338">
        <v>2.3599999999999999E-2</v>
      </c>
      <c r="J109" s="330">
        <v>201739663926.91</v>
      </c>
      <c r="K109" s="337">
        <f t="shared" si="33"/>
        <v>0.60880010318013711</v>
      </c>
      <c r="L109" s="329">
        <v>646.79999999999995</v>
      </c>
      <c r="M109" s="329">
        <v>646.79999999999995</v>
      </c>
      <c r="N109" s="338">
        <v>1.4E-3</v>
      </c>
      <c r="O109" s="338">
        <v>2.5100000000000001E-2</v>
      </c>
      <c r="P109" s="333">
        <f t="shared" si="34"/>
        <v>-1.4223007055445783E-2</v>
      </c>
      <c r="Q109" s="333">
        <f t="shared" si="35"/>
        <v>1.6415275497877557E-3</v>
      </c>
      <c r="R109" s="333">
        <f t="shared" si="36"/>
        <v>5.0000000000000001E-4</v>
      </c>
      <c r="S109" s="369">
        <f t="shared" si="37"/>
        <v>1.5000000000000013E-3</v>
      </c>
      <c r="T109"/>
      <c r="U109" s="296"/>
      <c r="V109" s="296"/>
      <c r="W109" s="296"/>
      <c r="X109" s="297"/>
    </row>
    <row r="110" spans="1:43" s="334" customFormat="1" ht="12.75" customHeight="1">
      <c r="A110" s="397">
        <v>93</v>
      </c>
      <c r="B110" s="373" t="s">
        <v>258</v>
      </c>
      <c r="C110" s="374" t="s">
        <v>41</v>
      </c>
      <c r="D110" s="330">
        <v>4678548431.2700005</v>
      </c>
      <c r="E110" s="337">
        <f t="shared" si="38"/>
        <v>1.3985059146163862E-2</v>
      </c>
      <c r="F110" s="330">
        <v>474.86</v>
      </c>
      <c r="G110" s="330">
        <v>474.86</v>
      </c>
      <c r="H110" s="338">
        <v>7.9200000000000007E-2</v>
      </c>
      <c r="I110" s="338">
        <v>8.4000000000000005E-2</v>
      </c>
      <c r="J110" s="330">
        <v>4847511381.1099997</v>
      </c>
      <c r="K110" s="337">
        <f t="shared" si="33"/>
        <v>1.4628583053731367E-2</v>
      </c>
      <c r="L110" s="330">
        <v>475.55</v>
      </c>
      <c r="M110" s="330">
        <v>475.55</v>
      </c>
      <c r="N110" s="338">
        <v>7.9100000000000004E-2</v>
      </c>
      <c r="O110" s="338">
        <v>8.3699999999999997E-2</v>
      </c>
      <c r="P110" s="333">
        <f t="shared" si="34"/>
        <v>3.6114395805053982E-2</v>
      </c>
      <c r="Q110" s="333">
        <f t="shared" si="35"/>
        <v>1.4530598492187123E-3</v>
      </c>
      <c r="R110" s="333">
        <f t="shared" si="36"/>
        <v>-1.0000000000000286E-4</v>
      </c>
      <c r="S110" s="369">
        <f t="shared" si="37"/>
        <v>-3.0000000000000859E-4</v>
      </c>
      <c r="T110" s="360"/>
      <c r="U110" s="359"/>
      <c r="V110" s="359"/>
      <c r="W110" s="359"/>
      <c r="X110" s="358"/>
    </row>
    <row r="111" spans="1:43" s="114" customFormat="1" ht="12.95" customHeight="1">
      <c r="A111" s="401">
        <v>94</v>
      </c>
      <c r="B111" s="373" t="s">
        <v>126</v>
      </c>
      <c r="C111" s="374" t="s">
        <v>248</v>
      </c>
      <c r="D111" s="329">
        <v>5426154639.8400002</v>
      </c>
      <c r="E111" s="337">
        <f t="shared" si="38"/>
        <v>1.6219794384771329E-2</v>
      </c>
      <c r="F111" s="329">
        <v>460.87</v>
      </c>
      <c r="G111" s="329">
        <v>460.87</v>
      </c>
      <c r="H111" s="338">
        <v>8.9999999999999998E-4</v>
      </c>
      <c r="I111" s="338">
        <v>3.5999999999999999E-3</v>
      </c>
      <c r="J111" s="329">
        <v>5503802123.8999996</v>
      </c>
      <c r="K111" s="337">
        <f t="shared" si="33"/>
        <v>1.6609105198704687E-2</v>
      </c>
      <c r="L111" s="329">
        <v>460.17</v>
      </c>
      <c r="M111" s="329">
        <v>460.17</v>
      </c>
      <c r="N111" s="338">
        <v>1.2929442186924156E-3</v>
      </c>
      <c r="O111" s="338">
        <v>4.8999999999999998E-3</v>
      </c>
      <c r="P111" s="333">
        <f t="shared" si="34"/>
        <v>1.4309854623363451E-2</v>
      </c>
      <c r="Q111" s="333">
        <f t="shared" si="35"/>
        <v>-1.5188664916353605E-3</v>
      </c>
      <c r="R111" s="333">
        <f t="shared" si="36"/>
        <v>3.9294421869241563E-4</v>
      </c>
      <c r="S111" s="369">
        <f t="shared" si="37"/>
        <v>1.2999999999999999E-3</v>
      </c>
      <c r="U111" s="187"/>
      <c r="V111" s="187"/>
      <c r="W111" s="187"/>
      <c r="X111" s="189"/>
    </row>
    <row r="112" spans="1:43" s="114" customFormat="1" ht="13.5" customHeight="1">
      <c r="A112" s="218"/>
      <c r="C112" s="290" t="s">
        <v>42</v>
      </c>
      <c r="D112" s="76">
        <f>SUM(D91:D111)</f>
        <v>334539052167.92297</v>
      </c>
      <c r="E112" s="266">
        <f>(D112/$D$168)</f>
        <v>0.20422269738892795</v>
      </c>
      <c r="F112" s="268"/>
      <c r="G112" s="73"/>
      <c r="H112" s="280"/>
      <c r="I112" s="280"/>
      <c r="J112" s="76">
        <f>SUM(J91:J111)</f>
        <v>331372584980.02832</v>
      </c>
      <c r="K112" s="266">
        <f>(J112/$J$168)</f>
        <v>0.20170307350671188</v>
      </c>
      <c r="L112" s="268"/>
      <c r="M112" s="73"/>
      <c r="N112" s="282"/>
      <c r="O112" s="282"/>
      <c r="P112" s="270">
        <f t="shared" ref="P112" si="39">((J112-D112)/D112)</f>
        <v>-9.4651645820567308E-3</v>
      </c>
      <c r="Q112" s="270"/>
      <c r="R112" s="270">
        <f t="shared" ref="R112:S112" si="40">N112-H112</f>
        <v>0</v>
      </c>
      <c r="S112" s="369">
        <f t="shared" si="40"/>
        <v>0</v>
      </c>
      <c r="U112" s="187"/>
      <c r="V112" s="187"/>
      <c r="W112" s="187"/>
      <c r="X112" s="187"/>
    </row>
    <row r="113" spans="1:23" s="114" customFormat="1" ht="4.5" customHeight="1">
      <c r="A113" s="411"/>
      <c r="B113" s="412"/>
      <c r="C113" s="413"/>
      <c r="D113" s="413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4"/>
      <c r="T113" s="120"/>
      <c r="U113" s="135"/>
    </row>
    <row r="114" spans="1:23" s="114" customFormat="1" ht="12.95" customHeight="1">
      <c r="A114" s="452" t="s">
        <v>216</v>
      </c>
      <c r="B114" s="453"/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5"/>
    </row>
    <row r="115" spans="1:23" s="114" customFormat="1" ht="12.95" customHeight="1">
      <c r="A115" s="396">
        <v>95</v>
      </c>
      <c r="B115" s="373" t="s">
        <v>229</v>
      </c>
      <c r="C115" s="374" t="s">
        <v>9</v>
      </c>
      <c r="D115" s="330">
        <v>54330953714</v>
      </c>
      <c r="E115" s="337">
        <f>(D115/$D$119)</f>
        <v>0.57698356522203387</v>
      </c>
      <c r="F115" s="331">
        <v>101.68</v>
      </c>
      <c r="G115" s="331">
        <v>101.68</v>
      </c>
      <c r="H115" s="338">
        <v>0</v>
      </c>
      <c r="I115" s="338">
        <v>7.6999999999999999E-2</v>
      </c>
      <c r="J115" s="330">
        <v>54330953714</v>
      </c>
      <c r="K115" s="337">
        <f>(J115/$J$119)</f>
        <v>0.5768031215808761</v>
      </c>
      <c r="L115" s="331">
        <v>101.68</v>
      </c>
      <c r="M115" s="331">
        <v>101.68</v>
      </c>
      <c r="N115" s="338">
        <v>0</v>
      </c>
      <c r="O115" s="338">
        <v>7.6999999999999999E-2</v>
      </c>
      <c r="P115" s="333">
        <f>((J115-D115)/D115)</f>
        <v>0</v>
      </c>
      <c r="Q115" s="333">
        <f>((M115-G115)/G115)</f>
        <v>0</v>
      </c>
      <c r="R115" s="333">
        <f t="shared" ref="R115:S118" si="41">N115-H115</f>
        <v>0</v>
      </c>
      <c r="S115" s="369">
        <f t="shared" si="41"/>
        <v>0</v>
      </c>
    </row>
    <row r="116" spans="1:23" s="114" customFormat="1" ht="12.95" customHeight="1">
      <c r="A116" s="398">
        <v>96</v>
      </c>
      <c r="B116" s="373" t="s">
        <v>143</v>
      </c>
      <c r="C116" s="374" t="s">
        <v>20</v>
      </c>
      <c r="D116" s="330">
        <v>2359826154.1500001</v>
      </c>
      <c r="E116" s="337">
        <f>(D116/$D$119)</f>
        <v>2.5060868890560552E-2</v>
      </c>
      <c r="F116" s="331">
        <v>77</v>
      </c>
      <c r="G116" s="331">
        <v>77</v>
      </c>
      <c r="H116" s="338">
        <v>0.15509999999999999</v>
      </c>
      <c r="I116" s="338">
        <v>0.1396</v>
      </c>
      <c r="J116" s="330">
        <v>2364368561.3600001</v>
      </c>
      <c r="K116" s="337">
        <f>(J116/$J$119)</f>
        <v>2.5101255794976331E-2</v>
      </c>
      <c r="L116" s="331">
        <v>77</v>
      </c>
      <c r="M116" s="331">
        <v>77</v>
      </c>
      <c r="N116" s="338">
        <v>0.1016</v>
      </c>
      <c r="O116" s="338">
        <v>0.13950000000000001</v>
      </c>
      <c r="P116" s="333">
        <f>((J116-D116)/D116)</f>
        <v>1.9248906119680646E-3</v>
      </c>
      <c r="Q116" s="333">
        <f>((M116-G116)/G116)</f>
        <v>0</v>
      </c>
      <c r="R116" s="333">
        <f t="shared" si="41"/>
        <v>-5.3499999999999992E-2</v>
      </c>
      <c r="S116" s="369">
        <f t="shared" si="41"/>
        <v>-9.9999999999988987E-5</v>
      </c>
      <c r="T116" s="136"/>
      <c r="U116" s="168"/>
    </row>
    <row r="117" spans="1:23" s="114" customFormat="1" ht="12.95" customHeight="1">
      <c r="A117" s="401">
        <v>97</v>
      </c>
      <c r="B117" s="373" t="s">
        <v>21</v>
      </c>
      <c r="C117" s="374" t="s">
        <v>20</v>
      </c>
      <c r="D117" s="330">
        <v>10204268194.49</v>
      </c>
      <c r="E117" s="337">
        <f>(D117/$D$119)</f>
        <v>0.10836723158462623</v>
      </c>
      <c r="F117" s="331">
        <v>36.6</v>
      </c>
      <c r="G117" s="331">
        <v>36.6</v>
      </c>
      <c r="H117" s="338">
        <v>7.6999999999999999E-2</v>
      </c>
      <c r="I117" s="338">
        <v>0.18360000000000001</v>
      </c>
      <c r="J117" s="330">
        <v>10224711101.32</v>
      </c>
      <c r="K117" s="337">
        <f>(J117/$J$119)</f>
        <v>0.10855037280496528</v>
      </c>
      <c r="L117" s="331">
        <v>36.6</v>
      </c>
      <c r="M117" s="331">
        <v>36.6</v>
      </c>
      <c r="N117" s="338">
        <v>0.1057</v>
      </c>
      <c r="O117" s="338">
        <v>0.1895</v>
      </c>
      <c r="P117" s="333">
        <f>((J117-D117)/D117)</f>
        <v>2.0033682416381884E-3</v>
      </c>
      <c r="Q117" s="333">
        <f>((M117-G117)/G117)</f>
        <v>0</v>
      </c>
      <c r="R117" s="333">
        <f t="shared" si="41"/>
        <v>2.8700000000000003E-2</v>
      </c>
      <c r="S117" s="369">
        <f t="shared" si="41"/>
        <v>5.8999999999999886E-3</v>
      </c>
      <c r="T117" s="137"/>
      <c r="U117" s="115"/>
    </row>
    <row r="118" spans="1:23" s="138" customFormat="1" ht="12.95" customHeight="1">
      <c r="A118" s="405">
        <v>98</v>
      </c>
      <c r="B118" s="373" t="s">
        <v>186</v>
      </c>
      <c r="C118" s="374" t="s">
        <v>5</v>
      </c>
      <c r="D118" s="330">
        <v>27268732309.669998</v>
      </c>
      <c r="E118" s="337">
        <f>(D118/$D$119)</f>
        <v>0.2895883343027793</v>
      </c>
      <c r="F118" s="331">
        <v>3.15</v>
      </c>
      <c r="G118" s="331">
        <v>3.15</v>
      </c>
      <c r="H118" s="338">
        <v>0</v>
      </c>
      <c r="I118" s="338">
        <v>0.05</v>
      </c>
      <c r="J118" s="330">
        <v>27273204629.889999</v>
      </c>
      <c r="K118" s="337">
        <f>(J118/$J$119)</f>
        <v>0.28954524981918217</v>
      </c>
      <c r="L118" s="331">
        <v>3.35</v>
      </c>
      <c r="M118" s="331">
        <v>3.35</v>
      </c>
      <c r="N118" s="338">
        <v>0</v>
      </c>
      <c r="O118" s="338">
        <v>0.05</v>
      </c>
      <c r="P118" s="333">
        <f>((J118-D118)/D118)</f>
        <v>1.640090991107516E-4</v>
      </c>
      <c r="Q118" s="333">
        <f>((M118-G118)/G118)</f>
        <v>6.3492063492063544E-2</v>
      </c>
      <c r="R118" s="333">
        <f t="shared" si="41"/>
        <v>0</v>
      </c>
      <c r="S118" s="369">
        <f t="shared" si="41"/>
        <v>0</v>
      </c>
      <c r="T118" s="137"/>
      <c r="U118" s="163"/>
    </row>
    <row r="119" spans="1:23" s="114" customFormat="1" ht="12.75" customHeight="1">
      <c r="A119" s="218"/>
      <c r="C119" s="248" t="s">
        <v>42</v>
      </c>
      <c r="D119" s="70">
        <f>SUM(D115:D118)</f>
        <v>94163780372.309998</v>
      </c>
      <c r="E119" s="266">
        <f>(D119/$D$168)</f>
        <v>5.7483217876515606E-2</v>
      </c>
      <c r="F119" s="72"/>
      <c r="G119" s="72"/>
      <c r="H119" s="249"/>
      <c r="I119" s="249"/>
      <c r="J119" s="70">
        <f>SUM(J115:J118)</f>
        <v>94193238006.570007</v>
      </c>
      <c r="K119" s="266">
        <f>(J119/$J$168)</f>
        <v>5.7334452126205498E-2</v>
      </c>
      <c r="L119" s="268"/>
      <c r="M119" s="72"/>
      <c r="N119" s="269"/>
      <c r="O119" s="269"/>
      <c r="P119" s="270">
        <f>((J119-D119)/D119)</f>
        <v>3.128340232681667E-4</v>
      </c>
      <c r="Q119" s="270"/>
      <c r="R119" s="270">
        <f>N119-H119</f>
        <v>0</v>
      </c>
      <c r="S119" s="369">
        <f t="shared" ref="S119" si="42">O119-I119</f>
        <v>0</v>
      </c>
      <c r="T119" s="163"/>
      <c r="U119" s="163"/>
      <c r="V119" s="183"/>
      <c r="W119" s="449"/>
    </row>
    <row r="120" spans="1:23" s="114" customFormat="1" ht="5.25" customHeight="1">
      <c r="A120" s="411"/>
      <c r="B120" s="412"/>
      <c r="C120" s="413"/>
      <c r="D120" s="413"/>
      <c r="E120" s="413"/>
      <c r="F120" s="413"/>
      <c r="G120" s="413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14"/>
      <c r="T120" s="163"/>
      <c r="U120" s="163"/>
      <c r="V120" s="183"/>
      <c r="W120" s="449"/>
    </row>
    <row r="121" spans="1:23" s="114" customFormat="1" ht="12" customHeight="1">
      <c r="A121" s="407" t="s">
        <v>226</v>
      </c>
      <c r="B121" s="408"/>
      <c r="C121" s="409"/>
      <c r="D121" s="409"/>
      <c r="E121" s="409"/>
      <c r="F121" s="409"/>
      <c r="G121" s="409"/>
      <c r="H121" s="409"/>
      <c r="I121" s="409"/>
      <c r="J121" s="409"/>
      <c r="K121" s="409"/>
      <c r="L121" s="409"/>
      <c r="M121" s="409"/>
      <c r="N121" s="409"/>
      <c r="O121" s="409"/>
      <c r="P121" s="409"/>
      <c r="Q121" s="409"/>
      <c r="R121" s="409"/>
      <c r="S121" s="410"/>
      <c r="T121" s="187"/>
      <c r="U121" s="189"/>
      <c r="V121" s="183"/>
      <c r="W121" s="449"/>
    </row>
    <row r="122" spans="1:23" s="114" customFormat="1" ht="12" customHeight="1">
      <c r="A122" s="397">
        <v>99</v>
      </c>
      <c r="B122" s="373" t="s">
        <v>118</v>
      </c>
      <c r="C122" s="374" t="s">
        <v>36</v>
      </c>
      <c r="D122" s="329">
        <v>171476888.66999999</v>
      </c>
      <c r="E122" s="337">
        <f t="shared" ref="E122:E145" si="43">(D122/$D$146)</f>
        <v>5.4119238603440329E-3</v>
      </c>
      <c r="F122" s="329">
        <v>3.85</v>
      </c>
      <c r="G122" s="329">
        <v>3.91</v>
      </c>
      <c r="H122" s="338">
        <v>4.1529999999999996E-3</v>
      </c>
      <c r="I122" s="338">
        <v>2.5714000000000001E-2</v>
      </c>
      <c r="J122" s="329">
        <v>171930951.83000001</v>
      </c>
      <c r="K122" s="318">
        <f t="shared" ref="K122:K134" si="44">(J122/$J$146)</f>
        <v>5.4127345015647079E-3</v>
      </c>
      <c r="L122" s="329">
        <v>3.86</v>
      </c>
      <c r="M122" s="329">
        <v>3.92</v>
      </c>
      <c r="N122" s="319">
        <v>2.6890000000000001E-2</v>
      </c>
      <c r="O122" s="319">
        <v>2.8403000000000001E-2</v>
      </c>
      <c r="P122" s="333">
        <f t="shared" ref="P122:P145" si="45">((J122-D122)/D122)</f>
        <v>2.6479554389037905E-3</v>
      </c>
      <c r="Q122" s="333">
        <f t="shared" ref="Q122:Q145" si="46">((M122-G122)/G122)</f>
        <v>2.5575447570331936E-3</v>
      </c>
      <c r="R122" s="333">
        <f t="shared" ref="R122:R145" si="47">N122-H122</f>
        <v>2.2737E-2</v>
      </c>
      <c r="S122" s="369">
        <f t="shared" ref="S122:S145" si="48">O122-I122</f>
        <v>2.6890000000000004E-3</v>
      </c>
      <c r="T122" s="451"/>
      <c r="U122" s="169"/>
      <c r="V122" s="187"/>
    </row>
    <row r="123" spans="1:23" s="114" customFormat="1" ht="12" customHeight="1">
      <c r="A123" s="398">
        <v>100</v>
      </c>
      <c r="B123" s="373" t="s">
        <v>158</v>
      </c>
      <c r="C123" s="374" t="s">
        <v>6</v>
      </c>
      <c r="D123" s="329">
        <v>4938418482.0100002</v>
      </c>
      <c r="E123" s="337">
        <f t="shared" si="43"/>
        <v>0.15585974892854279</v>
      </c>
      <c r="F123" s="329">
        <v>543.39750000000004</v>
      </c>
      <c r="G123" s="329">
        <v>559.78129999999999</v>
      </c>
      <c r="H123" s="319">
        <v>0.26819999999999999</v>
      </c>
      <c r="I123" s="319">
        <v>9.4E-2</v>
      </c>
      <c r="J123" s="329">
        <v>4935775290.6000004</v>
      </c>
      <c r="K123" s="318">
        <f t="shared" si="44"/>
        <v>0.15538820045512913</v>
      </c>
      <c r="L123" s="329">
        <v>543.47630000000004</v>
      </c>
      <c r="M123" s="329">
        <v>559.86249999999995</v>
      </c>
      <c r="N123" s="319">
        <v>7.6E-3</v>
      </c>
      <c r="O123" s="319">
        <v>8.9499999999999996E-2</v>
      </c>
      <c r="P123" s="333">
        <f t="shared" si="45"/>
        <v>-5.3523034137925758E-4</v>
      </c>
      <c r="Q123" s="333">
        <f t="shared" si="46"/>
        <v>1.4505664980228364E-4</v>
      </c>
      <c r="R123" s="333">
        <f t="shared" si="47"/>
        <v>-0.2606</v>
      </c>
      <c r="S123" s="369">
        <f t="shared" si="48"/>
        <v>-4.500000000000004E-3</v>
      </c>
      <c r="T123" s="451"/>
      <c r="W123" s="190"/>
    </row>
    <row r="124" spans="1:23" s="114" customFormat="1" ht="12" customHeight="1">
      <c r="A124" s="401">
        <v>101</v>
      </c>
      <c r="B124" s="373" t="s">
        <v>246</v>
      </c>
      <c r="C124" s="374" t="s">
        <v>12</v>
      </c>
      <c r="D124" s="329">
        <v>2697991011.23</v>
      </c>
      <c r="E124" s="337">
        <f t="shared" si="43"/>
        <v>8.5150378234171195E-2</v>
      </c>
      <c r="F124" s="329">
        <v>14.772600000000001</v>
      </c>
      <c r="G124" s="329">
        <v>14.9048</v>
      </c>
      <c r="H124" s="338">
        <v>8.8000000000000005E-3</v>
      </c>
      <c r="I124" s="338">
        <v>6.4899999999999999E-2</v>
      </c>
      <c r="J124" s="329">
        <v>2699776971.6500001</v>
      </c>
      <c r="K124" s="318">
        <f t="shared" si="44"/>
        <v>8.4994445766977983E-2</v>
      </c>
      <c r="L124" s="329">
        <v>14.835800000000001</v>
      </c>
      <c r="M124" s="329">
        <v>14.969200000000001</v>
      </c>
      <c r="N124" s="338">
        <v>6.7999999999999996E-3</v>
      </c>
      <c r="O124" s="338">
        <v>6.9500000000000006E-2</v>
      </c>
      <c r="P124" s="333">
        <f t="shared" si="45"/>
        <v>6.6195936627152304E-4</v>
      </c>
      <c r="Q124" s="333">
        <f t="shared" si="46"/>
        <v>4.3207557296978758E-3</v>
      </c>
      <c r="R124" s="333">
        <f t="shared" si="47"/>
        <v>-2.0000000000000009E-3</v>
      </c>
      <c r="S124" s="369">
        <f t="shared" si="48"/>
        <v>4.6000000000000069E-3</v>
      </c>
      <c r="T124" s="189"/>
      <c r="U124" s="115"/>
      <c r="W124" s="190"/>
    </row>
    <row r="125" spans="1:23" s="114" customFormat="1" ht="12" customHeight="1">
      <c r="A125" s="403">
        <v>102</v>
      </c>
      <c r="B125" s="373" t="s">
        <v>146</v>
      </c>
      <c r="C125" s="374" t="s">
        <v>104</v>
      </c>
      <c r="D125" s="330">
        <v>1032654596.37</v>
      </c>
      <c r="E125" s="337">
        <f t="shared" si="43"/>
        <v>3.2591261090256056E-2</v>
      </c>
      <c r="F125" s="329">
        <v>2.4064000000000001</v>
      </c>
      <c r="G125" s="329">
        <v>2.4561000000000002</v>
      </c>
      <c r="H125" s="338">
        <v>0.16398464303218988</v>
      </c>
      <c r="I125" s="338">
        <v>0.18880326267046219</v>
      </c>
      <c r="J125" s="330">
        <v>1047558751.25</v>
      </c>
      <c r="K125" s="318">
        <f t="shared" si="44"/>
        <v>3.2979270660429959E-2</v>
      </c>
      <c r="L125" s="329">
        <v>2.4409999999999998</v>
      </c>
      <c r="M125" s="329">
        <v>2.4914000000000001</v>
      </c>
      <c r="N125" s="338">
        <v>0.74941690368586422</v>
      </c>
      <c r="O125" s="338">
        <v>0.22025825612426594</v>
      </c>
      <c r="P125" s="333">
        <f t="shared" si="45"/>
        <v>1.4432855799404043E-2</v>
      </c>
      <c r="Q125" s="333">
        <f t="shared" si="46"/>
        <v>1.4372378974797395E-2</v>
      </c>
      <c r="R125" s="333">
        <f t="shared" si="47"/>
        <v>0.58543226065367437</v>
      </c>
      <c r="S125" s="369">
        <f t="shared" si="48"/>
        <v>3.1454993453803759E-2</v>
      </c>
      <c r="T125" s="189"/>
      <c r="U125" s="115"/>
      <c r="W125" s="190"/>
    </row>
    <row r="126" spans="1:23" s="114" customFormat="1" ht="12" customHeight="1">
      <c r="A126" s="398">
        <v>103</v>
      </c>
      <c r="B126" s="373" t="s">
        <v>276</v>
      </c>
      <c r="C126" s="374" t="s">
        <v>7</v>
      </c>
      <c r="D126" s="330">
        <v>2381743169.8162699</v>
      </c>
      <c r="E126" s="337">
        <f t="shared" si="43"/>
        <v>7.5169387489564268E-2</v>
      </c>
      <c r="F126" s="329">
        <v>4469.5139805440804</v>
      </c>
      <c r="G126" s="329">
        <v>4497.5691687045801</v>
      </c>
      <c r="H126" s="338">
        <v>0.3129501828547</v>
      </c>
      <c r="I126" s="338">
        <v>0.18151471344587519</v>
      </c>
      <c r="J126" s="330">
        <v>2369343849.3488002</v>
      </c>
      <c r="K126" s="318">
        <f t="shared" si="44"/>
        <v>7.4591741992570251E-2</v>
      </c>
      <c r="L126" s="329">
        <v>4441.2447802207798</v>
      </c>
      <c r="M126" s="329">
        <v>4469.4253479082499</v>
      </c>
      <c r="N126" s="338">
        <v>-0.32979802287613258</v>
      </c>
      <c r="O126" s="338">
        <v>0.15331246488385908</v>
      </c>
      <c r="P126" s="333">
        <f t="shared" si="45"/>
        <v>-5.2059855254780428E-3</v>
      </c>
      <c r="Q126" s="333">
        <f t="shared" si="46"/>
        <v>-6.2575626389835643E-3</v>
      </c>
      <c r="R126" s="333">
        <f t="shared" si="47"/>
        <v>-0.64274820573083258</v>
      </c>
      <c r="S126" s="369">
        <f t="shared" si="48"/>
        <v>-2.8202248562016113E-2</v>
      </c>
      <c r="T126" s="189"/>
      <c r="U126" s="115"/>
      <c r="W126" s="190"/>
    </row>
    <row r="127" spans="1:23" s="114" customFormat="1" ht="12" customHeight="1">
      <c r="A127" s="398">
        <v>104</v>
      </c>
      <c r="B127" s="373" t="s">
        <v>159</v>
      </c>
      <c r="C127" s="374" t="s">
        <v>89</v>
      </c>
      <c r="D127" s="329">
        <v>360101576.60000002</v>
      </c>
      <c r="E127" s="337">
        <f t="shared" si="43"/>
        <v>1.1365043590798462E-2</v>
      </c>
      <c r="F127" s="329">
        <v>142.75</v>
      </c>
      <c r="G127" s="329">
        <v>143.65</v>
      </c>
      <c r="H127" s="338">
        <v>7.7999999999999996E-3</v>
      </c>
      <c r="I127" s="338">
        <v>3.6700000000000003E-2</v>
      </c>
      <c r="J127" s="329">
        <v>361009987.01999998</v>
      </c>
      <c r="K127" s="318">
        <f t="shared" si="44"/>
        <v>1.136532538995472E-2</v>
      </c>
      <c r="L127" s="329">
        <v>143.08000000000001</v>
      </c>
      <c r="M127" s="329">
        <v>144.01</v>
      </c>
      <c r="N127" s="338">
        <v>2.3999999999999998E-3</v>
      </c>
      <c r="O127" s="338">
        <v>3.9199999999999999E-2</v>
      </c>
      <c r="P127" s="333">
        <f t="shared" si="45"/>
        <v>2.5226504937217124E-3</v>
      </c>
      <c r="Q127" s="333">
        <f t="shared" si="46"/>
        <v>2.5060911938738963E-3</v>
      </c>
      <c r="R127" s="333">
        <f t="shared" si="47"/>
        <v>-5.4000000000000003E-3</v>
      </c>
      <c r="S127" s="369">
        <f t="shared" si="48"/>
        <v>2.4999999999999953E-3</v>
      </c>
      <c r="U127" s="115"/>
      <c r="W127" s="190"/>
    </row>
    <row r="128" spans="1:23" s="114" customFormat="1" ht="12" customHeight="1">
      <c r="A128" s="405">
        <v>105</v>
      </c>
      <c r="B128" s="373" t="s">
        <v>184</v>
      </c>
      <c r="C128" s="374" t="s">
        <v>182</v>
      </c>
      <c r="D128" s="329">
        <v>3734808.11</v>
      </c>
      <c r="E128" s="337">
        <f t="shared" si="43"/>
        <v>1.1787301064934469E-4</v>
      </c>
      <c r="F128" s="329">
        <v>102.747</v>
      </c>
      <c r="G128" s="329">
        <v>102.99</v>
      </c>
      <c r="H128" s="338">
        <v>0</v>
      </c>
      <c r="I128" s="338">
        <v>0</v>
      </c>
      <c r="J128" s="329">
        <v>3734808.11</v>
      </c>
      <c r="K128" s="318">
        <f t="shared" si="44"/>
        <v>1.1757932180651894E-4</v>
      </c>
      <c r="L128" s="329">
        <v>102.747</v>
      </c>
      <c r="M128" s="329">
        <v>102.99</v>
      </c>
      <c r="N128" s="338">
        <v>0</v>
      </c>
      <c r="O128" s="338">
        <v>0</v>
      </c>
      <c r="P128" s="333">
        <f t="shared" si="45"/>
        <v>0</v>
      </c>
      <c r="Q128" s="333">
        <f t="shared" si="46"/>
        <v>0</v>
      </c>
      <c r="R128" s="333">
        <f t="shared" si="47"/>
        <v>0</v>
      </c>
      <c r="S128" s="369">
        <f t="shared" si="48"/>
        <v>0</v>
      </c>
      <c r="U128" s="115"/>
    </row>
    <row r="129" spans="1:22" s="114" customFormat="1" ht="12" customHeight="1">
      <c r="A129" s="398">
        <v>106</v>
      </c>
      <c r="B129" s="373" t="s">
        <v>111</v>
      </c>
      <c r="C129" s="374" t="s">
        <v>109</v>
      </c>
      <c r="D129" s="329">
        <v>127529083.97</v>
      </c>
      <c r="E129" s="337">
        <f t="shared" si="43"/>
        <v>4.0249021181698631E-3</v>
      </c>
      <c r="F129" s="329">
        <v>1.1791</v>
      </c>
      <c r="G129" s="329">
        <v>1.1888000000000001</v>
      </c>
      <c r="H129" s="338">
        <v>9.7999999999999997E-3</v>
      </c>
      <c r="I129" s="338">
        <v>-1.84E-2</v>
      </c>
      <c r="J129" s="329">
        <v>127934595.36</v>
      </c>
      <c r="K129" s="318">
        <f t="shared" si="44"/>
        <v>4.0276401129535474E-3</v>
      </c>
      <c r="L129" s="329">
        <v>1.1826000000000001</v>
      </c>
      <c r="M129" s="329">
        <v>1.1929000000000001</v>
      </c>
      <c r="N129" s="338">
        <v>3.0000000000000001E-3</v>
      </c>
      <c r="O129" s="338">
        <v>-1.55E-2</v>
      </c>
      <c r="P129" s="333">
        <f t="shared" si="45"/>
        <v>3.1797561573906801E-3</v>
      </c>
      <c r="Q129" s="333">
        <f t="shared" si="46"/>
        <v>3.4488559892328335E-3</v>
      </c>
      <c r="R129" s="333">
        <f t="shared" si="47"/>
        <v>-6.7999999999999996E-3</v>
      </c>
      <c r="S129" s="369">
        <f t="shared" si="48"/>
        <v>2.8999999999999998E-3</v>
      </c>
      <c r="U129" s="113"/>
    </row>
    <row r="130" spans="1:22" s="114" customFormat="1" ht="11.25" customHeight="1">
      <c r="A130" s="402">
        <v>107</v>
      </c>
      <c r="B130" s="373" t="s">
        <v>239</v>
      </c>
      <c r="C130" s="374" t="s">
        <v>100</v>
      </c>
      <c r="D130" s="325">
        <v>167947239.72</v>
      </c>
      <c r="E130" s="337">
        <f t="shared" si="43"/>
        <v>5.3005258082840581E-3</v>
      </c>
      <c r="F130" s="329">
        <v>106.22</v>
      </c>
      <c r="G130" s="329">
        <v>108.37</v>
      </c>
      <c r="H130" s="338">
        <v>2.7000000000000001E-3</v>
      </c>
      <c r="I130" s="338">
        <v>3.1899999999999998E-2</v>
      </c>
      <c r="J130" s="325">
        <v>168041733.13999999</v>
      </c>
      <c r="K130" s="318">
        <f t="shared" si="44"/>
        <v>5.29029402203832E-3</v>
      </c>
      <c r="L130" s="329">
        <v>106.28</v>
      </c>
      <c r="M130" s="329">
        <v>108.5</v>
      </c>
      <c r="N130" s="338">
        <v>8.9999999999999998E-4</v>
      </c>
      <c r="O130" s="338">
        <v>3.2800000000000003E-2</v>
      </c>
      <c r="P130" s="333">
        <f t="shared" si="45"/>
        <v>5.6263752924743152E-4</v>
      </c>
      <c r="Q130" s="333">
        <f t="shared" si="46"/>
        <v>1.199593983574748E-3</v>
      </c>
      <c r="R130" s="333">
        <f t="shared" si="47"/>
        <v>-1.8000000000000002E-3</v>
      </c>
      <c r="S130" s="369">
        <f t="shared" si="48"/>
        <v>9.0000000000000496E-4</v>
      </c>
    </row>
    <row r="131" spans="1:22" s="114" customFormat="1" ht="12" customHeight="1">
      <c r="A131" s="402">
        <v>108</v>
      </c>
      <c r="B131" s="373" t="s">
        <v>274</v>
      </c>
      <c r="C131" s="374" t="s">
        <v>172</v>
      </c>
      <c r="D131" s="330">
        <v>233938002.75999999</v>
      </c>
      <c r="E131" s="337">
        <f t="shared" si="43"/>
        <v>7.3832378741985512E-3</v>
      </c>
      <c r="F131" s="329">
        <v>1.1393</v>
      </c>
      <c r="G131" s="329">
        <v>1.1393</v>
      </c>
      <c r="H131" s="338">
        <v>2.7474940094586335E-2</v>
      </c>
      <c r="I131" s="338">
        <v>0.16862315476743109</v>
      </c>
      <c r="J131" s="330">
        <v>234160705.58000001</v>
      </c>
      <c r="K131" s="318">
        <f t="shared" si="44"/>
        <v>7.3718531568231918E-3</v>
      </c>
      <c r="L131" s="329">
        <v>1.0678000000000001</v>
      </c>
      <c r="M131" s="329">
        <v>1.0678000000000001</v>
      </c>
      <c r="N131" s="338">
        <v>-6.8651176787742837E-2</v>
      </c>
      <c r="O131" s="338">
        <v>0.15583018936932252</v>
      </c>
      <c r="P131" s="333">
        <f t="shared" si="45"/>
        <v>9.519736741041443E-4</v>
      </c>
      <c r="Q131" s="333">
        <f t="shared" si="46"/>
        <v>-6.2757833757570353E-2</v>
      </c>
      <c r="R131" s="333">
        <f t="shared" si="47"/>
        <v>-9.6126116882329166E-2</v>
      </c>
      <c r="S131" s="369">
        <f t="shared" si="48"/>
        <v>-1.2792965398108563E-2</v>
      </c>
    </row>
    <row r="132" spans="1:22" s="114" customFormat="1" ht="12" customHeight="1">
      <c r="A132" s="397">
        <v>109</v>
      </c>
      <c r="B132" s="373" t="s">
        <v>195</v>
      </c>
      <c r="C132" s="374" t="s">
        <v>189</v>
      </c>
      <c r="D132" s="329">
        <v>5197018896.0799999</v>
      </c>
      <c r="E132" s="337">
        <f t="shared" si="43"/>
        <v>0.16402134879226324</v>
      </c>
      <c r="F132" s="329">
        <v>213.26</v>
      </c>
      <c r="G132" s="329">
        <v>214.68</v>
      </c>
      <c r="H132" s="338">
        <v>1.0999999999999999E-2</v>
      </c>
      <c r="I132" s="338">
        <v>6.7900000000000002E-2</v>
      </c>
      <c r="J132" s="329">
        <v>5206895677.54</v>
      </c>
      <c r="K132" s="318">
        <f t="shared" si="44"/>
        <v>0.16392361921974302</v>
      </c>
      <c r="L132" s="329">
        <v>213.71</v>
      </c>
      <c r="M132" s="329">
        <v>215.13</v>
      </c>
      <c r="N132" s="338">
        <v>2.0999999999999999E-3</v>
      </c>
      <c r="O132" s="338">
        <v>7.0199999999999999E-2</v>
      </c>
      <c r="P132" s="333">
        <f t="shared" si="45"/>
        <v>1.9004705692815323E-3</v>
      </c>
      <c r="Q132" s="333">
        <f t="shared" si="46"/>
        <v>2.0961430967020153E-3</v>
      </c>
      <c r="R132" s="333">
        <f t="shared" si="47"/>
        <v>-8.8999999999999999E-3</v>
      </c>
      <c r="S132" s="369">
        <f t="shared" si="48"/>
        <v>2.2999999999999965E-3</v>
      </c>
    </row>
    <row r="133" spans="1:22" s="114" customFormat="1" ht="12" customHeight="1">
      <c r="A133" s="405">
        <v>110</v>
      </c>
      <c r="B133" s="373" t="s">
        <v>185</v>
      </c>
      <c r="C133" s="374" t="s">
        <v>179</v>
      </c>
      <c r="D133" s="329">
        <v>1964282080.48</v>
      </c>
      <c r="E133" s="337">
        <f t="shared" si="43"/>
        <v>6.1994039793047358E-2</v>
      </c>
      <c r="F133" s="329">
        <v>1.3540000000000001</v>
      </c>
      <c r="G133" s="329">
        <v>1.3775999999999999</v>
      </c>
      <c r="H133" s="338">
        <v>6.4000000000000003E-3</v>
      </c>
      <c r="I133" s="338">
        <v>5.2356020942408425E-2</v>
      </c>
      <c r="J133" s="329">
        <v>1974540457.4000001</v>
      </c>
      <c r="K133" s="318">
        <f t="shared" si="44"/>
        <v>6.2162531788179536E-2</v>
      </c>
      <c r="L133" s="329">
        <v>1.3605</v>
      </c>
      <c r="M133" s="329">
        <v>1.3720000000000001</v>
      </c>
      <c r="N133" s="338">
        <v>1.0932944606412789E-3</v>
      </c>
      <c r="O133" s="338">
        <v>5.7514628888204487E-2</v>
      </c>
      <c r="P133" s="333">
        <f t="shared" si="45"/>
        <v>5.2224560932171704E-3</v>
      </c>
      <c r="Q133" s="333">
        <f t="shared" si="46"/>
        <v>-4.0650406504063787E-3</v>
      </c>
      <c r="R133" s="333">
        <f t="shared" si="47"/>
        <v>-5.306705539358721E-3</v>
      </c>
      <c r="S133" s="369">
        <f t="shared" si="48"/>
        <v>5.1586079457960621E-3</v>
      </c>
    </row>
    <row r="134" spans="1:22" s="114" customFormat="1" ht="12" customHeight="1">
      <c r="A134" s="405">
        <v>111</v>
      </c>
      <c r="B134" s="373" t="s">
        <v>262</v>
      </c>
      <c r="C134" s="374" t="s">
        <v>88</v>
      </c>
      <c r="D134" s="329">
        <v>135894178.53519499</v>
      </c>
      <c r="E134" s="337">
        <f t="shared" si="43"/>
        <v>4.2889100274720645E-3</v>
      </c>
      <c r="F134" s="329">
        <v>88.77</v>
      </c>
      <c r="G134" s="329">
        <v>92.99</v>
      </c>
      <c r="H134" s="338">
        <v>3.0000000000000001E-3</v>
      </c>
      <c r="I134" s="338">
        <v>5.1999999999999998E-3</v>
      </c>
      <c r="J134" s="329">
        <v>137636606.43044761</v>
      </c>
      <c r="K134" s="318">
        <f t="shared" si="44"/>
        <v>4.3330790667697235E-3</v>
      </c>
      <c r="L134" s="329">
        <v>89.91</v>
      </c>
      <c r="M134" s="329">
        <v>94.17</v>
      </c>
      <c r="N134" s="338">
        <v>3.7000000000000002E-3</v>
      </c>
      <c r="O134" s="338">
        <v>5.5999999999999999E-3</v>
      </c>
      <c r="P134" s="333">
        <f t="shared" si="45"/>
        <v>1.2821946561907705E-2</v>
      </c>
      <c r="Q134" s="333">
        <f t="shared" si="46"/>
        <v>1.268953650930215E-2</v>
      </c>
      <c r="R134" s="333">
        <f t="shared" si="47"/>
        <v>7.000000000000001E-4</v>
      </c>
      <c r="S134" s="369">
        <f t="shared" si="48"/>
        <v>4.0000000000000018E-4</v>
      </c>
    </row>
    <row r="135" spans="1:22" s="114" customFormat="1" ht="12" customHeight="1">
      <c r="A135" s="402">
        <v>112</v>
      </c>
      <c r="B135" s="373" t="s">
        <v>132</v>
      </c>
      <c r="C135" s="374" t="s">
        <v>105</v>
      </c>
      <c r="D135" s="330">
        <v>163839422</v>
      </c>
      <c r="E135" s="337">
        <f t="shared" si="43"/>
        <v>5.1708803679845492E-3</v>
      </c>
      <c r="F135" s="329">
        <v>148.07739599999999</v>
      </c>
      <c r="G135" s="329">
        <v>152.71399700000001</v>
      </c>
      <c r="H135" s="338">
        <v>-1.1000000000000001E-3</v>
      </c>
      <c r="I135" s="338">
        <v>1.4200000000000001E-2</v>
      </c>
      <c r="J135" s="330">
        <v>164324644.02000001</v>
      </c>
      <c r="K135" s="318">
        <v>1.4052378000000001</v>
      </c>
      <c r="L135" s="329">
        <v>148.51593800000001</v>
      </c>
      <c r="M135" s="329">
        <v>153.242255</v>
      </c>
      <c r="N135" s="338">
        <v>3.0999999999999999E-3</v>
      </c>
      <c r="O135" s="338">
        <v>1.77E-2</v>
      </c>
      <c r="P135" s="333">
        <f t="shared" si="45"/>
        <v>2.9615706285878543E-3</v>
      </c>
      <c r="Q135" s="333">
        <f t="shared" si="46"/>
        <v>3.4591328259189883E-3</v>
      </c>
      <c r="R135" s="333">
        <f t="shared" si="47"/>
        <v>4.1999999999999997E-3</v>
      </c>
      <c r="S135" s="369">
        <f t="shared" si="48"/>
        <v>3.4999999999999996E-3</v>
      </c>
    </row>
    <row r="136" spans="1:22" s="114" customFormat="1" ht="12" customHeight="1">
      <c r="A136" s="405">
        <v>113</v>
      </c>
      <c r="B136" s="373" t="s">
        <v>27</v>
      </c>
      <c r="C136" s="374" t="s">
        <v>57</v>
      </c>
      <c r="D136" s="330">
        <v>1210159040.8599999</v>
      </c>
      <c r="E136" s="337">
        <f t="shared" si="43"/>
        <v>3.8193418593249102E-2</v>
      </c>
      <c r="F136" s="329">
        <v>552.20000000000005</v>
      </c>
      <c r="G136" s="329">
        <v>552.20000000000005</v>
      </c>
      <c r="H136" s="338">
        <v>8.3999999999999995E-3</v>
      </c>
      <c r="I136" s="338">
        <v>5.1470000000000002E-2</v>
      </c>
      <c r="J136" s="330">
        <v>1222906333</v>
      </c>
      <c r="K136" s="318">
        <f t="shared" ref="K136:K145" si="49">(J136/$J$146)</f>
        <v>3.8499567590110279E-2</v>
      </c>
      <c r="L136" s="329">
        <v>552.20000000000005</v>
      </c>
      <c r="M136" s="329">
        <v>552.20000000000005</v>
      </c>
      <c r="N136" s="338">
        <v>1.057E-2</v>
      </c>
      <c r="O136" s="338">
        <v>6.25E-2</v>
      </c>
      <c r="P136" s="333">
        <f t="shared" si="45"/>
        <v>1.0533567663090991E-2</v>
      </c>
      <c r="Q136" s="333">
        <f t="shared" si="46"/>
        <v>0</v>
      </c>
      <c r="R136" s="333">
        <f t="shared" si="47"/>
        <v>2.1700000000000001E-3</v>
      </c>
      <c r="S136" s="369">
        <f t="shared" si="48"/>
        <v>1.1029999999999998E-2</v>
      </c>
      <c r="T136" s="228"/>
      <c r="U136" s="228"/>
      <c r="V136" s="113"/>
    </row>
    <row r="137" spans="1:22" s="114" customFormat="1" ht="12" customHeight="1">
      <c r="A137" s="397">
        <v>114</v>
      </c>
      <c r="B137" s="373" t="s">
        <v>191</v>
      </c>
      <c r="C137" s="374" t="s">
        <v>163</v>
      </c>
      <c r="D137" s="330">
        <v>20061234.27</v>
      </c>
      <c r="E137" s="337">
        <f t="shared" si="43"/>
        <v>6.3314580323825759E-4</v>
      </c>
      <c r="F137" s="329">
        <v>1.25</v>
      </c>
      <c r="G137" s="329">
        <v>1.25</v>
      </c>
      <c r="H137" s="338">
        <v>3.4269999999999999E-3</v>
      </c>
      <c r="I137" s="338">
        <v>3.2274999999999998E-2</v>
      </c>
      <c r="J137" s="330">
        <v>20434272.059999999</v>
      </c>
      <c r="K137" s="318">
        <f t="shared" si="49"/>
        <v>6.4331226120870196E-4</v>
      </c>
      <c r="L137" s="329">
        <v>1.27</v>
      </c>
      <c r="M137" s="329">
        <v>1.27</v>
      </c>
      <c r="N137" s="338">
        <v>1.8595E-2</v>
      </c>
      <c r="O137" s="338">
        <v>3.0488999999999999E-2</v>
      </c>
      <c r="P137" s="333">
        <f t="shared" si="45"/>
        <v>1.8594957068910154E-2</v>
      </c>
      <c r="Q137" s="333">
        <f t="shared" si="46"/>
        <v>1.6000000000000014E-2</v>
      </c>
      <c r="R137" s="333">
        <f t="shared" si="47"/>
        <v>1.5168000000000001E-2</v>
      </c>
      <c r="S137" s="369">
        <f t="shared" si="48"/>
        <v>-1.7859999999999994E-3</v>
      </c>
      <c r="U137" s="223"/>
      <c r="V137" s="113"/>
    </row>
    <row r="138" spans="1:22" s="114" customFormat="1" ht="12" customHeight="1">
      <c r="A138" s="401">
        <v>115</v>
      </c>
      <c r="B138" s="373" t="s">
        <v>48</v>
      </c>
      <c r="C138" s="374" t="s">
        <v>91</v>
      </c>
      <c r="D138" s="329">
        <v>166494118.93000001</v>
      </c>
      <c r="E138" s="337">
        <f t="shared" si="43"/>
        <v>5.2546643564210195E-3</v>
      </c>
      <c r="F138" s="329">
        <v>1.6861980000000001</v>
      </c>
      <c r="G138" s="329">
        <v>1.7363219999999999</v>
      </c>
      <c r="H138" s="338">
        <v>0.01</v>
      </c>
      <c r="I138" s="338">
        <v>1.675</v>
      </c>
      <c r="J138" s="329">
        <v>194737320.71000001</v>
      </c>
      <c r="K138" s="318">
        <f t="shared" si="49"/>
        <v>6.1307251738564892E-3</v>
      </c>
      <c r="L138" s="329">
        <v>1.9739359999999999</v>
      </c>
      <c r="M138" s="329">
        <v>2.0239989999999999</v>
      </c>
      <c r="N138" s="338">
        <v>0.01</v>
      </c>
      <c r="O138" s="338">
        <v>0.38640000000000002</v>
      </c>
      <c r="P138" s="333">
        <f t="shared" si="45"/>
        <v>0.16963483131722171</v>
      </c>
      <c r="Q138" s="333">
        <f t="shared" si="46"/>
        <v>0.16568182629719602</v>
      </c>
      <c r="R138" s="333">
        <f t="shared" si="47"/>
        <v>0</v>
      </c>
      <c r="S138" s="369">
        <f t="shared" si="48"/>
        <v>-1.2886</v>
      </c>
    </row>
    <row r="139" spans="1:22" s="114" customFormat="1" ht="12" customHeight="1">
      <c r="A139" s="405">
        <v>116</v>
      </c>
      <c r="B139" s="373" t="s">
        <v>22</v>
      </c>
      <c r="C139" s="374" t="s">
        <v>5</v>
      </c>
      <c r="D139" s="330">
        <v>1715674888.0799999</v>
      </c>
      <c r="E139" s="337">
        <f t="shared" si="43"/>
        <v>5.4147832605372356E-2</v>
      </c>
      <c r="F139" s="329">
        <v>3887.72</v>
      </c>
      <c r="G139" s="329">
        <v>3913.49</v>
      </c>
      <c r="H139" s="338">
        <v>1.5800000000000002E-2</v>
      </c>
      <c r="I139" s="338">
        <v>6.4299999999999996E-2</v>
      </c>
      <c r="J139" s="330">
        <v>1724095028.71</v>
      </c>
      <c r="K139" s="337">
        <f t="shared" si="49"/>
        <v>5.4278002573393956E-2</v>
      </c>
      <c r="L139" s="329">
        <v>3890.51</v>
      </c>
      <c r="M139" s="329">
        <v>3916.1</v>
      </c>
      <c r="N139" s="338">
        <v>6.9999999999999999E-4</v>
      </c>
      <c r="O139" s="338">
        <v>6.5000000000000002E-2</v>
      </c>
      <c r="P139" s="333">
        <f t="shared" si="45"/>
        <v>4.9077716812787513E-3</v>
      </c>
      <c r="Q139" s="333">
        <f t="shared" si="46"/>
        <v>6.6692389657316807E-4</v>
      </c>
      <c r="R139" s="333">
        <f t="shared" si="47"/>
        <v>-1.5100000000000002E-2</v>
      </c>
      <c r="S139" s="369">
        <f t="shared" si="48"/>
        <v>7.0000000000000617E-4</v>
      </c>
      <c r="T139" s="113"/>
      <c r="V139" s="141"/>
    </row>
    <row r="140" spans="1:22" s="114" customFormat="1" ht="12" customHeight="1">
      <c r="A140" s="401">
        <v>117</v>
      </c>
      <c r="B140" s="373" t="s">
        <v>253</v>
      </c>
      <c r="C140" s="374" t="s">
        <v>251</v>
      </c>
      <c r="D140" s="325">
        <v>59067169.149999999</v>
      </c>
      <c r="E140" s="337">
        <f t="shared" si="43"/>
        <v>1.8641988699774443E-3</v>
      </c>
      <c r="F140" s="329">
        <v>108.94799999999999</v>
      </c>
      <c r="G140" s="329">
        <v>109.27119999999999</v>
      </c>
      <c r="H140" s="338">
        <v>4.0962999999999999E-2</v>
      </c>
      <c r="I140" s="338">
        <v>2.0878000000000001E-2</v>
      </c>
      <c r="J140" s="325">
        <v>59095586</v>
      </c>
      <c r="K140" s="318">
        <f t="shared" si="49"/>
        <v>1.8604487082038643E-3</v>
      </c>
      <c r="L140" s="329">
        <v>109.0129</v>
      </c>
      <c r="M140" s="329">
        <v>109.3357</v>
      </c>
      <c r="N140" s="338">
        <v>5.0915000000000002E-2</v>
      </c>
      <c r="O140" s="338">
        <v>2.4878000000000001E-2</v>
      </c>
      <c r="P140" s="333">
        <f t="shared" si="45"/>
        <v>4.8109381927272354E-4</v>
      </c>
      <c r="Q140" s="333">
        <f t="shared" si="46"/>
        <v>5.9027447305428651E-4</v>
      </c>
      <c r="R140" s="333">
        <f t="shared" si="47"/>
        <v>9.9520000000000025E-3</v>
      </c>
      <c r="S140" s="369">
        <f t="shared" si="48"/>
        <v>4.0000000000000001E-3</v>
      </c>
      <c r="T140" s="120"/>
      <c r="V140" s="141"/>
    </row>
    <row r="141" spans="1:22" s="114" customFormat="1" ht="12" customHeight="1">
      <c r="A141" s="397">
        <v>118</v>
      </c>
      <c r="B141" s="373" t="s">
        <v>75</v>
      </c>
      <c r="C141" s="374" t="s">
        <v>41</v>
      </c>
      <c r="D141" s="329">
        <v>1224516702.3199999</v>
      </c>
      <c r="E141" s="337">
        <f t="shared" si="43"/>
        <v>3.8646555871612316E-2</v>
      </c>
      <c r="F141" s="329">
        <v>1.5608</v>
      </c>
      <c r="G141" s="329">
        <v>1.5862000000000001</v>
      </c>
      <c r="H141" s="338">
        <v>2.0000000000000001E-4</v>
      </c>
      <c r="I141" s="338">
        <v>0.1394</v>
      </c>
      <c r="J141" s="329">
        <v>1223917806.3</v>
      </c>
      <c r="K141" s="318">
        <f t="shared" si="49"/>
        <v>3.8531410817696982E-2</v>
      </c>
      <c r="L141" s="329">
        <v>1.5597000000000001</v>
      </c>
      <c r="M141" s="329">
        <v>1.5713999999999999</v>
      </c>
      <c r="N141" s="338">
        <v>-6.9999999999999999E-4</v>
      </c>
      <c r="O141" s="338">
        <v>0.13850000000000001</v>
      </c>
      <c r="P141" s="333">
        <f t="shared" si="45"/>
        <v>-4.8908766933541828E-4</v>
      </c>
      <c r="Q141" s="333">
        <f t="shared" si="46"/>
        <v>-9.330475349892918E-3</v>
      </c>
      <c r="R141" s="333">
        <f t="shared" si="47"/>
        <v>-8.9999999999999998E-4</v>
      </c>
      <c r="S141" s="369">
        <f t="shared" si="48"/>
        <v>-8.9999999999998415E-4</v>
      </c>
      <c r="T141" s="113"/>
      <c r="V141" s="141"/>
    </row>
    <row r="142" spans="1:22" s="114" customFormat="1" ht="12" customHeight="1">
      <c r="A142" s="397">
        <v>119</v>
      </c>
      <c r="B142" s="373" t="s">
        <v>245</v>
      </c>
      <c r="C142" s="374" t="s">
        <v>41</v>
      </c>
      <c r="D142" s="329">
        <v>692236800.63</v>
      </c>
      <c r="E142" s="337">
        <f t="shared" si="43"/>
        <v>2.1847450623782728E-2</v>
      </c>
      <c r="F142" s="329">
        <v>1.2496</v>
      </c>
      <c r="G142" s="329">
        <v>1.2716000000000001</v>
      </c>
      <c r="H142" s="338">
        <v>-5.4999999999999997E-3</v>
      </c>
      <c r="I142" s="338">
        <v>7.5300000000000006E-2</v>
      </c>
      <c r="J142" s="329">
        <v>690170453.63999999</v>
      </c>
      <c r="K142" s="318">
        <f t="shared" si="49"/>
        <v>2.1727963386555013E-2</v>
      </c>
      <c r="L142" s="329">
        <v>1.2456</v>
      </c>
      <c r="M142" s="329">
        <v>1.2557</v>
      </c>
      <c r="N142" s="338">
        <v>-3.2000000000000002E-3</v>
      </c>
      <c r="O142" s="338">
        <v>7.1900000000000006E-2</v>
      </c>
      <c r="P142" s="333">
        <f t="shared" si="45"/>
        <v>-2.9850290942628897E-3</v>
      </c>
      <c r="Q142" s="333">
        <f t="shared" si="46"/>
        <v>-1.2503932054105084E-2</v>
      </c>
      <c r="R142" s="333">
        <f t="shared" si="47"/>
        <v>2.2999999999999995E-3</v>
      </c>
      <c r="S142" s="369">
        <f t="shared" si="48"/>
        <v>-3.4000000000000002E-3</v>
      </c>
      <c r="T142" s="113"/>
      <c r="U142" s="142"/>
      <c r="V142" s="141"/>
    </row>
    <row r="143" spans="1:22" s="316" customFormat="1" ht="12" customHeight="1">
      <c r="A143" s="401">
        <v>120</v>
      </c>
      <c r="B143" s="373" t="s">
        <v>161</v>
      </c>
      <c r="C143" s="374" t="s">
        <v>108</v>
      </c>
      <c r="D143" s="329">
        <v>4554277245.3000002</v>
      </c>
      <c r="E143" s="337">
        <f t="shared" si="43"/>
        <v>0.14373599778739773</v>
      </c>
      <c r="F143" s="329">
        <v>201.23</v>
      </c>
      <c r="G143" s="329">
        <v>205.89</v>
      </c>
      <c r="H143" s="338">
        <v>2.8199999999999999E-2</v>
      </c>
      <c r="I143" s="338">
        <v>9.4100000000000003E-2</v>
      </c>
      <c r="J143" s="329">
        <v>4553824280.3699999</v>
      </c>
      <c r="K143" s="318">
        <f t="shared" si="49"/>
        <v>0.14336360925165811</v>
      </c>
      <c r="L143" s="329">
        <v>201.23099999999999</v>
      </c>
      <c r="M143" s="329">
        <v>205.85040000000001</v>
      </c>
      <c r="N143" s="338">
        <v>-1E-4</v>
      </c>
      <c r="O143" s="338">
        <v>9.4E-2</v>
      </c>
      <c r="P143" s="333">
        <f t="shared" si="45"/>
        <v>-9.9459234825408045E-5</v>
      </c>
      <c r="Q143" s="333">
        <f t="shared" si="46"/>
        <v>-1.923357132448335E-4</v>
      </c>
      <c r="R143" s="333">
        <f t="shared" si="47"/>
        <v>-2.8299999999999999E-2</v>
      </c>
      <c r="S143" s="369">
        <f t="shared" si="48"/>
        <v>-1.0000000000000286E-4</v>
      </c>
      <c r="T143" s="113"/>
      <c r="U143" s="317"/>
      <c r="V143" s="141"/>
    </row>
    <row r="144" spans="1:22" s="334" customFormat="1" ht="12" customHeight="1">
      <c r="A144" s="400">
        <v>121</v>
      </c>
      <c r="B144" s="373" t="s">
        <v>52</v>
      </c>
      <c r="C144" s="374" t="s">
        <v>248</v>
      </c>
      <c r="D144" s="330">
        <v>2266365732.1999998</v>
      </c>
      <c r="E144" s="337">
        <f t="shared" si="43"/>
        <v>7.1527999356015226E-2</v>
      </c>
      <c r="F144" s="329">
        <v>3.2</v>
      </c>
      <c r="G144" s="329">
        <v>3.26</v>
      </c>
      <c r="H144" s="338">
        <v>1.7399999999999999E-2</v>
      </c>
      <c r="I144" s="338">
        <v>3.6799999999999999E-2</v>
      </c>
      <c r="J144" s="330">
        <v>2269310744</v>
      </c>
      <c r="K144" s="318">
        <f t="shared" si="49"/>
        <v>7.1442497282080422E-2</v>
      </c>
      <c r="L144" s="329">
        <v>3.2</v>
      </c>
      <c r="M144" s="329">
        <v>3.26</v>
      </c>
      <c r="N144" s="338">
        <v>1.3441280360100283E-3</v>
      </c>
      <c r="O144" s="338">
        <v>3.8199999999999998E-2</v>
      </c>
      <c r="P144" s="333">
        <f t="shared" si="45"/>
        <v>1.2994424325068741E-3</v>
      </c>
      <c r="Q144" s="333">
        <f t="shared" si="46"/>
        <v>0</v>
      </c>
      <c r="R144" s="333">
        <f t="shared" si="47"/>
        <v>-1.6055871963989971E-2</v>
      </c>
      <c r="S144" s="369">
        <f t="shared" si="48"/>
        <v>1.3999999999999985E-3</v>
      </c>
      <c r="T144" s="113"/>
      <c r="U144" s="317"/>
      <c r="V144" s="141"/>
    </row>
    <row r="145" spans="1:25" s="114" customFormat="1" ht="12" customHeight="1">
      <c r="A145" s="396">
        <v>122</v>
      </c>
      <c r="B145" s="373" t="s">
        <v>238</v>
      </c>
      <c r="C145" s="374" t="s">
        <v>9</v>
      </c>
      <c r="D145" s="330">
        <v>199592627.5</v>
      </c>
      <c r="E145" s="337">
        <f t="shared" si="43"/>
        <v>6.2992751471877334E-3</v>
      </c>
      <c r="F145" s="329">
        <v>152.59</v>
      </c>
      <c r="G145" s="329">
        <v>154.97999999999999</v>
      </c>
      <c r="H145" s="338">
        <v>9.1000000000000004E-3</v>
      </c>
      <c r="I145" s="338">
        <v>5.9400000000000001E-2</v>
      </c>
      <c r="J145" s="330">
        <v>203000759.84999999</v>
      </c>
      <c r="K145" s="318">
        <f t="shared" si="49"/>
        <v>6.3908749703799426E-3</v>
      </c>
      <c r="L145" s="329">
        <v>152.59</v>
      </c>
      <c r="M145" s="329">
        <v>154.97999999999999</v>
      </c>
      <c r="N145" s="338">
        <v>-5.5999999999999999E-3</v>
      </c>
      <c r="O145" s="338">
        <v>5.3800000000000001E-2</v>
      </c>
      <c r="P145" s="333">
        <f t="shared" si="45"/>
        <v>1.7075442077638836E-2</v>
      </c>
      <c r="Q145" s="333">
        <f t="shared" si="46"/>
        <v>0</v>
      </c>
      <c r="R145" s="333">
        <f t="shared" si="47"/>
        <v>-1.4700000000000001E-2</v>
      </c>
      <c r="S145" s="369">
        <f t="shared" si="48"/>
        <v>-5.6000000000000008E-3</v>
      </c>
      <c r="T145" s="113"/>
      <c r="U145" s="142"/>
      <c r="V145" s="141"/>
    </row>
    <row r="146" spans="1:25" s="114" customFormat="1" ht="12" customHeight="1">
      <c r="A146" s="294"/>
      <c r="C146" s="248" t="s">
        <v>42</v>
      </c>
      <c r="D146" s="220">
        <f>SUM(D122:D145)</f>
        <v>31685014995.591473</v>
      </c>
      <c r="E146" s="266">
        <f>(D146/$D$168)</f>
        <v>1.9342433080010889E-2</v>
      </c>
      <c r="F146" s="268"/>
      <c r="G146" s="186"/>
      <c r="H146" s="281"/>
      <c r="I146" s="281"/>
      <c r="J146" s="220">
        <f>SUM(J122:J145)</f>
        <v>31764157613.919247</v>
      </c>
      <c r="K146" s="266">
        <f>(J146/$J$168)</f>
        <v>1.9334515009638707E-2</v>
      </c>
      <c r="L146" s="268"/>
      <c r="M146" s="186"/>
      <c r="N146" s="281"/>
      <c r="O146" s="281"/>
      <c r="P146" s="270">
        <f t="shared" ref="P146" si="50">((J146-D146)/D146)</f>
        <v>2.497793305093453E-3</v>
      </c>
      <c r="Q146" s="270"/>
      <c r="R146" s="270">
        <f t="shared" ref="R146:S146" si="51">N146-H146</f>
        <v>0</v>
      </c>
      <c r="S146" s="369">
        <f t="shared" si="51"/>
        <v>0</v>
      </c>
      <c r="T146" s="113"/>
      <c r="U146" s="142"/>
      <c r="V146" s="141"/>
    </row>
    <row r="147" spans="1:25" s="114" customFormat="1" ht="5.25" customHeight="1">
      <c r="A147" s="411"/>
      <c r="B147" s="412"/>
      <c r="C147" s="413"/>
      <c r="D147" s="413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4"/>
      <c r="T147" s="113"/>
      <c r="U147" s="142"/>
      <c r="V147" s="141"/>
    </row>
    <row r="148" spans="1:25" s="114" customFormat="1" ht="12" customHeight="1">
      <c r="A148" s="407" t="s">
        <v>67</v>
      </c>
      <c r="B148" s="408"/>
      <c r="C148" s="409"/>
      <c r="D148" s="409"/>
      <c r="E148" s="409"/>
      <c r="F148" s="409"/>
      <c r="G148" s="409"/>
      <c r="H148" s="409"/>
      <c r="I148" s="409"/>
      <c r="J148" s="409"/>
      <c r="K148" s="409"/>
      <c r="L148" s="409"/>
      <c r="M148" s="409"/>
      <c r="N148" s="409"/>
      <c r="O148" s="409"/>
      <c r="P148" s="409"/>
      <c r="Q148" s="409"/>
      <c r="R148" s="409"/>
      <c r="S148" s="410"/>
      <c r="U148" s="143"/>
      <c r="V148" s="141"/>
    </row>
    <row r="149" spans="1:25" s="114" customFormat="1" ht="12" customHeight="1">
      <c r="A149" s="398">
        <v>123</v>
      </c>
      <c r="B149" s="373" t="s">
        <v>26</v>
      </c>
      <c r="C149" s="374" t="s">
        <v>6</v>
      </c>
      <c r="D149" s="326">
        <v>535215028.16000003</v>
      </c>
      <c r="E149" s="337">
        <f>(D149/$D$152)</f>
        <v>0.17499276096993502</v>
      </c>
      <c r="F149" s="326">
        <v>46.307200000000002</v>
      </c>
      <c r="G149" s="326">
        <v>47.703400000000002</v>
      </c>
      <c r="H149" s="319">
        <v>0.23810000000000001</v>
      </c>
      <c r="I149" s="319">
        <v>4.7500000000000001E-2</v>
      </c>
      <c r="J149" s="326">
        <v>529568607.05000001</v>
      </c>
      <c r="K149" s="318">
        <f>(J149/$J$152)</f>
        <v>0.17349400120549918</v>
      </c>
      <c r="L149" s="326">
        <v>45.828299999999999</v>
      </c>
      <c r="M149" s="326">
        <v>47.210099999999997</v>
      </c>
      <c r="N149" s="319">
        <v>-0.53920000000000001</v>
      </c>
      <c r="O149" s="319">
        <v>1.5900000000000001E-2</v>
      </c>
      <c r="P149" s="333">
        <f>((J149-D149)/D149)</f>
        <v>-1.0549817947772653E-2</v>
      </c>
      <c r="Q149" s="333">
        <f>((M149-G149)/G149)</f>
        <v>-1.0340981984512738E-2</v>
      </c>
      <c r="R149" s="333">
        <f t="shared" ref="R149:S151" si="52">N149-H149</f>
        <v>-0.77729999999999999</v>
      </c>
      <c r="S149" s="369">
        <f t="shared" si="52"/>
        <v>-3.1600000000000003E-2</v>
      </c>
      <c r="U149" s="115"/>
      <c r="V149" s="141"/>
    </row>
    <row r="150" spans="1:25" s="114" customFormat="1" ht="11.25" customHeight="1">
      <c r="A150" s="401">
        <v>124</v>
      </c>
      <c r="B150" s="373" t="s">
        <v>247</v>
      </c>
      <c r="C150" s="374" t="s">
        <v>194</v>
      </c>
      <c r="D150" s="325">
        <v>607669075.78999996</v>
      </c>
      <c r="E150" s="337">
        <f>(D150/$D$152)</f>
        <v>0.19868218142923977</v>
      </c>
      <c r="F150" s="326">
        <v>16.969899999999999</v>
      </c>
      <c r="G150" s="326">
        <v>17.139299999999999</v>
      </c>
      <c r="H150" s="338">
        <v>1.09E-2</v>
      </c>
      <c r="I150" s="338">
        <v>7.3599999999999999E-2</v>
      </c>
      <c r="J150" s="325">
        <v>612120747.19000006</v>
      </c>
      <c r="K150" s="318">
        <f t="shared" ref="K150:K151" si="53">(J150/$J$152)</f>
        <v>0.20053922426120316</v>
      </c>
      <c r="L150" s="326">
        <v>17.127500000000001</v>
      </c>
      <c r="M150" s="326">
        <v>17.2972</v>
      </c>
      <c r="N150" s="338">
        <v>9.7000000000000003E-3</v>
      </c>
      <c r="O150" s="338">
        <v>8.3500000000000005E-2</v>
      </c>
      <c r="P150" s="333">
        <f>((J150-D150)/D150)</f>
        <v>7.3258152790031342E-3</v>
      </c>
      <c r="Q150" s="111">
        <f>((M150-G150)/G150)</f>
        <v>9.2127449779163383E-3</v>
      </c>
      <c r="R150" s="333">
        <f t="shared" si="52"/>
        <v>-1.1999999999999997E-3</v>
      </c>
      <c r="S150" s="369">
        <f t="shared" si="52"/>
        <v>9.900000000000006E-3</v>
      </c>
    </row>
    <row r="151" spans="1:25" s="114" customFormat="1" ht="12" customHeight="1">
      <c r="A151" s="405">
        <v>125</v>
      </c>
      <c r="B151" s="373" t="s">
        <v>25</v>
      </c>
      <c r="C151" s="374" t="s">
        <v>5</v>
      </c>
      <c r="D151" s="325">
        <v>1915614003.02</v>
      </c>
      <c r="E151" s="337">
        <f>(D151/$D$152)</f>
        <v>0.62632505760082513</v>
      </c>
      <c r="F151" s="326">
        <v>1.51</v>
      </c>
      <c r="G151" s="326">
        <v>1.53</v>
      </c>
      <c r="H151" s="338">
        <v>0.02</v>
      </c>
      <c r="I151" s="338">
        <v>6.25E-2</v>
      </c>
      <c r="J151" s="325">
        <v>1910684810.6900001</v>
      </c>
      <c r="K151" s="318">
        <f t="shared" si="53"/>
        <v>0.62596677453329763</v>
      </c>
      <c r="L151" s="326">
        <v>1.51</v>
      </c>
      <c r="M151" s="326">
        <v>1.53</v>
      </c>
      <c r="N151" s="338">
        <v>0</v>
      </c>
      <c r="O151" s="338">
        <v>6.25E-2</v>
      </c>
      <c r="P151" s="333">
        <f>((J151-D151)/D151)</f>
        <v>-2.5731657433224874E-3</v>
      </c>
      <c r="Q151" s="333">
        <f>((M151-G151)/G151)</f>
        <v>0</v>
      </c>
      <c r="R151" s="333">
        <f t="shared" si="52"/>
        <v>-0.02</v>
      </c>
      <c r="S151" s="369">
        <f t="shared" si="52"/>
        <v>0</v>
      </c>
      <c r="W151" s="184"/>
      <c r="X151" s="185"/>
      <c r="Y151" s="112"/>
    </row>
    <row r="152" spans="1:25" s="114" customFormat="1" ht="12.75" customHeight="1">
      <c r="A152" s="218"/>
      <c r="C152" s="290" t="s">
        <v>42</v>
      </c>
      <c r="D152" s="220">
        <f>SUM(D149:D151)</f>
        <v>3058498106.9700003</v>
      </c>
      <c r="E152" s="266">
        <f>(D152/$D$168)</f>
        <v>1.8670906410376746E-3</v>
      </c>
      <c r="F152" s="11"/>
      <c r="G152" s="11"/>
      <c r="H152" s="280"/>
      <c r="I152" s="280"/>
      <c r="J152" s="220">
        <f>SUM(J149:J151)</f>
        <v>3052374164.9300003</v>
      </c>
      <c r="K152" s="266">
        <f>(J152/$J$168)</f>
        <v>1.8579486610093906E-3</v>
      </c>
      <c r="L152" s="268"/>
      <c r="M152" s="186"/>
      <c r="N152" s="281"/>
      <c r="O152" s="281"/>
      <c r="P152" s="270">
        <f>((J152-D152)/D152)</f>
        <v>-2.0022709924338786E-3</v>
      </c>
      <c r="Q152" s="270"/>
      <c r="R152" s="270">
        <f>N152-H152</f>
        <v>0</v>
      </c>
      <c r="S152" s="369">
        <f t="shared" ref="S152" si="54">O152-I152</f>
        <v>0</v>
      </c>
      <c r="V152" s="113"/>
    </row>
    <row r="153" spans="1:25" s="114" customFormat="1" ht="4.5" customHeight="1">
      <c r="A153" s="411"/>
      <c r="B153" s="412"/>
      <c r="C153" s="413"/>
      <c r="D153" s="413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4"/>
      <c r="V153" s="113"/>
    </row>
    <row r="154" spans="1:25" s="114" customFormat="1" ht="12.75" customHeight="1">
      <c r="A154" s="407" t="s">
        <v>202</v>
      </c>
      <c r="B154" s="408"/>
      <c r="C154" s="409"/>
      <c r="D154" s="409"/>
      <c r="E154" s="409"/>
      <c r="F154" s="409"/>
      <c r="G154" s="409"/>
      <c r="H154" s="409"/>
      <c r="I154" s="409"/>
      <c r="J154" s="409"/>
      <c r="K154" s="409"/>
      <c r="L154" s="409"/>
      <c r="M154" s="409"/>
      <c r="N154" s="409"/>
      <c r="O154" s="409"/>
      <c r="P154" s="409"/>
      <c r="Q154" s="409"/>
      <c r="R154" s="409"/>
      <c r="S154" s="410"/>
      <c r="V154" s="113"/>
    </row>
    <row r="155" spans="1:25" s="114" customFormat="1" ht="12.75" customHeight="1">
      <c r="A155" s="419" t="s">
        <v>203</v>
      </c>
      <c r="B155" s="420"/>
      <c r="C155" s="421"/>
      <c r="D155" s="421"/>
      <c r="E155" s="421"/>
      <c r="F155" s="421"/>
      <c r="G155" s="421"/>
      <c r="H155" s="421"/>
      <c r="I155" s="421"/>
      <c r="J155" s="421"/>
      <c r="K155" s="421"/>
      <c r="L155" s="421"/>
      <c r="M155" s="421"/>
      <c r="N155" s="421"/>
      <c r="O155" s="421"/>
      <c r="P155" s="421"/>
      <c r="Q155" s="421"/>
      <c r="R155" s="421"/>
      <c r="S155" s="422"/>
      <c r="V155" s="113"/>
    </row>
    <row r="156" spans="1:25" s="114" customFormat="1" ht="12" customHeight="1">
      <c r="A156" s="401">
        <v>126</v>
      </c>
      <c r="B156" s="373" t="s">
        <v>131</v>
      </c>
      <c r="C156" s="374" t="s">
        <v>23</v>
      </c>
      <c r="D156" s="320">
        <v>3519541965.3000002</v>
      </c>
      <c r="E156" s="337">
        <f>(D156/$D$167)</f>
        <v>0.13953481165876708</v>
      </c>
      <c r="F156" s="321">
        <v>1.72</v>
      </c>
      <c r="G156" s="321">
        <v>1.75</v>
      </c>
      <c r="H156" s="324">
        <v>7.4000000000000003E-3</v>
      </c>
      <c r="I156" s="324">
        <v>7.6200000000000004E-2</v>
      </c>
      <c r="J156" s="320">
        <v>3523014717.3200002</v>
      </c>
      <c r="K156" s="337">
        <f>(J156/$J$167)</f>
        <v>0.13930626240615013</v>
      </c>
      <c r="L156" s="321">
        <v>1.73</v>
      </c>
      <c r="M156" s="321">
        <v>1.75</v>
      </c>
      <c r="N156" s="324">
        <v>4.0000000000000002E-4</v>
      </c>
      <c r="O156" s="324">
        <v>7.6700000000000004E-2</v>
      </c>
      <c r="P156" s="111">
        <f>((J156-D156)/D156)</f>
        <v>9.8670567199898949E-4</v>
      </c>
      <c r="Q156" s="111">
        <f>((M156-G156)/G156)</f>
        <v>0</v>
      </c>
      <c r="R156" s="333">
        <f>N156-H156</f>
        <v>-7.0000000000000001E-3</v>
      </c>
      <c r="S156" s="369">
        <f t="shared" ref="S156:S157" si="55">O156-I156</f>
        <v>5.0000000000000044E-4</v>
      </c>
      <c r="V156" s="113"/>
    </row>
    <row r="157" spans="1:25" s="114" customFormat="1" ht="12.75" customHeight="1">
      <c r="A157" s="405">
        <v>127</v>
      </c>
      <c r="B157" s="373" t="s">
        <v>66</v>
      </c>
      <c r="C157" s="374" t="s">
        <v>5</v>
      </c>
      <c r="D157" s="320">
        <v>325327433.61000001</v>
      </c>
      <c r="E157" s="337">
        <f>(D157/$D$167)</f>
        <v>1.2897843703458171E-2</v>
      </c>
      <c r="F157" s="321">
        <v>279.63</v>
      </c>
      <c r="G157" s="321">
        <v>282.93</v>
      </c>
      <c r="H157" s="324">
        <v>4.5999999999999999E-3</v>
      </c>
      <c r="I157" s="324">
        <v>6.5699999999999995E-2</v>
      </c>
      <c r="J157" s="320">
        <v>324172929.52999997</v>
      </c>
      <c r="K157" s="337">
        <f>(J157/$J$167)</f>
        <v>1.281837369684048E-2</v>
      </c>
      <c r="L157" s="321">
        <v>279.14999999999998</v>
      </c>
      <c r="M157" s="321">
        <v>282.44</v>
      </c>
      <c r="N157" s="324">
        <v>-1.6999999999999999E-3</v>
      </c>
      <c r="O157" s="324">
        <v>6.3799999999999996E-2</v>
      </c>
      <c r="P157" s="333">
        <f>((J157-D157)/D157)</f>
        <v>-3.5487449281146493E-3</v>
      </c>
      <c r="Q157" s="333">
        <f>((M157-G157)/G157)</f>
        <v>-1.7318771427561909E-3</v>
      </c>
      <c r="R157" s="333">
        <f>N157-H157</f>
        <v>-6.3E-3</v>
      </c>
      <c r="S157" s="369">
        <f t="shared" si="55"/>
        <v>-1.8999999999999989E-3</v>
      </c>
      <c r="T157" s="191"/>
    </row>
    <row r="158" spans="1:25" s="114" customFormat="1" ht="6" customHeight="1">
      <c r="A158" s="411"/>
      <c r="B158" s="412"/>
      <c r="C158" s="413"/>
      <c r="D158" s="413"/>
      <c r="E158" s="413"/>
      <c r="F158" s="413"/>
      <c r="G158" s="413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14"/>
      <c r="T158" s="191"/>
    </row>
    <row r="159" spans="1:25" s="114" customFormat="1" ht="12" customHeight="1">
      <c r="A159" s="419" t="s">
        <v>204</v>
      </c>
      <c r="B159" s="420"/>
      <c r="C159" s="421"/>
      <c r="D159" s="421"/>
      <c r="E159" s="421"/>
      <c r="F159" s="421"/>
      <c r="G159" s="421"/>
      <c r="H159" s="421"/>
      <c r="I159" s="421"/>
      <c r="J159" s="421"/>
      <c r="K159" s="421"/>
      <c r="L159" s="421"/>
      <c r="M159" s="421"/>
      <c r="N159" s="421"/>
      <c r="O159" s="421"/>
      <c r="P159" s="421"/>
      <c r="Q159" s="421"/>
      <c r="R159" s="421"/>
      <c r="S159" s="422"/>
      <c r="T159" s="191"/>
    </row>
    <row r="160" spans="1:25" s="114" customFormat="1" ht="12" customHeight="1">
      <c r="A160" s="394">
        <v>128</v>
      </c>
      <c r="B160" s="373" t="s">
        <v>233</v>
      </c>
      <c r="C160" s="374" t="s">
        <v>234</v>
      </c>
      <c r="D160" s="330">
        <v>500931777.48000002</v>
      </c>
      <c r="E160" s="337">
        <f t="shared" ref="E160:E166" si="56">(D160/$D$167)</f>
        <v>1.9859806166171192E-2</v>
      </c>
      <c r="F160" s="330">
        <v>1031.5899999999999</v>
      </c>
      <c r="G160" s="330">
        <v>1031.5899999999999</v>
      </c>
      <c r="H160" s="338">
        <v>3.1600000000000003E-2</v>
      </c>
      <c r="I160" s="338">
        <v>2.2000000000000001E-3</v>
      </c>
      <c r="J160" s="330">
        <v>505422763.86000001</v>
      </c>
      <c r="K160" s="337">
        <f t="shared" ref="K160:K166" si="57">(J160/$J$167)</f>
        <v>1.9985314231637231E-2</v>
      </c>
      <c r="L160" s="330">
        <v>1040.8399999999999</v>
      </c>
      <c r="M160" s="330">
        <v>1040.8399999999999</v>
      </c>
      <c r="N160" s="338">
        <v>9.1999999999999998E-3</v>
      </c>
      <c r="O160" s="338">
        <v>4.0800000000000003E-2</v>
      </c>
      <c r="P160" s="333">
        <f t="shared" ref="P160:P166" si="58">((J160-D160)/D160)</f>
        <v>8.965265495019031E-3</v>
      </c>
      <c r="Q160" s="333">
        <f t="shared" ref="Q160:Q166" si="59">((M160-G160)/G160)</f>
        <v>8.9667406624724943E-3</v>
      </c>
      <c r="R160" s="333">
        <f t="shared" ref="R160:S166" si="60">N160-H160</f>
        <v>-2.2400000000000003E-2</v>
      </c>
      <c r="S160" s="369">
        <f t="shared" si="60"/>
        <v>3.8600000000000002E-2</v>
      </c>
      <c r="T160" s="191"/>
    </row>
    <row r="161" spans="1:20" s="114" customFormat="1" ht="12" customHeight="1">
      <c r="A161" s="398">
        <v>129</v>
      </c>
      <c r="B161" s="373" t="s">
        <v>236</v>
      </c>
      <c r="C161" s="374" t="s">
        <v>89</v>
      </c>
      <c r="D161" s="330">
        <v>62015270.850000001</v>
      </c>
      <c r="E161" s="337">
        <f t="shared" si="56"/>
        <v>2.4586407047669867E-3</v>
      </c>
      <c r="F161" s="330">
        <v>104.58</v>
      </c>
      <c r="G161" s="330">
        <v>104.58</v>
      </c>
      <c r="H161" s="338">
        <v>1.4E-3</v>
      </c>
      <c r="I161" s="338">
        <v>6.4000000000000001E-2</v>
      </c>
      <c r="J161" s="330">
        <v>62140757.649999999</v>
      </c>
      <c r="K161" s="337">
        <f t="shared" si="57"/>
        <v>2.4571559831271608E-3</v>
      </c>
      <c r="L161" s="330">
        <v>104.7</v>
      </c>
      <c r="M161" s="330">
        <v>104.7</v>
      </c>
      <c r="N161" s="338">
        <v>1.1000000000000001E-3</v>
      </c>
      <c r="O161" s="338">
        <v>6.3899999999999998E-2</v>
      </c>
      <c r="P161" s="333">
        <f t="shared" si="58"/>
        <v>2.0234822533230462E-3</v>
      </c>
      <c r="Q161" s="333">
        <f t="shared" si="59"/>
        <v>1.1474469305795042E-3</v>
      </c>
      <c r="R161" s="333">
        <f t="shared" si="60"/>
        <v>-2.9999999999999992E-4</v>
      </c>
      <c r="S161" s="369">
        <f t="shared" si="60"/>
        <v>-1.0000000000000286E-4</v>
      </c>
      <c r="T161" s="191"/>
    </row>
    <row r="162" spans="1:20" s="114" customFormat="1" ht="12" customHeight="1">
      <c r="A162" s="402">
        <v>130</v>
      </c>
      <c r="B162" s="404" t="s">
        <v>240</v>
      </c>
      <c r="C162" s="374" t="s">
        <v>100</v>
      </c>
      <c r="D162" s="325">
        <v>52024825.420000002</v>
      </c>
      <c r="E162" s="337">
        <f t="shared" si="56"/>
        <v>2.0625621993233343E-3</v>
      </c>
      <c r="F162" s="326">
        <v>100</v>
      </c>
      <c r="G162" s="326">
        <v>103.79</v>
      </c>
      <c r="H162" s="338">
        <v>1.9E-3</v>
      </c>
      <c r="I162" s="338">
        <v>2.7900000000000001E-2</v>
      </c>
      <c r="J162" s="325">
        <v>52092258.890000001</v>
      </c>
      <c r="K162" s="337">
        <f t="shared" si="57"/>
        <v>2.0598204857287016E-3</v>
      </c>
      <c r="L162" s="326">
        <v>100.13</v>
      </c>
      <c r="M162" s="326">
        <v>104.04</v>
      </c>
      <c r="N162" s="338">
        <v>1.9E-3</v>
      </c>
      <c r="O162" s="338">
        <v>2.98E-2</v>
      </c>
      <c r="P162" s="333">
        <f t="shared" si="58"/>
        <v>1.2961786888394868E-3</v>
      </c>
      <c r="Q162" s="333">
        <f t="shared" si="59"/>
        <v>2.4087098949802485E-3</v>
      </c>
      <c r="R162" s="333">
        <f t="shared" si="60"/>
        <v>0</v>
      </c>
      <c r="S162" s="369">
        <f t="shared" si="60"/>
        <v>1.8999999999999989E-3</v>
      </c>
      <c r="T162" s="191"/>
    </row>
    <row r="163" spans="1:20" s="114" customFormat="1" ht="12" customHeight="1">
      <c r="A163" s="397">
        <v>131</v>
      </c>
      <c r="B163" s="373" t="s">
        <v>190</v>
      </c>
      <c r="C163" s="374" t="s">
        <v>189</v>
      </c>
      <c r="D163" s="330">
        <v>9396906448.2999992</v>
      </c>
      <c r="E163" s="337">
        <f t="shared" si="56"/>
        <v>0.37254721903190319</v>
      </c>
      <c r="F163" s="330">
        <v>128.03</v>
      </c>
      <c r="G163" s="330">
        <v>128.03</v>
      </c>
      <c r="H163" s="338">
        <v>2.3E-3</v>
      </c>
      <c r="I163" s="338">
        <v>0.12690000000000001</v>
      </c>
      <c r="J163" s="330">
        <v>9350818818.1200008</v>
      </c>
      <c r="K163" s="337">
        <f t="shared" si="57"/>
        <v>0.36974799270220365</v>
      </c>
      <c r="L163" s="330">
        <v>128.31</v>
      </c>
      <c r="M163" s="330">
        <v>128.31</v>
      </c>
      <c r="N163" s="338">
        <v>2.2000000000000001E-3</v>
      </c>
      <c r="O163" s="338">
        <v>0.1268</v>
      </c>
      <c r="P163" s="333">
        <f t="shared" si="58"/>
        <v>-4.904553475504286E-3</v>
      </c>
      <c r="Q163" s="333">
        <f t="shared" si="59"/>
        <v>2.1869874248223163E-3</v>
      </c>
      <c r="R163" s="333">
        <f t="shared" si="60"/>
        <v>-9.9999999999999829E-5</v>
      </c>
      <c r="S163" s="369">
        <f t="shared" si="60"/>
        <v>-1.0000000000001674E-4</v>
      </c>
      <c r="T163" s="191"/>
    </row>
    <row r="164" spans="1:20" s="114" customFormat="1" ht="12" customHeight="1">
      <c r="A164" s="405">
        <v>132</v>
      </c>
      <c r="B164" s="373" t="s">
        <v>177</v>
      </c>
      <c r="C164" s="374" t="s">
        <v>176</v>
      </c>
      <c r="D164" s="330">
        <v>447138004.60000002</v>
      </c>
      <c r="E164" s="337">
        <f t="shared" si="56"/>
        <v>1.7727112752872032E-2</v>
      </c>
      <c r="F164" s="331">
        <v>101.98</v>
      </c>
      <c r="G164" s="331">
        <v>101.98</v>
      </c>
      <c r="H164" s="338">
        <v>1E-3</v>
      </c>
      <c r="I164" s="338">
        <v>3.1800000000000002E-2</v>
      </c>
      <c r="J164" s="330">
        <v>451241812.82999998</v>
      </c>
      <c r="K164" s="337">
        <f t="shared" si="57"/>
        <v>1.7842903147035911E-2</v>
      </c>
      <c r="L164" s="331">
        <v>102.1</v>
      </c>
      <c r="M164" s="331">
        <v>102.1</v>
      </c>
      <c r="N164" s="338">
        <v>1.1999999999999999E-3</v>
      </c>
      <c r="O164" s="338">
        <v>3.4000000000000002E-2</v>
      </c>
      <c r="P164" s="333">
        <f t="shared" si="58"/>
        <v>9.1779454839029783E-3</v>
      </c>
      <c r="Q164" s="333">
        <f t="shared" si="59"/>
        <v>1.1767013139830391E-3</v>
      </c>
      <c r="R164" s="333">
        <f t="shared" si="60"/>
        <v>1.9999999999999987E-4</v>
      </c>
      <c r="S164" s="369">
        <f t="shared" si="60"/>
        <v>2.2000000000000006E-3</v>
      </c>
      <c r="T164" s="191"/>
    </row>
    <row r="165" spans="1:20" s="322" customFormat="1" ht="12" customHeight="1">
      <c r="A165" s="405">
        <v>133</v>
      </c>
      <c r="B165" s="373" t="s">
        <v>133</v>
      </c>
      <c r="C165" s="374" t="s">
        <v>5</v>
      </c>
      <c r="D165" s="330">
        <v>8311811544.6199999</v>
      </c>
      <c r="E165" s="337">
        <f t="shared" si="56"/>
        <v>0.32952783909279487</v>
      </c>
      <c r="F165" s="331">
        <v>123.57</v>
      </c>
      <c r="G165" s="331">
        <v>123.57</v>
      </c>
      <c r="H165" s="338">
        <v>8.9999999999999998E-4</v>
      </c>
      <c r="I165" s="338">
        <v>2.1100000000000001E-2</v>
      </c>
      <c r="J165" s="330">
        <v>8315320941.3800001</v>
      </c>
      <c r="K165" s="337">
        <f t="shared" si="57"/>
        <v>0.32880256655085122</v>
      </c>
      <c r="L165" s="331">
        <v>123.67</v>
      </c>
      <c r="M165" s="331">
        <v>123.67</v>
      </c>
      <c r="N165" s="338">
        <v>8.0000000000000004E-4</v>
      </c>
      <c r="O165" s="338">
        <v>2.1899999999999999E-2</v>
      </c>
      <c r="P165" s="333">
        <f t="shared" si="58"/>
        <v>4.2221803768779649E-4</v>
      </c>
      <c r="Q165" s="333">
        <f t="shared" si="59"/>
        <v>8.0925791049614416E-4</v>
      </c>
      <c r="R165" s="333">
        <f t="shared" si="60"/>
        <v>-9.9999999999999937E-5</v>
      </c>
      <c r="S165" s="369">
        <f t="shared" si="60"/>
        <v>7.9999999999999863E-4</v>
      </c>
      <c r="T165" s="323"/>
    </row>
    <row r="166" spans="1:20" s="114" customFormat="1" ht="12" customHeight="1">
      <c r="A166" s="397">
        <v>134</v>
      </c>
      <c r="B166" s="373" t="s">
        <v>167</v>
      </c>
      <c r="C166" s="374" t="s">
        <v>41</v>
      </c>
      <c r="D166" s="330">
        <v>2607699840.98</v>
      </c>
      <c r="E166" s="337">
        <f t="shared" si="56"/>
        <v>0.10338416468994309</v>
      </c>
      <c r="F166" s="331">
        <v>1.1508</v>
      </c>
      <c r="G166" s="331">
        <v>1.1508</v>
      </c>
      <c r="H166" s="338">
        <v>0.1991</v>
      </c>
      <c r="I166" s="338">
        <v>0.129</v>
      </c>
      <c r="J166" s="330">
        <v>2705483133.1999998</v>
      </c>
      <c r="K166" s="337">
        <f t="shared" si="57"/>
        <v>0.10697961079642544</v>
      </c>
      <c r="L166" s="331">
        <v>1.1536</v>
      </c>
      <c r="M166" s="331">
        <v>1.1536</v>
      </c>
      <c r="N166" s="338">
        <v>0.1351</v>
      </c>
      <c r="O166" s="338">
        <v>0.1293</v>
      </c>
      <c r="P166" s="333">
        <f t="shared" si="58"/>
        <v>3.7497909338849306E-2</v>
      </c>
      <c r="Q166" s="333">
        <f t="shared" si="59"/>
        <v>2.4330900243308253E-3</v>
      </c>
      <c r="R166" s="333">
        <f t="shared" si="60"/>
        <v>-6.4000000000000001E-2</v>
      </c>
      <c r="S166" s="369">
        <f t="shared" si="60"/>
        <v>2.9999999999999472E-4</v>
      </c>
      <c r="T166" s="191"/>
    </row>
    <row r="167" spans="1:20" s="114" customFormat="1" ht="12" customHeight="1">
      <c r="A167" s="265"/>
      <c r="C167" s="290" t="s">
        <v>42</v>
      </c>
      <c r="D167" s="76">
        <f>SUM(D156:D166)</f>
        <v>25223397111.16</v>
      </c>
      <c r="E167" s="266">
        <f>(D167/$D$168)</f>
        <v>1.5397874065738464E-2</v>
      </c>
      <c r="F167" s="267"/>
      <c r="G167" s="72"/>
      <c r="H167" s="249"/>
      <c r="I167" s="249"/>
      <c r="J167" s="76">
        <f>SUM(J156:J166)</f>
        <v>25289708132.780003</v>
      </c>
      <c r="K167" s="266">
        <f>(J167/$J$168)</f>
        <v>1.5393584411265796E-2</v>
      </c>
      <c r="L167" s="268"/>
      <c r="M167" s="72"/>
      <c r="N167" s="269"/>
      <c r="O167" s="269"/>
      <c r="P167" s="270">
        <f t="shared" ref="P167:P168" si="61">((J167-D167)/D167)</f>
        <v>2.6289488813806003E-3</v>
      </c>
      <c r="Q167" s="270"/>
      <c r="R167" s="270">
        <f t="shared" ref="R167:S167" si="62">N167-H167</f>
        <v>0</v>
      </c>
      <c r="S167" s="369">
        <f t="shared" si="62"/>
        <v>0</v>
      </c>
      <c r="T167" s="139" t="s">
        <v>270</v>
      </c>
    </row>
    <row r="168" spans="1:20" s="114" customFormat="1" ht="12" customHeight="1">
      <c r="A168" s="271"/>
      <c r="B168" s="272"/>
      <c r="C168" s="272" t="s">
        <v>28</v>
      </c>
      <c r="D168" s="273">
        <f>SUM(D22,D54,D87,D112,D119,D146,D152,D167)</f>
        <v>1638109066451.2014</v>
      </c>
      <c r="E168" s="274"/>
      <c r="F168" s="274"/>
      <c r="G168" s="275"/>
      <c r="H168" s="276"/>
      <c r="I168" s="276"/>
      <c r="J168" s="273">
        <f>SUM(J22,J54,J87,J112,J119,J146,J152,J167)</f>
        <v>1642873255320.0364</v>
      </c>
      <c r="K168" s="274"/>
      <c r="L168" s="274"/>
      <c r="M168" s="275"/>
      <c r="N168" s="277"/>
      <c r="O168" s="277"/>
      <c r="P168" s="278">
        <f t="shared" si="61"/>
        <v>2.9083465603154846E-3</v>
      </c>
      <c r="Q168" s="278"/>
      <c r="R168" s="278"/>
      <c r="S168" s="279"/>
      <c r="T168" s="140">
        <f>((J168-D168)/D168)</f>
        <v>2.9083465603154846E-3</v>
      </c>
    </row>
    <row r="169" spans="1:20" s="114" customFormat="1" ht="6.75" customHeight="1">
      <c r="A169" s="411"/>
      <c r="B169" s="412"/>
      <c r="C169" s="413"/>
      <c r="D169" s="413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370"/>
      <c r="T169" s="191"/>
    </row>
    <row r="170" spans="1:20" s="114" customFormat="1" ht="12" customHeight="1">
      <c r="A170" s="415" t="s">
        <v>205</v>
      </c>
      <c r="B170" s="416"/>
      <c r="C170" s="417"/>
      <c r="D170" s="417"/>
      <c r="E170" s="417"/>
      <c r="F170" s="417"/>
      <c r="G170" s="417"/>
      <c r="H170" s="417"/>
      <c r="I170" s="417"/>
      <c r="J170" s="417"/>
      <c r="K170" s="417"/>
      <c r="L170" s="417"/>
      <c r="M170" s="417"/>
      <c r="N170" s="417"/>
      <c r="O170" s="417"/>
      <c r="P170" s="417"/>
      <c r="Q170" s="417"/>
      <c r="R170" s="417"/>
      <c r="S170" s="418"/>
      <c r="T170" s="191"/>
    </row>
    <row r="171" spans="1:20" s="114" customFormat="1" ht="25.5" customHeight="1">
      <c r="A171" s="246"/>
      <c r="B171" s="247"/>
      <c r="C171" s="247"/>
      <c r="D171" s="261" t="s">
        <v>209</v>
      </c>
      <c r="E171" s="262"/>
      <c r="F171" s="262"/>
      <c r="G171" s="367" t="s">
        <v>210</v>
      </c>
      <c r="H171" s="263"/>
      <c r="I171" s="263"/>
      <c r="J171" s="264" t="s">
        <v>209</v>
      </c>
      <c r="K171" s="262"/>
      <c r="L171" s="260" t="s">
        <v>218</v>
      </c>
      <c r="M171" s="260" t="s">
        <v>219</v>
      </c>
      <c r="N171" s="367"/>
      <c r="O171" s="367"/>
      <c r="P171" s="436" t="s">
        <v>63</v>
      </c>
      <c r="Q171" s="436"/>
      <c r="R171" s="436"/>
      <c r="S171" s="368"/>
      <c r="T171" s="191"/>
    </row>
    <row r="172" spans="1:20" s="114" customFormat="1" ht="12" customHeight="1">
      <c r="A172" s="286" t="s">
        <v>1</v>
      </c>
      <c r="B172" s="288" t="s">
        <v>2</v>
      </c>
      <c r="C172" s="287" t="s">
        <v>198</v>
      </c>
      <c r="D172" s="202"/>
      <c r="E172" s="202"/>
      <c r="F172" s="202"/>
      <c r="G172" s="202"/>
      <c r="H172" s="202"/>
      <c r="I172" s="202"/>
      <c r="J172" s="229"/>
      <c r="K172" s="230"/>
      <c r="L172" s="230"/>
      <c r="M172" s="231"/>
      <c r="N172" s="231"/>
      <c r="O172" s="231"/>
      <c r="P172" s="303" t="s">
        <v>208</v>
      </c>
      <c r="Q172" s="301" t="s">
        <v>211</v>
      </c>
      <c r="R172" s="301" t="s">
        <v>220</v>
      </c>
      <c r="S172" s="371"/>
      <c r="T172" s="191"/>
    </row>
    <row r="173" spans="1:20" s="114" customFormat="1" ht="12" customHeight="1">
      <c r="A173" s="396">
        <v>1</v>
      </c>
      <c r="B173" s="373" t="s">
        <v>224</v>
      </c>
      <c r="C173" s="374" t="s">
        <v>119</v>
      </c>
      <c r="D173" s="330">
        <v>91842597312</v>
      </c>
      <c r="E173" s="337">
        <f>(D173/$D$175)</f>
        <v>0.97626452463968705</v>
      </c>
      <c r="F173" s="331">
        <v>107.58</v>
      </c>
      <c r="G173" s="331">
        <v>107.58</v>
      </c>
      <c r="H173" s="327">
        <v>0</v>
      </c>
      <c r="I173" s="327">
        <v>0.13800000000000001</v>
      </c>
      <c r="J173" s="330">
        <v>91842597312</v>
      </c>
      <c r="K173" s="337">
        <f>(J173/$J$175)</f>
        <v>0.97620275390714273</v>
      </c>
      <c r="L173" s="331">
        <v>107.58</v>
      </c>
      <c r="M173" s="331">
        <v>107.58</v>
      </c>
      <c r="N173" s="327">
        <v>0</v>
      </c>
      <c r="O173" s="327">
        <v>0.13800000000000001</v>
      </c>
      <c r="P173" s="333">
        <f>((J173-D173)/D173)</f>
        <v>0</v>
      </c>
      <c r="Q173" s="333">
        <f>((M173-G173)/G173)</f>
        <v>0</v>
      </c>
      <c r="R173" s="333">
        <f>N173-H173</f>
        <v>0</v>
      </c>
      <c r="S173" s="369">
        <f t="shared" ref="S173:S175" si="63">O173-I173</f>
        <v>0</v>
      </c>
      <c r="T173" s="191"/>
    </row>
    <row r="174" spans="1:20" s="114" customFormat="1" ht="12" customHeight="1">
      <c r="A174" s="397">
        <v>2</v>
      </c>
      <c r="B174" s="373" t="s">
        <v>249</v>
      </c>
      <c r="C174" s="374" t="s">
        <v>41</v>
      </c>
      <c r="D174" s="330">
        <v>2232927296.3499999</v>
      </c>
      <c r="E174" s="337">
        <f>(D174/$D$175)</f>
        <v>2.3735475360312883E-2</v>
      </c>
      <c r="F174" s="332">
        <v>1000000</v>
      </c>
      <c r="G174" s="332">
        <v>1000000</v>
      </c>
      <c r="H174" s="327">
        <v>2.3E-3</v>
      </c>
      <c r="I174" s="327">
        <v>0.16309999999999999</v>
      </c>
      <c r="J174" s="330">
        <v>2238880070.04</v>
      </c>
      <c r="K174" s="337">
        <f>(J174/$J$175)</f>
        <v>2.3797246092857365E-2</v>
      </c>
      <c r="L174" s="332">
        <v>1000000</v>
      </c>
      <c r="M174" s="332">
        <v>1000000</v>
      </c>
      <c r="N174" s="327">
        <v>2.7000000000000001E-3</v>
      </c>
      <c r="O174" s="327">
        <v>0.16200000000000001</v>
      </c>
      <c r="P174" s="333">
        <f>((J174-D174)/D174)</f>
        <v>2.6659057371597426E-3</v>
      </c>
      <c r="Q174" s="333">
        <f>((M174-G174)/G174)</f>
        <v>0</v>
      </c>
      <c r="R174" s="333">
        <f>N174-H174</f>
        <v>4.0000000000000018E-4</v>
      </c>
      <c r="S174" s="369">
        <f t="shared" si="63"/>
        <v>-1.0999999999999899E-3</v>
      </c>
      <c r="T174" s="139" t="s">
        <v>213</v>
      </c>
    </row>
    <row r="175" spans="1:20" s="114" customFormat="1" ht="12" customHeight="1">
      <c r="A175" s="272"/>
      <c r="B175" s="272"/>
      <c r="C175" s="272" t="s">
        <v>206</v>
      </c>
      <c r="D175" s="378">
        <f>SUM(D173:D174)</f>
        <v>94075524608.350006</v>
      </c>
      <c r="E175" s="378"/>
      <c r="F175" s="379"/>
      <c r="G175" s="379"/>
      <c r="H175" s="380"/>
      <c r="I175" s="380"/>
      <c r="J175" s="378">
        <f>SUM(J173:J174)</f>
        <v>94081477382.039993</v>
      </c>
      <c r="K175" s="381"/>
      <c r="L175" s="379"/>
      <c r="M175" s="379"/>
      <c r="N175" s="380"/>
      <c r="O175" s="380"/>
      <c r="P175" s="382">
        <f>((J175-D175)/D175)</f>
        <v>6.3276539937134969E-5</v>
      </c>
      <c r="Q175" s="383"/>
      <c r="R175" s="382">
        <f>N175-H175</f>
        <v>0</v>
      </c>
      <c r="S175" s="384">
        <f t="shared" si="63"/>
        <v>0</v>
      </c>
      <c r="T175" s="140">
        <f>((J175-D175)/D175)</f>
        <v>6.3276539937134969E-5</v>
      </c>
    </row>
    <row r="176" spans="1:20" s="114" customFormat="1" ht="7.5" customHeight="1">
      <c r="A176" s="423"/>
      <c r="B176" s="424"/>
      <c r="C176" s="425"/>
      <c r="D176" s="425"/>
      <c r="E176" s="425"/>
      <c r="F176" s="425"/>
      <c r="G176" s="425"/>
      <c r="H176" s="425"/>
      <c r="I176" s="425"/>
      <c r="J176" s="425"/>
      <c r="K176" s="425"/>
      <c r="L176" s="425"/>
      <c r="M176" s="425"/>
      <c r="N176" s="425"/>
      <c r="O176" s="425"/>
      <c r="P176" s="425"/>
      <c r="Q176" s="425"/>
      <c r="R176" s="425"/>
      <c r="S176" s="426"/>
      <c r="T176" s="191"/>
    </row>
    <row r="177" spans="1:20" s="114" customFormat="1" ht="12" customHeight="1">
      <c r="A177" s="415" t="s">
        <v>46</v>
      </c>
      <c r="B177" s="416"/>
      <c r="C177" s="417"/>
      <c r="D177" s="417"/>
      <c r="E177" s="417"/>
      <c r="F177" s="417"/>
      <c r="G177" s="417"/>
      <c r="H177" s="417"/>
      <c r="I177" s="417"/>
      <c r="J177" s="417"/>
      <c r="K177" s="417"/>
      <c r="L177" s="417"/>
      <c r="M177" s="417"/>
      <c r="N177" s="417"/>
      <c r="O177" s="417"/>
      <c r="P177" s="417"/>
      <c r="Q177" s="417"/>
      <c r="R177" s="417"/>
      <c r="S177" s="418"/>
      <c r="T177" s="191"/>
    </row>
    <row r="178" spans="1:20" s="114" customFormat="1" ht="25.5" customHeight="1">
      <c r="A178" s="255"/>
      <c r="B178" s="257" t="s">
        <v>46</v>
      </c>
      <c r="C178" s="256" t="s">
        <v>198</v>
      </c>
      <c r="D178" s="257" t="s">
        <v>73</v>
      </c>
      <c r="E178" s="258" t="s">
        <v>62</v>
      </c>
      <c r="F178" s="258"/>
      <c r="G178" s="258" t="s">
        <v>74</v>
      </c>
      <c r="H178" s="259"/>
      <c r="I178" s="259"/>
      <c r="J178" s="260" t="s">
        <v>73</v>
      </c>
      <c r="K178" s="258" t="s">
        <v>62</v>
      </c>
      <c r="L178" s="260" t="s">
        <v>218</v>
      </c>
      <c r="M178" s="260" t="s">
        <v>219</v>
      </c>
      <c r="N178" s="258"/>
      <c r="O178" s="258"/>
      <c r="P178" s="436" t="s">
        <v>63</v>
      </c>
      <c r="Q178" s="436"/>
      <c r="R178" s="436"/>
      <c r="S178" s="372"/>
      <c r="T178" s="191"/>
    </row>
    <row r="179" spans="1:20" s="114" customFormat="1" ht="12" customHeight="1">
      <c r="A179" s="192"/>
      <c r="B179" s="68"/>
      <c r="C179" s="68"/>
      <c r="D179" s="202"/>
      <c r="E179" s="202"/>
      <c r="F179" s="202"/>
      <c r="G179" s="202"/>
      <c r="H179" s="225"/>
      <c r="I179" s="225"/>
      <c r="J179" s="221"/>
      <c r="K179" s="202"/>
      <c r="L179" s="202"/>
      <c r="M179" s="202"/>
      <c r="N179" s="224"/>
      <c r="O179" s="224"/>
      <c r="P179" s="301" t="s">
        <v>208</v>
      </c>
      <c r="Q179" s="304" t="s">
        <v>121</v>
      </c>
      <c r="R179" s="301" t="s">
        <v>220</v>
      </c>
      <c r="S179" s="369">
        <f t="shared" ref="S179:S192" si="64">O179-I179</f>
        <v>0</v>
      </c>
      <c r="T179" s="191"/>
    </row>
    <row r="180" spans="1:20" s="114" customFormat="1" ht="12" customHeight="1">
      <c r="A180" s="405">
        <v>1</v>
      </c>
      <c r="B180" s="373" t="s">
        <v>228</v>
      </c>
      <c r="C180" s="374" t="s">
        <v>88</v>
      </c>
      <c r="D180" s="328">
        <v>519525167.3496632</v>
      </c>
      <c r="E180" s="196">
        <f t="shared" ref="E180:E191" si="65">(D180/$D$192)</f>
        <v>6.988413144287843E-2</v>
      </c>
      <c r="F180" s="332">
        <v>119.61</v>
      </c>
      <c r="G180" s="332">
        <v>122.58</v>
      </c>
      <c r="H180" s="339">
        <v>0.04</v>
      </c>
      <c r="I180" s="339">
        <v>1.4E-3</v>
      </c>
      <c r="J180" s="328">
        <v>532510880.30853528</v>
      </c>
      <c r="K180" s="196">
        <f t="shared" ref="K180:K190" si="66">(J180/$J$192)</f>
        <v>6.7402750627886351E-2</v>
      </c>
      <c r="L180" s="332">
        <v>122.57</v>
      </c>
      <c r="M180" s="332">
        <v>122.6</v>
      </c>
      <c r="N180" s="339">
        <v>2E-3</v>
      </c>
      <c r="O180" s="339">
        <v>4.0000000000000001E-3</v>
      </c>
      <c r="P180" s="333">
        <f t="shared" ref="P180:P191" si="67">((J180-D180)/D180)</f>
        <v>2.4995349166852057E-2</v>
      </c>
      <c r="Q180" s="333">
        <f t="shared" ref="Q180:Q191" si="68">((M180-G180)/G180)</f>
        <v>1.6315875346709105E-4</v>
      </c>
      <c r="R180" s="333">
        <f t="shared" ref="R180:R191" si="69">N180-H180</f>
        <v>-3.7999999999999999E-2</v>
      </c>
      <c r="S180" s="369">
        <f t="shared" si="64"/>
        <v>2.5999999999999999E-3</v>
      </c>
      <c r="T180" s="191"/>
    </row>
    <row r="181" spans="1:20" s="114" customFormat="1" ht="12" customHeight="1">
      <c r="A181" s="401">
        <v>2</v>
      </c>
      <c r="B181" s="373" t="s">
        <v>97</v>
      </c>
      <c r="C181" s="374" t="s">
        <v>23</v>
      </c>
      <c r="D181" s="328">
        <v>557626122.53999996</v>
      </c>
      <c r="E181" s="196">
        <f t="shared" si="65"/>
        <v>7.5009296358765229E-2</v>
      </c>
      <c r="F181" s="332">
        <v>16.7</v>
      </c>
      <c r="G181" s="332">
        <v>16.7</v>
      </c>
      <c r="H181" s="339">
        <v>4.0000000000000002E-4</v>
      </c>
      <c r="I181" s="339">
        <v>7.5499999999999998E-2</v>
      </c>
      <c r="J181" s="328">
        <v>567033998.29999995</v>
      </c>
      <c r="K181" s="196">
        <f t="shared" si="66"/>
        <v>7.1772526343130999E-2</v>
      </c>
      <c r="L181" s="332">
        <v>16.98</v>
      </c>
      <c r="M181" s="332">
        <v>16.98</v>
      </c>
      <c r="N181" s="339">
        <v>1.6899999999999998E-2</v>
      </c>
      <c r="O181" s="339">
        <v>9.3600000000000003E-2</v>
      </c>
      <c r="P181" s="333">
        <f t="shared" si="67"/>
        <v>1.6871296698129739E-2</v>
      </c>
      <c r="Q181" s="333">
        <f t="shared" si="68"/>
        <v>1.6766467065868332E-2</v>
      </c>
      <c r="R181" s="333">
        <f t="shared" si="69"/>
        <v>1.6499999999999997E-2</v>
      </c>
      <c r="S181" s="369">
        <f t="shared" si="64"/>
        <v>1.8100000000000005E-2</v>
      </c>
      <c r="T181" s="191"/>
    </row>
    <row r="182" spans="1:20" s="114" customFormat="1" ht="12" customHeight="1">
      <c r="A182" s="397">
        <v>3</v>
      </c>
      <c r="B182" s="373" t="s">
        <v>188</v>
      </c>
      <c r="C182" s="374" t="s">
        <v>55</v>
      </c>
      <c r="D182" s="328">
        <v>180605396.69</v>
      </c>
      <c r="E182" s="196">
        <f t="shared" si="65"/>
        <v>2.4294205699340782E-2</v>
      </c>
      <c r="F182" s="332">
        <v>17.399999999999999</v>
      </c>
      <c r="G182" s="332">
        <v>17.5</v>
      </c>
      <c r="H182" s="339">
        <v>-1.4294996739788846E-2</v>
      </c>
      <c r="I182" s="339">
        <v>-4.8219631771661775E-2</v>
      </c>
      <c r="J182" s="328">
        <v>186707605.55000001</v>
      </c>
      <c r="K182" s="196">
        <f t="shared" si="66"/>
        <v>2.3632580370799062E-2</v>
      </c>
      <c r="L182" s="332">
        <v>17.399999999999999</v>
      </c>
      <c r="M182" s="332">
        <v>17.5</v>
      </c>
      <c r="N182" s="339">
        <v>3.3787522254798086E-2</v>
      </c>
      <c r="O182" s="339">
        <v>-1.6061331398466883E-2</v>
      </c>
      <c r="P182" s="333">
        <f t="shared" si="67"/>
        <v>3.37875222547981E-2</v>
      </c>
      <c r="Q182" s="333">
        <f t="shared" si="68"/>
        <v>0</v>
      </c>
      <c r="R182" s="333">
        <f t="shared" si="69"/>
        <v>4.8082518994586931E-2</v>
      </c>
      <c r="S182" s="369">
        <f t="shared" si="64"/>
        <v>3.2158300373194892E-2</v>
      </c>
      <c r="T182" s="191"/>
    </row>
    <row r="183" spans="1:20" s="114" customFormat="1" ht="12" customHeight="1">
      <c r="A183" s="397">
        <v>4</v>
      </c>
      <c r="B183" s="373" t="s">
        <v>187</v>
      </c>
      <c r="C183" s="374" t="s">
        <v>55</v>
      </c>
      <c r="D183" s="328">
        <v>264482468.94999999</v>
      </c>
      <c r="E183" s="196">
        <f t="shared" si="65"/>
        <v>3.5576962938542026E-2</v>
      </c>
      <c r="F183" s="332">
        <v>16.399999999999999</v>
      </c>
      <c r="G183" s="332">
        <v>16.5</v>
      </c>
      <c r="H183" s="339">
        <v>9.8753951911256133E-2</v>
      </c>
      <c r="I183" s="339">
        <v>0.13811294362441928</v>
      </c>
      <c r="J183" s="328">
        <v>262104061.47</v>
      </c>
      <c r="K183" s="196">
        <f t="shared" si="66"/>
        <v>3.3175913107320293E-2</v>
      </c>
      <c r="L183" s="332">
        <v>16.399999999999999</v>
      </c>
      <c r="M183" s="332">
        <v>16.5</v>
      </c>
      <c r="N183" s="339">
        <v>-8.9926848060755127E-3</v>
      </c>
      <c r="O183" s="339">
        <v>0.12787825264869013</v>
      </c>
      <c r="P183" s="333">
        <f t="shared" si="67"/>
        <v>-8.9926848060754589E-3</v>
      </c>
      <c r="Q183" s="333">
        <f t="shared" si="68"/>
        <v>0</v>
      </c>
      <c r="R183" s="333">
        <f t="shared" si="69"/>
        <v>-0.10774663671733165</v>
      </c>
      <c r="S183" s="369">
        <f t="shared" si="64"/>
        <v>-1.0234690975729155E-2</v>
      </c>
      <c r="T183" s="191"/>
    </row>
    <row r="184" spans="1:20" s="114" customFormat="1" ht="12" customHeight="1">
      <c r="A184" s="398">
        <v>5</v>
      </c>
      <c r="B184" s="373" t="s">
        <v>32</v>
      </c>
      <c r="C184" s="374" t="s">
        <v>31</v>
      </c>
      <c r="D184" s="328">
        <v>614077000</v>
      </c>
      <c r="E184" s="196">
        <f t="shared" si="65"/>
        <v>8.2602808258498278E-2</v>
      </c>
      <c r="F184" s="332">
        <v>11500</v>
      </c>
      <c r="G184" s="332">
        <v>11500</v>
      </c>
      <c r="H184" s="339">
        <v>0</v>
      </c>
      <c r="I184" s="339">
        <v>0</v>
      </c>
      <c r="J184" s="328">
        <v>1067959466.02</v>
      </c>
      <c r="K184" s="196">
        <f t="shared" si="66"/>
        <v>0.13517734234299542</v>
      </c>
      <c r="L184" s="332">
        <v>19999.990000000002</v>
      </c>
      <c r="M184" s="332">
        <v>19999.990000000002</v>
      </c>
      <c r="N184" s="339">
        <v>0</v>
      </c>
      <c r="O184" s="339">
        <v>0</v>
      </c>
      <c r="P184" s="333">
        <f t="shared" si="67"/>
        <v>0.73912956521739126</v>
      </c>
      <c r="Q184" s="333">
        <f t="shared" si="68"/>
        <v>0.73912956521739148</v>
      </c>
      <c r="R184" s="333">
        <f t="shared" si="69"/>
        <v>0</v>
      </c>
      <c r="S184" s="369">
        <f t="shared" si="64"/>
        <v>0</v>
      </c>
      <c r="T184" s="191"/>
    </row>
    <row r="185" spans="1:20" s="114" customFormat="1" ht="12" customHeight="1">
      <c r="A185" s="405">
        <v>6</v>
      </c>
      <c r="B185" s="373" t="s">
        <v>95</v>
      </c>
      <c r="C185" s="374" t="s">
        <v>39</v>
      </c>
      <c r="D185" s="328">
        <v>643963752.39999998</v>
      </c>
      <c r="E185" s="196">
        <f t="shared" si="65"/>
        <v>8.6623036467609521E-2</v>
      </c>
      <c r="F185" s="332">
        <v>73</v>
      </c>
      <c r="G185" s="332">
        <v>73</v>
      </c>
      <c r="H185" s="339">
        <v>1.9699999999999999E-2</v>
      </c>
      <c r="I185" s="339">
        <v>4.9700000000000001E-2</v>
      </c>
      <c r="J185" s="328">
        <v>645296184.25</v>
      </c>
      <c r="K185" s="196">
        <f t="shared" si="66"/>
        <v>8.1678589858912604E-2</v>
      </c>
      <c r="L185" s="332">
        <v>73</v>
      </c>
      <c r="M185" s="332">
        <v>73</v>
      </c>
      <c r="N185" s="339">
        <v>2.0999999999999999E-3</v>
      </c>
      <c r="O185" s="339">
        <v>5.1900000000000002E-2</v>
      </c>
      <c r="P185" s="333">
        <f t="shared" si="67"/>
        <v>2.0691100159506803E-3</v>
      </c>
      <c r="Q185" s="333">
        <f t="shared" si="68"/>
        <v>0</v>
      </c>
      <c r="R185" s="333">
        <f t="shared" si="69"/>
        <v>-1.7599999999999998E-2</v>
      </c>
      <c r="S185" s="369">
        <f t="shared" si="64"/>
        <v>2.2000000000000006E-3</v>
      </c>
      <c r="T185" s="191"/>
    </row>
    <row r="186" spans="1:20" s="114" customFormat="1" ht="12" customHeight="1">
      <c r="A186" s="405">
        <v>7</v>
      </c>
      <c r="B186" s="373" t="s">
        <v>40</v>
      </c>
      <c r="C186" s="374" t="s">
        <v>39</v>
      </c>
      <c r="D186" s="328">
        <v>476720425.44</v>
      </c>
      <c r="E186" s="196">
        <f t="shared" si="65"/>
        <v>6.4126234813435518E-2</v>
      </c>
      <c r="F186" s="332">
        <v>248.95</v>
      </c>
      <c r="G186" s="332">
        <v>248.95</v>
      </c>
      <c r="H186" s="339">
        <v>-1.2999999999999999E-3</v>
      </c>
      <c r="I186" s="339">
        <v>6.6500000000000004E-2</v>
      </c>
      <c r="J186" s="328">
        <v>476224471</v>
      </c>
      <c r="K186" s="196">
        <f t="shared" si="66"/>
        <v>6.0278278714440761E-2</v>
      </c>
      <c r="L186" s="332">
        <v>240</v>
      </c>
      <c r="M186" s="332">
        <v>240</v>
      </c>
      <c r="N186" s="339">
        <v>-1E-3</v>
      </c>
      <c r="O186" s="339">
        <v>6.5500000000000003E-2</v>
      </c>
      <c r="P186" s="333">
        <f t="shared" si="67"/>
        <v>-1.0403465291889795E-3</v>
      </c>
      <c r="Q186" s="333">
        <f t="shared" si="68"/>
        <v>-3.595099417553721E-2</v>
      </c>
      <c r="R186" s="333">
        <f t="shared" si="69"/>
        <v>2.9999999999999992E-4</v>
      </c>
      <c r="S186" s="369">
        <f t="shared" si="64"/>
        <v>-1.0000000000000009E-3</v>
      </c>
      <c r="T186" s="191"/>
    </row>
    <row r="187" spans="1:20" s="114" customFormat="1" ht="12" customHeight="1">
      <c r="A187" s="398">
        <v>8</v>
      </c>
      <c r="B187" s="373" t="s">
        <v>50</v>
      </c>
      <c r="C187" s="374" t="s">
        <v>29</v>
      </c>
      <c r="D187" s="328">
        <v>164394642.63</v>
      </c>
      <c r="E187" s="196">
        <f t="shared" si="65"/>
        <v>2.2113609765371828E-2</v>
      </c>
      <c r="F187" s="332">
        <v>7.31</v>
      </c>
      <c r="G187" s="332">
        <v>7.41</v>
      </c>
      <c r="H187" s="339">
        <v>0</v>
      </c>
      <c r="I187" s="339">
        <v>0</v>
      </c>
      <c r="J187" s="328">
        <v>165091749.72999999</v>
      </c>
      <c r="K187" s="196">
        <f t="shared" si="66"/>
        <v>2.0896545872124323E-2</v>
      </c>
      <c r="L187" s="332">
        <v>7.38</v>
      </c>
      <c r="M187" s="332">
        <v>7.48</v>
      </c>
      <c r="N187" s="339">
        <v>0</v>
      </c>
      <c r="O187" s="339">
        <v>0</v>
      </c>
      <c r="P187" s="333">
        <f t="shared" si="67"/>
        <v>4.2404490124958649E-3</v>
      </c>
      <c r="Q187" s="333">
        <f t="shared" si="68"/>
        <v>9.4466936572200118E-3</v>
      </c>
      <c r="R187" s="333">
        <f t="shared" si="69"/>
        <v>0</v>
      </c>
      <c r="S187" s="369">
        <f t="shared" si="64"/>
        <v>0</v>
      </c>
      <c r="T187" s="191"/>
    </row>
    <row r="188" spans="1:20" s="114" customFormat="1" ht="12" customHeight="1">
      <c r="A188" s="398">
        <v>9</v>
      </c>
      <c r="B188" s="373" t="s">
        <v>60</v>
      </c>
      <c r="C188" s="374" t="s">
        <v>29</v>
      </c>
      <c r="D188" s="75">
        <v>379381189.43000001</v>
      </c>
      <c r="E188" s="196">
        <f t="shared" si="65"/>
        <v>5.1032609342749044E-2</v>
      </c>
      <c r="F188" s="332">
        <v>4.5599999999999996</v>
      </c>
      <c r="G188" s="332">
        <v>4.66</v>
      </c>
      <c r="H188" s="339">
        <v>0</v>
      </c>
      <c r="I188" s="339">
        <v>0</v>
      </c>
      <c r="J188" s="75">
        <v>375890551.91000003</v>
      </c>
      <c r="K188" s="196">
        <f t="shared" si="66"/>
        <v>4.7578477869013043E-2</v>
      </c>
      <c r="L188" s="332">
        <v>4.51</v>
      </c>
      <c r="M188" s="332">
        <v>4.6100000000000003</v>
      </c>
      <c r="N188" s="339">
        <v>0</v>
      </c>
      <c r="O188" s="339">
        <v>0</v>
      </c>
      <c r="P188" s="333">
        <f t="shared" si="67"/>
        <v>-9.2008713590794461E-3</v>
      </c>
      <c r="Q188" s="333">
        <f t="shared" si="68"/>
        <v>-1.0729613733905541E-2</v>
      </c>
      <c r="R188" s="333">
        <f t="shared" si="69"/>
        <v>0</v>
      </c>
      <c r="S188" s="369">
        <f t="shared" si="64"/>
        <v>0</v>
      </c>
      <c r="T188" s="191"/>
    </row>
    <row r="189" spans="1:20" s="114" customFormat="1" ht="12" customHeight="1">
      <c r="A189" s="398">
        <v>10</v>
      </c>
      <c r="B189" s="373" t="s">
        <v>93</v>
      </c>
      <c r="C189" s="374" t="s">
        <v>29</v>
      </c>
      <c r="D189" s="328">
        <v>507266573.44999999</v>
      </c>
      <c r="E189" s="196">
        <f t="shared" si="65"/>
        <v>6.8235161881385856E-2</v>
      </c>
      <c r="F189" s="332">
        <v>143.1</v>
      </c>
      <c r="G189" s="332">
        <v>145.1</v>
      </c>
      <c r="H189" s="339">
        <v>0</v>
      </c>
      <c r="I189" s="339">
        <v>0</v>
      </c>
      <c r="J189" s="328">
        <v>504608337.55000001</v>
      </c>
      <c r="K189" s="196">
        <f t="shared" si="66"/>
        <v>6.3870976534655025E-2</v>
      </c>
      <c r="L189" s="332">
        <v>142.34</v>
      </c>
      <c r="M189" s="332">
        <v>144.34</v>
      </c>
      <c r="N189" s="339">
        <v>0</v>
      </c>
      <c r="O189" s="339">
        <v>0</v>
      </c>
      <c r="P189" s="333">
        <f t="shared" si="67"/>
        <v>-5.2403135533273847E-3</v>
      </c>
      <c r="Q189" s="333">
        <f t="shared" si="68"/>
        <v>-5.2377670572018673E-3</v>
      </c>
      <c r="R189" s="333">
        <f t="shared" si="69"/>
        <v>0</v>
      </c>
      <c r="S189" s="369">
        <f t="shared" si="64"/>
        <v>0</v>
      </c>
      <c r="T189" s="191"/>
    </row>
    <row r="190" spans="1:20" s="114" customFormat="1" ht="12" customHeight="1">
      <c r="A190" s="398">
        <v>11</v>
      </c>
      <c r="B190" s="373" t="s">
        <v>30</v>
      </c>
      <c r="C190" s="374" t="s">
        <v>29</v>
      </c>
      <c r="D190" s="328">
        <v>2866807508.1999998</v>
      </c>
      <c r="E190" s="196">
        <f t="shared" si="65"/>
        <v>0.38562973521865795</v>
      </c>
      <c r="F190" s="332">
        <v>19.09</v>
      </c>
      <c r="G190" s="332">
        <v>19.29</v>
      </c>
      <c r="H190" s="339">
        <v>0</v>
      </c>
      <c r="I190" s="339">
        <v>0</v>
      </c>
      <c r="J190" s="328">
        <v>2867092206.77</v>
      </c>
      <c r="K190" s="196">
        <f t="shared" si="66"/>
        <v>0.36290319726069492</v>
      </c>
      <c r="L190" s="332">
        <v>19.07</v>
      </c>
      <c r="M190" s="332">
        <v>19.27</v>
      </c>
      <c r="N190" s="339">
        <v>0</v>
      </c>
      <c r="O190" s="339">
        <v>0</v>
      </c>
      <c r="P190" s="333">
        <f t="shared" si="67"/>
        <v>9.9308575544692612E-5</v>
      </c>
      <c r="Q190" s="333">
        <f t="shared" si="68"/>
        <v>-1.0368066355624455E-3</v>
      </c>
      <c r="R190" s="333">
        <f t="shared" si="69"/>
        <v>0</v>
      </c>
      <c r="S190" s="369">
        <f t="shared" si="64"/>
        <v>0</v>
      </c>
      <c r="T190" s="191"/>
    </row>
    <row r="191" spans="1:20" s="114" customFormat="1" ht="12" customHeight="1">
      <c r="A191" s="398">
        <v>12</v>
      </c>
      <c r="B191" s="373" t="s">
        <v>51</v>
      </c>
      <c r="C191" s="374" t="s">
        <v>29</v>
      </c>
      <c r="D191" s="75">
        <v>259243253.44999999</v>
      </c>
      <c r="E191" s="196">
        <f t="shared" si="65"/>
        <v>3.4872207812765531E-2</v>
      </c>
      <c r="F191" s="332">
        <v>24.39</v>
      </c>
      <c r="G191" s="332">
        <v>24.59</v>
      </c>
      <c r="H191" s="339">
        <v>0</v>
      </c>
      <c r="I191" s="339">
        <v>0</v>
      </c>
      <c r="J191" s="75">
        <v>249912967.24000001</v>
      </c>
      <c r="K191" s="196">
        <v>0.24610000000000001</v>
      </c>
      <c r="L191" s="332">
        <v>23.57</v>
      </c>
      <c r="M191" s="332">
        <v>23.77</v>
      </c>
      <c r="N191" s="339">
        <v>0</v>
      </c>
      <c r="O191" s="339">
        <v>0</v>
      </c>
      <c r="P191" s="333">
        <f t="shared" si="67"/>
        <v>-3.5990468742514457E-2</v>
      </c>
      <c r="Q191" s="333">
        <f t="shared" si="68"/>
        <v>-3.3346888979259873E-2</v>
      </c>
      <c r="R191" s="333">
        <f t="shared" si="69"/>
        <v>0</v>
      </c>
      <c r="S191" s="369">
        <f t="shared" si="64"/>
        <v>0</v>
      </c>
      <c r="T191" s="193"/>
    </row>
    <row r="192" spans="1:20" s="114" customFormat="1" ht="12" customHeight="1">
      <c r="A192" s="385"/>
      <c r="B192" s="386"/>
      <c r="C192" s="386" t="s">
        <v>33</v>
      </c>
      <c r="D192" s="378">
        <f>SUM(D180:D191)</f>
        <v>7434093500.5296631</v>
      </c>
      <c r="E192" s="378"/>
      <c r="F192" s="381"/>
      <c r="G192" s="379"/>
      <c r="H192" s="380"/>
      <c r="I192" s="380"/>
      <c r="J192" s="378">
        <f>SUM(J180:J191)</f>
        <v>7900432480.0985355</v>
      </c>
      <c r="K192" s="381"/>
      <c r="L192" s="381"/>
      <c r="M192" s="379"/>
      <c r="N192" s="380"/>
      <c r="O192" s="380"/>
      <c r="P192" s="382">
        <f t="shared" ref="P192" si="70">((J192-D192)/D192)</f>
        <v>6.2729770554492872E-2</v>
      </c>
      <c r="Q192" s="383"/>
      <c r="R192" s="382">
        <f t="shared" ref="R192" si="71">N192-H192</f>
        <v>0</v>
      </c>
      <c r="S192" s="384">
        <f t="shared" si="64"/>
        <v>0</v>
      </c>
      <c r="T192" s="139" t="s">
        <v>269</v>
      </c>
    </row>
    <row r="193" spans="1:20" s="114" customFormat="1" ht="12" customHeight="1" thickBot="1">
      <c r="A193" s="250"/>
      <c r="B193" s="251"/>
      <c r="C193" s="251" t="s">
        <v>43</v>
      </c>
      <c r="D193" s="252">
        <f>SUM(D168,D175,D192)</f>
        <v>1739618684560.0811</v>
      </c>
      <c r="E193" s="252"/>
      <c r="F193" s="252"/>
      <c r="G193" s="253"/>
      <c r="H193" s="254"/>
      <c r="I193" s="254"/>
      <c r="J193" s="252">
        <f>SUM(J168,J175,J192)</f>
        <v>1744855165182.175</v>
      </c>
      <c r="K193" s="232"/>
      <c r="L193" s="232"/>
      <c r="M193" s="233"/>
      <c r="N193" s="234"/>
      <c r="O193" s="234"/>
      <c r="P193" s="215"/>
      <c r="Q193" s="219"/>
      <c r="R193" s="219"/>
      <c r="S193" s="216"/>
      <c r="T193" s="140">
        <f>((J192-D192)/D192)</f>
        <v>6.2729770554492872E-2</v>
      </c>
    </row>
    <row r="194" spans="1:20" ht="12" customHeight="1">
      <c r="A194" s="235"/>
      <c r="B194" s="94"/>
      <c r="C194" s="236"/>
      <c r="D194" s="66"/>
      <c r="E194" s="66"/>
      <c r="F194" s="66"/>
      <c r="G194" s="237"/>
      <c r="H194" s="238"/>
      <c r="I194" s="238"/>
      <c r="J194" s="7"/>
      <c r="K194" s="66"/>
      <c r="L194" s="66"/>
      <c r="M194" s="239"/>
      <c r="N194" s="240"/>
      <c r="O194" s="240"/>
    </row>
    <row r="195" spans="1:20" ht="12" customHeight="1">
      <c r="A195" s="240"/>
      <c r="B195" s="239"/>
      <c r="C195" s="242"/>
      <c r="D195" s="239"/>
      <c r="E195" s="239"/>
      <c r="F195" s="239"/>
      <c r="G195" s="239"/>
      <c r="H195" s="241"/>
      <c r="I195" s="241"/>
      <c r="J195" s="243"/>
      <c r="K195" s="239"/>
      <c r="L195" s="239"/>
      <c r="M195" s="239"/>
      <c r="N195" s="240"/>
      <c r="O195" s="240"/>
    </row>
    <row r="196" spans="1:20" ht="12" customHeight="1">
      <c r="A196" s="240"/>
      <c r="B196" s="242"/>
      <c r="C196" s="239"/>
      <c r="D196" s="239"/>
      <c r="E196" s="239"/>
      <c r="F196" s="239"/>
      <c r="G196" s="239"/>
      <c r="H196" s="241"/>
      <c r="I196" s="241"/>
      <c r="J196" s="243"/>
      <c r="K196" s="239"/>
      <c r="L196" s="239"/>
      <c r="M196" s="239"/>
      <c r="N196" s="240"/>
      <c r="O196" s="240"/>
    </row>
    <row r="197" spans="1:20" ht="12" customHeight="1">
      <c r="A197" s="240"/>
      <c r="B197" s="245"/>
      <c r="C197" s="244"/>
      <c r="D197" s="239"/>
      <c r="E197" s="239"/>
      <c r="F197" s="239"/>
      <c r="G197" s="239"/>
      <c r="H197" s="241"/>
      <c r="I197" s="241"/>
      <c r="J197" s="243"/>
      <c r="K197" s="239"/>
      <c r="L197" s="239"/>
      <c r="M197" s="239"/>
      <c r="N197" s="240"/>
      <c r="O197" s="240"/>
    </row>
    <row r="198" spans="1:20" ht="12" customHeight="1">
      <c r="A198" s="240"/>
      <c r="B198" s="244"/>
      <c r="C198" s="244"/>
      <c r="D198" s="239"/>
      <c r="E198" s="239"/>
      <c r="F198" s="239"/>
      <c r="G198" s="239"/>
      <c r="H198" s="241"/>
      <c r="I198" s="241"/>
      <c r="J198" s="243"/>
      <c r="K198" s="239"/>
      <c r="L198" s="239"/>
      <c r="M198" s="239"/>
      <c r="N198" s="240"/>
      <c r="O198" s="240"/>
    </row>
    <row r="199" spans="1:20" ht="12" customHeight="1">
      <c r="A199" s="240"/>
      <c r="B199" s="244"/>
      <c r="C199" s="244"/>
      <c r="D199" s="239"/>
      <c r="E199" s="239"/>
      <c r="F199" s="239"/>
      <c r="G199" s="239"/>
      <c r="H199" s="241"/>
      <c r="I199" s="241"/>
      <c r="J199" s="243"/>
      <c r="K199" s="239"/>
      <c r="L199" s="239"/>
      <c r="M199" s="239"/>
      <c r="N199" s="240"/>
      <c r="O199" s="240"/>
    </row>
    <row r="200" spans="1:20" ht="12" customHeight="1">
      <c r="A200" s="240"/>
      <c r="B200" s="244"/>
      <c r="C200" s="244"/>
      <c r="D200" s="239"/>
      <c r="E200" s="239"/>
      <c r="F200" s="239"/>
      <c r="G200" s="239"/>
      <c r="H200" s="241"/>
      <c r="I200" s="241"/>
      <c r="J200" s="243"/>
      <c r="K200" s="239"/>
      <c r="L200" s="239"/>
      <c r="M200" s="239"/>
      <c r="N200" s="240"/>
      <c r="O200" s="240"/>
    </row>
    <row r="201" spans="1:20" ht="12" customHeight="1">
      <c r="A201" s="240"/>
      <c r="B201" s="245"/>
      <c r="C201" s="244"/>
      <c r="D201" s="239"/>
      <c r="E201" s="239"/>
      <c r="F201" s="239"/>
      <c r="G201" s="239"/>
      <c r="H201" s="241"/>
      <c r="I201" s="241"/>
      <c r="J201" s="243"/>
      <c r="K201" s="239"/>
      <c r="L201" s="239"/>
      <c r="M201" s="239"/>
      <c r="N201" s="240"/>
      <c r="O201" s="240"/>
    </row>
    <row r="202" spans="1:20" ht="12" customHeight="1">
      <c r="B202" s="244"/>
      <c r="C202" s="244"/>
      <c r="D202" s="239"/>
      <c r="E202" s="239"/>
      <c r="F202" s="239"/>
      <c r="G202" s="239"/>
      <c r="H202" s="241"/>
      <c r="I202" s="241"/>
      <c r="J202" s="243"/>
      <c r="K202" s="239"/>
      <c r="L202" s="239"/>
      <c r="M202" s="239"/>
      <c r="N202" s="240"/>
      <c r="O202" s="240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19 D19" name="Fund Name_1_1_1_3_1_1"/>
    <protectedRange password="CADF" sqref="N19:O19 H19:I19" name="Yield_1_1_2_1_3"/>
    <protectedRange password="CADF" sqref="L19:M19 F19:G19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43:J145 D143:D145" name="Fund Name_1_1_1_2"/>
    <protectedRange password="CADF" sqref="N143:O145 H143:I145" name="Yield_1_1_2_2"/>
    <protectedRange password="CADF" sqref="L143:M145 F143:G145" name="Fund Name_1_1_1_1_2"/>
    <protectedRange password="CADF" sqref="N47:O47 H47:I47" name="Yield_1_1_2_1_1_1_1_1"/>
    <protectedRange password="CADF" sqref="J94:J95 D94:D95" name="Yield_2_1_2_6_3"/>
  </protectedRanges>
  <mergeCells count="43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30:W30"/>
    <mergeCell ref="P2:Q2"/>
    <mergeCell ref="R2:S2"/>
    <mergeCell ref="V31:W31"/>
    <mergeCell ref="V32:W32"/>
    <mergeCell ref="V35:W35"/>
    <mergeCell ref="U40:U41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39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4"/>
      <c r="F3" s="104"/>
      <c r="G3" s="104"/>
    </row>
    <row r="4" spans="1:7">
      <c r="E4" s="104"/>
      <c r="F4" s="104"/>
      <c r="G4" s="104"/>
    </row>
    <row r="5" spans="1:7">
      <c r="E5" s="104"/>
      <c r="F5" s="104"/>
      <c r="G5" s="104"/>
    </row>
    <row r="6" spans="1:7">
      <c r="E6" s="101" t="s">
        <v>65</v>
      </c>
      <c r="F6" s="102" t="s">
        <v>155</v>
      </c>
      <c r="G6" s="104"/>
    </row>
    <row r="7" spans="1:7">
      <c r="E7" s="197" t="s">
        <v>0</v>
      </c>
      <c r="F7" s="103">
        <f>'NAV Trend'!J2</f>
        <v>16995023834.229998</v>
      </c>
      <c r="G7" s="104"/>
    </row>
    <row r="8" spans="1:7">
      <c r="E8" s="197" t="s">
        <v>44</v>
      </c>
      <c r="F8" s="103">
        <f>'NAV Trend'!J3</f>
        <v>806100368208.14038</v>
      </c>
      <c r="G8" s="104"/>
    </row>
    <row r="9" spans="1:7">
      <c r="A9" s="104"/>
      <c r="B9" s="104"/>
      <c r="E9" s="197" t="s">
        <v>197</v>
      </c>
      <c r="F9" s="103">
        <f>'NAV Trend'!J4</f>
        <v>326343931654.87665</v>
      </c>
      <c r="G9" s="104"/>
    </row>
    <row r="10" spans="1:7">
      <c r="A10" s="457"/>
      <c r="B10" s="457"/>
      <c r="E10" s="197" t="s">
        <v>199</v>
      </c>
      <c r="F10" s="103">
        <f>'NAV Trend'!J5</f>
        <v>334539052167.92297</v>
      </c>
      <c r="G10" s="104"/>
    </row>
    <row r="11" spans="1:7">
      <c r="A11" s="97"/>
      <c r="B11" s="97"/>
      <c r="E11" s="197" t="s">
        <v>216</v>
      </c>
      <c r="F11" s="103">
        <f>'NAV Trend'!J6</f>
        <v>94163780372.309998</v>
      </c>
      <c r="G11" s="104"/>
    </row>
    <row r="12" spans="1:7">
      <c r="A12" s="98"/>
      <c r="B12" s="99"/>
      <c r="E12" s="197" t="s">
        <v>61</v>
      </c>
      <c r="F12" s="103">
        <f>'NAV Trend'!J7</f>
        <v>31685014995.591473</v>
      </c>
      <c r="G12" s="104"/>
    </row>
    <row r="13" spans="1:7">
      <c r="A13" s="98"/>
      <c r="B13" s="99"/>
      <c r="E13" s="197" t="s">
        <v>67</v>
      </c>
      <c r="F13" s="103">
        <f>'NAV Trend'!J8</f>
        <v>3058498106.9700003</v>
      </c>
      <c r="G13" s="104"/>
    </row>
    <row r="14" spans="1:7">
      <c r="A14" s="98"/>
      <c r="B14" s="99"/>
      <c r="E14" s="197" t="s">
        <v>212</v>
      </c>
      <c r="F14" s="198">
        <f>'NAV Trend'!J9</f>
        <v>25223397111.16</v>
      </c>
      <c r="G14" s="104"/>
    </row>
    <row r="15" spans="1:7">
      <c r="A15" s="98"/>
      <c r="B15" s="99"/>
      <c r="E15" s="104"/>
      <c r="F15" s="104"/>
      <c r="G15" s="104"/>
    </row>
    <row r="16" spans="1:7">
      <c r="A16" s="98"/>
      <c r="B16" s="99"/>
      <c r="E16" s="104"/>
      <c r="F16" s="104"/>
      <c r="G16" s="104"/>
    </row>
    <row r="17" spans="1:13">
      <c r="A17" s="98"/>
      <c r="B17" s="99"/>
      <c r="E17" s="104"/>
      <c r="F17" s="104"/>
      <c r="G17" s="104"/>
    </row>
    <row r="18" spans="1:13">
      <c r="A18" s="98"/>
      <c r="B18" s="99"/>
      <c r="E18" s="104"/>
      <c r="F18" s="104"/>
      <c r="G18" s="104"/>
    </row>
    <row r="19" spans="1:13">
      <c r="A19" s="98"/>
      <c r="B19" s="99"/>
      <c r="E19" s="104"/>
      <c r="F19" s="104"/>
      <c r="G19" s="104"/>
    </row>
    <row r="24" spans="1:13" s="95" customFormat="1" ht="21.75" customHeight="1"/>
    <row r="25" spans="1:13" ht="30.75" customHeight="1">
      <c r="B25" s="395" t="s">
        <v>157</v>
      </c>
      <c r="M25" s="96"/>
    </row>
    <row r="26" spans="1:13" ht="43.5" customHeight="1">
      <c r="B26" s="458" t="s">
        <v>287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10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C1" activePane="topRight" state="frozen"/>
      <selection activeCell="B1" sqref="B1"/>
      <selection pane="topRight" activeCell="E14" sqref="E14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50" t="s">
        <v>65</v>
      </c>
      <c r="C1" s="344">
        <v>45002</v>
      </c>
      <c r="D1" s="344">
        <v>45009</v>
      </c>
      <c r="E1" s="344">
        <v>45016</v>
      </c>
      <c r="F1" s="344">
        <v>45022</v>
      </c>
      <c r="G1" s="344">
        <v>45030</v>
      </c>
      <c r="H1" s="344">
        <v>45036</v>
      </c>
      <c r="I1" s="344">
        <v>45044</v>
      </c>
      <c r="J1" s="344">
        <v>45051</v>
      </c>
      <c r="K1" s="344">
        <v>45058</v>
      </c>
      <c r="L1" s="308"/>
    </row>
    <row r="2" spans="2:24" s="110" customFormat="1" ht="16.5">
      <c r="B2" s="351" t="s">
        <v>0</v>
      </c>
      <c r="C2" s="345">
        <v>17018697028.65</v>
      </c>
      <c r="D2" s="345">
        <v>17022340090.360001</v>
      </c>
      <c r="E2" s="345">
        <v>16999391000.99</v>
      </c>
      <c r="F2" s="345">
        <v>16887170786.960003</v>
      </c>
      <c r="G2" s="345">
        <v>16546902385.180002</v>
      </c>
      <c r="H2" s="345">
        <v>16580432011.360001</v>
      </c>
      <c r="I2" s="345">
        <v>16794813036.269999</v>
      </c>
      <c r="J2" s="345">
        <v>16995023834.229998</v>
      </c>
      <c r="K2" s="345">
        <v>16966112297.950001</v>
      </c>
    </row>
    <row r="3" spans="2:24" s="110" customFormat="1" ht="16.5">
      <c r="B3" s="351" t="s">
        <v>44</v>
      </c>
      <c r="C3" s="346">
        <v>808804557491.32593</v>
      </c>
      <c r="D3" s="346">
        <v>808555564328.63843</v>
      </c>
      <c r="E3" s="346">
        <v>806141589764.57471</v>
      </c>
      <c r="F3" s="346">
        <v>809389465815.42651</v>
      </c>
      <c r="G3" s="346">
        <v>813597370074.91248</v>
      </c>
      <c r="H3" s="346">
        <v>806059217034.32275</v>
      </c>
      <c r="I3" s="346">
        <v>792540018978.42993</v>
      </c>
      <c r="J3" s="346">
        <v>806100368208.14038</v>
      </c>
      <c r="K3" s="346">
        <v>813613346034.13635</v>
      </c>
    </row>
    <row r="4" spans="2:24" s="110" customFormat="1" ht="16.5">
      <c r="B4" s="351" t="s">
        <v>197</v>
      </c>
      <c r="C4" s="345">
        <v>338781243498.64948</v>
      </c>
      <c r="D4" s="345">
        <v>329560582532.39893</v>
      </c>
      <c r="E4" s="345">
        <v>325274738811.00598</v>
      </c>
      <c r="F4" s="345">
        <v>324645636399.64471</v>
      </c>
      <c r="G4" s="345">
        <v>325325671083.40485</v>
      </c>
      <c r="H4" s="345">
        <v>325304566651.13672</v>
      </c>
      <c r="I4" s="345">
        <v>324966477016.1626</v>
      </c>
      <c r="J4" s="345">
        <v>326343931654.87665</v>
      </c>
      <c r="K4" s="345">
        <v>326621734089.72247</v>
      </c>
    </row>
    <row r="5" spans="2:24" s="110" customFormat="1" ht="16.5">
      <c r="B5" s="351" t="s">
        <v>199</v>
      </c>
      <c r="C5" s="346">
        <v>317395334099.62982</v>
      </c>
      <c r="D5" s="346">
        <v>313889534077.08875</v>
      </c>
      <c r="E5" s="346">
        <v>315799107802.45465</v>
      </c>
      <c r="F5" s="346">
        <v>328369020682.2923</v>
      </c>
      <c r="G5" s="346">
        <v>329288437990.39252</v>
      </c>
      <c r="H5" s="346">
        <v>333300918749.29321</v>
      </c>
      <c r="I5" s="346">
        <v>332681726568.12634</v>
      </c>
      <c r="J5" s="346">
        <v>334539052167.92297</v>
      </c>
      <c r="K5" s="346">
        <v>331372584980.02832</v>
      </c>
    </row>
    <row r="6" spans="2:24" s="110" customFormat="1" ht="16.5">
      <c r="B6" s="351" t="s">
        <v>217</v>
      </c>
      <c r="C6" s="345">
        <v>46442483642.769997</v>
      </c>
      <c r="D6" s="345">
        <v>46448137747.110001</v>
      </c>
      <c r="E6" s="345">
        <v>46504435280.830002</v>
      </c>
      <c r="F6" s="345">
        <v>46547556602.110001</v>
      </c>
      <c r="G6" s="345">
        <v>46562248546.230003</v>
      </c>
      <c r="H6" s="345">
        <v>47203225292.739998</v>
      </c>
      <c r="I6" s="345">
        <v>47216549017.909996</v>
      </c>
      <c r="J6" s="345">
        <v>94163780372.309998</v>
      </c>
      <c r="K6" s="345">
        <v>94193238006.570007</v>
      </c>
    </row>
    <row r="7" spans="2:24" s="110" customFormat="1" ht="16.5">
      <c r="B7" s="351" t="s">
        <v>226</v>
      </c>
      <c r="C7" s="347">
        <v>31193956823.055714</v>
      </c>
      <c r="D7" s="347">
        <v>31270923143.617718</v>
      </c>
      <c r="E7" s="347">
        <v>31357580652.94627</v>
      </c>
      <c r="F7" s="347">
        <v>31214054403.725143</v>
      </c>
      <c r="G7" s="347">
        <v>31040700634.661449</v>
      </c>
      <c r="H7" s="347">
        <v>31064229357.892361</v>
      </c>
      <c r="I7" s="347">
        <v>31321324637.973106</v>
      </c>
      <c r="J7" s="347">
        <v>31685014995.591473</v>
      </c>
      <c r="K7" s="347">
        <v>31764157613.919247</v>
      </c>
    </row>
    <row r="8" spans="2:24" s="289" customFormat="1" ht="16.5">
      <c r="B8" s="351" t="s">
        <v>67</v>
      </c>
      <c r="C8" s="345">
        <v>3138053697.2600002</v>
      </c>
      <c r="D8" s="345">
        <v>3062737011.3699999</v>
      </c>
      <c r="E8" s="345">
        <v>3065619906.6200004</v>
      </c>
      <c r="F8" s="345">
        <v>3044973052.6900001</v>
      </c>
      <c r="G8" s="345">
        <v>2397610345.79</v>
      </c>
      <c r="H8" s="345">
        <v>3016712191.5299997</v>
      </c>
      <c r="I8" s="345">
        <v>3019546321.4400001</v>
      </c>
      <c r="J8" s="345">
        <v>3058498106.9700003</v>
      </c>
      <c r="K8" s="345">
        <v>3052374164.9300003</v>
      </c>
    </row>
    <row r="9" spans="2:24" ht="16.5">
      <c r="B9" s="351" t="s">
        <v>212</v>
      </c>
      <c r="C9" s="345">
        <v>25167427500.150002</v>
      </c>
      <c r="D9" s="345">
        <v>25123628784.880001</v>
      </c>
      <c r="E9" s="345">
        <v>25237093944.099998</v>
      </c>
      <c r="F9" s="345">
        <v>25308511589.740002</v>
      </c>
      <c r="G9" s="345">
        <v>25115154237.279999</v>
      </c>
      <c r="H9" s="345">
        <v>25259823709.369999</v>
      </c>
      <c r="I9" s="345">
        <v>25078820531.75</v>
      </c>
      <c r="J9" s="345">
        <v>25223397111.16</v>
      </c>
      <c r="K9" s="345">
        <v>25289708132.780003</v>
      </c>
    </row>
    <row r="10" spans="2:24" s="1" customFormat="1" ht="15.75">
      <c r="B10" s="352" t="s">
        <v>254</v>
      </c>
      <c r="C10" s="353">
        <f t="shared" ref="C10:D10" si="0">SUM(C2:C9)</f>
        <v>1587941753781.491</v>
      </c>
      <c r="D10" s="353">
        <f t="shared" si="0"/>
        <v>1574933447715.4641</v>
      </c>
      <c r="E10" s="353">
        <f t="shared" ref="E10:J10" si="1">SUM(E2:E9)</f>
        <v>1570379557163.522</v>
      </c>
      <c r="F10" s="353">
        <f t="shared" si="1"/>
        <v>1585406389332.5886</v>
      </c>
      <c r="G10" s="353">
        <f t="shared" si="1"/>
        <v>1589874095297.8513</v>
      </c>
      <c r="H10" s="353">
        <f t="shared" si="1"/>
        <v>1587789124997.645</v>
      </c>
      <c r="I10" s="353">
        <f t="shared" si="1"/>
        <v>1573619276108.0618</v>
      </c>
      <c r="J10" s="353">
        <f t="shared" si="1"/>
        <v>1638109066451.2014</v>
      </c>
      <c r="K10" s="353">
        <f t="shared" ref="K10" si="2">SUM(K2:K9)</f>
        <v>1642873255320.0364</v>
      </c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2:24" ht="6.75" customHeight="1">
      <c r="B11" s="348"/>
      <c r="C11" s="349"/>
      <c r="D11" s="349"/>
      <c r="E11" s="349"/>
      <c r="F11" s="349"/>
      <c r="G11" s="349"/>
      <c r="H11" s="349"/>
      <c r="I11" s="349"/>
      <c r="J11" s="348"/>
      <c r="K11" s="348"/>
    </row>
    <row r="12" spans="2:24" ht="15.75">
      <c r="B12" s="354" t="s">
        <v>116</v>
      </c>
      <c r="C12" s="355" t="s">
        <v>115</v>
      </c>
      <c r="D12" s="356">
        <f>(C10+D10)/2</f>
        <v>1581437600748.4775</v>
      </c>
      <c r="E12" s="357">
        <f t="shared" ref="E12:K12" si="3">(D10+E10)/2</f>
        <v>1572656502439.4932</v>
      </c>
      <c r="F12" s="357">
        <f t="shared" si="3"/>
        <v>1577892973248.0552</v>
      </c>
      <c r="G12" s="357">
        <f t="shared" si="3"/>
        <v>1587640242315.22</v>
      </c>
      <c r="H12" s="357">
        <f>(G10+H10)/2</f>
        <v>1588831610147.748</v>
      </c>
      <c r="I12" s="357">
        <f t="shared" si="3"/>
        <v>1580704200552.8535</v>
      </c>
      <c r="J12" s="357">
        <f t="shared" si="3"/>
        <v>1605864171279.6316</v>
      </c>
      <c r="K12" s="357">
        <f t="shared" si="3"/>
        <v>1640491160885.6189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91"/>
      <c r="I14" s="92"/>
      <c r="J14" s="91"/>
    </row>
    <row r="15" spans="2:24" ht="16.5">
      <c r="B15" s="350" t="s">
        <v>65</v>
      </c>
      <c r="C15" s="344">
        <v>45051</v>
      </c>
      <c r="D15" s="344">
        <v>45058</v>
      </c>
      <c r="E15" s="10"/>
      <c r="F15" s="10"/>
      <c r="G15" s="10"/>
      <c r="H15" s="361"/>
      <c r="I15" s="361"/>
    </row>
    <row r="16" spans="2:24" ht="16.5">
      <c r="B16" s="351" t="s">
        <v>0</v>
      </c>
      <c r="C16" s="345">
        <v>16995023834.229998</v>
      </c>
      <c r="D16" s="345">
        <v>16966112297.950001</v>
      </c>
      <c r="E16" s="10"/>
      <c r="F16" s="10"/>
      <c r="G16" s="10"/>
      <c r="H16" s="363"/>
      <c r="I16" s="363"/>
      <c r="J16" s="92"/>
    </row>
    <row r="17" spans="2:10" ht="16.5">
      <c r="B17" s="351" t="s">
        <v>44</v>
      </c>
      <c r="C17" s="346">
        <v>806100368208.14038</v>
      </c>
      <c r="D17" s="346">
        <v>813613346034.13635</v>
      </c>
      <c r="E17" s="10"/>
      <c r="F17" s="10"/>
      <c r="G17" s="10"/>
      <c r="H17" s="364"/>
      <c r="I17" s="364"/>
    </row>
    <row r="18" spans="2:10" ht="16.5">
      <c r="B18" s="351" t="s">
        <v>197</v>
      </c>
      <c r="C18" s="345">
        <v>326343931654.87665</v>
      </c>
      <c r="D18" s="345">
        <v>326621734089.72247</v>
      </c>
      <c r="E18" s="9"/>
      <c r="F18" s="9"/>
      <c r="G18" s="9"/>
      <c r="H18" s="363"/>
      <c r="I18" s="363"/>
    </row>
    <row r="19" spans="2:10" ht="16.5">
      <c r="B19" s="351" t="s">
        <v>199</v>
      </c>
      <c r="C19" s="346">
        <v>334539052167.92297</v>
      </c>
      <c r="D19" s="346">
        <v>331372584980.02832</v>
      </c>
      <c r="E19" s="8"/>
      <c r="F19" s="8"/>
      <c r="G19" s="8"/>
      <c r="H19" s="364"/>
      <c r="I19" s="364"/>
    </row>
    <row r="20" spans="2:10" ht="16.5">
      <c r="B20" s="351" t="s">
        <v>217</v>
      </c>
      <c r="C20" s="345">
        <v>94163780372.309998</v>
      </c>
      <c r="D20" s="345">
        <v>94193238006.570007</v>
      </c>
      <c r="E20" s="8"/>
      <c r="F20" s="8"/>
      <c r="G20" s="8"/>
      <c r="H20" s="363"/>
      <c r="I20" s="363"/>
      <c r="J20" s="93"/>
    </row>
    <row r="21" spans="2:10" ht="16.5">
      <c r="B21" s="351" t="s">
        <v>226</v>
      </c>
      <c r="C21" s="347">
        <v>31685014995.591473</v>
      </c>
      <c r="D21" s="347">
        <v>31764157613.919247</v>
      </c>
      <c r="E21" s="8"/>
      <c r="F21" s="8"/>
      <c r="G21" s="8"/>
      <c r="H21" s="365"/>
      <c r="I21" s="365"/>
    </row>
    <row r="22" spans="2:10" ht="16.5">
      <c r="B22" s="351" t="s">
        <v>67</v>
      </c>
      <c r="C22" s="345">
        <v>3058498106.9700003</v>
      </c>
      <c r="D22" s="345">
        <v>3052374164.9300003</v>
      </c>
      <c r="E22" s="8"/>
      <c r="F22" s="8"/>
      <c r="G22" s="8"/>
      <c r="H22" s="363"/>
      <c r="I22" s="363"/>
    </row>
    <row r="23" spans="2:10" ht="16.5">
      <c r="B23" s="351" t="s">
        <v>212</v>
      </c>
      <c r="C23" s="345">
        <v>25223397111.16</v>
      </c>
      <c r="D23" s="345">
        <v>25289708132.780003</v>
      </c>
      <c r="E23" s="8"/>
      <c r="F23" s="8"/>
      <c r="G23" s="8"/>
      <c r="H23" s="363"/>
      <c r="I23" s="363"/>
    </row>
    <row r="24" spans="2:10" ht="16.5">
      <c r="B24" s="362"/>
      <c r="C24" s="363"/>
      <c r="D24" s="8"/>
      <c r="E24" s="8"/>
      <c r="F24" s="8"/>
      <c r="G24" s="8"/>
      <c r="H24" s="363"/>
    </row>
    <row r="25" spans="2:10" ht="16.5">
      <c r="B25" s="362"/>
      <c r="C25" s="363"/>
      <c r="D25" s="8"/>
      <c r="E25" s="8"/>
      <c r="F25" s="8"/>
      <c r="G25" s="8"/>
      <c r="H25" s="363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9"/>
  <sheetViews>
    <sheetView zoomScaleNormal="10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1.140625" style="360" customWidth="1"/>
    <col min="3" max="3" width="9.28515625" style="360" customWidth="1"/>
    <col min="4" max="4" width="18.85546875" style="360" customWidth="1"/>
    <col min="5" max="7" width="9.28515625" style="360" customWidth="1"/>
    <col min="8" max="8" width="18.5703125" style="375" customWidth="1"/>
    <col min="9" max="11" width="9.28515625" style="375" customWidth="1"/>
    <col min="12" max="12" width="17.28515625" style="375" customWidth="1"/>
    <col min="13" max="15" width="9.28515625" style="375" customWidth="1"/>
    <col min="16" max="16" width="19" style="375" customWidth="1"/>
    <col min="17" max="17" width="9.85546875" style="375" customWidth="1"/>
    <col min="18" max="19" width="9.28515625" style="375" customWidth="1"/>
    <col min="20" max="20" width="19.85546875" style="375" customWidth="1"/>
    <col min="21" max="23" width="9.28515625" style="375" customWidth="1"/>
    <col min="24" max="24" width="20.42578125" style="375" customWidth="1"/>
    <col min="25" max="27" width="9.28515625" style="375" customWidth="1"/>
    <col min="28" max="28" width="21.140625" style="375" customWidth="1"/>
    <col min="29" max="31" width="9.28515625" style="375" customWidth="1"/>
    <col min="32" max="32" width="23" style="375" customWidth="1"/>
    <col min="33" max="35" width="9.28515625" style="37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10" customFormat="1" ht="37.5" customHeight="1" thickBot="1">
      <c r="A1" s="459" t="s">
        <v>72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1"/>
    </row>
    <row r="2" spans="1:49" ht="30.75" customHeight="1">
      <c r="A2" s="203"/>
      <c r="B2" s="462" t="s">
        <v>259</v>
      </c>
      <c r="C2" s="462"/>
      <c r="D2" s="462" t="s">
        <v>263</v>
      </c>
      <c r="E2" s="462"/>
      <c r="F2" s="462" t="s">
        <v>63</v>
      </c>
      <c r="G2" s="462"/>
      <c r="H2" s="462" t="s">
        <v>267</v>
      </c>
      <c r="I2" s="462"/>
      <c r="J2" s="462" t="s">
        <v>63</v>
      </c>
      <c r="K2" s="462"/>
      <c r="L2" s="462" t="s">
        <v>268</v>
      </c>
      <c r="M2" s="462"/>
      <c r="N2" s="462" t="s">
        <v>63</v>
      </c>
      <c r="O2" s="462"/>
      <c r="P2" s="462" t="s">
        <v>273</v>
      </c>
      <c r="Q2" s="462"/>
      <c r="R2" s="462" t="s">
        <v>63</v>
      </c>
      <c r="S2" s="462"/>
      <c r="T2" s="462" t="s">
        <v>278</v>
      </c>
      <c r="U2" s="462"/>
      <c r="V2" s="462" t="s">
        <v>63</v>
      </c>
      <c r="W2" s="462"/>
      <c r="X2" s="462" t="s">
        <v>279</v>
      </c>
      <c r="Y2" s="462"/>
      <c r="Z2" s="462" t="s">
        <v>63</v>
      </c>
      <c r="AA2" s="462"/>
      <c r="AB2" s="462" t="s">
        <v>281</v>
      </c>
      <c r="AC2" s="462"/>
      <c r="AD2" s="462" t="s">
        <v>63</v>
      </c>
      <c r="AE2" s="462"/>
      <c r="AF2" s="462" t="s">
        <v>286</v>
      </c>
      <c r="AG2" s="462"/>
      <c r="AH2" s="462" t="s">
        <v>63</v>
      </c>
      <c r="AI2" s="462"/>
      <c r="AJ2" s="462" t="s">
        <v>79</v>
      </c>
      <c r="AK2" s="462"/>
      <c r="AL2" s="462" t="s">
        <v>80</v>
      </c>
      <c r="AM2" s="462"/>
      <c r="AN2" s="462" t="s">
        <v>71</v>
      </c>
      <c r="AO2" s="463"/>
      <c r="AP2" s="14"/>
      <c r="AQ2" s="464" t="s">
        <v>84</v>
      </c>
      <c r="AR2" s="465"/>
      <c r="AS2" s="14"/>
      <c r="AT2" s="14"/>
    </row>
    <row r="3" spans="1:49" ht="14.25" customHeight="1">
      <c r="A3" s="204" t="s">
        <v>2</v>
      </c>
      <c r="B3" s="194" t="s">
        <v>59</v>
      </c>
      <c r="C3" s="195" t="s">
        <v>3</v>
      </c>
      <c r="D3" s="194" t="s">
        <v>59</v>
      </c>
      <c r="E3" s="195" t="s">
        <v>3</v>
      </c>
      <c r="F3" s="199" t="s">
        <v>59</v>
      </c>
      <c r="G3" s="200" t="s">
        <v>3</v>
      </c>
      <c r="H3" s="194" t="s">
        <v>59</v>
      </c>
      <c r="I3" s="195" t="s">
        <v>3</v>
      </c>
      <c r="J3" s="199" t="s">
        <v>59</v>
      </c>
      <c r="K3" s="200" t="s">
        <v>3</v>
      </c>
      <c r="L3" s="194" t="s">
        <v>59</v>
      </c>
      <c r="M3" s="195" t="s">
        <v>3</v>
      </c>
      <c r="N3" s="199" t="s">
        <v>59</v>
      </c>
      <c r="O3" s="200" t="s">
        <v>3</v>
      </c>
      <c r="P3" s="194" t="s">
        <v>59</v>
      </c>
      <c r="Q3" s="195" t="s">
        <v>3</v>
      </c>
      <c r="R3" s="199" t="s">
        <v>59</v>
      </c>
      <c r="S3" s="200" t="s">
        <v>3</v>
      </c>
      <c r="T3" s="194" t="s">
        <v>59</v>
      </c>
      <c r="U3" s="195" t="s">
        <v>3</v>
      </c>
      <c r="V3" s="199" t="s">
        <v>59</v>
      </c>
      <c r="W3" s="200" t="s">
        <v>3</v>
      </c>
      <c r="X3" s="194" t="s">
        <v>59</v>
      </c>
      <c r="Y3" s="195" t="s">
        <v>3</v>
      </c>
      <c r="Z3" s="199" t="s">
        <v>59</v>
      </c>
      <c r="AA3" s="200" t="s">
        <v>3</v>
      </c>
      <c r="AB3" s="194" t="s">
        <v>59</v>
      </c>
      <c r="AC3" s="195" t="s">
        <v>3</v>
      </c>
      <c r="AD3" s="199" t="s">
        <v>59</v>
      </c>
      <c r="AE3" s="200" t="s">
        <v>3</v>
      </c>
      <c r="AF3" s="194" t="s">
        <v>59</v>
      </c>
      <c r="AG3" s="195" t="s">
        <v>3</v>
      </c>
      <c r="AH3" s="199" t="s">
        <v>59</v>
      </c>
      <c r="AI3" s="200" t="s">
        <v>3</v>
      </c>
      <c r="AJ3" s="199" t="s">
        <v>59</v>
      </c>
      <c r="AK3" s="200" t="s">
        <v>3</v>
      </c>
      <c r="AL3" s="199" t="s">
        <v>59</v>
      </c>
      <c r="AM3" s="200" t="s">
        <v>3</v>
      </c>
      <c r="AN3" s="199" t="s">
        <v>59</v>
      </c>
      <c r="AO3" s="201" t="s">
        <v>3</v>
      </c>
      <c r="AP3" s="14"/>
      <c r="AQ3" s="17" t="s">
        <v>59</v>
      </c>
      <c r="AR3" s="18" t="s">
        <v>3</v>
      </c>
      <c r="AS3" s="14"/>
      <c r="AT3" s="14"/>
    </row>
    <row r="4" spans="1:49">
      <c r="A4" s="205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78</v>
      </c>
      <c r="G4" s="19" t="s">
        <v>78</v>
      </c>
      <c r="H4" s="67" t="s">
        <v>4</v>
      </c>
      <c r="I4" s="67" t="s">
        <v>4</v>
      </c>
      <c r="J4" s="19" t="s">
        <v>78</v>
      </c>
      <c r="K4" s="19" t="s">
        <v>78</v>
      </c>
      <c r="L4" s="67" t="s">
        <v>4</v>
      </c>
      <c r="M4" s="67" t="s">
        <v>4</v>
      </c>
      <c r="N4" s="19" t="s">
        <v>78</v>
      </c>
      <c r="O4" s="19" t="s">
        <v>78</v>
      </c>
      <c r="P4" s="67" t="s">
        <v>4</v>
      </c>
      <c r="Q4" s="67" t="s">
        <v>4</v>
      </c>
      <c r="R4" s="19" t="s">
        <v>78</v>
      </c>
      <c r="S4" s="19" t="s">
        <v>78</v>
      </c>
      <c r="T4" s="67" t="s">
        <v>4</v>
      </c>
      <c r="U4" s="67" t="s">
        <v>4</v>
      </c>
      <c r="V4" s="19" t="s">
        <v>78</v>
      </c>
      <c r="W4" s="19" t="s">
        <v>78</v>
      </c>
      <c r="X4" s="67" t="s">
        <v>4</v>
      </c>
      <c r="Y4" s="67" t="s">
        <v>4</v>
      </c>
      <c r="Z4" s="19" t="s">
        <v>78</v>
      </c>
      <c r="AA4" s="19" t="s">
        <v>78</v>
      </c>
      <c r="AB4" s="67" t="s">
        <v>4</v>
      </c>
      <c r="AC4" s="67" t="s">
        <v>4</v>
      </c>
      <c r="AD4" s="19" t="s">
        <v>78</v>
      </c>
      <c r="AE4" s="19" t="s">
        <v>78</v>
      </c>
      <c r="AF4" s="67" t="s">
        <v>4</v>
      </c>
      <c r="AG4" s="67" t="s">
        <v>4</v>
      </c>
      <c r="AH4" s="19" t="s">
        <v>78</v>
      </c>
      <c r="AI4" s="19" t="s">
        <v>78</v>
      </c>
      <c r="AJ4" s="20" t="s">
        <v>78</v>
      </c>
      <c r="AK4" s="20" t="s">
        <v>78</v>
      </c>
      <c r="AL4" s="21" t="s">
        <v>78</v>
      </c>
      <c r="AM4" s="21" t="s">
        <v>78</v>
      </c>
      <c r="AN4" s="15" t="s">
        <v>78</v>
      </c>
      <c r="AO4" s="16" t="s">
        <v>78</v>
      </c>
      <c r="AP4" s="14"/>
      <c r="AQ4" s="22" t="s">
        <v>4</v>
      </c>
      <c r="AR4" s="22" t="s">
        <v>4</v>
      </c>
      <c r="AS4" s="14"/>
      <c r="AT4" s="14"/>
    </row>
    <row r="5" spans="1:49">
      <c r="A5" s="206" t="s">
        <v>13</v>
      </c>
      <c r="B5" s="330">
        <v>429461307.76999998</v>
      </c>
      <c r="C5" s="329">
        <v>203.44919999999999</v>
      </c>
      <c r="D5" s="330">
        <v>428538467.31999999</v>
      </c>
      <c r="E5" s="329">
        <v>203.11279999999999</v>
      </c>
      <c r="F5" s="23">
        <f t="shared" ref="F5:F20" si="0">((D5-B5)/B5)</f>
        <v>-2.1488325800335419E-3</v>
      </c>
      <c r="G5" s="23">
        <f t="shared" ref="G5:G20" si="1">((E5-C5)/C5)</f>
        <v>-1.6534840146827691E-3</v>
      </c>
      <c r="H5" s="330">
        <v>426531501.76999998</v>
      </c>
      <c r="I5" s="329">
        <v>202.834</v>
      </c>
      <c r="J5" s="23">
        <f t="shared" ref="J5:J20" si="2">((H5-D5)/D5)</f>
        <v>-4.6832798057808017E-3</v>
      </c>
      <c r="K5" s="23">
        <f t="shared" ref="K5:K20" si="3">((I5-E5)/E5)</f>
        <v>-1.372636288801049E-3</v>
      </c>
      <c r="L5" s="330">
        <v>419865459.12</v>
      </c>
      <c r="M5" s="329">
        <v>199.80719999999999</v>
      </c>
      <c r="N5" s="23">
        <f t="shared" ref="N5:N20" si="4">((L5-H5)/H5)</f>
        <v>-1.5628488452406334E-2</v>
      </c>
      <c r="O5" s="23">
        <f t="shared" ref="O5:O20" si="5">((M5-I5)/I5)</f>
        <v>-1.4922547501898146E-2</v>
      </c>
      <c r="P5" s="330">
        <v>413703612.5</v>
      </c>
      <c r="Q5" s="329">
        <v>196.5668</v>
      </c>
      <c r="R5" s="23">
        <f t="shared" ref="R5:R20" si="6">((P5-L5)/L5)</f>
        <v>-1.4675764548278578E-2</v>
      </c>
      <c r="S5" s="23">
        <f t="shared" ref="S5:S20" si="7">((Q5-M5)/M5)</f>
        <v>-1.6217633798982188E-2</v>
      </c>
      <c r="T5" s="330">
        <v>413555769.92000002</v>
      </c>
      <c r="U5" s="329">
        <v>196.5264</v>
      </c>
      <c r="V5" s="23">
        <f t="shared" ref="V5:V20" si="8">((T5-P5)/P5)</f>
        <v>-3.5736352193439769E-4</v>
      </c>
      <c r="W5" s="23">
        <f t="shared" ref="W5:W20" si="9">((U5-Q5)/Q5)</f>
        <v>-2.0552809528366601E-4</v>
      </c>
      <c r="X5" s="330">
        <v>426683527.77999997</v>
      </c>
      <c r="Y5" s="329">
        <v>202.7312</v>
      </c>
      <c r="Z5" s="23">
        <f t="shared" ref="Z5:Z20" si="10">((X5-T5)/T5)</f>
        <v>3.1743621573795101E-2</v>
      </c>
      <c r="AA5" s="23">
        <f t="shared" ref="AA5:AA20" si="11">((Y5-U5)/U5)</f>
        <v>3.157234854960965E-2</v>
      </c>
      <c r="AB5" s="330">
        <v>431434117.44999999</v>
      </c>
      <c r="AC5" s="329">
        <v>204.9342</v>
      </c>
      <c r="AD5" s="23">
        <f t="shared" ref="AD5:AD20" si="12">((AB5-X5)/X5)</f>
        <v>1.1133754552740651E-2</v>
      </c>
      <c r="AE5" s="23">
        <f t="shared" ref="AE5:AE20" si="13">((AC5-Y5)/Y5)</f>
        <v>1.0866605633469356E-2</v>
      </c>
      <c r="AF5" s="330">
        <v>433286355.20999998</v>
      </c>
      <c r="AG5" s="329">
        <v>205.8792</v>
      </c>
      <c r="AH5" s="23">
        <f t="shared" ref="AH5:AH20" si="14">((AF5-AB5)/AB5)</f>
        <v>4.2932111418254983E-3</v>
      </c>
      <c r="AI5" s="23">
        <f t="shared" ref="AI5:AI20" si="15">((AG5-AC5)/AC5)</f>
        <v>4.6112361919093698E-3</v>
      </c>
      <c r="AJ5" s="24">
        <f>AVERAGE(F5,J5,N5,R5,V5,Z5,AD5,AH5)</f>
        <v>1.2096072949909498E-3</v>
      </c>
      <c r="AK5" s="24">
        <f>AVERAGE(G5,K5,O5,S5,W5,AA5,AE5,AI5)</f>
        <v>1.5847950844175697E-3</v>
      </c>
      <c r="AL5" s="25">
        <f>((AF5-D5)/D5)</f>
        <v>1.1079257177756749E-2</v>
      </c>
      <c r="AM5" s="25">
        <f>((AG5-E5)/E5)</f>
        <v>1.3620018039237333E-2</v>
      </c>
      <c r="AN5" s="26">
        <f>STDEV(F5,J5,N5,R5,V5,Z5,AD5,AH5)</f>
        <v>1.5234596345963358E-2</v>
      </c>
      <c r="AO5" s="78">
        <f>STDEV(G5,K5,O5,S5,W5,AA5,AE5,AI5)</f>
        <v>1.51488880215329E-2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6" t="s">
        <v>139</v>
      </c>
      <c r="B6" s="329">
        <v>461296914.10000002</v>
      </c>
      <c r="C6" s="329">
        <v>155.51669999999999</v>
      </c>
      <c r="D6" s="329">
        <v>461966312.47000003</v>
      </c>
      <c r="E6" s="329">
        <v>156.00899999999999</v>
      </c>
      <c r="F6" s="23">
        <f t="shared" si="0"/>
        <v>1.4511225840433272E-3</v>
      </c>
      <c r="G6" s="23">
        <f t="shared" si="1"/>
        <v>3.1655764300554234E-3</v>
      </c>
      <c r="H6" s="329">
        <v>464674941.26999998</v>
      </c>
      <c r="I6" s="329">
        <v>156.94110000000001</v>
      </c>
      <c r="J6" s="23">
        <f t="shared" si="2"/>
        <v>5.8632604302198982E-3</v>
      </c>
      <c r="K6" s="23">
        <f t="shared" si="3"/>
        <v>5.9746553083477221E-3</v>
      </c>
      <c r="L6" s="329">
        <v>460001180.99000001</v>
      </c>
      <c r="M6" s="329">
        <v>155.28960000000001</v>
      </c>
      <c r="N6" s="23">
        <f t="shared" si="4"/>
        <v>-1.0058128521469542E-2</v>
      </c>
      <c r="O6" s="23">
        <f t="shared" si="5"/>
        <v>-1.0523056101938872E-2</v>
      </c>
      <c r="P6" s="329">
        <v>457015174.61000001</v>
      </c>
      <c r="Q6" s="329">
        <v>154.28749999999999</v>
      </c>
      <c r="R6" s="23">
        <f t="shared" si="6"/>
        <v>-6.4913015518212507E-3</v>
      </c>
      <c r="S6" s="23">
        <f t="shared" si="7"/>
        <v>-6.4531043933400102E-3</v>
      </c>
      <c r="T6" s="329">
        <v>450867293.81</v>
      </c>
      <c r="U6" s="329">
        <v>152.21360000000001</v>
      </c>
      <c r="V6" s="23">
        <f t="shared" si="8"/>
        <v>-1.3452246536991661E-2</v>
      </c>
      <c r="W6" s="23">
        <f t="shared" si="9"/>
        <v>-1.3441788868184271E-2</v>
      </c>
      <c r="X6" s="329">
        <v>458403469.83999997</v>
      </c>
      <c r="Y6" s="329">
        <v>154.75110000000001</v>
      </c>
      <c r="Z6" s="23">
        <f t="shared" si="10"/>
        <v>1.6714843000290438E-2</v>
      </c>
      <c r="AA6" s="23">
        <f t="shared" si="11"/>
        <v>1.6670652293881715E-2</v>
      </c>
      <c r="AB6" s="329">
        <v>470621417.10000002</v>
      </c>
      <c r="AC6" s="329">
        <v>158.98480000000001</v>
      </c>
      <c r="AD6" s="23">
        <f t="shared" si="12"/>
        <v>2.6653260858310195E-2</v>
      </c>
      <c r="AE6" s="23">
        <f t="shared" si="13"/>
        <v>2.735812540266272E-2</v>
      </c>
      <c r="AF6" s="329">
        <v>475053455.74000001</v>
      </c>
      <c r="AG6" s="329">
        <v>160.4314</v>
      </c>
      <c r="AH6" s="23">
        <f t="shared" si="14"/>
        <v>9.4174180752556857E-3</v>
      </c>
      <c r="AI6" s="23">
        <f t="shared" si="15"/>
        <v>9.0989830474359143E-3</v>
      </c>
      <c r="AJ6" s="24">
        <f t="shared" ref="AJ6:AJ69" si="16">AVERAGE(F6,J6,N6,R6,V6,Z6,AD6,AH6)</f>
        <v>3.7622785422296362E-3</v>
      </c>
      <c r="AK6" s="24">
        <f t="shared" ref="AK6:AK69" si="17">AVERAGE(G6,K6,O6,S6,W6,AA6,AE6,AI6)</f>
        <v>3.9812553898650425E-3</v>
      </c>
      <c r="AL6" s="25">
        <f t="shared" ref="AL6:AL69" si="18">((AF6-D6)/D6)</f>
        <v>2.8329215608875934E-2</v>
      </c>
      <c r="AM6" s="25">
        <f t="shared" ref="AM6:AM69" si="19">((AG6-E6)/E6)</f>
        <v>2.8347082540109935E-2</v>
      </c>
      <c r="AN6" s="26">
        <f t="shared" ref="AN6:AN69" si="20">STDEV(F6,J6,N6,R6,V6,Z6,AD6,AH6)</f>
        <v>1.3763209743913308E-2</v>
      </c>
      <c r="AO6" s="78">
        <f t="shared" ref="AO6:AO69" si="21">STDEV(G6,K6,O6,S6,W6,AA6,AE6,AI6)</f>
        <v>1.3944493763873985E-2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6" t="s">
        <v>11</v>
      </c>
      <c r="B7" s="329">
        <v>2443908316.0900002</v>
      </c>
      <c r="C7" s="329">
        <v>24.079799999999999</v>
      </c>
      <c r="D7" s="329">
        <v>2440871964</v>
      </c>
      <c r="E7" s="329">
        <v>24.042300000000001</v>
      </c>
      <c r="F7" s="23">
        <f t="shared" si="0"/>
        <v>-1.2424165301168095E-3</v>
      </c>
      <c r="G7" s="23">
        <f t="shared" si="1"/>
        <v>-1.5573219046668939E-3</v>
      </c>
      <c r="H7" s="329">
        <v>2450114056.6500001</v>
      </c>
      <c r="I7" s="329">
        <v>24.135400000000001</v>
      </c>
      <c r="J7" s="23">
        <f t="shared" si="2"/>
        <v>3.7863897764037311E-3</v>
      </c>
      <c r="K7" s="23">
        <f t="shared" si="3"/>
        <v>3.8723416644830043E-3</v>
      </c>
      <c r="L7" s="329">
        <v>2407790657.52</v>
      </c>
      <c r="M7" s="329">
        <v>23.709800000000001</v>
      </c>
      <c r="N7" s="23">
        <f t="shared" si="4"/>
        <v>-1.7274052616092571E-2</v>
      </c>
      <c r="O7" s="23">
        <f t="shared" si="5"/>
        <v>-1.763384903502736E-2</v>
      </c>
      <c r="P7" s="329">
        <v>2380937587.1799998</v>
      </c>
      <c r="Q7" s="329">
        <v>23.444800000000001</v>
      </c>
      <c r="R7" s="23">
        <f t="shared" si="6"/>
        <v>-1.1152576847215838E-2</v>
      </c>
      <c r="S7" s="23">
        <f t="shared" si="7"/>
        <v>-1.1176812963415994E-2</v>
      </c>
      <c r="T7" s="329">
        <v>2368659531.9499998</v>
      </c>
      <c r="U7" s="329">
        <v>23.3535</v>
      </c>
      <c r="V7" s="23">
        <f t="shared" si="8"/>
        <v>-5.1568152378753613E-3</v>
      </c>
      <c r="W7" s="23">
        <f t="shared" si="9"/>
        <v>-3.8942537364362408E-3</v>
      </c>
      <c r="X7" s="329">
        <v>2399333308.2600002</v>
      </c>
      <c r="Y7" s="329">
        <v>23.644100000000002</v>
      </c>
      <c r="Z7" s="23">
        <f t="shared" si="10"/>
        <v>1.2949846061138311E-2</v>
      </c>
      <c r="AA7" s="23">
        <f t="shared" si="11"/>
        <v>1.2443530948251924E-2</v>
      </c>
      <c r="AB7" s="329">
        <v>2414176649.5999999</v>
      </c>
      <c r="AC7" s="329">
        <v>23.817799999999998</v>
      </c>
      <c r="AD7" s="23">
        <f t="shared" si="12"/>
        <v>6.1864440796531462E-3</v>
      </c>
      <c r="AE7" s="23">
        <f t="shared" si="13"/>
        <v>7.3464416069969514E-3</v>
      </c>
      <c r="AF7" s="329">
        <v>2403131631.46</v>
      </c>
      <c r="AG7" s="329">
        <v>23.721499999999999</v>
      </c>
      <c r="AH7" s="23">
        <f t="shared" si="14"/>
        <v>-4.575066261961358E-3</v>
      </c>
      <c r="AI7" s="23">
        <f t="shared" si="15"/>
        <v>-4.0431945855620328E-3</v>
      </c>
      <c r="AJ7" s="24">
        <f t="shared" si="16"/>
        <v>-2.0597809470083439E-3</v>
      </c>
      <c r="AK7" s="24">
        <f t="shared" si="17"/>
        <v>-1.83038975067208E-3</v>
      </c>
      <c r="AL7" s="25">
        <f t="shared" si="18"/>
        <v>-1.5461823928753995E-2</v>
      </c>
      <c r="AM7" s="25">
        <f t="shared" si="19"/>
        <v>-1.3343149365909333E-2</v>
      </c>
      <c r="AN7" s="26">
        <f t="shared" si="20"/>
        <v>9.6968787920153413E-3</v>
      </c>
      <c r="AO7" s="78">
        <f t="shared" si="21"/>
        <v>9.7600918434000358E-3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6" t="s">
        <v>82</v>
      </c>
      <c r="B8" s="330">
        <v>272102441.94</v>
      </c>
      <c r="C8" s="329">
        <v>140.68</v>
      </c>
      <c r="D8" s="330">
        <v>270013216.83999997</v>
      </c>
      <c r="E8" s="329">
        <v>139.41999999999999</v>
      </c>
      <c r="F8" s="23">
        <f t="shared" si="0"/>
        <v>-7.6780828760835184E-3</v>
      </c>
      <c r="G8" s="23">
        <f t="shared" si="1"/>
        <v>-8.956497014501132E-3</v>
      </c>
      <c r="H8" s="330">
        <v>265055857.36000001</v>
      </c>
      <c r="I8" s="329">
        <v>140.81</v>
      </c>
      <c r="J8" s="23">
        <f t="shared" si="2"/>
        <v>-1.8359691936626607E-2</v>
      </c>
      <c r="K8" s="23">
        <f t="shared" si="3"/>
        <v>9.969875197245839E-3</v>
      </c>
      <c r="L8" s="330">
        <v>262752285.47999999</v>
      </c>
      <c r="M8" s="329">
        <v>139.56</v>
      </c>
      <c r="N8" s="23">
        <f t="shared" si="4"/>
        <v>-8.6908921875712541E-3</v>
      </c>
      <c r="O8" s="23">
        <f t="shared" si="5"/>
        <v>-8.8772104253959233E-3</v>
      </c>
      <c r="P8" s="330">
        <v>257911619.90000001</v>
      </c>
      <c r="Q8" s="329">
        <v>136.97</v>
      </c>
      <c r="R8" s="23">
        <f t="shared" si="6"/>
        <v>-1.8422924737484126E-2</v>
      </c>
      <c r="S8" s="23">
        <f t="shared" si="7"/>
        <v>-1.8558326167956458E-2</v>
      </c>
      <c r="T8" s="330">
        <v>239874505.08000001</v>
      </c>
      <c r="U8" s="329">
        <v>127.34</v>
      </c>
      <c r="V8" s="23">
        <f t="shared" si="8"/>
        <v>-6.9935254669772212E-2</v>
      </c>
      <c r="W8" s="23">
        <f t="shared" si="9"/>
        <v>-7.0307366576622579E-2</v>
      </c>
      <c r="X8" s="330">
        <v>253303753.62</v>
      </c>
      <c r="Y8" s="329">
        <v>134.46</v>
      </c>
      <c r="Z8" s="23">
        <f t="shared" si="10"/>
        <v>5.5984476280717003E-2</v>
      </c>
      <c r="AA8" s="23">
        <f t="shared" si="11"/>
        <v>5.5913302968431007E-2</v>
      </c>
      <c r="AB8" s="330">
        <v>253303753.62</v>
      </c>
      <c r="AC8" s="329">
        <v>134.46</v>
      </c>
      <c r="AD8" s="23">
        <f t="shared" si="12"/>
        <v>0</v>
      </c>
      <c r="AE8" s="23">
        <f t="shared" si="13"/>
        <v>0</v>
      </c>
      <c r="AF8" s="329">
        <v>260177922.62</v>
      </c>
      <c r="AG8" s="329">
        <v>139.27000000000001</v>
      </c>
      <c r="AH8" s="23">
        <f t="shared" si="14"/>
        <v>2.7138046324858087E-2</v>
      </c>
      <c r="AI8" s="23">
        <f t="shared" si="15"/>
        <v>3.5772720511676348E-2</v>
      </c>
      <c r="AJ8" s="24">
        <f t="shared" si="16"/>
        <v>-4.9955404752453289E-3</v>
      </c>
      <c r="AK8" s="24">
        <f t="shared" si="17"/>
        <v>-6.3043768839036226E-4</v>
      </c>
      <c r="AL8" s="25">
        <f t="shared" si="18"/>
        <v>-3.6425232568626474E-2</v>
      </c>
      <c r="AM8" s="25">
        <f t="shared" si="19"/>
        <v>-1.0758858126522542E-3</v>
      </c>
      <c r="AN8" s="26">
        <f t="shared" si="20"/>
        <v>3.6592346192148899E-2</v>
      </c>
      <c r="AO8" s="78">
        <f t="shared" si="21"/>
        <v>3.7699497435957852E-2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3"/>
    </row>
    <row r="9" spans="1:49" s="88" customFormat="1">
      <c r="A9" s="206" t="s">
        <v>53</v>
      </c>
      <c r="B9" s="329">
        <v>379955757.45999998</v>
      </c>
      <c r="C9" s="329">
        <v>177.1</v>
      </c>
      <c r="D9" s="329">
        <v>379469811.12</v>
      </c>
      <c r="E9" s="329">
        <v>176.95</v>
      </c>
      <c r="F9" s="23">
        <f t="shared" si="0"/>
        <v>-1.2789550637382617E-3</v>
      </c>
      <c r="G9" s="23">
        <f t="shared" si="1"/>
        <v>-8.4697910784870521E-4</v>
      </c>
      <c r="H9" s="329">
        <v>382853259.39999998</v>
      </c>
      <c r="I9" s="329">
        <v>178.5</v>
      </c>
      <c r="J9" s="23">
        <f t="shared" si="2"/>
        <v>8.9162515194918125E-3</v>
      </c>
      <c r="K9" s="23">
        <f t="shared" si="3"/>
        <v>8.7595365922577655E-3</v>
      </c>
      <c r="L9" s="329">
        <v>380537889.02999997</v>
      </c>
      <c r="M9" s="329">
        <v>178.5</v>
      </c>
      <c r="N9" s="23">
        <f t="shared" si="4"/>
        <v>-6.0476705190615513E-3</v>
      </c>
      <c r="O9" s="23">
        <f t="shared" si="5"/>
        <v>0</v>
      </c>
      <c r="P9" s="329">
        <v>378423731.22000003</v>
      </c>
      <c r="Q9" s="329">
        <v>176.47</v>
      </c>
      <c r="R9" s="23">
        <f t="shared" si="6"/>
        <v>-5.5557090921720849E-3</v>
      </c>
      <c r="S9" s="23">
        <f t="shared" si="7"/>
        <v>-1.1372549019607849E-2</v>
      </c>
      <c r="T9" s="329">
        <v>385710588.06999999</v>
      </c>
      <c r="U9" s="329">
        <v>179.83</v>
      </c>
      <c r="V9" s="23">
        <f t="shared" si="8"/>
        <v>1.9255813652351746E-2</v>
      </c>
      <c r="W9" s="23">
        <f t="shared" si="9"/>
        <v>1.9040063466878299E-2</v>
      </c>
      <c r="X9" s="329">
        <v>391185242.54000002</v>
      </c>
      <c r="Y9" s="329">
        <v>182.4</v>
      </c>
      <c r="Z9" s="23">
        <f t="shared" si="10"/>
        <v>1.4193684693474037E-2</v>
      </c>
      <c r="AA9" s="23">
        <f t="shared" si="11"/>
        <v>1.4291275093143485E-2</v>
      </c>
      <c r="AB9" s="329">
        <v>397400267.23000002</v>
      </c>
      <c r="AC9" s="329">
        <v>185.22</v>
      </c>
      <c r="AD9" s="23">
        <f t="shared" si="12"/>
        <v>1.5887676768288339E-2</v>
      </c>
      <c r="AE9" s="23">
        <f t="shared" si="13"/>
        <v>1.5460526315789435E-2</v>
      </c>
      <c r="AF9" s="329">
        <v>403711139.06</v>
      </c>
      <c r="AG9" s="329">
        <v>186.56</v>
      </c>
      <c r="AH9" s="23">
        <f t="shared" si="14"/>
        <v>1.5880391510525817E-2</v>
      </c>
      <c r="AI9" s="23">
        <f t="shared" si="15"/>
        <v>7.2346398877011307E-3</v>
      </c>
      <c r="AJ9" s="24">
        <f t="shared" si="16"/>
        <v>7.6564354336449815E-3</v>
      </c>
      <c r="AK9" s="24">
        <f t="shared" si="17"/>
        <v>6.5708141535391956E-3</v>
      </c>
      <c r="AL9" s="25">
        <f t="shared" si="18"/>
        <v>6.3882098732576498E-2</v>
      </c>
      <c r="AM9" s="25">
        <f t="shared" si="19"/>
        <v>5.430912687199782E-2</v>
      </c>
      <c r="AN9" s="26">
        <f t="shared" si="20"/>
        <v>1.0395463387282528E-2</v>
      </c>
      <c r="AO9" s="78">
        <f t="shared" si="21"/>
        <v>1.0138395096135434E-2</v>
      </c>
      <c r="AP9" s="30"/>
      <c r="AQ9" s="33"/>
      <c r="AR9" s="34"/>
      <c r="AS9" s="29"/>
      <c r="AT9" s="29"/>
    </row>
    <row r="10" spans="1:49">
      <c r="A10" s="206" t="s">
        <v>8</v>
      </c>
      <c r="B10" s="330">
        <v>262294308.96000001</v>
      </c>
      <c r="C10" s="329">
        <v>134.93</v>
      </c>
      <c r="D10" s="330">
        <v>261189734.56</v>
      </c>
      <c r="E10" s="329">
        <v>134.36000000000001</v>
      </c>
      <c r="F10" s="23">
        <f t="shared" si="0"/>
        <v>-4.2112023107922407E-3</v>
      </c>
      <c r="G10" s="23">
        <f t="shared" si="1"/>
        <v>-4.2244126584154241E-3</v>
      </c>
      <c r="H10" s="330">
        <v>263121268.24000001</v>
      </c>
      <c r="I10" s="329">
        <v>135.38</v>
      </c>
      <c r="J10" s="23">
        <f t="shared" si="2"/>
        <v>7.3951362723112648E-3</v>
      </c>
      <c r="K10" s="23">
        <f t="shared" si="3"/>
        <v>7.5915451027090035E-3</v>
      </c>
      <c r="L10" s="330">
        <v>260761523.71000001</v>
      </c>
      <c r="M10" s="329">
        <v>134.13999999999999</v>
      </c>
      <c r="N10" s="23">
        <f t="shared" si="4"/>
        <v>-8.968277425022193E-3</v>
      </c>
      <c r="O10" s="23">
        <f t="shared" si="5"/>
        <v>-9.159403161471482E-3</v>
      </c>
      <c r="P10" s="330">
        <v>261028734.77000001</v>
      </c>
      <c r="Q10" s="329">
        <v>134.28</v>
      </c>
      <c r="R10" s="23">
        <f t="shared" si="6"/>
        <v>1.0247334660353307E-3</v>
      </c>
      <c r="S10" s="23">
        <f t="shared" si="7"/>
        <v>1.0436857015059997E-3</v>
      </c>
      <c r="T10" s="330">
        <v>263123783.63</v>
      </c>
      <c r="U10" s="329">
        <v>135.38</v>
      </c>
      <c r="V10" s="23">
        <f t="shared" si="8"/>
        <v>8.02612349113975E-3</v>
      </c>
      <c r="W10" s="23">
        <f t="shared" si="9"/>
        <v>8.1918379505510446E-3</v>
      </c>
      <c r="X10" s="330">
        <v>266937356.22999999</v>
      </c>
      <c r="Y10" s="329">
        <v>137.35</v>
      </c>
      <c r="Z10" s="23">
        <f t="shared" si="10"/>
        <v>1.449345455355177E-2</v>
      </c>
      <c r="AA10" s="23">
        <f t="shared" si="11"/>
        <v>1.455163244201506E-2</v>
      </c>
      <c r="AB10" s="330">
        <v>268366586.72</v>
      </c>
      <c r="AC10" s="329">
        <v>137.27000000000001</v>
      </c>
      <c r="AD10" s="23">
        <f t="shared" si="12"/>
        <v>5.354179385700323E-3</v>
      </c>
      <c r="AE10" s="23">
        <f t="shared" si="13"/>
        <v>-5.8245358572977125E-4</v>
      </c>
      <c r="AF10" s="330">
        <v>271307203.51999998</v>
      </c>
      <c r="AG10" s="329">
        <v>139.47999999999999</v>
      </c>
      <c r="AH10" s="23">
        <f t="shared" si="14"/>
        <v>1.0957462461852868E-2</v>
      </c>
      <c r="AI10" s="23">
        <f t="shared" si="15"/>
        <v>1.609965760909142E-2</v>
      </c>
      <c r="AJ10" s="24">
        <f t="shared" si="16"/>
        <v>4.2589512368471092E-3</v>
      </c>
      <c r="AK10" s="24">
        <f t="shared" si="17"/>
        <v>4.1890111750319814E-3</v>
      </c>
      <c r="AL10" s="25">
        <f t="shared" si="18"/>
        <v>3.8736089598022903E-2</v>
      </c>
      <c r="AM10" s="25">
        <f t="shared" si="19"/>
        <v>3.8106579339088835E-2</v>
      </c>
      <c r="AN10" s="26">
        <f t="shared" si="20"/>
        <v>7.8558906253513965E-3</v>
      </c>
      <c r="AO10" s="78">
        <f t="shared" si="21"/>
        <v>8.9320697611128264E-3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6" t="s">
        <v>222</v>
      </c>
      <c r="B11" s="74">
        <v>25526916.879999999</v>
      </c>
      <c r="C11" s="329">
        <v>102.78</v>
      </c>
      <c r="D11" s="74">
        <v>25667814.68</v>
      </c>
      <c r="E11" s="329">
        <v>103.2</v>
      </c>
      <c r="F11" s="23">
        <f t="shared" si="0"/>
        <v>5.5195776545342344E-3</v>
      </c>
      <c r="G11" s="23">
        <f t="shared" si="1"/>
        <v>4.0863981319322991E-3</v>
      </c>
      <c r="H11" s="74">
        <v>26274947.98</v>
      </c>
      <c r="I11" s="329">
        <v>105.74</v>
      </c>
      <c r="J11" s="23">
        <f t="shared" si="2"/>
        <v>2.3653486187628994E-2</v>
      </c>
      <c r="K11" s="23">
        <f t="shared" si="3"/>
        <v>2.4612403100775115E-2</v>
      </c>
      <c r="L11" s="74">
        <v>26260978.399999999</v>
      </c>
      <c r="M11" s="329">
        <v>105.68</v>
      </c>
      <c r="N11" s="23">
        <f t="shared" si="4"/>
        <v>-5.3166917820866172E-4</v>
      </c>
      <c r="O11" s="23">
        <f t="shared" si="5"/>
        <v>-5.6742954416482002E-4</v>
      </c>
      <c r="P11" s="74">
        <v>26047390.780000001</v>
      </c>
      <c r="Q11" s="329">
        <v>104.81</v>
      </c>
      <c r="R11" s="23">
        <f t="shared" si="6"/>
        <v>-8.1332697033099626E-3</v>
      </c>
      <c r="S11" s="23">
        <f t="shared" si="7"/>
        <v>-8.2323996971991348E-3</v>
      </c>
      <c r="T11" s="74">
        <v>25302738.41</v>
      </c>
      <c r="U11" s="329">
        <v>101.8</v>
      </c>
      <c r="V11" s="23">
        <f t="shared" si="8"/>
        <v>-2.8588367114750254E-2</v>
      </c>
      <c r="W11" s="23">
        <f t="shared" si="9"/>
        <v>-2.8718633718156712E-2</v>
      </c>
      <c r="X11" s="74">
        <v>25667146</v>
      </c>
      <c r="Y11" s="329">
        <v>103.28</v>
      </c>
      <c r="Z11" s="23">
        <f t="shared" si="10"/>
        <v>1.4401903228623697E-2</v>
      </c>
      <c r="AA11" s="23">
        <f t="shared" si="11"/>
        <v>1.4538310412573714E-2</v>
      </c>
      <c r="AB11" s="74">
        <v>26679738</v>
      </c>
      <c r="AC11" s="329">
        <v>107.37</v>
      </c>
      <c r="AD11" s="23">
        <f t="shared" si="12"/>
        <v>3.9450899605277499E-2</v>
      </c>
      <c r="AE11" s="23">
        <f t="shared" si="13"/>
        <v>3.9601084430673929E-2</v>
      </c>
      <c r="AF11" s="74">
        <v>27447295.370000001</v>
      </c>
      <c r="AG11" s="329">
        <v>110.38</v>
      </c>
      <c r="AH11" s="23">
        <f t="shared" si="14"/>
        <v>2.8769299383674646E-2</v>
      </c>
      <c r="AI11" s="23">
        <f t="shared" si="15"/>
        <v>2.8033901462233314E-2</v>
      </c>
      <c r="AJ11" s="24">
        <f t="shared" si="16"/>
        <v>9.3177325079337736E-3</v>
      </c>
      <c r="AK11" s="24">
        <f t="shared" si="17"/>
        <v>9.1692043223334622E-3</v>
      </c>
      <c r="AL11" s="25">
        <f t="shared" si="18"/>
        <v>6.9327315635738462E-2</v>
      </c>
      <c r="AM11" s="25">
        <f t="shared" si="19"/>
        <v>6.9573643410852634E-2</v>
      </c>
      <c r="AN11" s="26">
        <f t="shared" si="20"/>
        <v>2.1943369969625197E-2</v>
      </c>
      <c r="AO11" s="78">
        <f t="shared" si="21"/>
        <v>2.2065606286324941E-2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ht="12.75" customHeight="1">
      <c r="A12" s="206" t="s">
        <v>45</v>
      </c>
      <c r="B12" s="330">
        <v>1048171294.73</v>
      </c>
      <c r="C12" s="329">
        <v>2.14</v>
      </c>
      <c r="D12" s="330">
        <v>1048349970.13</v>
      </c>
      <c r="E12" s="329">
        <v>2.14</v>
      </c>
      <c r="F12" s="23">
        <f t="shared" si="0"/>
        <v>1.7046393170498092E-4</v>
      </c>
      <c r="G12" s="23">
        <f t="shared" si="1"/>
        <v>0</v>
      </c>
      <c r="H12" s="330">
        <v>1039547469.9</v>
      </c>
      <c r="I12" s="329">
        <v>2.12</v>
      </c>
      <c r="J12" s="23">
        <f t="shared" si="2"/>
        <v>-8.396528335769848E-3</v>
      </c>
      <c r="K12" s="23">
        <f t="shared" si="3"/>
        <v>-9.3457943925233725E-3</v>
      </c>
      <c r="L12" s="330">
        <v>1064328708.47</v>
      </c>
      <c r="M12" s="329">
        <v>2.17</v>
      </c>
      <c r="N12" s="23">
        <f t="shared" si="4"/>
        <v>2.3838486733447489E-2</v>
      </c>
      <c r="O12" s="23">
        <f t="shared" si="5"/>
        <v>2.3584905660377273E-2</v>
      </c>
      <c r="P12" s="330">
        <v>1024827540.0700001</v>
      </c>
      <c r="Q12" s="329">
        <v>2.09</v>
      </c>
      <c r="R12" s="23">
        <f t="shared" si="6"/>
        <v>-3.7113692495229153E-2</v>
      </c>
      <c r="S12" s="23">
        <f t="shared" si="7"/>
        <v>-3.6866359447004643E-2</v>
      </c>
      <c r="T12" s="330">
        <v>1005563680.53</v>
      </c>
      <c r="U12" s="329">
        <v>2.0499999999999998</v>
      </c>
      <c r="V12" s="23">
        <f t="shared" si="8"/>
        <v>-1.8797171998992415E-2</v>
      </c>
      <c r="W12" s="23">
        <f t="shared" si="9"/>
        <v>-1.9138755980861261E-2</v>
      </c>
      <c r="X12" s="330">
        <v>1031899682.33</v>
      </c>
      <c r="Y12" s="329">
        <v>2.1</v>
      </c>
      <c r="Z12" s="23">
        <f t="shared" si="10"/>
        <v>2.6190287407873779E-2</v>
      </c>
      <c r="AA12" s="23">
        <f t="shared" si="11"/>
        <v>2.4390243902439157E-2</v>
      </c>
      <c r="AB12" s="330">
        <v>1039769742.6900001</v>
      </c>
      <c r="AC12" s="329">
        <v>2.12</v>
      </c>
      <c r="AD12" s="23">
        <f t="shared" si="12"/>
        <v>7.6267688562803339E-3</v>
      </c>
      <c r="AE12" s="23">
        <f t="shared" si="13"/>
        <v>9.5238095238095316E-3</v>
      </c>
      <c r="AF12" s="330">
        <v>1025642836.7</v>
      </c>
      <c r="AG12" s="329">
        <v>2.09</v>
      </c>
      <c r="AH12" s="23">
        <f t="shared" si="14"/>
        <v>-1.3586571535975004E-2</v>
      </c>
      <c r="AI12" s="23">
        <f t="shared" si="15"/>
        <v>-1.4150943396226532E-2</v>
      </c>
      <c r="AJ12" s="24">
        <f t="shared" si="16"/>
        <v>-2.5084946795824797E-3</v>
      </c>
      <c r="AK12" s="24">
        <f t="shared" si="17"/>
        <v>-2.75036176624873E-3</v>
      </c>
      <c r="AL12" s="25">
        <f t="shared" si="18"/>
        <v>-2.1659878930682053E-2</v>
      </c>
      <c r="AM12" s="25">
        <f t="shared" si="19"/>
        <v>-2.3364485981308535E-2</v>
      </c>
      <c r="AN12" s="26">
        <f t="shared" si="20"/>
        <v>2.154038519655798E-2</v>
      </c>
      <c r="AO12" s="78">
        <f t="shared" si="21"/>
        <v>2.1361956548013303E-2</v>
      </c>
      <c r="AP12" s="30"/>
      <c r="AQ12" s="33">
        <v>155057555.75</v>
      </c>
      <c r="AR12" s="33">
        <v>111.51</v>
      </c>
      <c r="AS12" s="29" t="e">
        <f>(#REF!/AQ12)-1</f>
        <v>#REF!</v>
      </c>
      <c r="AT12" s="29" t="e">
        <f>(#REF!/AR12)-1</f>
        <v>#REF!</v>
      </c>
      <c r="AU12" s="83"/>
      <c r="AV12" s="84"/>
      <c r="AW12" s="89"/>
    </row>
    <row r="13" spans="1:49" ht="12.75" customHeight="1">
      <c r="A13" s="206" t="s">
        <v>54</v>
      </c>
      <c r="B13" s="329">
        <v>312528895.77999997</v>
      </c>
      <c r="C13" s="329">
        <v>12.9788</v>
      </c>
      <c r="D13" s="329">
        <v>313263269.95999998</v>
      </c>
      <c r="E13" s="329">
        <v>13.016299999999999</v>
      </c>
      <c r="F13" s="23">
        <f t="shared" si="0"/>
        <v>2.3497801000677992E-3</v>
      </c>
      <c r="G13" s="23">
        <f t="shared" si="1"/>
        <v>2.8893272105279108E-3</v>
      </c>
      <c r="H13" s="329">
        <v>314249687.81999999</v>
      </c>
      <c r="I13" s="329">
        <v>13.0548</v>
      </c>
      <c r="J13" s="23">
        <f t="shared" si="2"/>
        <v>3.1488462088963324E-3</v>
      </c>
      <c r="K13" s="23">
        <f t="shared" si="3"/>
        <v>2.9578297980225464E-3</v>
      </c>
      <c r="L13" s="329">
        <v>315086006.37</v>
      </c>
      <c r="M13" s="329">
        <v>12.976599999999999</v>
      </c>
      <c r="N13" s="23">
        <f t="shared" si="4"/>
        <v>2.6613186342417283E-3</v>
      </c>
      <c r="O13" s="23">
        <f t="shared" si="5"/>
        <v>-5.9901338971106955E-3</v>
      </c>
      <c r="P13" s="329">
        <v>303964969.38999999</v>
      </c>
      <c r="Q13" s="329">
        <v>12.6791</v>
      </c>
      <c r="R13" s="23">
        <f t="shared" si="6"/>
        <v>-3.5295242426414769E-2</v>
      </c>
      <c r="S13" s="23">
        <f t="shared" si="7"/>
        <v>-2.2925881972165239E-2</v>
      </c>
      <c r="T13" s="329">
        <v>311153691.87</v>
      </c>
      <c r="U13" s="329">
        <v>13.002700000000001</v>
      </c>
      <c r="V13" s="23">
        <f t="shared" si="8"/>
        <v>2.3649838645638743E-2</v>
      </c>
      <c r="W13" s="23">
        <f t="shared" si="9"/>
        <v>2.5522316252730933E-2</v>
      </c>
      <c r="X13" s="329">
        <v>310381485.08999997</v>
      </c>
      <c r="Y13" s="329">
        <v>12.965</v>
      </c>
      <c r="Z13" s="23">
        <f t="shared" si="10"/>
        <v>-2.4817535519477589E-3</v>
      </c>
      <c r="AA13" s="23">
        <f t="shared" si="11"/>
        <v>-2.8993978173764644E-3</v>
      </c>
      <c r="AB13" s="329">
        <v>327568482.69999999</v>
      </c>
      <c r="AC13" s="329">
        <v>13.675599999999999</v>
      </c>
      <c r="AD13" s="23">
        <f t="shared" si="12"/>
        <v>5.5373784956974398E-2</v>
      </c>
      <c r="AE13" s="23">
        <f t="shared" si="13"/>
        <v>5.4809101426918583E-2</v>
      </c>
      <c r="AF13" s="329">
        <v>322464418.95999998</v>
      </c>
      <c r="AG13" s="329">
        <v>13.423679999999999</v>
      </c>
      <c r="AH13" s="23">
        <f t="shared" si="14"/>
        <v>-1.5581669206785411E-2</v>
      </c>
      <c r="AI13" s="23">
        <f t="shared" si="15"/>
        <v>-1.8421129603088723E-2</v>
      </c>
      <c r="AJ13" s="24">
        <f t="shared" si="16"/>
        <v>4.2281129200838832E-3</v>
      </c>
      <c r="AK13" s="24">
        <f t="shared" si="17"/>
        <v>4.4927539248073561E-3</v>
      </c>
      <c r="AL13" s="25">
        <f t="shared" si="18"/>
        <v>2.9371936905258245E-2</v>
      </c>
      <c r="AM13" s="25">
        <f t="shared" si="19"/>
        <v>3.1297680600477849E-2</v>
      </c>
      <c r="AN13" s="26">
        <f t="shared" si="20"/>
        <v>2.6725526554338984E-2</v>
      </c>
      <c r="AO13" s="78">
        <f t="shared" si="21"/>
        <v>2.5129000844804846E-2</v>
      </c>
      <c r="AP13" s="30"/>
      <c r="AQ13" s="38">
        <v>212579164.06</v>
      </c>
      <c r="AR13" s="38">
        <v>9.9</v>
      </c>
      <c r="AS13" s="29" t="e">
        <f>(#REF!/AQ13)-1</f>
        <v>#REF!</v>
      </c>
      <c r="AT13" s="29" t="e">
        <f>(#REF!/AR13)-1</f>
        <v>#REF!</v>
      </c>
    </row>
    <row r="14" spans="1:49" ht="12.75" customHeight="1">
      <c r="A14" s="206" t="s">
        <v>128</v>
      </c>
      <c r="B14" s="329">
        <v>297011968.00999999</v>
      </c>
      <c r="C14" s="329">
        <v>1.53</v>
      </c>
      <c r="D14" s="329">
        <v>299478576.27999997</v>
      </c>
      <c r="E14" s="329">
        <v>1.54</v>
      </c>
      <c r="F14" s="23">
        <f t="shared" si="0"/>
        <v>8.3047436994758868E-3</v>
      </c>
      <c r="G14" s="23">
        <f t="shared" si="1"/>
        <v>6.5359477124183061E-3</v>
      </c>
      <c r="H14" s="329">
        <v>300929321.88999999</v>
      </c>
      <c r="I14" s="329">
        <v>-80.06</v>
      </c>
      <c r="J14" s="23">
        <f t="shared" si="2"/>
        <v>4.8442383693036786E-3</v>
      </c>
      <c r="K14" s="23">
        <f t="shared" si="3"/>
        <v>-52.987012987012989</v>
      </c>
      <c r="L14" s="329">
        <v>297835987.75999999</v>
      </c>
      <c r="M14" s="329">
        <v>1.54</v>
      </c>
      <c r="N14" s="23">
        <f t="shared" si="4"/>
        <v>-1.0279271260680657E-2</v>
      </c>
      <c r="O14" s="23">
        <f t="shared" si="5"/>
        <v>-1.01923557332001</v>
      </c>
      <c r="P14" s="329">
        <v>294779075.10000002</v>
      </c>
      <c r="Q14" s="329">
        <v>1.5246459999999999</v>
      </c>
      <c r="R14" s="23">
        <f t="shared" si="6"/>
        <v>-1.0263745100082619E-2</v>
      </c>
      <c r="S14" s="23">
        <f t="shared" si="7"/>
        <v>-9.9701298701299276E-3</v>
      </c>
      <c r="T14" s="329">
        <v>286199169.50999999</v>
      </c>
      <c r="U14" s="329">
        <v>1.4858210000000001</v>
      </c>
      <c r="V14" s="23">
        <f t="shared" si="8"/>
        <v>-2.9106223320259115E-2</v>
      </c>
      <c r="W14" s="23">
        <f t="shared" si="9"/>
        <v>-2.5464927596307529E-2</v>
      </c>
      <c r="X14" s="329">
        <v>295967065.02999997</v>
      </c>
      <c r="Y14" s="329">
        <v>1.533102</v>
      </c>
      <c r="Z14" s="23">
        <f t="shared" si="10"/>
        <v>3.4129713013226211E-2</v>
      </c>
      <c r="AA14" s="23">
        <f t="shared" si="11"/>
        <v>3.1821464362127003E-2</v>
      </c>
      <c r="AB14" s="329">
        <v>304563016.81999999</v>
      </c>
      <c r="AC14" s="329">
        <v>1.5771029999999999</v>
      </c>
      <c r="AD14" s="23">
        <f t="shared" si="12"/>
        <v>2.9043609258106857E-2</v>
      </c>
      <c r="AE14" s="23">
        <f t="shared" si="13"/>
        <v>2.870063440005946E-2</v>
      </c>
      <c r="AF14" s="329">
        <v>308529932.08999997</v>
      </c>
      <c r="AG14" s="329">
        <v>1.5971120000000001</v>
      </c>
      <c r="AH14" s="23">
        <f t="shared" si="14"/>
        <v>1.3024940819864779E-2</v>
      </c>
      <c r="AI14" s="23">
        <f t="shared" si="15"/>
        <v>1.268718656929837E-2</v>
      </c>
      <c r="AJ14" s="24">
        <f t="shared" si="16"/>
        <v>4.9622506848693779E-3</v>
      </c>
      <c r="AK14" s="24">
        <f t="shared" si="17"/>
        <v>-6.7452422980944418</v>
      </c>
      <c r="AL14" s="25">
        <f t="shared" si="18"/>
        <v>3.0223717243591283E-2</v>
      </c>
      <c r="AM14" s="25">
        <f t="shared" si="19"/>
        <v>3.7085714285714319E-2</v>
      </c>
      <c r="AN14" s="26">
        <f t="shared" si="20"/>
        <v>2.1151297521764471E-2</v>
      </c>
      <c r="AO14" s="78">
        <f t="shared" si="21"/>
        <v>18.687959550168493</v>
      </c>
      <c r="AP14" s="30"/>
      <c r="AQ14" s="28">
        <v>305162610.31</v>
      </c>
      <c r="AR14" s="28">
        <v>1481.86</v>
      </c>
      <c r="AS14" s="29" t="e">
        <f>(#REF!/AQ14)-1</f>
        <v>#REF!</v>
      </c>
      <c r="AT14" s="29" t="e">
        <f>(#REF!/AR14)-1</f>
        <v>#REF!</v>
      </c>
    </row>
    <row r="15" spans="1:49" s="88" customFormat="1" ht="12.75" customHeight="1">
      <c r="A15" s="206" t="s">
        <v>10</v>
      </c>
      <c r="B15" s="330">
        <v>735184085.69000006</v>
      </c>
      <c r="C15" s="329">
        <v>20.38</v>
      </c>
      <c r="D15" s="330">
        <v>742740589.78999996</v>
      </c>
      <c r="E15" s="329">
        <v>20.38</v>
      </c>
      <c r="F15" s="23">
        <f t="shared" si="0"/>
        <v>1.0278383668911739E-2</v>
      </c>
      <c r="G15" s="23">
        <f t="shared" si="1"/>
        <v>0</v>
      </c>
      <c r="H15" s="330">
        <v>725060937.08000004</v>
      </c>
      <c r="I15" s="329">
        <v>20.38</v>
      </c>
      <c r="J15" s="23">
        <f t="shared" si="2"/>
        <v>-2.3803267187805916E-2</v>
      </c>
      <c r="K15" s="23">
        <f t="shared" si="3"/>
        <v>0</v>
      </c>
      <c r="L15" s="330">
        <v>749352694.53999996</v>
      </c>
      <c r="M15" s="329">
        <v>20.38</v>
      </c>
      <c r="N15" s="23">
        <f t="shared" si="4"/>
        <v>3.3503056388375911E-2</v>
      </c>
      <c r="O15" s="23">
        <f t="shared" si="5"/>
        <v>0</v>
      </c>
      <c r="P15" s="330">
        <v>661891481.22000003</v>
      </c>
      <c r="Q15" s="329">
        <v>20.38</v>
      </c>
      <c r="R15" s="23">
        <f t="shared" si="6"/>
        <v>-0.11671568536053527</v>
      </c>
      <c r="S15" s="23">
        <f t="shared" si="7"/>
        <v>0</v>
      </c>
      <c r="T15" s="330">
        <v>708251814.41999996</v>
      </c>
      <c r="U15" s="329">
        <v>20.38</v>
      </c>
      <c r="V15" s="23">
        <f t="shared" si="8"/>
        <v>7.0042196516184874E-2</v>
      </c>
      <c r="W15" s="23">
        <f t="shared" si="9"/>
        <v>0</v>
      </c>
      <c r="X15" s="330">
        <v>725857123.89999998</v>
      </c>
      <c r="Y15" s="329">
        <v>18.989999999999998</v>
      </c>
      <c r="Z15" s="23">
        <f t="shared" si="10"/>
        <v>2.4857415288681357E-2</v>
      </c>
      <c r="AA15" s="23">
        <f t="shared" si="11"/>
        <v>-6.8204121687929373E-2</v>
      </c>
      <c r="AB15" s="330">
        <v>733608279.30999994</v>
      </c>
      <c r="AC15" s="329">
        <v>18.79</v>
      </c>
      <c r="AD15" s="23">
        <f t="shared" si="12"/>
        <v>1.0678624146241525E-2</v>
      </c>
      <c r="AE15" s="23">
        <f t="shared" si="13"/>
        <v>-1.0531858873091065E-2</v>
      </c>
      <c r="AF15" s="330">
        <v>751036579.92999995</v>
      </c>
      <c r="AG15" s="329">
        <v>18.79</v>
      </c>
      <c r="AH15" s="23">
        <f t="shared" si="14"/>
        <v>2.3756957372935195E-2</v>
      </c>
      <c r="AI15" s="23">
        <f t="shared" si="15"/>
        <v>0</v>
      </c>
      <c r="AJ15" s="24">
        <f t="shared" si="16"/>
        <v>4.074710104123678E-3</v>
      </c>
      <c r="AK15" s="24">
        <f t="shared" si="17"/>
        <v>-9.8419975701275544E-3</v>
      </c>
      <c r="AL15" s="25">
        <f t="shared" si="18"/>
        <v>1.1169431500095568E-2</v>
      </c>
      <c r="AM15" s="25">
        <f t="shared" si="19"/>
        <v>-7.8017664376840032E-2</v>
      </c>
      <c r="AN15" s="26">
        <f t="shared" si="20"/>
        <v>5.5403258054870994E-2</v>
      </c>
      <c r="AO15" s="78">
        <f t="shared" si="21"/>
        <v>2.3868098665018517E-2</v>
      </c>
      <c r="AP15" s="30"/>
      <c r="AQ15" s="28"/>
      <c r="AR15" s="28"/>
      <c r="AS15" s="29"/>
      <c r="AT15" s="29"/>
    </row>
    <row r="16" spans="1:49" s="375" customFormat="1" ht="12.75" customHeight="1">
      <c r="A16" s="207" t="s">
        <v>68</v>
      </c>
      <c r="B16" s="330">
        <v>348904658.19999999</v>
      </c>
      <c r="C16" s="329">
        <v>3463.63</v>
      </c>
      <c r="D16" s="330">
        <v>349493434.01999998</v>
      </c>
      <c r="E16" s="329">
        <v>3469.32</v>
      </c>
      <c r="F16" s="23">
        <f t="shared" si="0"/>
        <v>1.6874977337290042E-3</v>
      </c>
      <c r="G16" s="23">
        <f t="shared" si="1"/>
        <v>1.6427851704714576E-3</v>
      </c>
      <c r="H16" s="330">
        <v>352366013.08999997</v>
      </c>
      <c r="I16" s="329">
        <v>3497.56</v>
      </c>
      <c r="J16" s="23">
        <f>((H16-D16)/D16)</f>
        <v>8.2192647711819607E-3</v>
      </c>
      <c r="K16" s="23">
        <f>((I16-E16)/E16)</f>
        <v>8.1399236738034491E-3</v>
      </c>
      <c r="L16" s="330">
        <v>348432570.62</v>
      </c>
      <c r="M16" s="329">
        <v>3458.4</v>
      </c>
      <c r="N16" s="23">
        <f>((L16-H16)/H16)</f>
        <v>-1.1162945130565996E-2</v>
      </c>
      <c r="O16" s="23">
        <f>((M16-I16)/I16)</f>
        <v>-1.1196376902755023E-2</v>
      </c>
      <c r="P16" s="330">
        <v>342252402.37</v>
      </c>
      <c r="Q16" s="329">
        <v>3416.91</v>
      </c>
      <c r="R16" s="23">
        <f t="shared" si="6"/>
        <v>-1.7737056667816744E-2</v>
      </c>
      <c r="S16" s="23">
        <f t="shared" si="7"/>
        <v>-1.1996877168632961E-2</v>
      </c>
      <c r="T16" s="330">
        <v>346673108.77999997</v>
      </c>
      <c r="U16" s="329">
        <v>3461.04</v>
      </c>
      <c r="V16" s="23">
        <f t="shared" si="8"/>
        <v>1.2916509509905085E-2</v>
      </c>
      <c r="W16" s="23">
        <f t="shared" si="9"/>
        <v>1.2915177748316494E-2</v>
      </c>
      <c r="X16" s="330">
        <v>352597487.56</v>
      </c>
      <c r="Y16" s="329">
        <v>3520.07</v>
      </c>
      <c r="Z16" s="23">
        <f t="shared" si="10"/>
        <v>1.7089236603464574E-2</v>
      </c>
      <c r="AA16" s="23">
        <f t="shared" si="11"/>
        <v>1.7055567112775408E-2</v>
      </c>
      <c r="AB16" s="330">
        <v>360902095.77999997</v>
      </c>
      <c r="AC16" s="329">
        <v>3602.14</v>
      </c>
      <c r="AD16" s="23">
        <f t="shared" si="12"/>
        <v>2.3552658521387819E-2</v>
      </c>
      <c r="AE16" s="23">
        <f t="shared" si="13"/>
        <v>2.3314877260963478E-2</v>
      </c>
      <c r="AF16" s="330">
        <v>359827802.38</v>
      </c>
      <c r="AG16" s="329">
        <v>3591.3</v>
      </c>
      <c r="AH16" s="23">
        <f t="shared" si="14"/>
        <v>-2.9766892810033662E-3</v>
      </c>
      <c r="AI16" s="23">
        <f t="shared" si="15"/>
        <v>-3.0093222362261576E-3</v>
      </c>
      <c r="AJ16" s="24">
        <f t="shared" si="16"/>
        <v>3.9485595075352924E-3</v>
      </c>
      <c r="AK16" s="24">
        <f t="shared" si="17"/>
        <v>4.6082193323395181E-3</v>
      </c>
      <c r="AL16" s="25">
        <f t="shared" si="18"/>
        <v>2.9569563700039707E-2</v>
      </c>
      <c r="AM16" s="25">
        <f t="shared" si="19"/>
        <v>3.5159627823319849E-2</v>
      </c>
      <c r="AN16" s="26">
        <f t="shared" si="20"/>
        <v>1.4179241042748416E-2</v>
      </c>
      <c r="AO16" s="78">
        <f t="shared" si="21"/>
        <v>1.2976292903291706E-2</v>
      </c>
      <c r="AP16" s="30"/>
      <c r="AQ16" s="28"/>
      <c r="AR16" s="28"/>
      <c r="AS16" s="29"/>
      <c r="AT16" s="29"/>
    </row>
    <row r="17" spans="1:46" s="88" customFormat="1" ht="12.75" customHeight="1">
      <c r="A17" s="206" t="s">
        <v>230</v>
      </c>
      <c r="B17" s="330">
        <v>7537530831.6000004</v>
      </c>
      <c r="C17" s="329">
        <v>13084.42</v>
      </c>
      <c r="D17" s="330">
        <v>7532733781</v>
      </c>
      <c r="E17" s="329">
        <v>13075.22</v>
      </c>
      <c r="F17" s="23">
        <f t="shared" si="0"/>
        <v>-6.3642202031060963E-4</v>
      </c>
      <c r="G17" s="23">
        <f t="shared" si="1"/>
        <v>-7.0312631358522028E-4</v>
      </c>
      <c r="H17" s="330">
        <v>7558720483.8299999</v>
      </c>
      <c r="I17" s="329">
        <v>13130.14</v>
      </c>
      <c r="J17" s="23">
        <f t="shared" si="2"/>
        <v>3.4498368833300367E-3</v>
      </c>
      <c r="K17" s="23">
        <f t="shared" si="3"/>
        <v>4.200311734716515E-3</v>
      </c>
      <c r="L17" s="330">
        <v>7475572117.2399998</v>
      </c>
      <c r="M17" s="329">
        <v>13003.9</v>
      </c>
      <c r="N17" s="23">
        <f t="shared" si="4"/>
        <v>-1.100032297369315E-2</v>
      </c>
      <c r="O17" s="23">
        <f t="shared" si="5"/>
        <v>-9.6145204849300767E-3</v>
      </c>
      <c r="P17" s="330">
        <v>7333365642.3800001</v>
      </c>
      <c r="Q17" s="329">
        <v>12784.96</v>
      </c>
      <c r="R17" s="23">
        <f t="shared" si="6"/>
        <v>-1.9022821615491639E-2</v>
      </c>
      <c r="S17" s="23">
        <f t="shared" si="7"/>
        <v>-1.6836487515283917E-2</v>
      </c>
      <c r="T17" s="330">
        <v>7376946748.9499998</v>
      </c>
      <c r="U17" s="329">
        <v>12875.55</v>
      </c>
      <c r="V17" s="23">
        <f t="shared" si="8"/>
        <v>5.9428519857433028E-3</v>
      </c>
      <c r="W17" s="23">
        <f t="shared" si="9"/>
        <v>7.0856694115585929E-3</v>
      </c>
      <c r="X17" s="330">
        <v>7449446127.3000002</v>
      </c>
      <c r="Y17" s="329">
        <v>12999.2</v>
      </c>
      <c r="Z17" s="23">
        <f t="shared" si="10"/>
        <v>9.8278299704846871E-3</v>
      </c>
      <c r="AA17" s="23">
        <f t="shared" si="11"/>
        <v>9.6034732496865349E-3</v>
      </c>
      <c r="AB17" s="330">
        <v>7561137652.1700001</v>
      </c>
      <c r="AC17" s="329">
        <v>13195.08</v>
      </c>
      <c r="AD17" s="23">
        <f t="shared" si="12"/>
        <v>1.4993265668528528E-2</v>
      </c>
      <c r="AE17" s="23">
        <f t="shared" si="13"/>
        <v>1.5068619607360391E-2</v>
      </c>
      <c r="AF17" s="330">
        <v>7527063280.2200003</v>
      </c>
      <c r="AG17" s="329">
        <v>13157.36</v>
      </c>
      <c r="AH17" s="23">
        <f t="shared" si="14"/>
        <v>-4.5065139027353476E-3</v>
      </c>
      <c r="AI17" s="23">
        <f t="shared" si="15"/>
        <v>-2.8586412511329485E-3</v>
      </c>
      <c r="AJ17" s="24">
        <f t="shared" si="16"/>
        <v>-1.1903700051802411E-4</v>
      </c>
      <c r="AK17" s="24">
        <f t="shared" si="17"/>
        <v>7.4316230479873411E-4</v>
      </c>
      <c r="AL17" s="25">
        <f t="shared" si="18"/>
        <v>-7.5278125377304273E-4</v>
      </c>
      <c r="AM17" s="25">
        <f t="shared" si="19"/>
        <v>6.2821122703863672E-3</v>
      </c>
      <c r="AN17" s="26">
        <f t="shared" si="20"/>
        <v>1.1161658295930459E-2</v>
      </c>
      <c r="AO17" s="78">
        <f t="shared" si="21"/>
        <v>1.046964002478637E-2</v>
      </c>
      <c r="AP17" s="30"/>
      <c r="AQ17" s="28"/>
      <c r="AR17" s="28"/>
      <c r="AS17" s="29"/>
      <c r="AT17" s="29"/>
    </row>
    <row r="18" spans="1:46" s="110" customFormat="1" ht="12.75" customHeight="1">
      <c r="A18" s="206" t="s">
        <v>250</v>
      </c>
      <c r="B18" s="74">
        <v>57452432.57</v>
      </c>
      <c r="C18" s="329">
        <v>109.61199999999999</v>
      </c>
      <c r="D18" s="74">
        <v>57461236.189999998</v>
      </c>
      <c r="E18" s="329">
        <v>109.6285</v>
      </c>
      <c r="F18" s="23">
        <f t="shared" si="0"/>
        <v>1.532331984249926E-4</v>
      </c>
      <c r="G18" s="23">
        <f t="shared" si="1"/>
        <v>1.5053096376316217E-4</v>
      </c>
      <c r="H18" s="74">
        <v>57641691.409999996</v>
      </c>
      <c r="I18" s="329">
        <v>109.7247</v>
      </c>
      <c r="J18" s="23">
        <f t="shared" si="2"/>
        <v>3.1404688093258164E-3</v>
      </c>
      <c r="K18" s="23">
        <f t="shared" si="3"/>
        <v>8.7750904190056478E-4</v>
      </c>
      <c r="L18" s="74">
        <v>57428707.299999997</v>
      </c>
      <c r="M18" s="329">
        <v>109.3078</v>
      </c>
      <c r="N18" s="23">
        <f t="shared" si="4"/>
        <v>-3.6949663479696184E-3</v>
      </c>
      <c r="O18" s="23">
        <f t="shared" si="5"/>
        <v>-3.7995091351354644E-3</v>
      </c>
      <c r="P18" s="74">
        <v>57356204.850000001</v>
      </c>
      <c r="Q18" s="329">
        <v>109.1682</v>
      </c>
      <c r="R18" s="23">
        <f t="shared" si="6"/>
        <v>-1.2624774857155027E-3</v>
      </c>
      <c r="S18" s="23">
        <f t="shared" si="7"/>
        <v>-1.277127524293797E-3</v>
      </c>
      <c r="T18" s="74">
        <v>56645942.009999998</v>
      </c>
      <c r="U18" s="329">
        <v>107.8116</v>
      </c>
      <c r="V18" s="23">
        <f t="shared" si="8"/>
        <v>-1.2383365354411233E-2</v>
      </c>
      <c r="W18" s="23">
        <f t="shared" si="9"/>
        <v>-1.2426695686106395E-2</v>
      </c>
      <c r="X18" s="74">
        <v>58043001.25</v>
      </c>
      <c r="Y18" s="329">
        <v>110.4457</v>
      </c>
      <c r="Z18" s="23">
        <f t="shared" si="10"/>
        <v>2.4663006570768514E-2</v>
      </c>
      <c r="AA18" s="23">
        <f t="shared" si="11"/>
        <v>2.4432435841783295E-2</v>
      </c>
      <c r="AB18" s="74">
        <v>58755040</v>
      </c>
      <c r="AC18" s="329">
        <v>111.5488</v>
      </c>
      <c r="AD18" s="23">
        <f t="shared" si="12"/>
        <v>1.2267435085466053E-2</v>
      </c>
      <c r="AE18" s="23">
        <f t="shared" si="13"/>
        <v>9.9877134193544683E-3</v>
      </c>
      <c r="AF18" s="74">
        <v>58830040.659999996</v>
      </c>
      <c r="AG18" s="329">
        <v>111.6998</v>
      </c>
      <c r="AH18" s="23">
        <f t="shared" si="14"/>
        <v>1.2764974715359981E-3</v>
      </c>
      <c r="AI18" s="23">
        <f t="shared" si="15"/>
        <v>1.3536676324621712E-3</v>
      </c>
      <c r="AJ18" s="24">
        <f t="shared" si="16"/>
        <v>3.0199789934281275E-3</v>
      </c>
      <c r="AK18" s="24">
        <f t="shared" si="17"/>
        <v>2.4123155692160002E-3</v>
      </c>
      <c r="AL18" s="25">
        <f t="shared" si="18"/>
        <v>2.3821354373128024E-2</v>
      </c>
      <c r="AM18" s="25">
        <f t="shared" si="19"/>
        <v>1.8893809547699675E-2</v>
      </c>
      <c r="AN18" s="26">
        <f t="shared" si="20"/>
        <v>1.112205983931806E-2</v>
      </c>
      <c r="AO18" s="78">
        <f t="shared" si="21"/>
        <v>1.0844744593392306E-2</v>
      </c>
      <c r="AP18" s="30"/>
      <c r="AQ18" s="28"/>
      <c r="AR18" s="28"/>
      <c r="AS18" s="29"/>
      <c r="AT18" s="29"/>
    </row>
    <row r="19" spans="1:46" s="306" customFormat="1" ht="12.75" customHeight="1">
      <c r="A19" s="206" t="s">
        <v>76</v>
      </c>
      <c r="B19" s="329">
        <v>2053266136.0699999</v>
      </c>
      <c r="C19" s="314">
        <v>1.0818000000000001</v>
      </c>
      <c r="D19" s="329">
        <v>2057001149.2</v>
      </c>
      <c r="E19" s="314">
        <v>1.0833999999999999</v>
      </c>
      <c r="F19" s="23">
        <f t="shared" si="0"/>
        <v>1.8190594314037721E-3</v>
      </c>
      <c r="G19" s="23">
        <f t="shared" si="1"/>
        <v>1.4790164540578884E-3</v>
      </c>
      <c r="H19" s="329">
        <v>2017311576.4400001</v>
      </c>
      <c r="I19" s="314">
        <v>1.0631999999999999</v>
      </c>
      <c r="J19" s="23">
        <f t="shared" si="2"/>
        <v>-1.9294871456652266E-2</v>
      </c>
      <c r="K19" s="23">
        <f t="shared" si="3"/>
        <v>-1.864500646114085E-2</v>
      </c>
      <c r="L19" s="329">
        <v>2009640542.96</v>
      </c>
      <c r="M19" s="314">
        <v>1.0593999999999999</v>
      </c>
      <c r="N19" s="23">
        <f t="shared" si="4"/>
        <v>-3.8026022204945072E-3</v>
      </c>
      <c r="O19" s="23">
        <f t="shared" si="5"/>
        <v>-3.574115876598971E-3</v>
      </c>
      <c r="P19" s="329">
        <v>2003579694.8599999</v>
      </c>
      <c r="Q19" s="314">
        <v>1.0548</v>
      </c>
      <c r="R19" s="23">
        <f t="shared" si="6"/>
        <v>-3.0158866575577333E-3</v>
      </c>
      <c r="S19" s="23">
        <f t="shared" si="7"/>
        <v>-4.3420804228808171E-3</v>
      </c>
      <c r="T19" s="329">
        <v>2002532110.3800001</v>
      </c>
      <c r="U19" s="314">
        <v>1.0547</v>
      </c>
      <c r="V19" s="23">
        <f t="shared" si="8"/>
        <v>-5.2285640680391329E-4</v>
      </c>
      <c r="W19" s="23">
        <f t="shared" si="9"/>
        <v>-9.4804702313224296E-5</v>
      </c>
      <c r="X19" s="329">
        <v>2004917093.0599999</v>
      </c>
      <c r="Y19" s="314">
        <v>1.0557000000000001</v>
      </c>
      <c r="Z19" s="23">
        <f t="shared" si="10"/>
        <v>1.1909834891722434E-3</v>
      </c>
      <c r="AA19" s="23">
        <f t="shared" si="11"/>
        <v>9.4813691097005018E-4</v>
      </c>
      <c r="AB19" s="329">
        <v>1994889341.1199999</v>
      </c>
      <c r="AC19" s="314">
        <v>1.0508999999999999</v>
      </c>
      <c r="AD19" s="23">
        <f t="shared" si="12"/>
        <v>-5.0015793544336664E-3</v>
      </c>
      <c r="AE19" s="23">
        <f t="shared" si="13"/>
        <v>-4.5467462347259045E-3</v>
      </c>
      <c r="AF19" s="329">
        <v>1986065591.46</v>
      </c>
      <c r="AG19" s="314">
        <v>1.0337000000000001</v>
      </c>
      <c r="AH19" s="23">
        <f t="shared" si="14"/>
        <v>-4.4231775056985815E-3</v>
      </c>
      <c r="AI19" s="23">
        <f t="shared" si="15"/>
        <v>-1.6366923589304295E-2</v>
      </c>
      <c r="AJ19" s="24">
        <f t="shared" si="16"/>
        <v>-4.131366335133081E-3</v>
      </c>
      <c r="AK19" s="24">
        <f t="shared" si="17"/>
        <v>-5.6428154902420143E-3</v>
      </c>
      <c r="AL19" s="25">
        <f t="shared" si="18"/>
        <v>-3.4484938313033009E-2</v>
      </c>
      <c r="AM19" s="25">
        <f t="shared" si="19"/>
        <v>-4.5874100055381076E-2</v>
      </c>
      <c r="AN19" s="26">
        <f t="shared" si="20"/>
        <v>6.6427512710249175E-3</v>
      </c>
      <c r="AO19" s="78">
        <f t="shared" si="21"/>
        <v>7.7106404188794471E-3</v>
      </c>
      <c r="AP19" s="30"/>
      <c r="AQ19" s="28"/>
      <c r="AR19" s="28"/>
      <c r="AS19" s="29"/>
      <c r="AT19" s="29"/>
    </row>
    <row r="20" spans="1:46">
      <c r="A20" s="206" t="s">
        <v>125</v>
      </c>
      <c r="B20" s="330">
        <v>354100762.80000001</v>
      </c>
      <c r="C20" s="329">
        <v>1.34</v>
      </c>
      <c r="D20" s="330">
        <v>354100762.80000001</v>
      </c>
      <c r="E20" s="329">
        <v>1.33</v>
      </c>
      <c r="F20" s="23">
        <f t="shared" si="0"/>
        <v>0</v>
      </c>
      <c r="G20" s="23">
        <f t="shared" si="1"/>
        <v>-7.462686567164185E-3</v>
      </c>
      <c r="H20" s="330">
        <v>354937986.86000001</v>
      </c>
      <c r="I20" s="329">
        <v>1.34</v>
      </c>
      <c r="J20" s="23">
        <f t="shared" si="2"/>
        <v>2.3643667225672588E-3</v>
      </c>
      <c r="K20" s="23">
        <f t="shared" si="3"/>
        <v>7.5187969924812095E-3</v>
      </c>
      <c r="L20" s="330">
        <v>351523477.44999999</v>
      </c>
      <c r="M20" s="329">
        <v>1.33</v>
      </c>
      <c r="N20" s="23">
        <f t="shared" si="4"/>
        <v>-9.6200168378901309E-3</v>
      </c>
      <c r="O20" s="23">
        <f t="shared" si="5"/>
        <v>-7.462686567164185E-3</v>
      </c>
      <c r="P20" s="330">
        <v>349817523.98000002</v>
      </c>
      <c r="Q20" s="329">
        <v>1.32</v>
      </c>
      <c r="R20" s="23">
        <f t="shared" si="6"/>
        <v>-4.8530285441393331E-3</v>
      </c>
      <c r="S20" s="23">
        <f t="shared" si="7"/>
        <v>-7.5187969924812095E-3</v>
      </c>
      <c r="T20" s="330">
        <v>339371534.04000002</v>
      </c>
      <c r="U20" s="329">
        <v>1.28</v>
      </c>
      <c r="V20" s="23">
        <f t="shared" si="8"/>
        <v>-2.9861254007953079E-2</v>
      </c>
      <c r="W20" s="23">
        <f t="shared" si="9"/>
        <v>-3.0303030303030328E-2</v>
      </c>
      <c r="X20" s="330">
        <v>344190166.48000002</v>
      </c>
      <c r="Y20" s="329">
        <v>1.3</v>
      </c>
      <c r="Z20" s="23">
        <f t="shared" si="10"/>
        <v>1.4198693634192813E-2</v>
      </c>
      <c r="AA20" s="23">
        <f t="shared" si="11"/>
        <v>1.5625000000000014E-2</v>
      </c>
      <c r="AB20" s="330">
        <v>351847653.92000002</v>
      </c>
      <c r="AC20" s="329">
        <v>1.33</v>
      </c>
      <c r="AD20" s="23">
        <f t="shared" si="12"/>
        <v>2.2247839089397557E-2</v>
      </c>
      <c r="AE20" s="23">
        <f t="shared" si="13"/>
        <v>2.3076923076923096E-2</v>
      </c>
      <c r="AF20" s="330">
        <v>352536812.56999999</v>
      </c>
      <c r="AG20" s="329">
        <v>1.33</v>
      </c>
      <c r="AH20" s="23">
        <f t="shared" si="14"/>
        <v>1.9586847953139142E-3</v>
      </c>
      <c r="AI20" s="23">
        <f t="shared" si="15"/>
        <v>0</v>
      </c>
      <c r="AJ20" s="24">
        <f t="shared" si="16"/>
        <v>-4.4558939356387477E-4</v>
      </c>
      <c r="AK20" s="24">
        <f t="shared" si="17"/>
        <v>-8.158100450544486E-4</v>
      </c>
      <c r="AL20" s="25">
        <f t="shared" si="18"/>
        <v>-4.4166813356551716E-3</v>
      </c>
      <c r="AM20" s="25">
        <f t="shared" si="19"/>
        <v>0</v>
      </c>
      <c r="AN20" s="26">
        <f t="shared" si="20"/>
        <v>1.5639686802076551E-2</v>
      </c>
      <c r="AO20" s="78">
        <f t="shared" si="21"/>
        <v>1.6536031131335428E-2</v>
      </c>
      <c r="AP20" s="30"/>
      <c r="AQ20" s="39">
        <v>100020653.31</v>
      </c>
      <c r="AR20" s="28">
        <v>100</v>
      </c>
      <c r="AS20" s="29" t="e">
        <f>(#REF!/AQ20)-1</f>
        <v>#REF!</v>
      </c>
      <c r="AT20" s="29" t="e">
        <f>(#REF!/AR20)-1</f>
        <v>#REF!</v>
      </c>
    </row>
    <row r="21" spans="1:46">
      <c r="A21" s="208" t="s">
        <v>42</v>
      </c>
      <c r="B21" s="70">
        <f>SUM(B5:B20)</f>
        <v>17018697028.649998</v>
      </c>
      <c r="C21" s="87"/>
      <c r="D21" s="70">
        <f>SUM(D5:D20)</f>
        <v>17022340090.360001</v>
      </c>
      <c r="E21" s="87"/>
      <c r="F21" s="23">
        <f>((D21-B21)/B21)</f>
        <v>2.1406231651400893E-4</v>
      </c>
      <c r="G21" s="23"/>
      <c r="H21" s="70">
        <f>SUM(H5:H20)</f>
        <v>16999391000.990002</v>
      </c>
      <c r="I21" s="87"/>
      <c r="J21" s="23">
        <f>((H21-D21)/D21)</f>
        <v>-1.3481747661119364E-3</v>
      </c>
      <c r="K21" s="23"/>
      <c r="L21" s="70">
        <f>SUM(L5:L20)</f>
        <v>16887170786.959999</v>
      </c>
      <c r="M21" s="87"/>
      <c r="N21" s="23">
        <f>((L21-H21)/H21)</f>
        <v>-6.6014255465661779E-3</v>
      </c>
      <c r="O21" s="23"/>
      <c r="P21" s="70">
        <f>SUM(P5:P20)</f>
        <v>16546902385.180002</v>
      </c>
      <c r="Q21" s="87"/>
      <c r="R21" s="23">
        <f>((P21-L21)/L21)</f>
        <v>-2.0149520963141241E-2</v>
      </c>
      <c r="S21" s="23"/>
      <c r="T21" s="70">
        <f>SUM(T5:T20)</f>
        <v>16580432011.360001</v>
      </c>
      <c r="U21" s="87"/>
      <c r="V21" s="23">
        <f>((T21-P21)/P21)</f>
        <v>2.0263385496265894E-3</v>
      </c>
      <c r="W21" s="23"/>
      <c r="X21" s="70">
        <f>SUM(X5:X20)</f>
        <v>16794813036.269999</v>
      </c>
      <c r="Y21" s="87"/>
      <c r="Z21" s="23">
        <f>((X21-T21)/T21)</f>
        <v>1.2929761104120559E-2</v>
      </c>
      <c r="AA21" s="23"/>
      <c r="AB21" s="70">
        <f>SUM(AB5:AB20)</f>
        <v>16995023834.229998</v>
      </c>
      <c r="AC21" s="87"/>
      <c r="AD21" s="23">
        <f>((AB21-X21)/X21)</f>
        <v>1.1920989982301369E-2</v>
      </c>
      <c r="AE21" s="23"/>
      <c r="AF21" s="70">
        <f>SUM(AF5:AF20)</f>
        <v>16966112297.950001</v>
      </c>
      <c r="AG21" s="87"/>
      <c r="AH21" s="23">
        <f>((AF21-AB21)/AB21)</f>
        <v>-1.7011765656818674E-3</v>
      </c>
      <c r="AI21" s="23"/>
      <c r="AJ21" s="24">
        <f t="shared" si="16"/>
        <v>-3.3864323611733718E-4</v>
      </c>
      <c r="AK21" s="24"/>
      <c r="AL21" s="25">
        <f t="shared" si="18"/>
        <v>-3.3031764206052062E-3</v>
      </c>
      <c r="AM21" s="25"/>
      <c r="AN21" s="26">
        <f t="shared" si="20"/>
        <v>1.0466386688745204E-2</v>
      </c>
      <c r="AO21" s="78"/>
      <c r="AP21" s="30"/>
      <c r="AQ21" s="40">
        <f>SUM(AQ5:AQ20)</f>
        <v>13501614037.429998</v>
      </c>
      <c r="AR21" s="41"/>
      <c r="AS21" s="29" t="e">
        <f>(#REF!/AQ21)-1</f>
        <v>#REF!</v>
      </c>
      <c r="AT21" s="29" t="e">
        <f>(#REF!/AR21)-1</f>
        <v>#REF!</v>
      </c>
    </row>
    <row r="22" spans="1:46" s="110" customFormat="1" ht="6" customHeight="1">
      <c r="A22" s="208"/>
      <c r="B22" s="87"/>
      <c r="C22" s="87"/>
      <c r="D22" s="87"/>
      <c r="E22" s="87"/>
      <c r="F22" s="23"/>
      <c r="G22" s="23"/>
      <c r="H22" s="87"/>
      <c r="I22" s="87"/>
      <c r="J22" s="23"/>
      <c r="K22" s="23"/>
      <c r="L22" s="87"/>
      <c r="M22" s="87"/>
      <c r="N22" s="23"/>
      <c r="O22" s="23"/>
      <c r="P22" s="87"/>
      <c r="Q22" s="87"/>
      <c r="R22" s="23"/>
      <c r="S22" s="23"/>
      <c r="T22" s="87"/>
      <c r="U22" s="87"/>
      <c r="V22" s="23"/>
      <c r="W22" s="23"/>
      <c r="X22" s="87"/>
      <c r="Y22" s="87"/>
      <c r="Z22" s="23"/>
      <c r="AA22" s="23"/>
      <c r="AB22" s="87"/>
      <c r="AC22" s="87"/>
      <c r="AD22" s="23"/>
      <c r="AE22" s="23"/>
      <c r="AF22" s="87"/>
      <c r="AG22" s="87"/>
      <c r="AH22" s="23"/>
      <c r="AI22" s="23"/>
      <c r="AJ22" s="24"/>
      <c r="AK22" s="24"/>
      <c r="AL22" s="25"/>
      <c r="AM22" s="25"/>
      <c r="AN22" s="26"/>
      <c r="AO22" s="78"/>
      <c r="AP22" s="30"/>
      <c r="AQ22" s="40"/>
      <c r="AR22" s="41"/>
      <c r="AS22" s="29"/>
      <c r="AT22" s="29"/>
    </row>
    <row r="23" spans="1:46">
      <c r="A23" s="205" t="s">
        <v>44</v>
      </c>
      <c r="B23" s="87"/>
      <c r="C23" s="87"/>
      <c r="D23" s="87"/>
      <c r="E23" s="87"/>
      <c r="F23" s="23"/>
      <c r="G23" s="23"/>
      <c r="H23" s="87"/>
      <c r="I23" s="87"/>
      <c r="J23" s="23"/>
      <c r="K23" s="23"/>
      <c r="L23" s="87"/>
      <c r="M23" s="87"/>
      <c r="N23" s="23"/>
      <c r="O23" s="23"/>
      <c r="P23" s="87"/>
      <c r="Q23" s="87"/>
      <c r="R23" s="23"/>
      <c r="S23" s="23"/>
      <c r="T23" s="87"/>
      <c r="U23" s="87"/>
      <c r="V23" s="23"/>
      <c r="W23" s="23"/>
      <c r="X23" s="87"/>
      <c r="Y23" s="87"/>
      <c r="Z23" s="23"/>
      <c r="AA23" s="23"/>
      <c r="AB23" s="87"/>
      <c r="AC23" s="87"/>
      <c r="AD23" s="23"/>
      <c r="AE23" s="23"/>
      <c r="AF23" s="87"/>
      <c r="AG23" s="87"/>
      <c r="AH23" s="23"/>
      <c r="AI23" s="23"/>
      <c r="AJ23" s="24"/>
      <c r="AK23" s="24"/>
      <c r="AL23" s="25"/>
      <c r="AM23" s="25"/>
      <c r="AN23" s="26"/>
      <c r="AO23" s="78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6" t="s">
        <v>99</v>
      </c>
      <c r="B24" s="325">
        <v>13980669762.65</v>
      </c>
      <c r="C24" s="314">
        <v>100</v>
      </c>
      <c r="D24" s="325">
        <v>15079766415.41</v>
      </c>
      <c r="E24" s="314">
        <v>100</v>
      </c>
      <c r="F24" s="23">
        <f t="shared" ref="F24:F52" si="22">((D24-B24)/B24)</f>
        <v>7.8615450577073739E-2</v>
      </c>
      <c r="G24" s="23">
        <f t="shared" ref="G24:G52" si="23">((E24-C24)/C24)</f>
        <v>0</v>
      </c>
      <c r="H24" s="325">
        <v>14948475440.860001</v>
      </c>
      <c r="I24" s="314">
        <v>100</v>
      </c>
      <c r="J24" s="23">
        <f t="shared" ref="J24:J52" si="24">((H24-D24)/D24)</f>
        <v>-8.7064329070663266E-3</v>
      </c>
      <c r="K24" s="23">
        <f t="shared" ref="K24:K52" si="25">((I24-E24)/E24)</f>
        <v>0</v>
      </c>
      <c r="L24" s="325">
        <v>14917305381.5</v>
      </c>
      <c r="M24" s="314">
        <v>100</v>
      </c>
      <c r="N24" s="23">
        <f t="shared" ref="N24:N52" si="26">((L24-H24)/H24)</f>
        <v>-2.0851664427798912E-3</v>
      </c>
      <c r="O24" s="23">
        <f t="shared" ref="O24:O52" si="27">((M24-I24)/I24)</f>
        <v>0</v>
      </c>
      <c r="P24" s="325">
        <v>17371324724.130001</v>
      </c>
      <c r="Q24" s="314">
        <v>100</v>
      </c>
      <c r="R24" s="23">
        <f t="shared" ref="R24:R52" si="28">((P24-L24)/L24)</f>
        <v>0.16450821913677541</v>
      </c>
      <c r="S24" s="23">
        <f t="shared" ref="S24:S52" si="29">((Q24-M24)/M24)</f>
        <v>0</v>
      </c>
      <c r="T24" s="325">
        <v>17486667728.57</v>
      </c>
      <c r="U24" s="314">
        <v>100</v>
      </c>
      <c r="V24" s="23">
        <f t="shared" ref="V24:V52" si="30">((T24-P24)/P24)</f>
        <v>6.6398508042267504E-3</v>
      </c>
      <c r="W24" s="23">
        <f t="shared" ref="W24:W52" si="31">((U24-Q24)/Q24)</f>
        <v>0</v>
      </c>
      <c r="X24" s="325">
        <v>17465062170.860001</v>
      </c>
      <c r="Y24" s="314">
        <v>100</v>
      </c>
      <c r="Z24" s="23">
        <f t="shared" ref="Z24:Z52" si="32">((X24-T24)/T24)</f>
        <v>-1.2355445900478555E-3</v>
      </c>
      <c r="AA24" s="23">
        <f t="shared" ref="AA24:AA52" si="33">((Y24-U24)/U24)</f>
        <v>0</v>
      </c>
      <c r="AB24" s="325">
        <v>17614943373.200001</v>
      </c>
      <c r="AC24" s="314">
        <v>100</v>
      </c>
      <c r="AD24" s="23">
        <f t="shared" ref="AD24:AD52" si="34">((AB24-X24)/X24)</f>
        <v>8.5817731923149409E-3</v>
      </c>
      <c r="AE24" s="23">
        <f t="shared" ref="AE24:AE52" si="35">((AC24-Y24)/Y24)</f>
        <v>0</v>
      </c>
      <c r="AF24" s="325">
        <v>17528080985.630001</v>
      </c>
      <c r="AG24" s="314">
        <v>100</v>
      </c>
      <c r="AH24" s="23">
        <f t="shared" ref="AH24:AH52" si="36">((AF24-AB24)/AB24)</f>
        <v>-4.9311760889424834E-3</v>
      </c>
      <c r="AI24" s="23">
        <f t="shared" ref="AI24:AI52" si="37">((AG24-AC24)/AC24)</f>
        <v>0</v>
      </c>
      <c r="AJ24" s="24">
        <f t="shared" si="16"/>
        <v>3.0173371710194286E-2</v>
      </c>
      <c r="AK24" s="24">
        <f t="shared" si="17"/>
        <v>0</v>
      </c>
      <c r="AL24" s="25">
        <f t="shared" si="18"/>
        <v>0.16235759247027001</v>
      </c>
      <c r="AM24" s="25">
        <f t="shared" si="19"/>
        <v>0</v>
      </c>
      <c r="AN24" s="26">
        <f t="shared" si="20"/>
        <v>6.1159757732208941E-2</v>
      </c>
      <c r="AO24" s="78">
        <f t="shared" si="21"/>
        <v>0</v>
      </c>
      <c r="AP24" s="30"/>
      <c r="AQ24" s="28">
        <v>58847545464.410004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6" t="s">
        <v>117</v>
      </c>
      <c r="B25" s="325">
        <v>708856913.88</v>
      </c>
      <c r="C25" s="314">
        <v>100</v>
      </c>
      <c r="D25" s="325">
        <v>724415910.40999997</v>
      </c>
      <c r="E25" s="314">
        <v>100</v>
      </c>
      <c r="F25" s="23">
        <f t="shared" si="22"/>
        <v>2.1949417753205271E-2</v>
      </c>
      <c r="G25" s="23">
        <f t="shared" si="23"/>
        <v>0</v>
      </c>
      <c r="H25" s="325">
        <v>749367264.89999998</v>
      </c>
      <c r="I25" s="314">
        <v>100</v>
      </c>
      <c r="J25" s="23">
        <f t="shared" si="24"/>
        <v>3.4443410382687778E-2</v>
      </c>
      <c r="K25" s="23">
        <f t="shared" si="25"/>
        <v>0</v>
      </c>
      <c r="L25" s="325">
        <v>758391576.14999998</v>
      </c>
      <c r="M25" s="314">
        <v>100</v>
      </c>
      <c r="N25" s="23">
        <f t="shared" si="26"/>
        <v>1.2042574679592199E-2</v>
      </c>
      <c r="O25" s="23">
        <f t="shared" si="27"/>
        <v>0</v>
      </c>
      <c r="P25" s="325">
        <v>766148632.13</v>
      </c>
      <c r="Q25" s="314">
        <v>100</v>
      </c>
      <c r="R25" s="23">
        <f t="shared" si="28"/>
        <v>1.0228299237418975E-2</v>
      </c>
      <c r="S25" s="23">
        <f t="shared" si="29"/>
        <v>0</v>
      </c>
      <c r="T25" s="325">
        <v>759033782.70000005</v>
      </c>
      <c r="U25" s="314">
        <v>100</v>
      </c>
      <c r="V25" s="23">
        <f t="shared" si="30"/>
        <v>-9.2865132581646387E-3</v>
      </c>
      <c r="W25" s="23">
        <f t="shared" si="31"/>
        <v>0</v>
      </c>
      <c r="X25" s="325">
        <v>757578529.94000006</v>
      </c>
      <c r="Y25" s="314">
        <v>100</v>
      </c>
      <c r="Z25" s="23">
        <f t="shared" si="32"/>
        <v>-1.9172437290253831E-3</v>
      </c>
      <c r="AA25" s="23">
        <f t="shared" si="33"/>
        <v>0</v>
      </c>
      <c r="AB25" s="325">
        <v>773424588.75</v>
      </c>
      <c r="AC25" s="314">
        <v>100</v>
      </c>
      <c r="AD25" s="23">
        <f t="shared" si="34"/>
        <v>2.0916721084024047E-2</v>
      </c>
      <c r="AE25" s="23">
        <f t="shared" si="35"/>
        <v>0</v>
      </c>
      <c r="AF25" s="325">
        <v>780586901.72000003</v>
      </c>
      <c r="AG25" s="314">
        <v>100</v>
      </c>
      <c r="AH25" s="23">
        <f t="shared" si="36"/>
        <v>9.2605188329681586E-3</v>
      </c>
      <c r="AI25" s="23">
        <f t="shared" si="37"/>
        <v>0</v>
      </c>
      <c r="AJ25" s="24">
        <f t="shared" si="16"/>
        <v>1.2204648122838302E-2</v>
      </c>
      <c r="AK25" s="24">
        <f t="shared" si="17"/>
        <v>0</v>
      </c>
      <c r="AL25" s="25">
        <f t="shared" si="18"/>
        <v>7.753969853893572E-2</v>
      </c>
      <c r="AM25" s="25">
        <f t="shared" si="19"/>
        <v>0</v>
      </c>
      <c r="AN25" s="26">
        <f t="shared" si="20"/>
        <v>1.3832266957338106E-2</v>
      </c>
      <c r="AO25" s="78">
        <f t="shared" si="21"/>
        <v>0</v>
      </c>
      <c r="AP25" s="30"/>
      <c r="AQ25" s="28">
        <v>56630718400</v>
      </c>
      <c r="AR25" s="42">
        <v>100</v>
      </c>
      <c r="AS25" s="29" t="e">
        <f>(#REF!/AQ25)-1</f>
        <v>#REF!</v>
      </c>
      <c r="AT25" s="29" t="e">
        <f>(#REF!/AR25)-1</f>
        <v>#REF!</v>
      </c>
    </row>
    <row r="26" spans="1:46">
      <c r="A26" s="206" t="s">
        <v>37</v>
      </c>
      <c r="B26" s="325">
        <v>2272988259.2800002</v>
      </c>
      <c r="C26" s="314">
        <v>100</v>
      </c>
      <c r="D26" s="325">
        <v>2397783622.0599999</v>
      </c>
      <c r="E26" s="314">
        <v>100</v>
      </c>
      <c r="F26" s="23">
        <f t="shared" si="22"/>
        <v>5.4903654812335174E-2</v>
      </c>
      <c r="G26" s="23">
        <f t="shared" si="23"/>
        <v>0</v>
      </c>
      <c r="H26" s="325">
        <v>2449458946.7199998</v>
      </c>
      <c r="I26" s="314">
        <v>100</v>
      </c>
      <c r="J26" s="23">
        <f t="shared" si="24"/>
        <v>2.1551287691090406E-2</v>
      </c>
      <c r="K26" s="23">
        <f t="shared" si="25"/>
        <v>0</v>
      </c>
      <c r="L26" s="325">
        <v>2562208773.8000002</v>
      </c>
      <c r="M26" s="314">
        <v>100</v>
      </c>
      <c r="N26" s="23">
        <f t="shared" si="26"/>
        <v>4.6030502871248553E-2</v>
      </c>
      <c r="O26" s="23">
        <f t="shared" si="27"/>
        <v>0</v>
      </c>
      <c r="P26" s="325">
        <v>2611053785.0900002</v>
      </c>
      <c r="Q26" s="314">
        <v>100</v>
      </c>
      <c r="R26" s="23">
        <f t="shared" si="28"/>
        <v>1.9063634388215036E-2</v>
      </c>
      <c r="S26" s="23">
        <f t="shared" si="29"/>
        <v>0</v>
      </c>
      <c r="T26" s="325">
        <v>2808123670.1100001</v>
      </c>
      <c r="U26" s="314">
        <v>100</v>
      </c>
      <c r="V26" s="23">
        <f t="shared" si="30"/>
        <v>7.54752300183687E-2</v>
      </c>
      <c r="W26" s="23">
        <f t="shared" si="31"/>
        <v>0</v>
      </c>
      <c r="X26" s="325">
        <v>2909772089.7399998</v>
      </c>
      <c r="Y26" s="314">
        <v>100</v>
      </c>
      <c r="Z26" s="23">
        <f t="shared" si="32"/>
        <v>3.6197985406396953E-2</v>
      </c>
      <c r="AA26" s="23">
        <f t="shared" si="33"/>
        <v>0</v>
      </c>
      <c r="AB26" s="325">
        <v>2977946608.1900001</v>
      </c>
      <c r="AC26" s="314">
        <v>100</v>
      </c>
      <c r="AD26" s="23">
        <f t="shared" si="34"/>
        <v>2.3429504561675814E-2</v>
      </c>
      <c r="AE26" s="23">
        <f t="shared" si="35"/>
        <v>0</v>
      </c>
      <c r="AF26" s="325">
        <v>3119190246.1599998</v>
      </c>
      <c r="AG26" s="314">
        <v>100</v>
      </c>
      <c r="AH26" s="23">
        <f t="shared" si="36"/>
        <v>4.7429875868677127E-2</v>
      </c>
      <c r="AI26" s="23">
        <f t="shared" si="37"/>
        <v>0</v>
      </c>
      <c r="AJ26" s="24">
        <f t="shared" si="16"/>
        <v>4.0510209452250971E-2</v>
      </c>
      <c r="AK26" s="24">
        <f t="shared" si="17"/>
        <v>0</v>
      </c>
      <c r="AL26" s="25">
        <f t="shared" si="18"/>
        <v>0.30086393845672371</v>
      </c>
      <c r="AM26" s="25">
        <f t="shared" si="19"/>
        <v>0</v>
      </c>
      <c r="AN26" s="26">
        <f t="shared" si="20"/>
        <v>1.9412151596994609E-2</v>
      </c>
      <c r="AO26" s="78">
        <f t="shared" si="21"/>
        <v>0</v>
      </c>
      <c r="AP26" s="30"/>
      <c r="AQ26" s="28">
        <v>366113097.69999999</v>
      </c>
      <c r="AR26" s="32">
        <v>1.1357999999999999</v>
      </c>
      <c r="AS26" s="29" t="e">
        <f>(#REF!/AQ26)-1</f>
        <v>#REF!</v>
      </c>
      <c r="AT26" s="29" t="e">
        <f>(#REF!/AR26)-1</f>
        <v>#REF!</v>
      </c>
    </row>
    <row r="27" spans="1:46">
      <c r="A27" s="206" t="s">
        <v>142</v>
      </c>
      <c r="B27" s="325">
        <v>439076582.25</v>
      </c>
      <c r="C27" s="314">
        <v>100</v>
      </c>
      <c r="D27" s="325">
        <v>425550249.77999997</v>
      </c>
      <c r="E27" s="314">
        <v>100</v>
      </c>
      <c r="F27" s="23">
        <f t="shared" si="22"/>
        <v>-3.0806317204816105E-2</v>
      </c>
      <c r="G27" s="23">
        <f t="shared" si="23"/>
        <v>0</v>
      </c>
      <c r="H27" s="325">
        <v>449598803.33999997</v>
      </c>
      <c r="I27" s="314">
        <v>100</v>
      </c>
      <c r="J27" s="23">
        <f t="shared" si="24"/>
        <v>5.6511665948809971E-2</v>
      </c>
      <c r="K27" s="23">
        <f t="shared" si="25"/>
        <v>0</v>
      </c>
      <c r="L27" s="325">
        <v>483121043.02999997</v>
      </c>
      <c r="M27" s="314">
        <v>100</v>
      </c>
      <c r="N27" s="23">
        <f t="shared" si="26"/>
        <v>7.4560340109823389E-2</v>
      </c>
      <c r="O27" s="23">
        <f t="shared" si="27"/>
        <v>0</v>
      </c>
      <c r="P27" s="325">
        <v>470428276.13</v>
      </c>
      <c r="Q27" s="314">
        <v>100</v>
      </c>
      <c r="R27" s="23">
        <f t="shared" si="28"/>
        <v>-2.6272436448626816E-2</v>
      </c>
      <c r="S27" s="23">
        <f t="shared" si="29"/>
        <v>0</v>
      </c>
      <c r="T27" s="325">
        <v>467823613.89999998</v>
      </c>
      <c r="U27" s="314">
        <v>100</v>
      </c>
      <c r="V27" s="23">
        <f t="shared" si="30"/>
        <v>-5.5367892666388883E-3</v>
      </c>
      <c r="W27" s="23">
        <f t="shared" si="31"/>
        <v>0</v>
      </c>
      <c r="X27" s="325">
        <v>440703789.61000001</v>
      </c>
      <c r="Y27" s="314">
        <v>100</v>
      </c>
      <c r="Z27" s="23">
        <f t="shared" si="32"/>
        <v>-5.7970191081027779E-2</v>
      </c>
      <c r="AA27" s="23">
        <f t="shared" si="33"/>
        <v>0</v>
      </c>
      <c r="AB27" s="325">
        <v>445987014.75</v>
      </c>
      <c r="AC27" s="314">
        <v>100</v>
      </c>
      <c r="AD27" s="23">
        <f t="shared" si="34"/>
        <v>1.1988154548603646E-2</v>
      </c>
      <c r="AE27" s="23">
        <f t="shared" si="35"/>
        <v>0</v>
      </c>
      <c r="AF27" s="325">
        <v>455989204.56</v>
      </c>
      <c r="AG27" s="314">
        <v>100</v>
      </c>
      <c r="AH27" s="23">
        <f t="shared" si="36"/>
        <v>2.2427087514211089E-2</v>
      </c>
      <c r="AI27" s="23">
        <f t="shared" si="37"/>
        <v>0</v>
      </c>
      <c r="AJ27" s="24">
        <f t="shared" si="16"/>
        <v>5.6126892650423133E-3</v>
      </c>
      <c r="AK27" s="24">
        <f t="shared" si="17"/>
        <v>0</v>
      </c>
      <c r="AL27" s="25">
        <f t="shared" si="18"/>
        <v>7.1528461787383035E-2</v>
      </c>
      <c r="AM27" s="25">
        <f t="shared" si="19"/>
        <v>0</v>
      </c>
      <c r="AN27" s="26">
        <f t="shared" si="20"/>
        <v>4.5004688246561397E-2</v>
      </c>
      <c r="AO27" s="78">
        <f t="shared" si="21"/>
        <v>0</v>
      </c>
      <c r="AP27" s="30"/>
      <c r="AQ27" s="28">
        <v>691810420.35000002</v>
      </c>
      <c r="AR27" s="42">
        <v>100</v>
      </c>
      <c r="AS27" s="29" t="e">
        <f>(#REF!/AQ27)-1</f>
        <v>#REF!</v>
      </c>
      <c r="AT27" s="29" t="e">
        <f>(#REF!/AR27)-1</f>
        <v>#REF!</v>
      </c>
    </row>
    <row r="28" spans="1:46">
      <c r="A28" s="206" t="s">
        <v>15</v>
      </c>
      <c r="B28" s="325">
        <v>74585025672.039993</v>
      </c>
      <c r="C28" s="314">
        <v>1</v>
      </c>
      <c r="D28" s="325">
        <v>75352239204.960007</v>
      </c>
      <c r="E28" s="314">
        <v>1</v>
      </c>
      <c r="F28" s="23">
        <f t="shared" si="22"/>
        <v>1.0286428488924179E-2</v>
      </c>
      <c r="G28" s="23">
        <f t="shared" si="23"/>
        <v>0</v>
      </c>
      <c r="H28" s="325">
        <v>75871633613.800003</v>
      </c>
      <c r="I28" s="314">
        <v>1</v>
      </c>
      <c r="J28" s="23">
        <f t="shared" si="24"/>
        <v>6.8928861878574084E-3</v>
      </c>
      <c r="K28" s="23">
        <f t="shared" si="25"/>
        <v>0</v>
      </c>
      <c r="L28" s="325">
        <v>77644321729.720001</v>
      </c>
      <c r="M28" s="314">
        <v>1</v>
      </c>
      <c r="N28" s="23">
        <f t="shared" si="26"/>
        <v>2.3364306678083317E-2</v>
      </c>
      <c r="O28" s="23">
        <f t="shared" si="27"/>
        <v>0</v>
      </c>
      <c r="P28" s="325">
        <v>77373682481.070007</v>
      </c>
      <c r="Q28" s="314">
        <v>1</v>
      </c>
      <c r="R28" s="23">
        <f t="shared" si="28"/>
        <v>-3.4856283450075015E-3</v>
      </c>
      <c r="S28" s="23">
        <f t="shared" si="29"/>
        <v>0</v>
      </c>
      <c r="T28" s="325">
        <v>77181859873.679993</v>
      </c>
      <c r="U28" s="314">
        <v>1</v>
      </c>
      <c r="V28" s="23">
        <f t="shared" si="30"/>
        <v>-2.4791712277226216E-3</v>
      </c>
      <c r="W28" s="23">
        <f t="shared" si="31"/>
        <v>0</v>
      </c>
      <c r="X28" s="325">
        <v>77432709637.889999</v>
      </c>
      <c r="Y28" s="314">
        <v>1</v>
      </c>
      <c r="Z28" s="23">
        <f t="shared" si="32"/>
        <v>3.250112974999061E-3</v>
      </c>
      <c r="AA28" s="23">
        <f t="shared" si="33"/>
        <v>0</v>
      </c>
      <c r="AB28" s="325">
        <v>78231363248.449997</v>
      </c>
      <c r="AC28" s="314">
        <v>1</v>
      </c>
      <c r="AD28" s="23">
        <f t="shared" si="34"/>
        <v>1.0314163281833469E-2</v>
      </c>
      <c r="AE28" s="23">
        <f t="shared" si="35"/>
        <v>0</v>
      </c>
      <c r="AF28" s="325">
        <v>78641641385.800003</v>
      </c>
      <c r="AG28" s="314">
        <v>1</v>
      </c>
      <c r="AH28" s="23">
        <f t="shared" si="36"/>
        <v>5.2444201444761989E-3</v>
      </c>
      <c r="AI28" s="23">
        <f t="shared" si="37"/>
        <v>0</v>
      </c>
      <c r="AJ28" s="24">
        <f t="shared" si="16"/>
        <v>6.673439772930439E-3</v>
      </c>
      <c r="AK28" s="24">
        <f t="shared" si="17"/>
        <v>0</v>
      </c>
      <c r="AL28" s="25">
        <f t="shared" si="18"/>
        <v>4.3653675266274949E-2</v>
      </c>
      <c r="AM28" s="25">
        <f t="shared" si="19"/>
        <v>0</v>
      </c>
      <c r="AN28" s="26">
        <f t="shared" si="20"/>
        <v>8.4994114630102518E-3</v>
      </c>
      <c r="AO28" s="78">
        <f t="shared" si="21"/>
        <v>0</v>
      </c>
      <c r="AP28" s="30"/>
      <c r="AQ28" s="28">
        <v>13880602273.7041</v>
      </c>
      <c r="AR28" s="35">
        <v>1</v>
      </c>
      <c r="AS28" s="29" t="e">
        <f>(#REF!/AQ28)-1</f>
        <v>#REF!</v>
      </c>
      <c r="AT28" s="29" t="e">
        <f>(#REF!/AR28)-1</f>
        <v>#REF!</v>
      </c>
    </row>
    <row r="29" spans="1:46">
      <c r="A29" s="206" t="s">
        <v>83</v>
      </c>
      <c r="B29" s="325">
        <v>35971838996.849998</v>
      </c>
      <c r="C29" s="314">
        <v>1</v>
      </c>
      <c r="D29" s="325">
        <v>35646070514.709999</v>
      </c>
      <c r="E29" s="314">
        <v>1</v>
      </c>
      <c r="F29" s="23">
        <f t="shared" si="22"/>
        <v>-9.0562087239556052E-3</v>
      </c>
      <c r="G29" s="23">
        <f t="shared" si="23"/>
        <v>0</v>
      </c>
      <c r="H29" s="325">
        <v>36418046507.919998</v>
      </c>
      <c r="I29" s="314">
        <v>1</v>
      </c>
      <c r="J29" s="23">
        <f t="shared" si="24"/>
        <v>2.1656692646989776E-2</v>
      </c>
      <c r="K29" s="23">
        <f t="shared" si="25"/>
        <v>0</v>
      </c>
      <c r="L29" s="325">
        <v>36637222597.720001</v>
      </c>
      <c r="M29" s="314">
        <v>1</v>
      </c>
      <c r="N29" s="23">
        <f t="shared" si="26"/>
        <v>6.0183373578903479E-3</v>
      </c>
      <c r="O29" s="23">
        <f t="shared" si="27"/>
        <v>0</v>
      </c>
      <c r="P29" s="325">
        <v>37901167101.580002</v>
      </c>
      <c r="Q29" s="314">
        <v>1</v>
      </c>
      <c r="R29" s="23">
        <f t="shared" si="28"/>
        <v>3.449891706416245E-2</v>
      </c>
      <c r="S29" s="23">
        <f t="shared" si="29"/>
        <v>0</v>
      </c>
      <c r="T29" s="325">
        <v>37669834097.889999</v>
      </c>
      <c r="U29" s="314">
        <v>1</v>
      </c>
      <c r="V29" s="23">
        <f t="shared" si="30"/>
        <v>-6.1035852291830553E-3</v>
      </c>
      <c r="W29" s="23">
        <f t="shared" si="31"/>
        <v>0</v>
      </c>
      <c r="X29" s="325">
        <v>38293583803.980003</v>
      </c>
      <c r="Y29" s="314">
        <v>1</v>
      </c>
      <c r="Z29" s="23">
        <f t="shared" si="32"/>
        <v>1.655833430190079E-2</v>
      </c>
      <c r="AA29" s="23">
        <f t="shared" si="33"/>
        <v>0</v>
      </c>
      <c r="AB29" s="325">
        <v>38293583803.980003</v>
      </c>
      <c r="AC29" s="314">
        <v>1</v>
      </c>
      <c r="AD29" s="23">
        <f t="shared" si="34"/>
        <v>0</v>
      </c>
      <c r="AE29" s="23">
        <f t="shared" si="35"/>
        <v>0</v>
      </c>
      <c r="AF29" s="325">
        <v>38293583803.980003</v>
      </c>
      <c r="AG29" s="314">
        <v>1</v>
      </c>
      <c r="AH29" s="23">
        <f t="shared" si="36"/>
        <v>0</v>
      </c>
      <c r="AI29" s="23">
        <f t="shared" si="37"/>
        <v>0</v>
      </c>
      <c r="AJ29" s="24">
        <f t="shared" si="16"/>
        <v>7.9465609272255881E-3</v>
      </c>
      <c r="AK29" s="24">
        <f t="shared" si="17"/>
        <v>0</v>
      </c>
      <c r="AL29" s="25">
        <f t="shared" si="18"/>
        <v>7.4272233966923784E-2</v>
      </c>
      <c r="AM29" s="25">
        <f t="shared" si="19"/>
        <v>0</v>
      </c>
      <c r="AN29" s="26">
        <f t="shared" si="20"/>
        <v>1.5041240730328765E-2</v>
      </c>
      <c r="AO29" s="78">
        <f t="shared" si="21"/>
        <v>0</v>
      </c>
      <c r="AP29" s="30"/>
      <c r="AQ29" s="38">
        <v>246915130.99000001</v>
      </c>
      <c r="AR29" s="35">
        <v>10</v>
      </c>
      <c r="AS29" s="29" t="e">
        <f>(#REF!/AQ29)-1</f>
        <v>#REF!</v>
      </c>
      <c r="AT29" s="29" t="e">
        <f>(#REF!/AR29)-1</f>
        <v>#REF!</v>
      </c>
    </row>
    <row r="30" spans="1:46">
      <c r="A30" s="206" t="s">
        <v>98</v>
      </c>
      <c r="B30" s="325">
        <v>5621722089.6599998</v>
      </c>
      <c r="C30" s="314">
        <v>100</v>
      </c>
      <c r="D30" s="325">
        <v>5414533660.1499996</v>
      </c>
      <c r="E30" s="314">
        <v>100</v>
      </c>
      <c r="F30" s="23">
        <f t="shared" si="22"/>
        <v>-3.6854975433787573E-2</v>
      </c>
      <c r="G30" s="23">
        <f t="shared" si="23"/>
        <v>0</v>
      </c>
      <c r="H30" s="325">
        <v>5229773332.5</v>
      </c>
      <c r="I30" s="314">
        <v>100</v>
      </c>
      <c r="J30" s="23">
        <f t="shared" si="24"/>
        <v>-3.4123036118475468E-2</v>
      </c>
      <c r="K30" s="23">
        <f t="shared" si="25"/>
        <v>0</v>
      </c>
      <c r="L30" s="325">
        <v>5250605455.4700003</v>
      </c>
      <c r="M30" s="314">
        <v>100</v>
      </c>
      <c r="N30" s="23">
        <f t="shared" si="26"/>
        <v>3.9833701473332957E-3</v>
      </c>
      <c r="O30" s="23">
        <f t="shared" si="27"/>
        <v>0</v>
      </c>
      <c r="P30" s="325">
        <v>5879797445.79</v>
      </c>
      <c r="Q30" s="314">
        <v>100</v>
      </c>
      <c r="R30" s="23">
        <f t="shared" si="28"/>
        <v>0.1198322737551185</v>
      </c>
      <c r="S30" s="23">
        <f t="shared" si="29"/>
        <v>0</v>
      </c>
      <c r="T30" s="325">
        <v>5879797445.79</v>
      </c>
      <c r="U30" s="314">
        <v>100</v>
      </c>
      <c r="V30" s="23">
        <f t="shared" si="30"/>
        <v>0</v>
      </c>
      <c r="W30" s="23">
        <f t="shared" si="31"/>
        <v>0</v>
      </c>
      <c r="X30" s="325">
        <v>5953054706.3500004</v>
      </c>
      <c r="Y30" s="314">
        <v>100</v>
      </c>
      <c r="Z30" s="23">
        <f t="shared" si="32"/>
        <v>1.2459146974944423E-2</v>
      </c>
      <c r="AA30" s="23">
        <f t="shared" si="33"/>
        <v>0</v>
      </c>
      <c r="AB30" s="325">
        <v>6026943927.4200001</v>
      </c>
      <c r="AC30" s="314">
        <v>100</v>
      </c>
      <c r="AD30" s="23">
        <f t="shared" si="34"/>
        <v>1.241198421898989E-2</v>
      </c>
      <c r="AE30" s="23">
        <f t="shared" si="35"/>
        <v>0</v>
      </c>
      <c r="AF30" s="325">
        <v>6122434597.0100002</v>
      </c>
      <c r="AG30" s="314">
        <v>100</v>
      </c>
      <c r="AH30" s="23">
        <f t="shared" si="36"/>
        <v>1.5843961838695516E-2</v>
      </c>
      <c r="AI30" s="23">
        <f t="shared" si="37"/>
        <v>0</v>
      </c>
      <c r="AJ30" s="24">
        <f t="shared" si="16"/>
        <v>1.1694090672852323E-2</v>
      </c>
      <c r="AK30" s="24">
        <f t="shared" si="17"/>
        <v>0</v>
      </c>
      <c r="AL30" s="25">
        <f t="shared" si="18"/>
        <v>0.13074088763544403</v>
      </c>
      <c r="AM30" s="25">
        <f t="shared" si="19"/>
        <v>0</v>
      </c>
      <c r="AN30" s="26">
        <f t="shared" si="20"/>
        <v>4.8350826035553962E-2</v>
      </c>
      <c r="AO30" s="78">
        <f t="shared" si="21"/>
        <v>0</v>
      </c>
      <c r="AP30" s="30"/>
      <c r="AQ30" s="38"/>
      <c r="AR30" s="35"/>
      <c r="AS30" s="29"/>
      <c r="AT30" s="29"/>
    </row>
    <row r="31" spans="1:46">
      <c r="A31" s="206" t="s">
        <v>170</v>
      </c>
      <c r="B31" s="325">
        <v>11051466997.779999</v>
      </c>
      <c r="C31" s="314">
        <v>100</v>
      </c>
      <c r="D31" s="325">
        <v>11490691079.289999</v>
      </c>
      <c r="E31" s="314">
        <v>100</v>
      </c>
      <c r="F31" s="23">
        <f t="shared" si="22"/>
        <v>3.9743509309508943E-2</v>
      </c>
      <c r="G31" s="23">
        <f t="shared" si="23"/>
        <v>0</v>
      </c>
      <c r="H31" s="325">
        <v>11441647419.370001</v>
      </c>
      <c r="I31" s="314">
        <v>100</v>
      </c>
      <c r="J31" s="23">
        <f t="shared" si="24"/>
        <v>-4.2681210017377425E-3</v>
      </c>
      <c r="K31" s="23">
        <f t="shared" si="25"/>
        <v>0</v>
      </c>
      <c r="L31" s="325">
        <v>11863696748.280001</v>
      </c>
      <c r="M31" s="314">
        <v>100</v>
      </c>
      <c r="N31" s="23">
        <f t="shared" si="26"/>
        <v>3.6887111920220199E-2</v>
      </c>
      <c r="O31" s="23">
        <f t="shared" si="27"/>
        <v>0</v>
      </c>
      <c r="P31" s="325">
        <v>11980549973.41</v>
      </c>
      <c r="Q31" s="314">
        <v>100</v>
      </c>
      <c r="R31" s="23">
        <f t="shared" si="28"/>
        <v>9.8496470037419438E-3</v>
      </c>
      <c r="S31" s="23">
        <f t="shared" si="29"/>
        <v>0</v>
      </c>
      <c r="T31" s="325">
        <v>11745578760.279999</v>
      </c>
      <c r="U31" s="314">
        <v>100</v>
      </c>
      <c r="V31" s="23">
        <f t="shared" si="30"/>
        <v>-1.9612723426846296E-2</v>
      </c>
      <c r="W31" s="23">
        <f t="shared" si="31"/>
        <v>0</v>
      </c>
      <c r="X31" s="325">
        <v>11817360862.35</v>
      </c>
      <c r="Y31" s="314">
        <v>100</v>
      </c>
      <c r="Z31" s="23">
        <f t="shared" si="32"/>
        <v>6.1114146467389921E-3</v>
      </c>
      <c r="AA31" s="23">
        <f t="shared" si="33"/>
        <v>0</v>
      </c>
      <c r="AB31" s="325">
        <v>12009793803.210001</v>
      </c>
      <c r="AC31" s="314">
        <v>100</v>
      </c>
      <c r="AD31" s="23">
        <f t="shared" si="34"/>
        <v>1.6283918473970795E-2</v>
      </c>
      <c r="AE31" s="23">
        <f t="shared" si="35"/>
        <v>0</v>
      </c>
      <c r="AF31" s="325">
        <v>12230978720.610001</v>
      </c>
      <c r="AG31" s="314">
        <v>100</v>
      </c>
      <c r="AH31" s="23">
        <f t="shared" si="36"/>
        <v>1.8417045373491831E-2</v>
      </c>
      <c r="AI31" s="23">
        <f t="shared" si="37"/>
        <v>0</v>
      </c>
      <c r="AJ31" s="24">
        <f t="shared" si="16"/>
        <v>1.2926475287386082E-2</v>
      </c>
      <c r="AK31" s="24">
        <f t="shared" si="17"/>
        <v>0</v>
      </c>
      <c r="AL31" s="25">
        <f t="shared" si="18"/>
        <v>6.4424988559151436E-2</v>
      </c>
      <c r="AM31" s="25">
        <f t="shared" si="19"/>
        <v>0</v>
      </c>
      <c r="AN31" s="26">
        <f t="shared" si="20"/>
        <v>1.9802776589404155E-2</v>
      </c>
      <c r="AO31" s="78">
        <f t="shared" si="21"/>
        <v>0</v>
      </c>
      <c r="AP31" s="30"/>
      <c r="AQ31" s="38"/>
      <c r="AR31" s="35"/>
      <c r="AS31" s="29"/>
      <c r="AT31" s="29"/>
    </row>
    <row r="32" spans="1:46">
      <c r="A32" s="206" t="s">
        <v>90</v>
      </c>
      <c r="B32" s="325">
        <v>5680740532.8299999</v>
      </c>
      <c r="C32" s="314">
        <v>100</v>
      </c>
      <c r="D32" s="325">
        <v>5620145931.1400003</v>
      </c>
      <c r="E32" s="314">
        <v>100</v>
      </c>
      <c r="F32" s="23">
        <f t="shared" si="22"/>
        <v>-1.0666673005009243E-2</v>
      </c>
      <c r="G32" s="23">
        <f t="shared" si="23"/>
        <v>0</v>
      </c>
      <c r="H32" s="325">
        <v>5424353559.4499998</v>
      </c>
      <c r="I32" s="314">
        <v>100</v>
      </c>
      <c r="J32" s="23">
        <f t="shared" si="24"/>
        <v>-3.4837595693940578E-2</v>
      </c>
      <c r="K32" s="23">
        <f t="shared" si="25"/>
        <v>0</v>
      </c>
      <c r="L32" s="325">
        <v>5538913822.2399998</v>
      </c>
      <c r="M32" s="314">
        <v>100</v>
      </c>
      <c r="N32" s="23">
        <f t="shared" si="26"/>
        <v>2.1119615735670401E-2</v>
      </c>
      <c r="O32" s="23">
        <f t="shared" si="27"/>
        <v>0</v>
      </c>
      <c r="P32" s="325">
        <v>5759383477.2700005</v>
      </c>
      <c r="Q32" s="314">
        <v>100</v>
      </c>
      <c r="R32" s="23">
        <f t="shared" si="28"/>
        <v>3.9803770577683452E-2</v>
      </c>
      <c r="S32" s="23">
        <f t="shared" si="29"/>
        <v>0</v>
      </c>
      <c r="T32" s="325">
        <v>5673758694.9499998</v>
      </c>
      <c r="U32" s="314">
        <v>100</v>
      </c>
      <c r="V32" s="23">
        <f t="shared" si="30"/>
        <v>-1.4867004890007352E-2</v>
      </c>
      <c r="W32" s="23">
        <f t="shared" si="31"/>
        <v>0</v>
      </c>
      <c r="X32" s="325">
        <v>5658224894.1199999</v>
      </c>
      <c r="Y32" s="314">
        <v>100</v>
      </c>
      <c r="Z32" s="23">
        <f t="shared" si="32"/>
        <v>-2.7378324784636996E-3</v>
      </c>
      <c r="AA32" s="23">
        <f t="shared" si="33"/>
        <v>0</v>
      </c>
      <c r="AB32" s="325">
        <v>5611898702.1599998</v>
      </c>
      <c r="AC32" s="314">
        <v>100</v>
      </c>
      <c r="AD32" s="23">
        <f t="shared" si="34"/>
        <v>-8.1874073277189794E-3</v>
      </c>
      <c r="AE32" s="23">
        <f t="shared" si="35"/>
        <v>0</v>
      </c>
      <c r="AF32" s="325">
        <v>5499227227.9899998</v>
      </c>
      <c r="AG32" s="314">
        <v>100</v>
      </c>
      <c r="AH32" s="23">
        <f t="shared" si="36"/>
        <v>-2.0077246605793728E-2</v>
      </c>
      <c r="AI32" s="23">
        <f t="shared" si="37"/>
        <v>0</v>
      </c>
      <c r="AJ32" s="24">
        <f t="shared" si="16"/>
        <v>-3.8062967109474661E-3</v>
      </c>
      <c r="AK32" s="24">
        <f t="shared" si="17"/>
        <v>0</v>
      </c>
      <c r="AL32" s="25">
        <f t="shared" si="18"/>
        <v>-2.1515224805821583E-2</v>
      </c>
      <c r="AM32" s="25">
        <f t="shared" si="19"/>
        <v>0</v>
      </c>
      <c r="AN32" s="26">
        <f t="shared" si="20"/>
        <v>2.3726309030991662E-2</v>
      </c>
      <c r="AO32" s="78">
        <f t="shared" si="21"/>
        <v>0</v>
      </c>
      <c r="AP32" s="30"/>
      <c r="AQ32" s="38"/>
      <c r="AR32" s="35"/>
      <c r="AS32" s="29"/>
      <c r="AT32" s="29"/>
    </row>
    <row r="33" spans="1:47">
      <c r="A33" s="206" t="s">
        <v>183</v>
      </c>
      <c r="B33" s="325">
        <v>45471762.240000002</v>
      </c>
      <c r="C33" s="314">
        <v>100</v>
      </c>
      <c r="D33" s="325">
        <v>45471762.240000002</v>
      </c>
      <c r="E33" s="314">
        <v>100</v>
      </c>
      <c r="F33" s="23">
        <f t="shared" si="22"/>
        <v>0</v>
      </c>
      <c r="G33" s="23">
        <f t="shared" si="23"/>
        <v>0</v>
      </c>
      <c r="H33" s="325">
        <v>44514190.369999997</v>
      </c>
      <c r="I33" s="314">
        <v>100</v>
      </c>
      <c r="J33" s="23">
        <f t="shared" si="24"/>
        <v>-2.1058604787426966E-2</v>
      </c>
      <c r="K33" s="23">
        <f t="shared" si="25"/>
        <v>0</v>
      </c>
      <c r="L33" s="325">
        <v>44514190.369999997</v>
      </c>
      <c r="M33" s="314">
        <v>100</v>
      </c>
      <c r="N33" s="23">
        <f t="shared" si="26"/>
        <v>0</v>
      </c>
      <c r="O33" s="23">
        <f t="shared" si="27"/>
        <v>0</v>
      </c>
      <c r="P33" s="325">
        <v>44514190.369999997</v>
      </c>
      <c r="Q33" s="314">
        <v>100</v>
      </c>
      <c r="R33" s="23">
        <f t="shared" si="28"/>
        <v>0</v>
      </c>
      <c r="S33" s="23">
        <f t="shared" si="29"/>
        <v>0</v>
      </c>
      <c r="T33" s="325">
        <v>44514190.369999997</v>
      </c>
      <c r="U33" s="314">
        <v>100</v>
      </c>
      <c r="V33" s="23">
        <f t="shared" si="30"/>
        <v>0</v>
      </c>
      <c r="W33" s="23">
        <f t="shared" si="31"/>
        <v>0</v>
      </c>
      <c r="X33" s="325">
        <v>44514190.369999997</v>
      </c>
      <c r="Y33" s="314">
        <v>100</v>
      </c>
      <c r="Z33" s="23">
        <f t="shared" si="32"/>
        <v>0</v>
      </c>
      <c r="AA33" s="23">
        <f t="shared" si="33"/>
        <v>0</v>
      </c>
      <c r="AB33" s="325">
        <v>44514190.369999997</v>
      </c>
      <c r="AC33" s="314">
        <v>100</v>
      </c>
      <c r="AD33" s="23">
        <f t="shared" si="34"/>
        <v>0</v>
      </c>
      <c r="AE33" s="23">
        <f t="shared" si="35"/>
        <v>0</v>
      </c>
      <c r="AF33" s="325">
        <v>44514190.369999997</v>
      </c>
      <c r="AG33" s="314">
        <v>100</v>
      </c>
      <c r="AH33" s="23">
        <f t="shared" si="36"/>
        <v>0</v>
      </c>
      <c r="AI33" s="23">
        <f t="shared" si="37"/>
        <v>0</v>
      </c>
      <c r="AJ33" s="24">
        <f t="shared" si="16"/>
        <v>-2.6323255984283707E-3</v>
      </c>
      <c r="AK33" s="24">
        <f t="shared" si="17"/>
        <v>0</v>
      </c>
      <c r="AL33" s="25">
        <f t="shared" si="18"/>
        <v>-2.1058604787426966E-2</v>
      </c>
      <c r="AM33" s="25">
        <f t="shared" si="19"/>
        <v>0</v>
      </c>
      <c r="AN33" s="26">
        <f t="shared" si="20"/>
        <v>7.4453411237585506E-3</v>
      </c>
      <c r="AO33" s="78">
        <f t="shared" si="21"/>
        <v>0</v>
      </c>
      <c r="AP33" s="30"/>
      <c r="AQ33" s="38"/>
      <c r="AR33" s="35"/>
      <c r="AS33" s="29"/>
      <c r="AT33" s="29"/>
    </row>
    <row r="34" spans="1:47">
      <c r="A34" s="206" t="s">
        <v>110</v>
      </c>
      <c r="B34" s="325">
        <v>4498390504.2799997</v>
      </c>
      <c r="C34" s="314">
        <v>1</v>
      </c>
      <c r="D34" s="325">
        <v>4670253756.5299997</v>
      </c>
      <c r="E34" s="314">
        <v>1</v>
      </c>
      <c r="F34" s="23">
        <f t="shared" si="22"/>
        <v>3.8205498630339112E-2</v>
      </c>
      <c r="G34" s="23">
        <f t="shared" si="23"/>
        <v>0</v>
      </c>
      <c r="H34" s="325">
        <v>4719689364.1099997</v>
      </c>
      <c r="I34" s="314">
        <v>1</v>
      </c>
      <c r="J34" s="23">
        <f t="shared" si="24"/>
        <v>1.0585208033049279E-2</v>
      </c>
      <c r="K34" s="23">
        <f t="shared" si="25"/>
        <v>0</v>
      </c>
      <c r="L34" s="325">
        <v>4623949433.0600004</v>
      </c>
      <c r="M34" s="314">
        <v>1</v>
      </c>
      <c r="N34" s="23">
        <f t="shared" si="26"/>
        <v>-2.0285218721815833E-2</v>
      </c>
      <c r="O34" s="23">
        <f t="shared" si="27"/>
        <v>0</v>
      </c>
      <c r="P34" s="325">
        <v>4726651313.3299999</v>
      </c>
      <c r="Q34" s="314">
        <v>1</v>
      </c>
      <c r="R34" s="23">
        <f t="shared" si="28"/>
        <v>2.2210857137776759E-2</v>
      </c>
      <c r="S34" s="23">
        <f t="shared" si="29"/>
        <v>0</v>
      </c>
      <c r="T34" s="325">
        <v>4728974521.3100004</v>
      </c>
      <c r="U34" s="314">
        <v>1</v>
      </c>
      <c r="V34" s="23">
        <f t="shared" si="30"/>
        <v>4.9151245268476537E-4</v>
      </c>
      <c r="W34" s="23">
        <f t="shared" si="31"/>
        <v>0</v>
      </c>
      <c r="X34" s="325">
        <v>5790344995.2299995</v>
      </c>
      <c r="Y34" s="314">
        <v>1</v>
      </c>
      <c r="Z34" s="23">
        <f t="shared" si="32"/>
        <v>0.22443987996492373</v>
      </c>
      <c r="AA34" s="23">
        <f t="shared" si="33"/>
        <v>0</v>
      </c>
      <c r="AB34" s="325">
        <v>5806944067.2600002</v>
      </c>
      <c r="AC34" s="314">
        <v>1</v>
      </c>
      <c r="AD34" s="23">
        <f t="shared" si="34"/>
        <v>2.8666810084156912E-3</v>
      </c>
      <c r="AE34" s="23">
        <f t="shared" si="35"/>
        <v>0</v>
      </c>
      <c r="AF34" s="325">
        <v>5849251583.5699997</v>
      </c>
      <c r="AG34" s="314">
        <v>1</v>
      </c>
      <c r="AH34" s="23">
        <f t="shared" si="36"/>
        <v>7.2856765658433865E-3</v>
      </c>
      <c r="AI34" s="23">
        <f t="shared" si="37"/>
        <v>0</v>
      </c>
      <c r="AJ34" s="24">
        <f t="shared" si="16"/>
        <v>3.5725011883902112E-2</v>
      </c>
      <c r="AK34" s="24">
        <f t="shared" si="17"/>
        <v>0</v>
      </c>
      <c r="AL34" s="25">
        <f t="shared" si="18"/>
        <v>0.25244834403088107</v>
      </c>
      <c r="AM34" s="25">
        <f t="shared" si="19"/>
        <v>0</v>
      </c>
      <c r="AN34" s="26">
        <f t="shared" si="20"/>
        <v>7.8103509598690737E-2</v>
      </c>
      <c r="AO34" s="78">
        <f t="shared" si="21"/>
        <v>0</v>
      </c>
      <c r="AP34" s="30"/>
      <c r="AQ34" s="38"/>
      <c r="AR34" s="35"/>
      <c r="AS34" s="29"/>
      <c r="AT34" s="29"/>
    </row>
    <row r="35" spans="1:47">
      <c r="A35" s="206" t="s">
        <v>102</v>
      </c>
      <c r="B35" s="325">
        <v>12190329228</v>
      </c>
      <c r="C35" s="69">
        <v>100</v>
      </c>
      <c r="D35" s="325">
        <v>12198025079.200001</v>
      </c>
      <c r="E35" s="69">
        <v>100</v>
      </c>
      <c r="F35" s="23">
        <f t="shared" si="22"/>
        <v>6.3130790449236935E-4</v>
      </c>
      <c r="G35" s="23">
        <f t="shared" si="23"/>
        <v>0</v>
      </c>
      <c r="H35" s="325">
        <v>12310082217</v>
      </c>
      <c r="I35" s="69">
        <v>100</v>
      </c>
      <c r="J35" s="23">
        <f t="shared" si="24"/>
        <v>9.1864983939964513E-3</v>
      </c>
      <c r="K35" s="23">
        <f t="shared" si="25"/>
        <v>0</v>
      </c>
      <c r="L35" s="325">
        <v>12179909900.700001</v>
      </c>
      <c r="M35" s="69">
        <v>100</v>
      </c>
      <c r="N35" s="23">
        <f t="shared" si="26"/>
        <v>-1.0574447351800268E-2</v>
      </c>
      <c r="O35" s="23">
        <f t="shared" si="27"/>
        <v>0</v>
      </c>
      <c r="P35" s="325">
        <v>12233470293.200001</v>
      </c>
      <c r="Q35" s="69">
        <v>100</v>
      </c>
      <c r="R35" s="23">
        <f t="shared" si="28"/>
        <v>4.3974374963908222E-3</v>
      </c>
      <c r="S35" s="23">
        <f t="shared" si="29"/>
        <v>0</v>
      </c>
      <c r="T35" s="325">
        <v>12266567111.559999</v>
      </c>
      <c r="U35" s="69">
        <v>100</v>
      </c>
      <c r="V35" s="23">
        <f t="shared" si="30"/>
        <v>2.705431702269767E-3</v>
      </c>
      <c r="W35" s="23">
        <f t="shared" si="31"/>
        <v>0</v>
      </c>
      <c r="X35" s="325">
        <v>12471768934.690001</v>
      </c>
      <c r="Y35" s="69">
        <v>100</v>
      </c>
      <c r="Z35" s="23">
        <f t="shared" si="32"/>
        <v>1.672854526158497E-2</v>
      </c>
      <c r="AA35" s="23">
        <f t="shared" si="33"/>
        <v>0</v>
      </c>
      <c r="AB35" s="325">
        <v>12497940144.360001</v>
      </c>
      <c r="AC35" s="69">
        <v>100</v>
      </c>
      <c r="AD35" s="23">
        <f t="shared" si="34"/>
        <v>2.0984360604376921E-3</v>
      </c>
      <c r="AE35" s="23">
        <f t="shared" si="35"/>
        <v>0</v>
      </c>
      <c r="AF35" s="325">
        <v>12859844781.469999</v>
      </c>
      <c r="AG35" s="69">
        <v>100</v>
      </c>
      <c r="AH35" s="23">
        <f t="shared" si="36"/>
        <v>2.895714277150839E-2</v>
      </c>
      <c r="AI35" s="23">
        <f t="shared" si="37"/>
        <v>0</v>
      </c>
      <c r="AJ35" s="24">
        <f t="shared" si="16"/>
        <v>6.7662940298600241E-3</v>
      </c>
      <c r="AK35" s="24">
        <f t="shared" si="17"/>
        <v>0</v>
      </c>
      <c r="AL35" s="25">
        <f t="shared" si="18"/>
        <v>5.4256299521676633E-2</v>
      </c>
      <c r="AM35" s="25">
        <f t="shared" si="19"/>
        <v>0</v>
      </c>
      <c r="AN35" s="26">
        <f t="shared" si="20"/>
        <v>1.183075867153973E-2</v>
      </c>
      <c r="AO35" s="78">
        <f t="shared" si="21"/>
        <v>0</v>
      </c>
      <c r="AP35" s="30"/>
      <c r="AQ35" s="38"/>
      <c r="AR35" s="35"/>
      <c r="AS35" s="29"/>
      <c r="AT35" s="29"/>
    </row>
    <row r="36" spans="1:47">
      <c r="A36" s="206" t="s">
        <v>101</v>
      </c>
      <c r="B36" s="325">
        <v>434059949.23000002</v>
      </c>
      <c r="C36" s="69">
        <v>1000000</v>
      </c>
      <c r="D36" s="325">
        <v>434960340.06999999</v>
      </c>
      <c r="E36" s="69">
        <v>1000000</v>
      </c>
      <c r="F36" s="23">
        <f t="shared" si="22"/>
        <v>2.0743467385028742E-3</v>
      </c>
      <c r="G36" s="23">
        <f t="shared" si="23"/>
        <v>0</v>
      </c>
      <c r="H36" s="325">
        <v>436108767.47000003</v>
      </c>
      <c r="I36" s="69">
        <v>1000000</v>
      </c>
      <c r="J36" s="23">
        <f t="shared" si="24"/>
        <v>2.6403037109434266E-3</v>
      </c>
      <c r="K36" s="23">
        <f t="shared" si="25"/>
        <v>0</v>
      </c>
      <c r="L36" s="325">
        <v>431349439.44</v>
      </c>
      <c r="M36" s="69">
        <v>1000000</v>
      </c>
      <c r="N36" s="23">
        <f t="shared" si="26"/>
        <v>-1.0913167505460494E-2</v>
      </c>
      <c r="O36" s="23">
        <f t="shared" si="27"/>
        <v>0</v>
      </c>
      <c r="P36" s="325">
        <v>421161670.00999999</v>
      </c>
      <c r="Q36" s="69">
        <v>1000000</v>
      </c>
      <c r="R36" s="23">
        <f t="shared" si="28"/>
        <v>-2.3618367148514886E-2</v>
      </c>
      <c r="S36" s="23">
        <f t="shared" si="29"/>
        <v>0</v>
      </c>
      <c r="T36" s="325">
        <v>421970744.52999997</v>
      </c>
      <c r="U36" s="69">
        <v>1000000</v>
      </c>
      <c r="V36" s="23">
        <f t="shared" si="30"/>
        <v>1.9210544966752801E-3</v>
      </c>
      <c r="W36" s="23">
        <f t="shared" si="31"/>
        <v>0</v>
      </c>
      <c r="X36" s="325">
        <v>422854694.23000002</v>
      </c>
      <c r="Y36" s="69">
        <v>1000000</v>
      </c>
      <c r="Z36" s="23">
        <f t="shared" si="32"/>
        <v>2.0948127600282094E-3</v>
      </c>
      <c r="AA36" s="23">
        <f t="shared" si="33"/>
        <v>0</v>
      </c>
      <c r="AB36" s="325">
        <v>423733184.42000002</v>
      </c>
      <c r="AC36" s="69">
        <v>1000000</v>
      </c>
      <c r="AD36" s="23">
        <f t="shared" si="34"/>
        <v>2.0775226147121059E-3</v>
      </c>
      <c r="AE36" s="23">
        <f t="shared" si="35"/>
        <v>0</v>
      </c>
      <c r="AF36" s="325">
        <v>492195524.19999999</v>
      </c>
      <c r="AG36" s="69">
        <v>1000000</v>
      </c>
      <c r="AH36" s="23">
        <f t="shared" si="36"/>
        <v>0.1615694552545141</v>
      </c>
      <c r="AI36" s="23">
        <f t="shared" si="37"/>
        <v>0</v>
      </c>
      <c r="AJ36" s="24">
        <f t="shared" si="16"/>
        <v>1.7230745115175077E-2</v>
      </c>
      <c r="AK36" s="24">
        <f t="shared" si="17"/>
        <v>0</v>
      </c>
      <c r="AL36" s="25">
        <f t="shared" si="18"/>
        <v>0.13158713302640165</v>
      </c>
      <c r="AM36" s="25">
        <f t="shared" si="19"/>
        <v>0</v>
      </c>
      <c r="AN36" s="26">
        <f t="shared" si="20"/>
        <v>5.9076335187598784E-2</v>
      </c>
      <c r="AO36" s="78">
        <f t="shared" si="21"/>
        <v>0</v>
      </c>
      <c r="AP36" s="30"/>
      <c r="AQ36" s="38"/>
      <c r="AR36" s="35"/>
      <c r="AS36" s="29"/>
      <c r="AT36" s="29"/>
    </row>
    <row r="37" spans="1:47">
      <c r="A37" s="206" t="s">
        <v>173</v>
      </c>
      <c r="B37" s="325">
        <v>1274877255.9100001</v>
      </c>
      <c r="C37" s="314">
        <v>1</v>
      </c>
      <c r="D37" s="325">
        <v>1315553282.3</v>
      </c>
      <c r="E37" s="314">
        <v>1</v>
      </c>
      <c r="F37" s="23">
        <f t="shared" si="22"/>
        <v>3.1905837367037782E-2</v>
      </c>
      <c r="G37" s="23">
        <f t="shared" si="23"/>
        <v>0</v>
      </c>
      <c r="H37" s="325">
        <v>1381363532.47</v>
      </c>
      <c r="I37" s="314">
        <v>1</v>
      </c>
      <c r="J37" s="23">
        <f t="shared" si="24"/>
        <v>5.0024769848122846E-2</v>
      </c>
      <c r="K37" s="23">
        <f t="shared" si="25"/>
        <v>0</v>
      </c>
      <c r="L37" s="325">
        <v>1387569275.3900001</v>
      </c>
      <c r="M37" s="314">
        <v>1</v>
      </c>
      <c r="N37" s="23">
        <f t="shared" si="26"/>
        <v>4.4924762918155652E-3</v>
      </c>
      <c r="O37" s="23">
        <f t="shared" si="27"/>
        <v>0</v>
      </c>
      <c r="P37" s="325">
        <v>1406729107.5799999</v>
      </c>
      <c r="Q37" s="314">
        <v>1</v>
      </c>
      <c r="R37" s="23">
        <f t="shared" si="28"/>
        <v>1.3808198646236686E-2</v>
      </c>
      <c r="S37" s="23">
        <f t="shared" si="29"/>
        <v>0</v>
      </c>
      <c r="T37" s="325">
        <v>1406705114.5799999</v>
      </c>
      <c r="U37" s="314">
        <v>1</v>
      </c>
      <c r="V37" s="23">
        <f t="shared" si="30"/>
        <v>-1.7055877973034357E-5</v>
      </c>
      <c r="W37" s="23">
        <f t="shared" si="31"/>
        <v>0</v>
      </c>
      <c r="X37" s="325">
        <v>1685773727.1099999</v>
      </c>
      <c r="Y37" s="314">
        <v>1</v>
      </c>
      <c r="Z37" s="23">
        <f t="shared" si="32"/>
        <v>0.19838458653313529</v>
      </c>
      <c r="AA37" s="23">
        <f t="shared" si="33"/>
        <v>0</v>
      </c>
      <c r="AB37" s="325">
        <v>1789189666.3800001</v>
      </c>
      <c r="AC37" s="314">
        <v>1</v>
      </c>
      <c r="AD37" s="23">
        <f t="shared" si="34"/>
        <v>6.1346275367152009E-2</v>
      </c>
      <c r="AE37" s="23">
        <f t="shared" si="35"/>
        <v>0</v>
      </c>
      <c r="AF37" s="325">
        <v>1944347523.0699999</v>
      </c>
      <c r="AG37" s="314">
        <v>1</v>
      </c>
      <c r="AH37" s="23">
        <f t="shared" si="36"/>
        <v>8.671962487013736E-2</v>
      </c>
      <c r="AI37" s="23">
        <f t="shared" si="37"/>
        <v>0</v>
      </c>
      <c r="AJ37" s="24">
        <f t="shared" si="16"/>
        <v>5.5833089130708065E-2</v>
      </c>
      <c r="AK37" s="24">
        <f t="shared" si="17"/>
        <v>0</v>
      </c>
      <c r="AL37" s="25">
        <f t="shared" si="18"/>
        <v>0.47796942110217711</v>
      </c>
      <c r="AM37" s="25">
        <f t="shared" si="19"/>
        <v>0</v>
      </c>
      <c r="AN37" s="26">
        <f t="shared" si="20"/>
        <v>6.4843483336394669E-2</v>
      </c>
      <c r="AO37" s="78">
        <f t="shared" si="21"/>
        <v>0</v>
      </c>
      <c r="AP37" s="30"/>
      <c r="AQ37" s="38"/>
      <c r="AR37" s="35"/>
      <c r="AS37" s="29"/>
      <c r="AT37" s="29"/>
      <c r="AU37" s="90"/>
    </row>
    <row r="38" spans="1:47">
      <c r="A38" s="206" t="s">
        <v>137</v>
      </c>
      <c r="B38" s="325">
        <v>286059134.94</v>
      </c>
      <c r="C38" s="314">
        <v>1</v>
      </c>
      <c r="D38" s="325">
        <v>275732345.54000002</v>
      </c>
      <c r="E38" s="314">
        <v>1</v>
      </c>
      <c r="F38" s="23">
        <f t="shared" si="22"/>
        <v>-3.6100190969835619E-2</v>
      </c>
      <c r="G38" s="23">
        <f t="shared" si="23"/>
        <v>0</v>
      </c>
      <c r="H38" s="389">
        <v>276937216.77999997</v>
      </c>
      <c r="I38" s="314">
        <v>1</v>
      </c>
      <c r="J38" s="23">
        <f t="shared" si="24"/>
        <v>4.3697130912962161E-3</v>
      </c>
      <c r="K38" s="23">
        <f t="shared" si="25"/>
        <v>0</v>
      </c>
      <c r="L38" s="325">
        <v>275337983.68000001</v>
      </c>
      <c r="M38" s="314">
        <v>1</v>
      </c>
      <c r="N38" s="23">
        <f t="shared" si="26"/>
        <v>-5.7747135563596041E-3</v>
      </c>
      <c r="O38" s="23">
        <f t="shared" si="27"/>
        <v>0</v>
      </c>
      <c r="P38" s="325">
        <v>272271411.38999999</v>
      </c>
      <c r="Q38" s="314">
        <v>1</v>
      </c>
      <c r="R38" s="23">
        <f t="shared" si="28"/>
        <v>-1.1137483644697624E-2</v>
      </c>
      <c r="S38" s="23">
        <f t="shared" si="29"/>
        <v>0</v>
      </c>
      <c r="T38" s="325">
        <v>272828408.80000001</v>
      </c>
      <c r="U38" s="314">
        <v>1</v>
      </c>
      <c r="V38" s="23">
        <f t="shared" si="30"/>
        <v>2.045743279312518E-3</v>
      </c>
      <c r="W38" s="23">
        <f t="shared" si="31"/>
        <v>0</v>
      </c>
      <c r="X38" s="325">
        <v>287229960.88</v>
      </c>
      <c r="Y38" s="314">
        <v>1</v>
      </c>
      <c r="Z38" s="23">
        <f t="shared" si="32"/>
        <v>5.2786116164893981E-2</v>
      </c>
      <c r="AA38" s="23">
        <f t="shared" si="33"/>
        <v>0</v>
      </c>
      <c r="AB38" s="325">
        <v>312532306.63</v>
      </c>
      <c r="AC38" s="314">
        <v>1</v>
      </c>
      <c r="AD38" s="23">
        <f t="shared" si="34"/>
        <v>8.8090899962107047E-2</v>
      </c>
      <c r="AE38" s="23">
        <f t="shared" si="35"/>
        <v>0</v>
      </c>
      <c r="AF38" s="325">
        <v>267748658.43000001</v>
      </c>
      <c r="AG38" s="314">
        <v>1</v>
      </c>
      <c r="AH38" s="23">
        <f t="shared" si="36"/>
        <v>-0.14329286044984255</v>
      </c>
      <c r="AI38" s="23">
        <f t="shared" si="37"/>
        <v>0</v>
      </c>
      <c r="AJ38" s="24">
        <f t="shared" si="16"/>
        <v>-6.1265970153907036E-3</v>
      </c>
      <c r="AK38" s="24">
        <f t="shared" si="17"/>
        <v>0</v>
      </c>
      <c r="AL38" s="25">
        <f t="shared" si="18"/>
        <v>-2.8954481543921131E-2</v>
      </c>
      <c r="AM38" s="25">
        <f t="shared" si="19"/>
        <v>0</v>
      </c>
      <c r="AN38" s="26">
        <f t="shared" si="20"/>
        <v>6.7889444949240124E-2</v>
      </c>
      <c r="AO38" s="78">
        <f t="shared" si="21"/>
        <v>0</v>
      </c>
      <c r="AP38" s="30"/>
      <c r="AQ38" s="38"/>
      <c r="AR38" s="35"/>
      <c r="AS38" s="29"/>
      <c r="AT38" s="29"/>
    </row>
    <row r="39" spans="1:47" s="86" customFormat="1">
      <c r="A39" s="206" t="s">
        <v>14</v>
      </c>
      <c r="B39" s="325">
        <v>188154815155.57999</v>
      </c>
      <c r="C39" s="314">
        <v>100</v>
      </c>
      <c r="D39" s="325">
        <v>185242091999.23999</v>
      </c>
      <c r="E39" s="314">
        <v>100</v>
      </c>
      <c r="F39" s="23">
        <f t="shared" si="22"/>
        <v>-1.548046035352083E-2</v>
      </c>
      <c r="G39" s="23">
        <f t="shared" si="23"/>
        <v>0</v>
      </c>
      <c r="H39" s="325">
        <v>187678330513.03</v>
      </c>
      <c r="I39" s="314">
        <v>100</v>
      </c>
      <c r="J39" s="23">
        <f t="shared" si="24"/>
        <v>1.3151646515631037E-2</v>
      </c>
      <c r="K39" s="23">
        <f t="shared" si="25"/>
        <v>0</v>
      </c>
      <c r="L39" s="325">
        <v>190601254188.38</v>
      </c>
      <c r="M39" s="314">
        <v>100</v>
      </c>
      <c r="N39" s="23">
        <f t="shared" si="26"/>
        <v>1.5574113790121739E-2</v>
      </c>
      <c r="O39" s="23">
        <f t="shared" si="27"/>
        <v>0</v>
      </c>
      <c r="P39" s="325">
        <v>191364530207.37</v>
      </c>
      <c r="Q39" s="314">
        <v>100</v>
      </c>
      <c r="R39" s="23">
        <f t="shared" si="28"/>
        <v>4.0045697613070759E-3</v>
      </c>
      <c r="S39" s="23">
        <f t="shared" si="29"/>
        <v>0</v>
      </c>
      <c r="T39" s="325">
        <v>187315477912.81</v>
      </c>
      <c r="U39" s="314">
        <v>100</v>
      </c>
      <c r="V39" s="23">
        <f t="shared" si="30"/>
        <v>-2.115884427575104E-2</v>
      </c>
      <c r="W39" s="23">
        <f t="shared" si="31"/>
        <v>0</v>
      </c>
      <c r="X39" s="325">
        <v>187253980669.20999</v>
      </c>
      <c r="Y39" s="314">
        <v>100</v>
      </c>
      <c r="Z39" s="23">
        <f t="shared" si="32"/>
        <v>-3.2830839333325841E-4</v>
      </c>
      <c r="AA39" s="23">
        <f t="shared" si="33"/>
        <v>0</v>
      </c>
      <c r="AB39" s="325">
        <v>192496167589.39999</v>
      </c>
      <c r="AC39" s="314">
        <v>100</v>
      </c>
      <c r="AD39" s="23">
        <f t="shared" si="34"/>
        <v>2.799506264943168E-2</v>
      </c>
      <c r="AE39" s="23">
        <f t="shared" si="35"/>
        <v>0</v>
      </c>
      <c r="AF39" s="325">
        <v>191162635391.41</v>
      </c>
      <c r="AG39" s="314">
        <v>100</v>
      </c>
      <c r="AH39" s="23">
        <f t="shared" si="36"/>
        <v>-6.9275779081194684E-3</v>
      </c>
      <c r="AI39" s="23">
        <f t="shared" si="37"/>
        <v>0</v>
      </c>
      <c r="AJ39" s="24">
        <f t="shared" si="16"/>
        <v>2.1037752232208667E-3</v>
      </c>
      <c r="AK39" s="24">
        <f t="shared" si="17"/>
        <v>0</v>
      </c>
      <c r="AL39" s="25">
        <f t="shared" si="18"/>
        <v>3.1961112770170531E-2</v>
      </c>
      <c r="AM39" s="25">
        <f t="shared" si="19"/>
        <v>0</v>
      </c>
      <c r="AN39" s="26">
        <f t="shared" si="20"/>
        <v>1.654134405722503E-2</v>
      </c>
      <c r="AO39" s="78">
        <f t="shared" si="21"/>
        <v>0</v>
      </c>
      <c r="AP39" s="30"/>
      <c r="AQ39" s="38"/>
      <c r="AR39" s="35"/>
      <c r="AS39" s="29"/>
      <c r="AT39" s="29"/>
    </row>
    <row r="40" spans="1:47" s="88" customFormat="1">
      <c r="A40" s="206" t="s">
        <v>124</v>
      </c>
      <c r="B40" s="325">
        <v>557624504.15999997</v>
      </c>
      <c r="C40" s="314">
        <v>10</v>
      </c>
      <c r="D40" s="325">
        <v>553782189.70000005</v>
      </c>
      <c r="E40" s="314">
        <v>10</v>
      </c>
      <c r="F40" s="23">
        <f t="shared" si="22"/>
        <v>-6.8905050465598592E-3</v>
      </c>
      <c r="G40" s="23">
        <f t="shared" si="23"/>
        <v>0</v>
      </c>
      <c r="H40" s="325">
        <v>555217093.20000005</v>
      </c>
      <c r="I40" s="314">
        <v>10</v>
      </c>
      <c r="J40" s="23">
        <f t="shared" si="24"/>
        <v>2.5910972340539322E-3</v>
      </c>
      <c r="K40" s="23">
        <f t="shared" si="25"/>
        <v>0</v>
      </c>
      <c r="L40" s="325">
        <v>564368553.01999986</v>
      </c>
      <c r="M40" s="314">
        <v>10</v>
      </c>
      <c r="N40" s="23">
        <f t="shared" si="26"/>
        <v>1.6482669449629641E-2</v>
      </c>
      <c r="O40" s="23">
        <f t="shared" si="27"/>
        <v>0</v>
      </c>
      <c r="P40" s="325">
        <v>566052668.36000001</v>
      </c>
      <c r="Q40" s="314">
        <v>10</v>
      </c>
      <c r="R40" s="23">
        <f t="shared" si="28"/>
        <v>2.9840701275580667E-3</v>
      </c>
      <c r="S40" s="23">
        <f t="shared" si="29"/>
        <v>0</v>
      </c>
      <c r="T40" s="325">
        <v>576028225.34000003</v>
      </c>
      <c r="U40" s="314">
        <v>10</v>
      </c>
      <c r="V40" s="23">
        <f t="shared" si="30"/>
        <v>1.7623019089198486E-2</v>
      </c>
      <c r="W40" s="23">
        <f t="shared" si="31"/>
        <v>0</v>
      </c>
      <c r="X40" s="325">
        <v>576712461.97000003</v>
      </c>
      <c r="Y40" s="314">
        <v>10</v>
      </c>
      <c r="Z40" s="23">
        <f t="shared" si="32"/>
        <v>1.1878526084309936E-3</v>
      </c>
      <c r="AA40" s="23">
        <f t="shared" si="33"/>
        <v>0</v>
      </c>
      <c r="AB40" s="325">
        <v>593191366.59000003</v>
      </c>
      <c r="AC40" s="314">
        <v>10</v>
      </c>
      <c r="AD40" s="23">
        <f t="shared" si="34"/>
        <v>2.8573866019314872E-2</v>
      </c>
      <c r="AE40" s="23">
        <f t="shared" si="35"/>
        <v>0</v>
      </c>
      <c r="AF40" s="325">
        <v>592894163.17999995</v>
      </c>
      <c r="AG40" s="314">
        <v>10</v>
      </c>
      <c r="AH40" s="23">
        <f t="shared" si="36"/>
        <v>-5.0102450362448693E-4</v>
      </c>
      <c r="AI40" s="23">
        <f t="shared" si="37"/>
        <v>0</v>
      </c>
      <c r="AJ40" s="24">
        <f t="shared" si="16"/>
        <v>7.7563806222502073E-3</v>
      </c>
      <c r="AK40" s="24">
        <f t="shared" si="17"/>
        <v>0</v>
      </c>
      <c r="AL40" s="25">
        <f t="shared" si="18"/>
        <v>7.062699777540335E-2</v>
      </c>
      <c r="AM40" s="25">
        <f t="shared" si="19"/>
        <v>0</v>
      </c>
      <c r="AN40" s="26">
        <f t="shared" si="20"/>
        <v>1.1845330779966664E-2</v>
      </c>
      <c r="AO40" s="78">
        <f t="shared" si="21"/>
        <v>0</v>
      </c>
      <c r="AP40" s="30"/>
      <c r="AQ40" s="38"/>
      <c r="AR40" s="35"/>
      <c r="AS40" s="29"/>
      <c r="AT40" s="29"/>
    </row>
    <row r="41" spans="1:47" s="88" customFormat="1">
      <c r="A41" s="206" t="s">
        <v>87</v>
      </c>
      <c r="B41" s="325">
        <v>1942064732.1259909</v>
      </c>
      <c r="C41" s="314">
        <v>100</v>
      </c>
      <c r="D41" s="325">
        <v>1981432324.1183076</v>
      </c>
      <c r="E41" s="314">
        <v>100</v>
      </c>
      <c r="F41" s="23">
        <f t="shared" si="22"/>
        <v>2.0270998870990653E-2</v>
      </c>
      <c r="G41" s="23">
        <f t="shared" si="23"/>
        <v>0</v>
      </c>
      <c r="H41" s="325">
        <v>1985237577.5648279</v>
      </c>
      <c r="I41" s="314">
        <v>100</v>
      </c>
      <c r="J41" s="23">
        <f t="shared" si="24"/>
        <v>1.9204559248389066E-3</v>
      </c>
      <c r="K41" s="23">
        <f t="shared" si="25"/>
        <v>0</v>
      </c>
      <c r="L41" s="325">
        <v>1989076260.7164867</v>
      </c>
      <c r="M41" s="314">
        <v>100</v>
      </c>
      <c r="N41" s="23">
        <f t="shared" si="26"/>
        <v>1.9336139890961848E-3</v>
      </c>
      <c r="O41" s="23">
        <f t="shared" si="27"/>
        <v>0</v>
      </c>
      <c r="P41" s="325">
        <v>1993015380.4723482</v>
      </c>
      <c r="Q41" s="314">
        <v>100</v>
      </c>
      <c r="R41" s="23">
        <f t="shared" si="28"/>
        <v>1.9803764358650622E-3</v>
      </c>
      <c r="S41" s="23">
        <f t="shared" si="29"/>
        <v>0</v>
      </c>
      <c r="T41" s="325">
        <v>1944259518.2226605</v>
      </c>
      <c r="U41" s="314">
        <v>100</v>
      </c>
      <c r="V41" s="23">
        <f t="shared" si="30"/>
        <v>-2.4463364772494854E-2</v>
      </c>
      <c r="W41" s="23">
        <f t="shared" si="31"/>
        <v>0</v>
      </c>
      <c r="X41" s="325">
        <v>2001244623.9100001</v>
      </c>
      <c r="Y41" s="314">
        <v>100</v>
      </c>
      <c r="Z41" s="23">
        <f t="shared" si="32"/>
        <v>2.930941325128876E-2</v>
      </c>
      <c r="AA41" s="23">
        <f t="shared" si="33"/>
        <v>0</v>
      </c>
      <c r="AB41" s="325">
        <v>2005360529.7502565</v>
      </c>
      <c r="AC41" s="314">
        <v>100</v>
      </c>
      <c r="AD41" s="23">
        <f t="shared" si="34"/>
        <v>2.0566730279154284E-3</v>
      </c>
      <c r="AE41" s="23">
        <f t="shared" si="35"/>
        <v>0</v>
      </c>
      <c r="AF41" s="325">
        <v>2235671285.2163291</v>
      </c>
      <c r="AG41" s="314">
        <v>100</v>
      </c>
      <c r="AH41" s="23">
        <f t="shared" si="36"/>
        <v>0.11484755586306218</v>
      </c>
      <c r="AI41" s="23">
        <f t="shared" si="37"/>
        <v>0</v>
      </c>
      <c r="AJ41" s="24">
        <f t="shared" si="16"/>
        <v>1.848196532382029E-2</v>
      </c>
      <c r="AK41" s="24">
        <f t="shared" si="17"/>
        <v>0</v>
      </c>
      <c r="AL41" s="25">
        <f t="shared" si="18"/>
        <v>0.12831069625915792</v>
      </c>
      <c r="AM41" s="25">
        <f t="shared" si="19"/>
        <v>0</v>
      </c>
      <c r="AN41" s="26">
        <f t="shared" si="20"/>
        <v>4.1988581568626233E-2</v>
      </c>
      <c r="AO41" s="78">
        <f t="shared" si="21"/>
        <v>0</v>
      </c>
      <c r="AP41" s="30"/>
      <c r="AQ41" s="38"/>
      <c r="AR41" s="35"/>
      <c r="AS41" s="29"/>
      <c r="AT41" s="29"/>
    </row>
    <row r="42" spans="1:47" s="88" customFormat="1">
      <c r="A42" s="206" t="s">
        <v>123</v>
      </c>
      <c r="B42" s="325">
        <v>3447863775.1300001</v>
      </c>
      <c r="C42" s="314">
        <v>1</v>
      </c>
      <c r="D42" s="325">
        <v>3476810877.98</v>
      </c>
      <c r="E42" s="314">
        <v>1</v>
      </c>
      <c r="F42" s="23">
        <f t="shared" si="22"/>
        <v>8.3956631520073523E-3</v>
      </c>
      <c r="G42" s="23">
        <f t="shared" si="23"/>
        <v>0</v>
      </c>
      <c r="H42" s="325">
        <v>3486958519.25</v>
      </c>
      <c r="I42" s="314">
        <v>1</v>
      </c>
      <c r="J42" s="23">
        <f t="shared" si="24"/>
        <v>2.9186635759422385E-3</v>
      </c>
      <c r="K42" s="23">
        <f t="shared" si="25"/>
        <v>0</v>
      </c>
      <c r="L42" s="325">
        <v>3518153364.8099999</v>
      </c>
      <c r="M42" s="314">
        <v>1</v>
      </c>
      <c r="N42" s="23">
        <f t="shared" si="26"/>
        <v>8.9461475918874867E-3</v>
      </c>
      <c r="O42" s="23">
        <f t="shared" si="27"/>
        <v>0</v>
      </c>
      <c r="P42" s="325">
        <v>3385593879.98</v>
      </c>
      <c r="Q42" s="314">
        <v>1</v>
      </c>
      <c r="R42" s="23">
        <f t="shared" si="28"/>
        <v>-3.7678711268222066E-2</v>
      </c>
      <c r="S42" s="23">
        <f t="shared" si="29"/>
        <v>0</v>
      </c>
      <c r="T42" s="325">
        <v>3400869061.6399999</v>
      </c>
      <c r="U42" s="314">
        <v>1</v>
      </c>
      <c r="V42" s="23">
        <f t="shared" si="30"/>
        <v>4.511817483581369E-3</v>
      </c>
      <c r="W42" s="23">
        <f t="shared" si="31"/>
        <v>0</v>
      </c>
      <c r="X42" s="325">
        <v>3416346956.9899998</v>
      </c>
      <c r="Y42" s="314">
        <v>1</v>
      </c>
      <c r="Z42" s="23">
        <f t="shared" si="32"/>
        <v>4.551158856594145E-3</v>
      </c>
      <c r="AA42" s="23">
        <f t="shared" si="33"/>
        <v>0</v>
      </c>
      <c r="AB42" s="325">
        <v>3429760394.7600002</v>
      </c>
      <c r="AC42" s="314">
        <v>1</v>
      </c>
      <c r="AD42" s="23">
        <f t="shared" si="34"/>
        <v>3.9262516187227297E-3</v>
      </c>
      <c r="AE42" s="23">
        <f t="shared" si="35"/>
        <v>0</v>
      </c>
      <c r="AF42" s="325">
        <v>3336785148.4099998</v>
      </c>
      <c r="AG42" s="314">
        <v>1</v>
      </c>
      <c r="AH42" s="23">
        <f t="shared" si="36"/>
        <v>-2.710837949264569E-2</v>
      </c>
      <c r="AI42" s="23">
        <f t="shared" si="37"/>
        <v>0</v>
      </c>
      <c r="AJ42" s="24">
        <f t="shared" si="16"/>
        <v>-3.9421735602665547E-3</v>
      </c>
      <c r="AK42" s="24">
        <f t="shared" si="17"/>
        <v>0</v>
      </c>
      <c r="AL42" s="25">
        <f t="shared" si="18"/>
        <v>-4.027418645542033E-2</v>
      </c>
      <c r="AM42" s="25">
        <f t="shared" si="19"/>
        <v>0</v>
      </c>
      <c r="AN42" s="26">
        <f t="shared" si="20"/>
        <v>1.7911480643116619E-2</v>
      </c>
      <c r="AO42" s="78">
        <f t="shared" si="21"/>
        <v>0</v>
      </c>
      <c r="AP42" s="30"/>
      <c r="AQ42" s="38"/>
      <c r="AR42" s="35"/>
      <c r="AS42" s="29"/>
      <c r="AT42" s="29"/>
    </row>
    <row r="43" spans="1:47" s="88" customFormat="1">
      <c r="A43" s="206" t="s">
        <v>56</v>
      </c>
      <c r="B43" s="320">
        <v>2255059076.5799999</v>
      </c>
      <c r="C43" s="314">
        <v>10</v>
      </c>
      <c r="D43" s="320">
        <v>2255059076.5799999</v>
      </c>
      <c r="E43" s="314">
        <v>10</v>
      </c>
      <c r="F43" s="23">
        <f t="shared" si="22"/>
        <v>0</v>
      </c>
      <c r="G43" s="23">
        <f t="shared" si="23"/>
        <v>0</v>
      </c>
      <c r="H43" s="320">
        <v>2316329440.1500001</v>
      </c>
      <c r="I43" s="314">
        <v>10</v>
      </c>
      <c r="J43" s="23">
        <f t="shared" si="24"/>
        <v>2.717018113020888E-2</v>
      </c>
      <c r="K43" s="23">
        <f t="shared" si="25"/>
        <v>0</v>
      </c>
      <c r="L43" s="320">
        <v>2413724439.21</v>
      </c>
      <c r="M43" s="314">
        <v>10</v>
      </c>
      <c r="N43" s="23">
        <f t="shared" si="26"/>
        <v>4.2047127395528364E-2</v>
      </c>
      <c r="O43" s="23">
        <f t="shared" si="27"/>
        <v>0</v>
      </c>
      <c r="P43" s="320">
        <v>2402197227.46</v>
      </c>
      <c r="Q43" s="314">
        <v>10</v>
      </c>
      <c r="R43" s="23">
        <f t="shared" si="28"/>
        <v>-4.7756950059190681E-3</v>
      </c>
      <c r="S43" s="23">
        <f t="shared" si="29"/>
        <v>0</v>
      </c>
      <c r="T43" s="320">
        <v>2539946506.8800001</v>
      </c>
      <c r="U43" s="314">
        <v>10</v>
      </c>
      <c r="V43" s="23">
        <f t="shared" si="30"/>
        <v>5.7343034887127643E-2</v>
      </c>
      <c r="W43" s="23">
        <f t="shared" si="31"/>
        <v>0</v>
      </c>
      <c r="X43" s="320">
        <v>2561825347.02</v>
      </c>
      <c r="Y43" s="314">
        <v>10</v>
      </c>
      <c r="Z43" s="23">
        <f t="shared" si="32"/>
        <v>8.6138980016847791E-3</v>
      </c>
      <c r="AA43" s="23">
        <f t="shared" si="33"/>
        <v>0</v>
      </c>
      <c r="AB43" s="320">
        <v>2679078960.8699999</v>
      </c>
      <c r="AC43" s="314">
        <v>10</v>
      </c>
      <c r="AD43" s="23">
        <f t="shared" si="34"/>
        <v>4.5769558017057323E-2</v>
      </c>
      <c r="AE43" s="23">
        <f t="shared" si="35"/>
        <v>0</v>
      </c>
      <c r="AF43" s="320">
        <v>2677023149.29</v>
      </c>
      <c r="AG43" s="314">
        <v>10</v>
      </c>
      <c r="AH43" s="23">
        <f t="shared" si="36"/>
        <v>-7.6735759192865397E-4</v>
      </c>
      <c r="AI43" s="23">
        <f t="shared" si="37"/>
        <v>0</v>
      </c>
      <c r="AJ43" s="24">
        <f t="shared" si="16"/>
        <v>2.1925093354219907E-2</v>
      </c>
      <c r="AK43" s="24">
        <f t="shared" si="17"/>
        <v>0</v>
      </c>
      <c r="AL43" s="25">
        <f t="shared" si="18"/>
        <v>0.18711885515209939</v>
      </c>
      <c r="AM43" s="25">
        <f t="shared" si="19"/>
        <v>0</v>
      </c>
      <c r="AN43" s="26">
        <f t="shared" si="20"/>
        <v>2.4322750509771361E-2</v>
      </c>
      <c r="AO43" s="78">
        <f t="shared" si="21"/>
        <v>0</v>
      </c>
      <c r="AP43" s="30"/>
      <c r="AQ43" s="38"/>
      <c r="AR43" s="35"/>
      <c r="AS43" s="29"/>
      <c r="AT43" s="29"/>
    </row>
    <row r="44" spans="1:47" s="88" customFormat="1">
      <c r="A44" s="206" t="s">
        <v>192</v>
      </c>
      <c r="B44" s="325">
        <v>3244236768.46</v>
      </c>
      <c r="C44" s="314">
        <v>100</v>
      </c>
      <c r="D44" s="325">
        <v>3358168679.6300001</v>
      </c>
      <c r="E44" s="314">
        <v>100</v>
      </c>
      <c r="F44" s="23">
        <f t="shared" si="22"/>
        <v>3.511824792741073E-2</v>
      </c>
      <c r="G44" s="23">
        <f t="shared" si="23"/>
        <v>0</v>
      </c>
      <c r="H44" s="325">
        <v>3316688999.2100005</v>
      </c>
      <c r="I44" s="314">
        <v>100</v>
      </c>
      <c r="J44" s="23">
        <f t="shared" si="24"/>
        <v>-1.2351875196623474E-2</v>
      </c>
      <c r="K44" s="23">
        <f t="shared" si="25"/>
        <v>0</v>
      </c>
      <c r="L44" s="325">
        <v>3374386717.5100002</v>
      </c>
      <c r="M44" s="314">
        <v>100</v>
      </c>
      <c r="N44" s="23">
        <f t="shared" si="26"/>
        <v>1.7396179838912448E-2</v>
      </c>
      <c r="O44" s="23">
        <f t="shared" si="27"/>
        <v>0</v>
      </c>
      <c r="P44" s="325">
        <v>3423385900.6399999</v>
      </c>
      <c r="Q44" s="314">
        <v>100</v>
      </c>
      <c r="R44" s="23">
        <f t="shared" si="28"/>
        <v>1.4520915126810573E-2</v>
      </c>
      <c r="S44" s="23">
        <f t="shared" si="29"/>
        <v>0</v>
      </c>
      <c r="T44" s="325">
        <v>3396479970.9400001</v>
      </c>
      <c r="U44" s="314">
        <v>100</v>
      </c>
      <c r="V44" s="23">
        <f t="shared" si="30"/>
        <v>-7.8594498198318111E-3</v>
      </c>
      <c r="W44" s="23">
        <f t="shared" si="31"/>
        <v>0</v>
      </c>
      <c r="X44" s="325">
        <v>3429573284.3099999</v>
      </c>
      <c r="Y44" s="314">
        <v>100</v>
      </c>
      <c r="Z44" s="23">
        <f t="shared" si="32"/>
        <v>9.7434148451171574E-3</v>
      </c>
      <c r="AA44" s="23">
        <f t="shared" si="33"/>
        <v>0</v>
      </c>
      <c r="AB44" s="325">
        <v>3495845153.1100001</v>
      </c>
      <c r="AC44" s="314">
        <v>100</v>
      </c>
      <c r="AD44" s="23">
        <f t="shared" si="34"/>
        <v>1.9323648543446568E-2</v>
      </c>
      <c r="AE44" s="23">
        <f t="shared" si="35"/>
        <v>0</v>
      </c>
      <c r="AF44" s="325">
        <v>3615054648.0999999</v>
      </c>
      <c r="AG44" s="314">
        <v>100</v>
      </c>
      <c r="AH44" s="23">
        <f t="shared" si="36"/>
        <v>3.4100336190219328E-2</v>
      </c>
      <c r="AI44" s="23">
        <f t="shared" si="37"/>
        <v>0</v>
      </c>
      <c r="AJ44" s="24">
        <f t="shared" si="16"/>
        <v>1.3748927181932689E-2</v>
      </c>
      <c r="AK44" s="24">
        <f t="shared" si="17"/>
        <v>0</v>
      </c>
      <c r="AL44" s="25">
        <f t="shared" si="18"/>
        <v>7.649585026154887E-2</v>
      </c>
      <c r="AM44" s="25">
        <f t="shared" si="19"/>
        <v>0</v>
      </c>
      <c r="AN44" s="26">
        <f t="shared" si="20"/>
        <v>1.7237921750233864E-2</v>
      </c>
      <c r="AO44" s="78">
        <f t="shared" si="21"/>
        <v>0</v>
      </c>
      <c r="AP44" s="30"/>
      <c r="AQ44" s="38"/>
      <c r="AR44" s="35"/>
      <c r="AS44" s="29"/>
      <c r="AT44" s="29"/>
    </row>
    <row r="45" spans="1:47" s="88" customFormat="1">
      <c r="A45" s="206" t="s">
        <v>165</v>
      </c>
      <c r="B45" s="325">
        <v>137814878.81</v>
      </c>
      <c r="C45" s="314">
        <v>1</v>
      </c>
      <c r="D45" s="325">
        <v>137584800.62</v>
      </c>
      <c r="E45" s="314">
        <v>1</v>
      </c>
      <c r="F45" s="23">
        <f t="shared" si="22"/>
        <v>-1.6694727883278658E-3</v>
      </c>
      <c r="G45" s="23">
        <f t="shared" si="23"/>
        <v>0</v>
      </c>
      <c r="H45" s="388">
        <v>138279795.08000001</v>
      </c>
      <c r="I45" s="314">
        <v>1</v>
      </c>
      <c r="J45" s="23">
        <f t="shared" si="24"/>
        <v>5.0513898109976292E-3</v>
      </c>
      <c r="K45" s="23">
        <f t="shared" si="25"/>
        <v>0</v>
      </c>
      <c r="L45" s="325">
        <v>138309794.72</v>
      </c>
      <c r="M45" s="314">
        <v>1</v>
      </c>
      <c r="N45" s="23">
        <f t="shared" si="26"/>
        <v>2.1694883176988933E-4</v>
      </c>
      <c r="O45" s="23">
        <f t="shared" si="27"/>
        <v>0</v>
      </c>
      <c r="P45" s="325">
        <v>138309794.56999999</v>
      </c>
      <c r="Q45" s="314">
        <v>1</v>
      </c>
      <c r="R45" s="23">
        <f t="shared" si="28"/>
        <v>-1.0845219332740001E-9</v>
      </c>
      <c r="S45" s="23">
        <f t="shared" si="29"/>
        <v>0</v>
      </c>
      <c r="T45" s="325">
        <v>138164735.56</v>
      </c>
      <c r="U45" s="314">
        <v>1</v>
      </c>
      <c r="V45" s="23">
        <f t="shared" si="30"/>
        <v>-1.0487978125553112E-3</v>
      </c>
      <c r="W45" s="23">
        <f t="shared" si="31"/>
        <v>0</v>
      </c>
      <c r="X45" s="325">
        <v>138164735.56</v>
      </c>
      <c r="Y45" s="314">
        <v>1</v>
      </c>
      <c r="Z45" s="23">
        <f t="shared" si="32"/>
        <v>0</v>
      </c>
      <c r="AA45" s="23">
        <f t="shared" si="33"/>
        <v>0</v>
      </c>
      <c r="AB45" s="325">
        <v>140973409.09999999</v>
      </c>
      <c r="AC45" s="314">
        <v>1</v>
      </c>
      <c r="AD45" s="23">
        <f t="shared" si="34"/>
        <v>2.0328440022094389E-2</v>
      </c>
      <c r="AE45" s="23">
        <f t="shared" si="35"/>
        <v>0</v>
      </c>
      <c r="AF45" s="325">
        <v>140315263.97</v>
      </c>
      <c r="AG45" s="314">
        <v>1</v>
      </c>
      <c r="AH45" s="23">
        <f t="shared" si="36"/>
        <v>-4.6685763946670089E-3</v>
      </c>
      <c r="AI45" s="23">
        <f t="shared" si="37"/>
        <v>0</v>
      </c>
      <c r="AJ45" s="24">
        <f t="shared" si="16"/>
        <v>2.2762413230987236E-3</v>
      </c>
      <c r="AK45" s="24">
        <f t="shared" si="17"/>
        <v>0</v>
      </c>
      <c r="AL45" s="25">
        <f t="shared" si="18"/>
        <v>1.9845675813721247E-2</v>
      </c>
      <c r="AM45" s="25">
        <f t="shared" si="19"/>
        <v>0</v>
      </c>
      <c r="AN45" s="26">
        <f t="shared" si="20"/>
        <v>7.7739639167977992E-3</v>
      </c>
      <c r="AO45" s="78">
        <f t="shared" si="21"/>
        <v>0</v>
      </c>
      <c r="AP45" s="30"/>
      <c r="AQ45" s="38"/>
      <c r="AR45" s="35"/>
      <c r="AS45" s="29"/>
      <c r="AT45" s="29"/>
    </row>
    <row r="46" spans="1:47" s="88" customFormat="1">
      <c r="A46" s="206" t="s">
        <v>96</v>
      </c>
      <c r="B46" s="320">
        <v>691339232.87</v>
      </c>
      <c r="C46" s="314">
        <v>10</v>
      </c>
      <c r="D46" s="320">
        <v>695266452.15999997</v>
      </c>
      <c r="E46" s="314">
        <v>10</v>
      </c>
      <c r="F46" s="23">
        <f t="shared" si="22"/>
        <v>5.6805965917725359E-3</v>
      </c>
      <c r="G46" s="23">
        <f t="shared" si="23"/>
        <v>0</v>
      </c>
      <c r="H46" s="320">
        <v>699801665.99000001</v>
      </c>
      <c r="I46" s="314">
        <v>10</v>
      </c>
      <c r="J46" s="23">
        <f t="shared" si="24"/>
        <v>6.5229867138136633E-3</v>
      </c>
      <c r="K46" s="23">
        <f t="shared" si="25"/>
        <v>0</v>
      </c>
      <c r="L46" s="320">
        <v>690526572.61000001</v>
      </c>
      <c r="M46" s="314">
        <v>10</v>
      </c>
      <c r="N46" s="23">
        <f t="shared" si="26"/>
        <v>-1.3253888681271779E-2</v>
      </c>
      <c r="O46" s="23">
        <f t="shared" si="27"/>
        <v>0</v>
      </c>
      <c r="P46" s="320">
        <v>664723800.10000002</v>
      </c>
      <c r="Q46" s="314">
        <v>10</v>
      </c>
      <c r="R46" s="23">
        <f t="shared" si="28"/>
        <v>-3.7366806048422768E-2</v>
      </c>
      <c r="S46" s="23">
        <f t="shared" si="29"/>
        <v>0</v>
      </c>
      <c r="T46" s="320">
        <v>659667189.61000001</v>
      </c>
      <c r="U46" s="314">
        <v>10</v>
      </c>
      <c r="V46" s="23">
        <f t="shared" si="30"/>
        <v>-7.6070850618547145E-3</v>
      </c>
      <c r="W46" s="23">
        <f t="shared" si="31"/>
        <v>0</v>
      </c>
      <c r="X46" s="320">
        <v>647523127.77999997</v>
      </c>
      <c r="Y46" s="314">
        <v>10</v>
      </c>
      <c r="Z46" s="23">
        <f t="shared" si="32"/>
        <v>-1.8409376760392917E-2</v>
      </c>
      <c r="AA46" s="23">
        <f t="shared" si="33"/>
        <v>0</v>
      </c>
      <c r="AB46" s="320">
        <v>649816957.09000003</v>
      </c>
      <c r="AC46" s="314">
        <v>10</v>
      </c>
      <c r="AD46" s="23">
        <f t="shared" si="34"/>
        <v>3.5424669970698019E-3</v>
      </c>
      <c r="AE46" s="23">
        <f t="shared" si="35"/>
        <v>0</v>
      </c>
      <c r="AF46" s="320">
        <v>658939973.36000001</v>
      </c>
      <c r="AG46" s="314">
        <v>10</v>
      </c>
      <c r="AH46" s="23">
        <f t="shared" si="36"/>
        <v>1.4039363193682305E-2</v>
      </c>
      <c r="AI46" s="23">
        <f t="shared" si="37"/>
        <v>0</v>
      </c>
      <c r="AJ46" s="24">
        <f t="shared" si="16"/>
        <v>-5.8564678819504846E-3</v>
      </c>
      <c r="AK46" s="24">
        <f t="shared" si="17"/>
        <v>0</v>
      </c>
      <c r="AL46" s="25">
        <f t="shared" si="18"/>
        <v>-5.224828364311792E-2</v>
      </c>
      <c r="AM46" s="25">
        <f t="shared" si="19"/>
        <v>0</v>
      </c>
      <c r="AN46" s="26">
        <f t="shared" si="20"/>
        <v>1.68132696381601E-2</v>
      </c>
      <c r="AO46" s="78">
        <f t="shared" si="21"/>
        <v>0</v>
      </c>
      <c r="AP46" s="30"/>
      <c r="AQ46" s="38"/>
      <c r="AR46" s="35"/>
      <c r="AS46" s="29"/>
      <c r="AT46" s="29"/>
    </row>
    <row r="47" spans="1:47" s="95" customFormat="1">
      <c r="A47" s="206" t="s">
        <v>34</v>
      </c>
      <c r="B47" s="325">
        <v>364915008733.72998</v>
      </c>
      <c r="C47" s="314">
        <v>100</v>
      </c>
      <c r="D47" s="325">
        <v>368590836283.82001</v>
      </c>
      <c r="E47" s="314">
        <v>100</v>
      </c>
      <c r="F47" s="23">
        <f t="shared" si="22"/>
        <v>1.0073105961975363E-2</v>
      </c>
      <c r="G47" s="23">
        <f t="shared" si="23"/>
        <v>0</v>
      </c>
      <c r="H47" s="325">
        <v>365292848751.16998</v>
      </c>
      <c r="I47" s="314">
        <v>100</v>
      </c>
      <c r="J47" s="23">
        <f t="shared" si="24"/>
        <v>-8.9475570415715067E-3</v>
      </c>
      <c r="K47" s="23">
        <f t="shared" si="25"/>
        <v>0</v>
      </c>
      <c r="L47" s="325">
        <v>363019503293.75</v>
      </c>
      <c r="M47" s="314">
        <v>100</v>
      </c>
      <c r="N47" s="23">
        <f t="shared" si="26"/>
        <v>-6.2233505670639044E-3</v>
      </c>
      <c r="O47" s="23">
        <f t="shared" si="27"/>
        <v>0</v>
      </c>
      <c r="P47" s="325">
        <v>361737432365.97998</v>
      </c>
      <c r="Q47" s="314">
        <v>100</v>
      </c>
      <c r="R47" s="23">
        <f t="shared" si="28"/>
        <v>-3.5316860833578597E-3</v>
      </c>
      <c r="S47" s="23">
        <f t="shared" si="29"/>
        <v>0</v>
      </c>
      <c r="T47" s="325">
        <v>359236846418.01001</v>
      </c>
      <c r="U47" s="314">
        <v>100</v>
      </c>
      <c r="V47" s="23">
        <f t="shared" si="30"/>
        <v>-6.9127099499065869E-3</v>
      </c>
      <c r="W47" s="23">
        <f t="shared" si="31"/>
        <v>0</v>
      </c>
      <c r="X47" s="325">
        <v>343681468858.88</v>
      </c>
      <c r="Y47" s="314">
        <v>100</v>
      </c>
      <c r="Z47" s="23">
        <f t="shared" si="32"/>
        <v>-4.3301175016522891E-2</v>
      </c>
      <c r="AA47" s="23">
        <f t="shared" si="33"/>
        <v>0</v>
      </c>
      <c r="AB47" s="325">
        <v>346941578575.98999</v>
      </c>
      <c r="AC47" s="314">
        <v>100</v>
      </c>
      <c r="AD47" s="23">
        <f t="shared" si="34"/>
        <v>9.4858466705652605E-3</v>
      </c>
      <c r="AE47" s="23">
        <f t="shared" si="35"/>
        <v>0</v>
      </c>
      <c r="AF47" s="325">
        <v>350499771127.26001</v>
      </c>
      <c r="AG47" s="314">
        <v>100</v>
      </c>
      <c r="AH47" s="23">
        <f t="shared" si="36"/>
        <v>1.0255883903781441E-2</v>
      </c>
      <c r="AI47" s="23">
        <f t="shared" si="37"/>
        <v>0</v>
      </c>
      <c r="AJ47" s="24">
        <f t="shared" si="16"/>
        <v>-4.8877052652625862E-3</v>
      </c>
      <c r="AK47" s="24">
        <f t="shared" si="17"/>
        <v>0</v>
      </c>
      <c r="AL47" s="25">
        <f t="shared" si="18"/>
        <v>-4.9081700833792916E-2</v>
      </c>
      <c r="AM47" s="25">
        <f t="shared" si="19"/>
        <v>0</v>
      </c>
      <c r="AN47" s="26">
        <f t="shared" si="20"/>
        <v>1.7564386028442871E-2</v>
      </c>
      <c r="AO47" s="78">
        <f t="shared" si="21"/>
        <v>0</v>
      </c>
      <c r="AP47" s="30"/>
      <c r="AQ47" s="38"/>
      <c r="AR47" s="35"/>
      <c r="AS47" s="29"/>
      <c r="AT47" s="29"/>
    </row>
    <row r="48" spans="1:47" s="95" customFormat="1">
      <c r="A48" s="206" t="s">
        <v>154</v>
      </c>
      <c r="B48" s="325">
        <v>885317970.19000006</v>
      </c>
      <c r="C48" s="314">
        <v>1</v>
      </c>
      <c r="D48" s="325">
        <v>969381616.28999996</v>
      </c>
      <c r="E48" s="314">
        <v>1</v>
      </c>
      <c r="F48" s="23">
        <f t="shared" si="22"/>
        <v>9.4953055207903231E-2</v>
      </c>
      <c r="G48" s="23">
        <f t="shared" si="23"/>
        <v>0</v>
      </c>
      <c r="H48" s="325">
        <v>1011683385.29</v>
      </c>
      <c r="I48" s="314">
        <v>1</v>
      </c>
      <c r="J48" s="23">
        <f t="shared" si="24"/>
        <v>4.3637890681171132E-2</v>
      </c>
      <c r="K48" s="23">
        <f t="shared" si="25"/>
        <v>0</v>
      </c>
      <c r="L48" s="325">
        <v>1117767309.04</v>
      </c>
      <c r="M48" s="314">
        <v>1</v>
      </c>
      <c r="N48" s="23">
        <f t="shared" si="26"/>
        <v>0.10485881778081287</v>
      </c>
      <c r="O48" s="23">
        <f t="shared" si="27"/>
        <v>0</v>
      </c>
      <c r="P48" s="325">
        <v>1171643511.78</v>
      </c>
      <c r="Q48" s="314">
        <v>1</v>
      </c>
      <c r="R48" s="23">
        <f t="shared" si="28"/>
        <v>4.8199837572877179E-2</v>
      </c>
      <c r="S48" s="23">
        <f t="shared" si="29"/>
        <v>0</v>
      </c>
      <c r="T48" s="325">
        <v>1172970986.5999999</v>
      </c>
      <c r="U48" s="314">
        <v>1</v>
      </c>
      <c r="V48" s="23">
        <f t="shared" si="30"/>
        <v>1.1330023225095056E-3</v>
      </c>
      <c r="W48" s="23">
        <f t="shared" si="31"/>
        <v>0</v>
      </c>
      <c r="X48" s="325">
        <v>1278171502.02</v>
      </c>
      <c r="Y48" s="314">
        <v>1</v>
      </c>
      <c r="Z48" s="23">
        <f t="shared" si="32"/>
        <v>8.9687227239044209E-2</v>
      </c>
      <c r="AA48" s="23">
        <f t="shared" si="33"/>
        <v>0</v>
      </c>
      <c r="AB48" s="325">
        <v>1419447567.9300001</v>
      </c>
      <c r="AC48" s="314">
        <v>1</v>
      </c>
      <c r="AD48" s="23">
        <f t="shared" si="34"/>
        <v>0.11052981989250257</v>
      </c>
      <c r="AE48" s="23">
        <f t="shared" si="35"/>
        <v>0</v>
      </c>
      <c r="AF48" s="325">
        <v>1469597745.29</v>
      </c>
      <c r="AG48" s="314">
        <v>1</v>
      </c>
      <c r="AH48" s="23">
        <f t="shared" si="36"/>
        <v>3.5330771275429773E-2</v>
      </c>
      <c r="AI48" s="23">
        <f t="shared" si="37"/>
        <v>0</v>
      </c>
      <c r="AJ48" s="24">
        <f t="shared" si="16"/>
        <v>6.6041302746531305E-2</v>
      </c>
      <c r="AK48" s="24">
        <f t="shared" si="17"/>
        <v>0</v>
      </c>
      <c r="AL48" s="25">
        <f t="shared" si="18"/>
        <v>0.51601569556726101</v>
      </c>
      <c r="AM48" s="25">
        <f t="shared" si="19"/>
        <v>0</v>
      </c>
      <c r="AN48" s="26">
        <f t="shared" si="20"/>
        <v>3.9383647378182146E-2</v>
      </c>
      <c r="AO48" s="78">
        <f t="shared" si="21"/>
        <v>0</v>
      </c>
      <c r="AP48" s="30"/>
      <c r="AQ48" s="38"/>
      <c r="AR48" s="35"/>
      <c r="AS48" s="29"/>
      <c r="AT48" s="29"/>
    </row>
    <row r="49" spans="1:48" s="105" customFormat="1">
      <c r="A49" s="206" t="s">
        <v>77</v>
      </c>
      <c r="B49" s="325">
        <v>51373094665.279999</v>
      </c>
      <c r="C49" s="314">
        <v>1</v>
      </c>
      <c r="D49" s="325">
        <v>47867257060.440002</v>
      </c>
      <c r="E49" s="314">
        <v>1</v>
      </c>
      <c r="F49" s="23">
        <f t="shared" si="22"/>
        <v>-6.8242678929159042E-2</v>
      </c>
      <c r="G49" s="23">
        <f t="shared" si="23"/>
        <v>0</v>
      </c>
      <c r="H49" s="325">
        <v>44684142200.93</v>
      </c>
      <c r="I49" s="314">
        <v>1</v>
      </c>
      <c r="J49" s="23">
        <f t="shared" si="24"/>
        <v>-6.6498793851730728E-2</v>
      </c>
      <c r="K49" s="23">
        <f t="shared" si="25"/>
        <v>0</v>
      </c>
      <c r="L49" s="325">
        <v>44757079119.07</v>
      </c>
      <c r="M49" s="314">
        <v>1</v>
      </c>
      <c r="N49" s="23">
        <f t="shared" si="26"/>
        <v>1.6322774601339751E-3</v>
      </c>
      <c r="O49" s="23">
        <f t="shared" si="27"/>
        <v>0</v>
      </c>
      <c r="P49" s="325">
        <v>44528210991.18</v>
      </c>
      <c r="Q49" s="314">
        <v>1</v>
      </c>
      <c r="R49" s="23">
        <f t="shared" si="28"/>
        <v>-5.1135626451656391E-3</v>
      </c>
      <c r="S49" s="23">
        <f t="shared" si="29"/>
        <v>0</v>
      </c>
      <c r="T49" s="325">
        <v>43466245458.650002</v>
      </c>
      <c r="U49" s="314">
        <v>1</v>
      </c>
      <c r="V49" s="23">
        <f t="shared" si="30"/>
        <v>-2.3849274625929825E-2</v>
      </c>
      <c r="W49" s="23">
        <f t="shared" si="31"/>
        <v>0</v>
      </c>
      <c r="X49" s="325">
        <v>42361939050.220001</v>
      </c>
      <c r="Y49" s="314">
        <v>1</v>
      </c>
      <c r="Z49" s="23">
        <f t="shared" si="32"/>
        <v>-2.5406068473996474E-2</v>
      </c>
      <c r="AA49" s="23">
        <f t="shared" si="33"/>
        <v>0</v>
      </c>
      <c r="AB49" s="325">
        <v>44507670041.57</v>
      </c>
      <c r="AC49" s="314">
        <v>1</v>
      </c>
      <c r="AD49" s="23">
        <f t="shared" si="34"/>
        <v>5.0652331773723538E-2</v>
      </c>
      <c r="AE49" s="23">
        <f t="shared" si="35"/>
        <v>0</v>
      </c>
      <c r="AF49" s="325">
        <v>47601196591.650002</v>
      </c>
      <c r="AG49" s="314">
        <v>1</v>
      </c>
      <c r="AH49" s="23">
        <f t="shared" si="36"/>
        <v>6.950547056699799E-2</v>
      </c>
      <c r="AI49" s="23">
        <f t="shared" si="37"/>
        <v>0</v>
      </c>
      <c r="AJ49" s="24">
        <f t="shared" si="16"/>
        <v>-8.4150373406407762E-3</v>
      </c>
      <c r="AK49" s="24">
        <f t="shared" si="17"/>
        <v>0</v>
      </c>
      <c r="AL49" s="25">
        <f t="shared" si="18"/>
        <v>-5.5582977828467876E-3</v>
      </c>
      <c r="AM49" s="25">
        <f t="shared" si="19"/>
        <v>0</v>
      </c>
      <c r="AN49" s="26">
        <f t="shared" si="20"/>
        <v>4.9500920921570081E-2</v>
      </c>
      <c r="AO49" s="78">
        <f t="shared" si="21"/>
        <v>0</v>
      </c>
      <c r="AP49" s="30"/>
      <c r="AQ49" s="38"/>
      <c r="AR49" s="35"/>
      <c r="AS49" s="29"/>
      <c r="AT49" s="29"/>
    </row>
    <row r="50" spans="1:48" s="105" customFormat="1">
      <c r="A50" s="206" t="s">
        <v>162</v>
      </c>
      <c r="B50" s="325">
        <v>1159340009.8</v>
      </c>
      <c r="C50" s="314">
        <v>1</v>
      </c>
      <c r="D50" s="325">
        <v>1357157146.6500001</v>
      </c>
      <c r="E50" s="314">
        <v>1</v>
      </c>
      <c r="F50" s="23">
        <f t="shared" si="22"/>
        <v>0.17062909515572225</v>
      </c>
      <c r="G50" s="23">
        <f t="shared" si="23"/>
        <v>0</v>
      </c>
      <c r="H50" s="325">
        <v>1389889074.4200001</v>
      </c>
      <c r="I50" s="314">
        <v>1</v>
      </c>
      <c r="J50" s="23">
        <f t="shared" si="24"/>
        <v>2.4118008626189905E-2</v>
      </c>
      <c r="K50" s="23">
        <f t="shared" si="25"/>
        <v>0</v>
      </c>
      <c r="L50" s="325">
        <v>1386446347.23</v>
      </c>
      <c r="M50" s="314">
        <v>1</v>
      </c>
      <c r="N50" s="23">
        <f t="shared" si="26"/>
        <v>-2.4769798204484091E-3</v>
      </c>
      <c r="O50" s="23">
        <f t="shared" si="27"/>
        <v>0</v>
      </c>
      <c r="P50" s="325">
        <v>1384878578.6400001</v>
      </c>
      <c r="Q50" s="314">
        <v>1</v>
      </c>
      <c r="R50" s="23">
        <f t="shared" si="28"/>
        <v>-1.1307820119633048E-3</v>
      </c>
      <c r="S50" s="23">
        <f t="shared" si="29"/>
        <v>0</v>
      </c>
      <c r="T50" s="325">
        <v>1384878578.6400001</v>
      </c>
      <c r="U50" s="314">
        <v>1</v>
      </c>
      <c r="V50" s="23">
        <f t="shared" si="30"/>
        <v>0</v>
      </c>
      <c r="W50" s="23">
        <f t="shared" si="31"/>
        <v>0</v>
      </c>
      <c r="X50" s="325">
        <v>1191736841.5999999</v>
      </c>
      <c r="Y50" s="314">
        <v>1</v>
      </c>
      <c r="Z50" s="23">
        <f t="shared" si="32"/>
        <v>-0.13946474443244855</v>
      </c>
      <c r="AA50" s="23">
        <f t="shared" si="33"/>
        <v>0</v>
      </c>
      <c r="AB50" s="325">
        <v>1224875447.25</v>
      </c>
      <c r="AC50" s="314">
        <v>1</v>
      </c>
      <c r="AD50" s="23">
        <f t="shared" si="34"/>
        <v>2.7806982626725651E-2</v>
      </c>
      <c r="AE50" s="23">
        <f t="shared" si="35"/>
        <v>0</v>
      </c>
      <c r="AF50" s="325">
        <v>1226542907.54</v>
      </c>
      <c r="AG50" s="314">
        <v>1</v>
      </c>
      <c r="AH50" s="23">
        <f t="shared" si="36"/>
        <v>1.3613304877190743E-3</v>
      </c>
      <c r="AI50" s="23">
        <f t="shared" si="37"/>
        <v>0</v>
      </c>
      <c r="AJ50" s="24">
        <f t="shared" si="16"/>
        <v>1.0105363828937074E-2</v>
      </c>
      <c r="AK50" s="24">
        <f t="shared" si="17"/>
        <v>0</v>
      </c>
      <c r="AL50" s="25">
        <f t="shared" si="18"/>
        <v>-9.6241057590425449E-2</v>
      </c>
      <c r="AM50" s="25">
        <f t="shared" si="19"/>
        <v>0</v>
      </c>
      <c r="AN50" s="26">
        <f t="shared" si="20"/>
        <v>8.3761506645722128E-2</v>
      </c>
      <c r="AO50" s="78">
        <f t="shared" si="21"/>
        <v>0</v>
      </c>
      <c r="AP50" s="30"/>
      <c r="AQ50" s="38"/>
      <c r="AR50" s="35"/>
      <c r="AS50" s="29"/>
      <c r="AT50" s="29"/>
    </row>
    <row r="51" spans="1:48" s="110" customFormat="1">
      <c r="A51" s="206" t="s">
        <v>134</v>
      </c>
      <c r="B51" s="325">
        <v>816664046.34000003</v>
      </c>
      <c r="C51" s="314">
        <v>1</v>
      </c>
      <c r="D51" s="325">
        <v>807604934.26999998</v>
      </c>
      <c r="E51" s="314">
        <v>1</v>
      </c>
      <c r="F51" s="23">
        <f t="shared" si="22"/>
        <v>-1.1092825881829615E-2</v>
      </c>
      <c r="G51" s="23">
        <f t="shared" si="23"/>
        <v>0</v>
      </c>
      <c r="H51" s="325">
        <v>813629894.64999998</v>
      </c>
      <c r="I51" s="314">
        <v>1</v>
      </c>
      <c r="J51" s="23">
        <f t="shared" si="24"/>
        <v>7.4602817842439276E-3</v>
      </c>
      <c r="K51" s="23">
        <f t="shared" si="25"/>
        <v>0</v>
      </c>
      <c r="L51" s="325">
        <v>808988012.13</v>
      </c>
      <c r="M51" s="314">
        <v>1</v>
      </c>
      <c r="N51" s="23">
        <f t="shared" si="26"/>
        <v>-5.7051523678303198E-3</v>
      </c>
      <c r="O51" s="23">
        <f t="shared" si="27"/>
        <v>0</v>
      </c>
      <c r="P51" s="325">
        <v>829094220.49000001</v>
      </c>
      <c r="Q51" s="314">
        <v>1</v>
      </c>
      <c r="R51" s="23">
        <f t="shared" si="28"/>
        <v>2.4853530656235554E-2</v>
      </c>
      <c r="S51" s="23">
        <f t="shared" si="29"/>
        <v>0</v>
      </c>
      <c r="T51" s="325">
        <v>828191396.59000003</v>
      </c>
      <c r="U51" s="314">
        <v>1</v>
      </c>
      <c r="V51" s="23">
        <f t="shared" si="30"/>
        <v>-1.0889279863347755E-3</v>
      </c>
      <c r="W51" s="23">
        <f t="shared" si="31"/>
        <v>0</v>
      </c>
      <c r="X51" s="325">
        <v>847503621.70000005</v>
      </c>
      <c r="Y51" s="314">
        <v>1</v>
      </c>
      <c r="Z51" s="23">
        <f t="shared" si="32"/>
        <v>2.3318553162368361E-2</v>
      </c>
      <c r="AA51" s="23">
        <f t="shared" si="33"/>
        <v>0</v>
      </c>
      <c r="AB51" s="325">
        <v>1326413539.1800001</v>
      </c>
      <c r="AC51" s="314">
        <v>1</v>
      </c>
      <c r="AD51" s="23">
        <f t="shared" si="34"/>
        <v>0.56508303353248079</v>
      </c>
      <c r="AE51" s="23">
        <f t="shared" si="35"/>
        <v>0</v>
      </c>
      <c r="AF51" s="325">
        <v>1357634841.6800001</v>
      </c>
      <c r="AG51" s="314">
        <v>1</v>
      </c>
      <c r="AH51" s="23">
        <f t="shared" si="36"/>
        <v>2.3538136167775604E-2</v>
      </c>
      <c r="AI51" s="23">
        <f t="shared" si="37"/>
        <v>0</v>
      </c>
      <c r="AJ51" s="24">
        <f t="shared" si="16"/>
        <v>7.8295828633388687E-2</v>
      </c>
      <c r="AK51" s="24">
        <f t="shared" si="17"/>
        <v>0</v>
      </c>
      <c r="AL51" s="25">
        <f t="shared" si="18"/>
        <v>0.68106308427545226</v>
      </c>
      <c r="AM51" s="25">
        <f t="shared" si="19"/>
        <v>0</v>
      </c>
      <c r="AN51" s="26">
        <f t="shared" si="20"/>
        <v>0.1971963772541484</v>
      </c>
      <c r="AO51" s="78">
        <f t="shared" si="21"/>
        <v>0</v>
      </c>
      <c r="AP51" s="30"/>
      <c r="AQ51" s="38"/>
      <c r="AR51" s="35"/>
      <c r="AS51" s="29"/>
      <c r="AT51" s="29"/>
    </row>
    <row r="52" spans="1:48">
      <c r="A52" s="206" t="s">
        <v>114</v>
      </c>
      <c r="B52" s="325">
        <v>20182740300.450001</v>
      </c>
      <c r="C52" s="314">
        <v>1</v>
      </c>
      <c r="D52" s="325">
        <v>20171937733.349998</v>
      </c>
      <c r="E52" s="314">
        <v>1</v>
      </c>
      <c r="F52" s="23">
        <f t="shared" si="22"/>
        <v>-5.3523787846397803E-4</v>
      </c>
      <c r="G52" s="23">
        <f t="shared" si="23"/>
        <v>0</v>
      </c>
      <c r="H52" s="325">
        <v>20621502677.580002</v>
      </c>
      <c r="I52" s="314">
        <v>1</v>
      </c>
      <c r="J52" s="23">
        <f t="shared" si="24"/>
        <v>2.2286651395257064E-2</v>
      </c>
      <c r="K52" s="23">
        <f t="shared" si="25"/>
        <v>0</v>
      </c>
      <c r="L52" s="325">
        <v>20411464492.68</v>
      </c>
      <c r="M52" s="314">
        <v>1</v>
      </c>
      <c r="N52" s="23">
        <f t="shared" si="26"/>
        <v>-1.0185396679571664E-2</v>
      </c>
      <c r="O52" s="23">
        <f t="shared" si="27"/>
        <v>0</v>
      </c>
      <c r="P52" s="325">
        <v>20789967665.41</v>
      </c>
      <c r="Q52" s="314">
        <v>1</v>
      </c>
      <c r="R52" s="23">
        <f t="shared" si="28"/>
        <v>1.8543655839380811E-2</v>
      </c>
      <c r="S52" s="23">
        <f t="shared" si="29"/>
        <v>0</v>
      </c>
      <c r="T52" s="325">
        <v>21185153315.810001</v>
      </c>
      <c r="U52" s="314">
        <v>1</v>
      </c>
      <c r="V52" s="23">
        <f t="shared" si="30"/>
        <v>1.9008478356486565E-2</v>
      </c>
      <c r="W52" s="23">
        <f t="shared" si="31"/>
        <v>0</v>
      </c>
      <c r="X52" s="325">
        <v>21723290909.91</v>
      </c>
      <c r="Y52" s="314">
        <v>1</v>
      </c>
      <c r="Z52" s="23">
        <f t="shared" si="32"/>
        <v>2.5401637933788215E-2</v>
      </c>
      <c r="AA52" s="23">
        <f t="shared" si="33"/>
        <v>0</v>
      </c>
      <c r="AB52" s="325">
        <v>22329450046.02</v>
      </c>
      <c r="AC52" s="314">
        <v>1</v>
      </c>
      <c r="AD52" s="23">
        <f t="shared" si="34"/>
        <v>2.7903651367734317E-2</v>
      </c>
      <c r="AE52" s="23">
        <f t="shared" si="35"/>
        <v>0</v>
      </c>
      <c r="AF52" s="325">
        <v>22909668463.209999</v>
      </c>
      <c r="AG52" s="314">
        <v>1</v>
      </c>
      <c r="AH52" s="23">
        <f t="shared" si="36"/>
        <v>2.5984447265570552E-2</v>
      </c>
      <c r="AI52" s="23">
        <f t="shared" si="37"/>
        <v>0</v>
      </c>
      <c r="AJ52" s="24">
        <f t="shared" si="16"/>
        <v>1.6050985950022734E-2</v>
      </c>
      <c r="AK52" s="24">
        <f t="shared" si="17"/>
        <v>0</v>
      </c>
      <c r="AL52" s="25">
        <f t="shared" si="18"/>
        <v>0.13571976902019414</v>
      </c>
      <c r="AM52" s="25">
        <f t="shared" si="19"/>
        <v>0</v>
      </c>
      <c r="AN52" s="26">
        <f t="shared" si="20"/>
        <v>1.3855830676571996E-2</v>
      </c>
      <c r="AO52" s="78">
        <f t="shared" si="21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8" t="s">
        <v>42</v>
      </c>
      <c r="B53" s="76">
        <f>SUM(B24:B52)</f>
        <v>808804557491.32581</v>
      </c>
      <c r="C53" s="87"/>
      <c r="D53" s="76">
        <f>SUM(D24:D52)</f>
        <v>808555564328.63843</v>
      </c>
      <c r="E53" s="87"/>
      <c r="F53" s="23">
        <f>((D53-B53)/B53)</f>
        <v>-3.0785331311643645E-4</v>
      </c>
      <c r="G53" s="23"/>
      <c r="H53" s="76">
        <f>SUM(H24:H52)</f>
        <v>806141589764.57495</v>
      </c>
      <c r="I53" s="87"/>
      <c r="J53" s="23">
        <f>((H53-D53)/D53)</f>
        <v>-2.9855394861673522E-3</v>
      </c>
      <c r="K53" s="23"/>
      <c r="L53" s="76">
        <f>SUM(L24:L52)</f>
        <v>809389465815.42651</v>
      </c>
      <c r="M53" s="87"/>
      <c r="N53" s="23">
        <f>((L53-H53)/H53)</f>
        <v>4.028915133630644E-3</v>
      </c>
      <c r="O53" s="23"/>
      <c r="P53" s="76">
        <f>SUM(P24:P52)</f>
        <v>813597370074.91248</v>
      </c>
      <c r="Q53" s="87"/>
      <c r="R53" s="23">
        <f>((P53-L53)/L53)</f>
        <v>5.1988621512965598E-3</v>
      </c>
      <c r="S53" s="23"/>
      <c r="T53" s="76">
        <f>SUM(T24:T52)</f>
        <v>806059217034.32275</v>
      </c>
      <c r="U53" s="87"/>
      <c r="V53" s="23">
        <f>((T53-P53)/P53)</f>
        <v>-9.2652131359466441E-3</v>
      </c>
      <c r="W53" s="23"/>
      <c r="X53" s="76">
        <f>SUM(X24:X52)</f>
        <v>792540018978.42993</v>
      </c>
      <c r="Y53" s="87"/>
      <c r="Z53" s="23">
        <f>((X53-T53)/T53)</f>
        <v>-1.677196633968539E-2</v>
      </c>
      <c r="AA53" s="23"/>
      <c r="AB53" s="76">
        <f>SUM(AB24:AB52)</f>
        <v>806100368208.14038</v>
      </c>
      <c r="AC53" s="87"/>
      <c r="AD53" s="23">
        <f>((AB53-X53)/X53)</f>
        <v>1.7109986757753253E-2</v>
      </c>
      <c r="AE53" s="23"/>
      <c r="AF53" s="76">
        <f>SUM(AF24:AF52)</f>
        <v>813613346034.13635</v>
      </c>
      <c r="AG53" s="87"/>
      <c r="AH53" s="23">
        <f>((AF53-AB53)/AB53)</f>
        <v>9.3201518350579295E-3</v>
      </c>
      <c r="AI53" s="23"/>
      <c r="AJ53" s="24">
        <f t="shared" si="16"/>
        <v>7.9091795035282045E-4</v>
      </c>
      <c r="AK53" s="24"/>
      <c r="AL53" s="25">
        <f t="shared" si="18"/>
        <v>6.2553297863919997E-3</v>
      </c>
      <c r="AM53" s="25"/>
      <c r="AN53" s="26">
        <f t="shared" si="20"/>
        <v>1.065044627708559E-2</v>
      </c>
      <c r="AO53" s="78"/>
      <c r="AP53" s="30"/>
      <c r="AQ53" s="43">
        <f>SUM(AQ24:AQ52)</f>
        <v>132930613532.55411</v>
      </c>
      <c r="AR53" s="44"/>
      <c r="AS53" s="29" t="e">
        <f>(#REF!/AQ53)-1</f>
        <v>#REF!</v>
      </c>
      <c r="AT53" s="29" t="e">
        <f>(#REF!/AR53)-1</f>
        <v>#REF!</v>
      </c>
    </row>
    <row r="54" spans="1:48" s="110" customFormat="1" ht="8.25" customHeight="1">
      <c r="A54" s="208"/>
      <c r="B54" s="87"/>
      <c r="C54" s="87"/>
      <c r="D54" s="87"/>
      <c r="E54" s="87"/>
      <c r="F54" s="23"/>
      <c r="G54" s="23"/>
      <c r="H54" s="87"/>
      <c r="I54" s="87"/>
      <c r="J54" s="23"/>
      <c r="K54" s="23"/>
      <c r="L54" s="87"/>
      <c r="M54" s="87"/>
      <c r="N54" s="23"/>
      <c r="O54" s="23"/>
      <c r="P54" s="87"/>
      <c r="Q54" s="87"/>
      <c r="R54" s="23"/>
      <c r="S54" s="23"/>
      <c r="T54" s="87"/>
      <c r="U54" s="87"/>
      <c r="V54" s="23"/>
      <c r="W54" s="23"/>
      <c r="X54" s="87"/>
      <c r="Y54" s="87"/>
      <c r="Z54" s="23"/>
      <c r="AA54" s="23"/>
      <c r="AB54" s="87"/>
      <c r="AC54" s="87"/>
      <c r="AD54" s="23"/>
      <c r="AE54" s="23"/>
      <c r="AF54" s="87"/>
      <c r="AG54" s="87"/>
      <c r="AH54" s="23"/>
      <c r="AI54" s="23"/>
      <c r="AJ54" s="24"/>
      <c r="AK54" s="24"/>
      <c r="AL54" s="25"/>
      <c r="AM54" s="25"/>
      <c r="AN54" s="26"/>
      <c r="AO54" s="78"/>
      <c r="AP54" s="30"/>
      <c r="AQ54" s="43"/>
      <c r="AR54" s="44"/>
      <c r="AS54" s="29"/>
      <c r="AT54" s="29"/>
    </row>
    <row r="55" spans="1:48">
      <c r="A55" s="209" t="s">
        <v>197</v>
      </c>
      <c r="B55" s="87"/>
      <c r="C55" s="87"/>
      <c r="D55" s="87"/>
      <c r="E55" s="87"/>
      <c r="F55" s="23"/>
      <c r="G55" s="23"/>
      <c r="H55" s="87"/>
      <c r="I55" s="87"/>
      <c r="J55" s="23"/>
      <c r="K55" s="23"/>
      <c r="L55" s="87"/>
      <c r="M55" s="87"/>
      <c r="N55" s="23"/>
      <c r="O55" s="23"/>
      <c r="P55" s="87"/>
      <c r="Q55" s="87"/>
      <c r="R55" s="23"/>
      <c r="S55" s="23"/>
      <c r="T55" s="87"/>
      <c r="U55" s="87"/>
      <c r="V55" s="23"/>
      <c r="W55" s="23"/>
      <c r="X55" s="87"/>
      <c r="Y55" s="87"/>
      <c r="Z55" s="23"/>
      <c r="AA55" s="23"/>
      <c r="AB55" s="87"/>
      <c r="AC55" s="87"/>
      <c r="AD55" s="23"/>
      <c r="AE55" s="23"/>
      <c r="AF55" s="87"/>
      <c r="AG55" s="87"/>
      <c r="AH55" s="23"/>
      <c r="AI55" s="23"/>
      <c r="AJ55" s="24"/>
      <c r="AK55" s="24"/>
      <c r="AL55" s="25"/>
      <c r="AM55" s="25"/>
      <c r="AN55" s="26"/>
      <c r="AO55" s="78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6" t="s">
        <v>141</v>
      </c>
      <c r="B56" s="330">
        <v>435253359.00999999</v>
      </c>
      <c r="C56" s="331">
        <v>1.2501</v>
      </c>
      <c r="D56" s="330">
        <v>438861132.99000001</v>
      </c>
      <c r="E56" s="331">
        <v>1.2603</v>
      </c>
      <c r="F56" s="23">
        <f t="shared" ref="F56:F85" si="38">((D56-B56)/B56)</f>
        <v>8.2889055427533883E-3</v>
      </c>
      <c r="G56" s="23">
        <f t="shared" ref="G56:G85" si="39">((E56-C56)/C56)</f>
        <v>8.1593472522198118E-3</v>
      </c>
      <c r="H56" s="330">
        <v>435805556.92000002</v>
      </c>
      <c r="I56" s="331">
        <v>1.2517</v>
      </c>
      <c r="J56" s="23">
        <f t="shared" ref="J56:J82" si="40">((H56-D56)/D56)</f>
        <v>-6.9625123764824664E-3</v>
      </c>
      <c r="K56" s="23">
        <f t="shared" ref="K56:K81" si="41">((I56-E56)/E56)</f>
        <v>-6.8237721177496951E-3</v>
      </c>
      <c r="L56" s="330">
        <v>434667650.29000002</v>
      </c>
      <c r="M56" s="331">
        <v>1.2497</v>
      </c>
      <c r="N56" s="23">
        <f t="shared" ref="N56:N82" si="42">((L56-H56)/H56)</f>
        <v>-2.6110420391194751E-3</v>
      </c>
      <c r="O56" s="23">
        <f t="shared" ref="O56:O81" si="43">((M56-I56)/I56)</f>
        <v>-1.597826955340738E-3</v>
      </c>
      <c r="P56" s="330">
        <v>435935264.88999999</v>
      </c>
      <c r="Q56" s="331">
        <v>1.2535000000000001</v>
      </c>
      <c r="R56" s="23">
        <f t="shared" ref="R56:R82" si="44">((P56-L56)/L56)</f>
        <v>2.9162846582998334E-3</v>
      </c>
      <c r="S56" s="23">
        <f t="shared" ref="S56:S81" si="45">((Q56-M56)/M56)</f>
        <v>3.0407297751460552E-3</v>
      </c>
      <c r="T56" s="330">
        <v>437395800.79000002</v>
      </c>
      <c r="U56" s="331">
        <v>1.258</v>
      </c>
      <c r="V56" s="23">
        <f t="shared" ref="V56:V82" si="46">((T56-P56)/P56)</f>
        <v>3.3503504250076543E-3</v>
      </c>
      <c r="W56" s="23">
        <f t="shared" ref="W56:W81" si="47">((U56-Q56)/Q56)</f>
        <v>3.5899481451934171E-3</v>
      </c>
      <c r="X56" s="330">
        <v>439586726.64999998</v>
      </c>
      <c r="Y56" s="331">
        <v>1.2643</v>
      </c>
      <c r="Z56" s="23">
        <f t="shared" ref="Z56:Z82" si="48">((X56-T56)/T56)</f>
        <v>5.009023534388821E-3</v>
      </c>
      <c r="AA56" s="23">
        <f t="shared" ref="AA56:AA81" si="49">((Y56-U56)/U56)</f>
        <v>5.0079491255961622E-3</v>
      </c>
      <c r="AB56" s="330">
        <v>441287934.61000001</v>
      </c>
      <c r="AC56" s="331">
        <v>1.2697000000000001</v>
      </c>
      <c r="AD56" s="23">
        <f t="shared" ref="AD56:AD82" si="50">((AB56-X56)/X56)</f>
        <v>3.8700166698949125E-3</v>
      </c>
      <c r="AE56" s="23">
        <f t="shared" ref="AE56:AE81" si="51">((AC56-Y56)/Y56)</f>
        <v>4.27113817922967E-3</v>
      </c>
      <c r="AF56" s="330">
        <v>441073490.06999999</v>
      </c>
      <c r="AG56" s="331">
        <v>1.2733000000000001</v>
      </c>
      <c r="AH56" s="23">
        <f t="shared" ref="AH56:AH82" si="52">((AF56-AB56)/AB56)</f>
        <v>-4.8595151415037563E-4</v>
      </c>
      <c r="AI56" s="23">
        <f t="shared" ref="AI56:AI81" si="53">((AG56-AC56)/AC56)</f>
        <v>2.8353154288414959E-3</v>
      </c>
      <c r="AJ56" s="24">
        <f t="shared" si="16"/>
        <v>1.6718843625740365E-3</v>
      </c>
      <c r="AK56" s="24">
        <f t="shared" si="17"/>
        <v>2.3103536041420222E-3</v>
      </c>
      <c r="AL56" s="25">
        <f t="shared" si="18"/>
        <v>5.0411324077094671E-3</v>
      </c>
      <c r="AM56" s="25">
        <f t="shared" si="19"/>
        <v>1.0315004364040405E-2</v>
      </c>
      <c r="AN56" s="26">
        <f t="shared" si="20"/>
        <v>4.8058231715116251E-3</v>
      </c>
      <c r="AO56" s="78">
        <f t="shared" si="21"/>
        <v>4.5745405528770881E-3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6" t="s">
        <v>147</v>
      </c>
      <c r="B57" s="330">
        <v>1004898326.08</v>
      </c>
      <c r="C57" s="331">
        <v>1.1241000000000001</v>
      </c>
      <c r="D57" s="330">
        <v>1006790507.09</v>
      </c>
      <c r="E57" s="331">
        <v>1.1253</v>
      </c>
      <c r="F57" s="23">
        <f t="shared" si="38"/>
        <v>1.8829576693407228E-3</v>
      </c>
      <c r="G57" s="23">
        <f t="shared" si="39"/>
        <v>1.0675206832131195E-3</v>
      </c>
      <c r="H57" s="330">
        <v>1009256766.59</v>
      </c>
      <c r="I57" s="331">
        <v>1.1265000000000001</v>
      </c>
      <c r="J57" s="23">
        <f t="shared" si="40"/>
        <v>2.449625302018798E-3</v>
      </c>
      <c r="K57" s="23">
        <f t="shared" si="41"/>
        <v>1.0663822980539323E-3</v>
      </c>
      <c r="L57" s="330">
        <v>1013328826.91</v>
      </c>
      <c r="M57" s="331">
        <v>1.1274</v>
      </c>
      <c r="N57" s="23">
        <f t="shared" si="42"/>
        <v>4.0347119333747948E-3</v>
      </c>
      <c r="O57" s="23">
        <f t="shared" si="43"/>
        <v>7.9893475366169626E-4</v>
      </c>
      <c r="P57" s="330">
        <v>1014130867.0599999</v>
      </c>
      <c r="Q57" s="331">
        <v>1.1286</v>
      </c>
      <c r="R57" s="23">
        <f t="shared" si="44"/>
        <v>7.9149050999139325E-4</v>
      </c>
      <c r="S57" s="23">
        <f t="shared" si="45"/>
        <v>1.0643959552954496E-3</v>
      </c>
      <c r="T57" s="330">
        <v>1017399076.49</v>
      </c>
      <c r="U57" s="331">
        <v>1.1291</v>
      </c>
      <c r="V57" s="23">
        <f t="shared" si="46"/>
        <v>3.2226703043510721E-3</v>
      </c>
      <c r="W57" s="23">
        <f t="shared" si="47"/>
        <v>4.4302675881618367E-4</v>
      </c>
      <c r="X57" s="330">
        <v>1017930921</v>
      </c>
      <c r="Y57" s="331">
        <v>1.1301000000000001</v>
      </c>
      <c r="Z57" s="23">
        <f t="shared" si="48"/>
        <v>5.2274915742487205E-4</v>
      </c>
      <c r="AA57" s="23">
        <f t="shared" si="49"/>
        <v>8.8566114604562215E-4</v>
      </c>
      <c r="AB57" s="330">
        <v>1019832818.21</v>
      </c>
      <c r="AC57" s="331">
        <v>1.1321000000000001</v>
      </c>
      <c r="AD57" s="23">
        <f t="shared" si="50"/>
        <v>1.8683951639190241E-3</v>
      </c>
      <c r="AE57" s="23">
        <f t="shared" si="51"/>
        <v>1.7697548889478822E-3</v>
      </c>
      <c r="AF57" s="330">
        <v>1022492186.75</v>
      </c>
      <c r="AG57" s="331">
        <v>1.1339999999999999</v>
      </c>
      <c r="AH57" s="23">
        <f t="shared" si="52"/>
        <v>2.6076514625874249E-3</v>
      </c>
      <c r="AI57" s="23">
        <f t="shared" si="53"/>
        <v>1.6782969702321265E-3</v>
      </c>
      <c r="AJ57" s="24">
        <f t="shared" si="16"/>
        <v>2.1725314378760129E-3</v>
      </c>
      <c r="AK57" s="24">
        <f t="shared" si="17"/>
        <v>1.0967466817832516E-3</v>
      </c>
      <c r="AL57" s="25">
        <f t="shared" si="18"/>
        <v>1.5595776429580842E-2</v>
      </c>
      <c r="AM57" s="25">
        <f t="shared" si="19"/>
        <v>7.7312716608903672E-3</v>
      </c>
      <c r="AN57" s="26">
        <f t="shared" si="20"/>
        <v>1.1736405960022247E-3</v>
      </c>
      <c r="AO57" s="78">
        <f t="shared" si="21"/>
        <v>4.3989646424959732E-4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5"/>
      <c r="AV57" s="85"/>
    </row>
    <row r="58" spans="1:48">
      <c r="A58" s="206" t="s">
        <v>231</v>
      </c>
      <c r="B58" s="330">
        <v>873059452.58000004</v>
      </c>
      <c r="C58" s="331">
        <v>1.0488999999999999</v>
      </c>
      <c r="D58" s="330">
        <v>877725413.79999995</v>
      </c>
      <c r="E58" s="331">
        <v>1.0501</v>
      </c>
      <c r="F58" s="23">
        <f t="shared" si="38"/>
        <v>5.3443797054271731E-3</v>
      </c>
      <c r="G58" s="23">
        <f t="shared" si="39"/>
        <v>1.1440556773763847E-3</v>
      </c>
      <c r="H58" s="330">
        <v>875191595.79999995</v>
      </c>
      <c r="I58" s="331">
        <v>1.0512999999999999</v>
      </c>
      <c r="J58" s="23">
        <f t="shared" si="40"/>
        <v>-2.8868003138135868E-3</v>
      </c>
      <c r="K58" s="23">
        <f t="shared" si="41"/>
        <v>1.142748309684666E-3</v>
      </c>
      <c r="L58" s="330">
        <v>874467738.55999994</v>
      </c>
      <c r="M58" s="331">
        <v>1.0521</v>
      </c>
      <c r="N58" s="23">
        <f t="shared" si="42"/>
        <v>-8.2708431327924506E-4</v>
      </c>
      <c r="O58" s="23">
        <f t="shared" si="43"/>
        <v>7.6096261771153243E-4</v>
      </c>
      <c r="P58" s="330">
        <v>875379586.21000004</v>
      </c>
      <c r="Q58" s="331">
        <v>1.0531999999999999</v>
      </c>
      <c r="R58" s="23">
        <f t="shared" si="44"/>
        <v>1.0427459010685168E-3</v>
      </c>
      <c r="S58" s="23">
        <f t="shared" si="45"/>
        <v>1.0455279916356608E-3</v>
      </c>
      <c r="T58" s="330">
        <v>860015859.92999995</v>
      </c>
      <c r="U58" s="331">
        <v>1.0544</v>
      </c>
      <c r="V58" s="23">
        <f t="shared" si="46"/>
        <v>-1.7550930501496063E-2</v>
      </c>
      <c r="W58" s="23">
        <f t="shared" si="47"/>
        <v>1.1393847322446733E-3</v>
      </c>
      <c r="X58" s="330">
        <v>860909915.36000001</v>
      </c>
      <c r="Y58" s="331">
        <v>1.0551999999999999</v>
      </c>
      <c r="Z58" s="23">
        <f t="shared" si="48"/>
        <v>1.0395801655016426E-3</v>
      </c>
      <c r="AA58" s="23">
        <f t="shared" si="49"/>
        <v>7.5872534142632007E-4</v>
      </c>
      <c r="AB58" s="330">
        <v>862357715.15999997</v>
      </c>
      <c r="AC58" s="331">
        <v>1.0564</v>
      </c>
      <c r="AD58" s="23">
        <f t="shared" si="50"/>
        <v>1.6817088224550616E-3</v>
      </c>
      <c r="AE58" s="23">
        <f t="shared" si="51"/>
        <v>1.1372251705838608E-3</v>
      </c>
      <c r="AF58" s="330">
        <v>861426535.37</v>
      </c>
      <c r="AG58" s="331">
        <v>1.0579000000000001</v>
      </c>
      <c r="AH58" s="23">
        <f t="shared" si="52"/>
        <v>-1.0798068755344674E-3</v>
      </c>
      <c r="AI58" s="23">
        <f t="shared" si="53"/>
        <v>1.4199166982204249E-3</v>
      </c>
      <c r="AJ58" s="24">
        <f t="shared" si="16"/>
        <v>-1.6545259262088711E-3</v>
      </c>
      <c r="AK58" s="24">
        <f t="shared" si="17"/>
        <v>1.0685683173604404E-3</v>
      </c>
      <c r="AL58" s="25">
        <f t="shared" si="18"/>
        <v>-1.8569450278801927E-2</v>
      </c>
      <c r="AM58" s="25">
        <f t="shared" si="19"/>
        <v>7.427864012951175E-3</v>
      </c>
      <c r="AN58" s="26">
        <f t="shared" si="20"/>
        <v>6.864793883909503E-3</v>
      </c>
      <c r="AO58" s="78">
        <f t="shared" si="21"/>
        <v>2.1893580873646819E-4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5" customFormat="1">
      <c r="A59" s="206" t="s">
        <v>171</v>
      </c>
      <c r="B59" s="330">
        <v>246917824.09999999</v>
      </c>
      <c r="C59" s="74">
        <v>1125.58</v>
      </c>
      <c r="D59" s="330">
        <v>247148026.52000001</v>
      </c>
      <c r="E59" s="74">
        <v>1127.9100000000001</v>
      </c>
      <c r="F59" s="23">
        <f t="shared" si="38"/>
        <v>9.3230377693100976E-4</v>
      </c>
      <c r="G59" s="23">
        <f t="shared" si="39"/>
        <v>2.0700438884842967E-3</v>
      </c>
      <c r="H59" s="330">
        <v>248304510.19</v>
      </c>
      <c r="I59" s="74">
        <v>1128.8599999999999</v>
      </c>
      <c r="J59" s="23">
        <f t="shared" si="40"/>
        <v>4.6793158184752917E-3</v>
      </c>
      <c r="K59" s="23">
        <f t="shared" si="41"/>
        <v>8.4226578361732589E-4</v>
      </c>
      <c r="L59" s="330">
        <v>249028081.15000001</v>
      </c>
      <c r="M59" s="74">
        <v>1131.33</v>
      </c>
      <c r="N59" s="23">
        <f t="shared" si="42"/>
        <v>2.9140467865297311E-3</v>
      </c>
      <c r="O59" s="23">
        <f t="shared" si="43"/>
        <v>2.1880481193416608E-3</v>
      </c>
      <c r="P59" s="330">
        <v>249853693.56</v>
      </c>
      <c r="Q59" s="74">
        <v>1133.79</v>
      </c>
      <c r="R59" s="23">
        <f t="shared" si="44"/>
        <v>3.3153386003191166E-3</v>
      </c>
      <c r="S59" s="23">
        <f t="shared" si="45"/>
        <v>2.1744318633820695E-3</v>
      </c>
      <c r="T59" s="330">
        <v>237592451.25</v>
      </c>
      <c r="U59" s="74">
        <v>1078.1500000000001</v>
      </c>
      <c r="V59" s="23">
        <f t="shared" si="46"/>
        <v>-4.907368842660547E-2</v>
      </c>
      <c r="W59" s="23">
        <f t="shared" si="47"/>
        <v>-4.9074343573324755E-2</v>
      </c>
      <c r="X59" s="330">
        <v>259095700.47</v>
      </c>
      <c r="Y59" s="74">
        <v>1130.58</v>
      </c>
      <c r="Z59" s="23">
        <f t="shared" si="48"/>
        <v>9.0504766068404283E-2</v>
      </c>
      <c r="AA59" s="23">
        <f t="shared" si="49"/>
        <v>4.8629596994852135E-2</v>
      </c>
      <c r="AB59" s="330">
        <v>259095700.47</v>
      </c>
      <c r="AC59" s="74">
        <v>1130.58</v>
      </c>
      <c r="AD59" s="23">
        <f t="shared" si="50"/>
        <v>0</v>
      </c>
      <c r="AE59" s="23">
        <f t="shared" si="51"/>
        <v>0</v>
      </c>
      <c r="AF59" s="330">
        <v>259095700.47</v>
      </c>
      <c r="AG59" s="74">
        <v>1130.58</v>
      </c>
      <c r="AH59" s="23">
        <f t="shared" si="52"/>
        <v>0</v>
      </c>
      <c r="AI59" s="23">
        <f t="shared" si="53"/>
        <v>0</v>
      </c>
      <c r="AJ59" s="24">
        <f t="shared" si="16"/>
        <v>6.659010328006745E-3</v>
      </c>
      <c r="AK59" s="24">
        <f t="shared" si="17"/>
        <v>8.5375538454409133E-4</v>
      </c>
      <c r="AL59" s="25">
        <f t="shared" si="18"/>
        <v>4.8342178241237724E-2</v>
      </c>
      <c r="AM59" s="25">
        <f t="shared" si="19"/>
        <v>2.3672101497458531E-3</v>
      </c>
      <c r="AN59" s="26">
        <f t="shared" si="20"/>
        <v>3.8334707426021165E-2</v>
      </c>
      <c r="AO59" s="78">
        <f t="shared" si="21"/>
        <v>2.6136476745927596E-2</v>
      </c>
      <c r="AP59" s="30"/>
      <c r="AQ59" s="31"/>
      <c r="AR59" s="31"/>
      <c r="AS59" s="29"/>
      <c r="AT59" s="29"/>
    </row>
    <row r="60" spans="1:48">
      <c r="A60" s="206" t="s">
        <v>180</v>
      </c>
      <c r="B60" s="330">
        <v>1348305043.5799999</v>
      </c>
      <c r="C60" s="331">
        <v>1.0198</v>
      </c>
      <c r="D60" s="330">
        <v>1346983034.3499999</v>
      </c>
      <c r="E60" s="331">
        <v>1.0215000000000001</v>
      </c>
      <c r="F60" s="23">
        <f t="shared" si="38"/>
        <v>-9.8049713326729053E-4</v>
      </c>
      <c r="G60" s="23">
        <f t="shared" si="39"/>
        <v>1.6669935281428071E-3</v>
      </c>
      <c r="H60" s="330">
        <v>1345332021.28</v>
      </c>
      <c r="I60" s="331">
        <v>1.0232000000000001</v>
      </c>
      <c r="J60" s="23">
        <f t="shared" si="40"/>
        <v>-1.2257118522629694E-3</v>
      </c>
      <c r="K60" s="23">
        <f t="shared" si="41"/>
        <v>1.6642192853646939E-3</v>
      </c>
      <c r="L60" s="330">
        <v>1347752761.29</v>
      </c>
      <c r="M60" s="331">
        <v>1.0247999999999999</v>
      </c>
      <c r="N60" s="23">
        <f t="shared" si="42"/>
        <v>1.7993625155051365E-3</v>
      </c>
      <c r="O60" s="23">
        <f t="shared" si="43"/>
        <v>1.5637216575447846E-3</v>
      </c>
      <c r="P60" s="330">
        <v>1392069607.25</v>
      </c>
      <c r="Q60" s="331">
        <v>1.0262</v>
      </c>
      <c r="R60" s="23">
        <f t="shared" si="44"/>
        <v>3.288202942918271E-2</v>
      </c>
      <c r="S60" s="23">
        <f t="shared" si="45"/>
        <v>1.3661202185793013E-3</v>
      </c>
      <c r="T60" s="330">
        <v>1390077957.9100001</v>
      </c>
      <c r="U60" s="331">
        <v>1.0276000000000001</v>
      </c>
      <c r="V60" s="23">
        <f t="shared" si="46"/>
        <v>-1.4307110288359572E-3</v>
      </c>
      <c r="W60" s="23">
        <f t="shared" si="47"/>
        <v>1.3642564802183472E-3</v>
      </c>
      <c r="X60" s="330">
        <v>1388454430.21</v>
      </c>
      <c r="Y60" s="331">
        <v>1.0286999999999999</v>
      </c>
      <c r="Z60" s="23">
        <f t="shared" si="48"/>
        <v>-1.1679400358531274E-3</v>
      </c>
      <c r="AA60" s="23">
        <f t="shared" si="49"/>
        <v>1.0704554301283367E-3</v>
      </c>
      <c r="AB60" s="330">
        <v>1376899333.3199999</v>
      </c>
      <c r="AC60" s="331">
        <v>1.0303</v>
      </c>
      <c r="AD60" s="23">
        <f t="shared" si="50"/>
        <v>-8.3222730531043992E-3</v>
      </c>
      <c r="AE60" s="23">
        <f t="shared" si="51"/>
        <v>1.5553611354136734E-3</v>
      </c>
      <c r="AF60" s="330">
        <v>1379199832.27</v>
      </c>
      <c r="AG60" s="331">
        <v>1.0319</v>
      </c>
      <c r="AH60" s="23">
        <f t="shared" si="52"/>
        <v>1.6707822382723149E-3</v>
      </c>
      <c r="AI60" s="23">
        <f t="shared" si="53"/>
        <v>1.552945743958115E-3</v>
      </c>
      <c r="AJ60" s="24">
        <f t="shared" si="16"/>
        <v>2.9031301349545522E-3</v>
      </c>
      <c r="AK60" s="24">
        <f t="shared" si="17"/>
        <v>1.4755091849187575E-3</v>
      </c>
      <c r="AL60" s="25">
        <f t="shared" si="18"/>
        <v>2.3917745879811034E-2</v>
      </c>
      <c r="AM60" s="25">
        <f t="shared" si="19"/>
        <v>1.0181106216348473E-2</v>
      </c>
      <c r="AN60" s="26">
        <f t="shared" si="20"/>
        <v>1.2506950938273436E-2</v>
      </c>
      <c r="AO60" s="78">
        <f t="shared" si="21"/>
        <v>2.0030106099160787E-4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6" t="s">
        <v>107</v>
      </c>
      <c r="B61" s="330">
        <v>422705361.08999997</v>
      </c>
      <c r="C61" s="331">
        <v>2.1547000000000001</v>
      </c>
      <c r="D61" s="330">
        <v>423189763.33999997</v>
      </c>
      <c r="E61" s="331">
        <v>2.1570999999999998</v>
      </c>
      <c r="F61" s="23">
        <f t="shared" si="38"/>
        <v>1.1459571952220022E-3</v>
      </c>
      <c r="G61" s="23">
        <f t="shared" si="39"/>
        <v>1.1138441546385742E-3</v>
      </c>
      <c r="H61" s="330">
        <v>423972525.22000003</v>
      </c>
      <c r="I61" s="331">
        <v>2.161</v>
      </c>
      <c r="J61" s="23">
        <f t="shared" si="40"/>
        <v>1.8496711116595859E-3</v>
      </c>
      <c r="K61" s="23">
        <f t="shared" si="41"/>
        <v>1.8079829400585216E-3</v>
      </c>
      <c r="L61" s="330">
        <v>420258971.32999998</v>
      </c>
      <c r="M61" s="331">
        <v>2.1648999999999998</v>
      </c>
      <c r="N61" s="23">
        <f t="shared" si="42"/>
        <v>-8.7589493872818197E-3</v>
      </c>
      <c r="O61" s="23">
        <f t="shared" si="43"/>
        <v>1.8047200370198023E-3</v>
      </c>
      <c r="P61" s="330">
        <v>419942820.24000001</v>
      </c>
      <c r="Q61" s="331">
        <v>2.1684999999999999</v>
      </c>
      <c r="R61" s="23">
        <f t="shared" si="44"/>
        <v>-7.5227683777801479E-4</v>
      </c>
      <c r="S61" s="23">
        <f t="shared" si="45"/>
        <v>1.6628943600166511E-3</v>
      </c>
      <c r="T61" s="330">
        <v>420675691.13</v>
      </c>
      <c r="U61" s="331">
        <v>2.1722999999999999</v>
      </c>
      <c r="V61" s="23">
        <f t="shared" si="46"/>
        <v>1.7451682816749796E-3</v>
      </c>
      <c r="W61" s="23">
        <f t="shared" si="47"/>
        <v>1.7523633848282342E-3</v>
      </c>
      <c r="X61" s="330">
        <v>420675691.13</v>
      </c>
      <c r="Y61" s="331">
        <v>2.1722999999999999</v>
      </c>
      <c r="Z61" s="23">
        <f t="shared" si="48"/>
        <v>0</v>
      </c>
      <c r="AA61" s="23">
        <f t="shared" si="49"/>
        <v>0</v>
      </c>
      <c r="AB61" s="330">
        <v>422419220.49000001</v>
      </c>
      <c r="AC61" s="331">
        <v>2.1812999999999998</v>
      </c>
      <c r="AD61" s="23">
        <f t="shared" si="50"/>
        <v>4.1445926084215249E-3</v>
      </c>
      <c r="AE61" s="23">
        <f t="shared" si="51"/>
        <v>4.1430741610274354E-3</v>
      </c>
      <c r="AF61" s="330">
        <v>423265978.16000003</v>
      </c>
      <c r="AG61" s="331">
        <v>2.1854</v>
      </c>
      <c r="AH61" s="23">
        <f t="shared" si="52"/>
        <v>2.0045434225691491E-3</v>
      </c>
      <c r="AI61" s="23">
        <f t="shared" si="53"/>
        <v>1.8796130747720235E-3</v>
      </c>
      <c r="AJ61" s="24">
        <f t="shared" si="16"/>
        <v>1.7233829931092583E-4</v>
      </c>
      <c r="AK61" s="24">
        <f t="shared" si="17"/>
        <v>1.7705615140451553E-3</v>
      </c>
      <c r="AL61" s="25">
        <f t="shared" si="18"/>
        <v>1.8009608596987681E-4</v>
      </c>
      <c r="AM61" s="25">
        <f t="shared" si="19"/>
        <v>1.311946594965473E-2</v>
      </c>
      <c r="AN61" s="26">
        <f t="shared" si="20"/>
        <v>3.891813139014621E-3</v>
      </c>
      <c r="AO61" s="78">
        <f t="shared" si="21"/>
        <v>1.1477533846564235E-3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7" t="s">
        <v>18</v>
      </c>
      <c r="B62" s="330">
        <v>2817601027.7495198</v>
      </c>
      <c r="C62" s="330">
        <v>3771.84795831474</v>
      </c>
      <c r="D62" s="330">
        <v>2820506775.7290502</v>
      </c>
      <c r="E62" s="330">
        <v>3777.1996313684499</v>
      </c>
      <c r="F62" s="23">
        <f t="shared" si="38"/>
        <v>1.0312843979373544E-3</v>
      </c>
      <c r="G62" s="23">
        <f t="shared" si="39"/>
        <v>1.4188464415466522E-3</v>
      </c>
      <c r="H62" s="330">
        <v>3326601976.5959201</v>
      </c>
      <c r="I62" s="330">
        <v>3782.0763097295098</v>
      </c>
      <c r="J62" s="23">
        <f t="shared" si="40"/>
        <v>0.17943413758899884</v>
      </c>
      <c r="K62" s="23">
        <f t="shared" si="41"/>
        <v>1.291083034256558E-3</v>
      </c>
      <c r="L62" s="330">
        <v>3331413361.9047599</v>
      </c>
      <c r="M62" s="330">
        <v>3787.4354466550499</v>
      </c>
      <c r="N62" s="23">
        <f t="shared" si="42"/>
        <v>1.4463363344006796E-3</v>
      </c>
      <c r="O62" s="23">
        <f t="shared" si="43"/>
        <v>1.416982759378359E-3</v>
      </c>
      <c r="P62" s="330">
        <v>3333864097.5748701</v>
      </c>
      <c r="Q62" s="330">
        <v>3792.8899201300201</v>
      </c>
      <c r="R62" s="23">
        <f t="shared" si="44"/>
        <v>7.3564442591687266E-4</v>
      </c>
      <c r="S62" s="23">
        <f t="shared" si="45"/>
        <v>1.4401495554960358E-3</v>
      </c>
      <c r="T62" s="330">
        <v>3330826385.9367399</v>
      </c>
      <c r="U62" s="330">
        <v>3798.2700165185502</v>
      </c>
      <c r="V62" s="23">
        <f t="shared" si="46"/>
        <v>-9.1116840675655906E-4</v>
      </c>
      <c r="W62" s="23">
        <f t="shared" si="47"/>
        <v>1.4184688988668731E-3</v>
      </c>
      <c r="X62" s="330">
        <v>3335410204.8826299</v>
      </c>
      <c r="Y62" s="330">
        <v>3803.6214734905898</v>
      </c>
      <c r="Z62" s="23">
        <f t="shared" si="48"/>
        <v>1.3761806875445496E-3</v>
      </c>
      <c r="AA62" s="23">
        <f t="shared" si="49"/>
        <v>1.4089195735864763E-3</v>
      </c>
      <c r="AB62" s="330">
        <v>3340289973.44666</v>
      </c>
      <c r="AC62" s="330">
        <v>3809.01802943763</v>
      </c>
      <c r="AD62" s="23">
        <f t="shared" si="50"/>
        <v>1.46301901843641E-3</v>
      </c>
      <c r="AE62" s="23">
        <f t="shared" si="51"/>
        <v>1.4187941635758622E-3</v>
      </c>
      <c r="AF62" s="330">
        <v>3341682810.9524202</v>
      </c>
      <c r="AG62" s="330">
        <v>3814.4232717916202</v>
      </c>
      <c r="AH62" s="23">
        <f t="shared" si="52"/>
        <v>4.1698101567002612E-4</v>
      </c>
      <c r="AI62" s="23">
        <f t="shared" si="53"/>
        <v>1.4190645232488438E-3</v>
      </c>
      <c r="AJ62" s="24">
        <f t="shared" si="16"/>
        <v>2.3124051882768518E-2</v>
      </c>
      <c r="AK62" s="24">
        <f t="shared" si="17"/>
        <v>1.4040386187444574E-3</v>
      </c>
      <c r="AL62" s="25">
        <f t="shared" si="18"/>
        <v>0.18478099031995959</v>
      </c>
      <c r="AM62" s="25">
        <f t="shared" si="19"/>
        <v>9.8548247527188489E-3</v>
      </c>
      <c r="AN62" s="26">
        <f t="shared" si="20"/>
        <v>6.3163699494116085E-2</v>
      </c>
      <c r="AO62" s="78">
        <f t="shared" si="21"/>
        <v>4.6484016956674228E-5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6" t="s">
        <v>227</v>
      </c>
      <c r="B63" s="330">
        <v>371909930.85000002</v>
      </c>
      <c r="C63" s="331">
        <v>107.56</v>
      </c>
      <c r="D63" s="330">
        <v>368165213.85000002</v>
      </c>
      <c r="E63" s="331">
        <v>107.75</v>
      </c>
      <c r="F63" s="23">
        <f t="shared" si="38"/>
        <v>-1.0068881439765403E-2</v>
      </c>
      <c r="G63" s="23">
        <f t="shared" si="39"/>
        <v>1.7664559315730543E-3</v>
      </c>
      <c r="H63" s="330">
        <v>368425978.45999998</v>
      </c>
      <c r="I63" s="331">
        <v>107.89</v>
      </c>
      <c r="J63" s="23">
        <f t="shared" si="40"/>
        <v>7.082815002348291E-4</v>
      </c>
      <c r="K63" s="23">
        <f t="shared" si="41"/>
        <v>1.2993039443155506E-3</v>
      </c>
      <c r="L63" s="330">
        <v>370987150.94</v>
      </c>
      <c r="M63" s="331">
        <v>108.16</v>
      </c>
      <c r="N63" s="23">
        <f t="shared" si="42"/>
        <v>6.9516609298442443E-3</v>
      </c>
      <c r="O63" s="23">
        <f t="shared" si="43"/>
        <v>2.5025488923903607E-3</v>
      </c>
      <c r="P63" s="330">
        <v>371677224.97000003</v>
      </c>
      <c r="Q63" s="331">
        <v>108.33</v>
      </c>
      <c r="R63" s="23">
        <f t="shared" si="44"/>
        <v>1.8601022387204917E-3</v>
      </c>
      <c r="S63" s="23">
        <f t="shared" si="45"/>
        <v>1.5717455621301933E-3</v>
      </c>
      <c r="T63" s="330">
        <v>371001705.38999999</v>
      </c>
      <c r="U63" s="331">
        <v>108.41</v>
      </c>
      <c r="V63" s="23">
        <f t="shared" si="46"/>
        <v>-1.8174898396170697E-3</v>
      </c>
      <c r="W63" s="23">
        <f t="shared" si="47"/>
        <v>7.3848426105417055E-4</v>
      </c>
      <c r="X63" s="330">
        <v>374111792.54000002</v>
      </c>
      <c r="Y63" s="331">
        <v>108.92</v>
      </c>
      <c r="Z63" s="23">
        <f t="shared" si="48"/>
        <v>8.3829456975964226E-3</v>
      </c>
      <c r="AA63" s="23">
        <f t="shared" si="49"/>
        <v>4.7043630661378578E-3</v>
      </c>
      <c r="AB63" s="330">
        <v>375569073.83999997</v>
      </c>
      <c r="AC63" s="331">
        <v>109.19</v>
      </c>
      <c r="AD63" s="23">
        <f t="shared" si="50"/>
        <v>3.895309715061013E-3</v>
      </c>
      <c r="AE63" s="23">
        <f t="shared" si="51"/>
        <v>2.4788835842820055E-3</v>
      </c>
      <c r="AF63" s="330">
        <v>376692688.17000002</v>
      </c>
      <c r="AG63" s="331">
        <v>109.34</v>
      </c>
      <c r="AH63" s="23">
        <f t="shared" si="52"/>
        <v>2.991764786465686E-3</v>
      </c>
      <c r="AI63" s="23">
        <f t="shared" si="53"/>
        <v>1.3737521751076627E-3</v>
      </c>
      <c r="AJ63" s="24">
        <f t="shared" si="16"/>
        <v>1.6129616985675267E-3</v>
      </c>
      <c r="AK63" s="24">
        <f t="shared" si="17"/>
        <v>2.0544421771238569E-3</v>
      </c>
      <c r="AL63" s="25">
        <f t="shared" si="18"/>
        <v>2.3162085931003534E-2</v>
      </c>
      <c r="AM63" s="25">
        <f t="shared" si="19"/>
        <v>1.4756380510440866E-2</v>
      </c>
      <c r="AN63" s="26">
        <f t="shared" si="20"/>
        <v>5.7390589674742067E-3</v>
      </c>
      <c r="AO63" s="78">
        <f t="shared" si="21"/>
        <v>1.2238277668576803E-3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6" t="s">
        <v>112</v>
      </c>
      <c r="B64" s="330">
        <v>340596195.69</v>
      </c>
      <c r="C64" s="331">
        <v>1.3895999999999999</v>
      </c>
      <c r="D64" s="330">
        <v>340795618.30000001</v>
      </c>
      <c r="E64" s="331">
        <v>1.3905000000000001</v>
      </c>
      <c r="F64" s="23">
        <f t="shared" si="38"/>
        <v>5.8551038597484076E-4</v>
      </c>
      <c r="G64" s="23">
        <f t="shared" si="39"/>
        <v>6.4766839378247191E-4</v>
      </c>
      <c r="H64" s="330">
        <v>340097957.56</v>
      </c>
      <c r="I64" s="331">
        <v>1.3875999999999999</v>
      </c>
      <c r="J64" s="23">
        <f t="shared" si="40"/>
        <v>-2.0471529049586067E-3</v>
      </c>
      <c r="K64" s="23">
        <f t="shared" si="41"/>
        <v>-2.085580726357515E-3</v>
      </c>
      <c r="L64" s="330">
        <v>339064704.94999999</v>
      </c>
      <c r="M64" s="331">
        <v>1.3834</v>
      </c>
      <c r="N64" s="23">
        <f t="shared" si="42"/>
        <v>-3.0381029554337391E-3</v>
      </c>
      <c r="O64" s="23">
        <f t="shared" si="43"/>
        <v>-3.0268088786393641E-3</v>
      </c>
      <c r="P64" s="330">
        <v>337462591.33999997</v>
      </c>
      <c r="Q64" s="331">
        <v>1.377</v>
      </c>
      <c r="R64" s="23">
        <f t="shared" si="44"/>
        <v>-4.72509697002013E-3</v>
      </c>
      <c r="S64" s="23">
        <f t="shared" si="45"/>
        <v>-4.6262830706953603E-3</v>
      </c>
      <c r="T64" s="330">
        <v>338235600.37</v>
      </c>
      <c r="U64" s="331">
        <v>1.3801000000000001</v>
      </c>
      <c r="V64" s="23">
        <f t="shared" si="46"/>
        <v>2.2906510227713203E-3</v>
      </c>
      <c r="W64" s="23">
        <f t="shared" si="47"/>
        <v>2.2512708787219339E-3</v>
      </c>
      <c r="X64" s="330">
        <v>340787570.67000002</v>
      </c>
      <c r="Y64" s="331">
        <v>1.3917999999999999</v>
      </c>
      <c r="Z64" s="23">
        <f t="shared" si="48"/>
        <v>7.5449488380536552E-3</v>
      </c>
      <c r="AA64" s="23">
        <f t="shared" si="49"/>
        <v>8.4776465473515115E-3</v>
      </c>
      <c r="AB64" s="330">
        <v>341383129.22000003</v>
      </c>
      <c r="AC64" s="331">
        <v>1.3942000000000001</v>
      </c>
      <c r="AD64" s="23">
        <f t="shared" si="50"/>
        <v>1.7475946931665479E-3</v>
      </c>
      <c r="AE64" s="23">
        <f t="shared" si="51"/>
        <v>1.7243856875989222E-3</v>
      </c>
      <c r="AF64" s="330">
        <v>342481464.06</v>
      </c>
      <c r="AG64" s="331">
        <v>1.3987000000000001</v>
      </c>
      <c r="AH64" s="23">
        <f t="shared" si="52"/>
        <v>3.2173084900518497E-3</v>
      </c>
      <c r="AI64" s="23">
        <f t="shared" si="53"/>
        <v>3.2276574379572144E-3</v>
      </c>
      <c r="AJ64" s="24">
        <f t="shared" si="16"/>
        <v>6.9695757495071735E-4</v>
      </c>
      <c r="AK64" s="24">
        <f t="shared" si="17"/>
        <v>8.237445337149769E-4</v>
      </c>
      <c r="AL64" s="25">
        <f t="shared" si="18"/>
        <v>4.946794117863194E-3</v>
      </c>
      <c r="AM64" s="25">
        <f t="shared" si="19"/>
        <v>5.897159295217537E-3</v>
      </c>
      <c r="AN64" s="26">
        <f t="shared" si="20"/>
        <v>3.9239696680555174E-3</v>
      </c>
      <c r="AO64" s="78">
        <f t="shared" si="21"/>
        <v>4.1444409925563081E-3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6" t="s">
        <v>243</v>
      </c>
      <c r="B65" s="330">
        <v>445718180.58999997</v>
      </c>
      <c r="C65" s="74">
        <v>1000</v>
      </c>
      <c r="D65" s="330">
        <v>458389005.96999997</v>
      </c>
      <c r="E65" s="74">
        <v>1000</v>
      </c>
      <c r="F65" s="23">
        <f t="shared" si="38"/>
        <v>2.8427885448216502E-2</v>
      </c>
      <c r="G65" s="23">
        <f t="shared" si="39"/>
        <v>0</v>
      </c>
      <c r="H65" s="330">
        <v>457590097.81999999</v>
      </c>
      <c r="I65" s="74">
        <v>1000</v>
      </c>
      <c r="J65" s="23">
        <f t="shared" si="40"/>
        <v>-1.7428606262259747E-3</v>
      </c>
      <c r="K65" s="23">
        <f t="shared" si="41"/>
        <v>0</v>
      </c>
      <c r="L65" s="330">
        <v>503295743.56999999</v>
      </c>
      <c r="M65" s="74">
        <v>1000</v>
      </c>
      <c r="N65" s="23">
        <f t="shared" si="42"/>
        <v>9.9883380273624298E-2</v>
      </c>
      <c r="O65" s="23">
        <f t="shared" si="43"/>
        <v>0</v>
      </c>
      <c r="P65" s="330">
        <v>503470300.90999997</v>
      </c>
      <c r="Q65" s="74">
        <v>1000</v>
      </c>
      <c r="R65" s="23">
        <f t="shared" si="44"/>
        <v>3.4682856398068418E-4</v>
      </c>
      <c r="S65" s="23">
        <f t="shared" si="45"/>
        <v>0</v>
      </c>
      <c r="T65" s="330">
        <v>528150193.79000002</v>
      </c>
      <c r="U65" s="74">
        <v>1000</v>
      </c>
      <c r="V65" s="23">
        <f t="shared" si="46"/>
        <v>4.9019560509114948E-2</v>
      </c>
      <c r="W65" s="23">
        <f t="shared" si="47"/>
        <v>0</v>
      </c>
      <c r="X65" s="330">
        <v>532482007.37000006</v>
      </c>
      <c r="Y65" s="74">
        <v>1000</v>
      </c>
      <c r="Z65" s="23">
        <f t="shared" si="48"/>
        <v>8.2018593023984263E-3</v>
      </c>
      <c r="AA65" s="23">
        <f t="shared" si="49"/>
        <v>0</v>
      </c>
      <c r="AB65" s="330">
        <v>531561966.30000001</v>
      </c>
      <c r="AC65" s="74">
        <v>1000</v>
      </c>
      <c r="AD65" s="23">
        <f t="shared" si="50"/>
        <v>-1.7278350390546686E-3</v>
      </c>
      <c r="AE65" s="23">
        <f t="shared" si="51"/>
        <v>0</v>
      </c>
      <c r="AF65" s="330">
        <v>538228101.69000006</v>
      </c>
      <c r="AG65" s="74">
        <v>1000</v>
      </c>
      <c r="AH65" s="23">
        <f t="shared" si="52"/>
        <v>1.2540655300078125E-2</v>
      </c>
      <c r="AI65" s="23">
        <f t="shared" si="53"/>
        <v>0</v>
      </c>
      <c r="AJ65" s="24">
        <f t="shared" si="16"/>
        <v>2.4368684216516539E-2</v>
      </c>
      <c r="AK65" s="24">
        <f t="shared" si="17"/>
        <v>0</v>
      </c>
      <c r="AL65" s="25">
        <f t="shared" si="18"/>
        <v>0.17417323426213518</v>
      </c>
      <c r="AM65" s="25">
        <f t="shared" si="19"/>
        <v>0</v>
      </c>
      <c r="AN65" s="26">
        <f t="shared" si="20"/>
        <v>3.5188819802000962E-2</v>
      </c>
      <c r="AO65" s="78">
        <f t="shared" si="21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6" t="s">
        <v>103</v>
      </c>
      <c r="B66" s="330">
        <v>364819688.75</v>
      </c>
      <c r="C66" s="74">
        <v>1134.31</v>
      </c>
      <c r="D66" s="330">
        <v>365388928.73000002</v>
      </c>
      <c r="E66" s="74">
        <v>1136.72</v>
      </c>
      <c r="F66" s="23">
        <f t="shared" si="38"/>
        <v>1.5603323985896556E-3</v>
      </c>
      <c r="G66" s="23">
        <f t="shared" si="39"/>
        <v>2.1246396487733352E-3</v>
      </c>
      <c r="H66" s="330">
        <v>366014735.10000002</v>
      </c>
      <c r="I66" s="74">
        <v>1138.07</v>
      </c>
      <c r="J66" s="23">
        <f t="shared" si="40"/>
        <v>1.7127130046746359E-3</v>
      </c>
      <c r="K66" s="23">
        <f t="shared" si="41"/>
        <v>1.1876275599971048E-3</v>
      </c>
      <c r="L66" s="330">
        <v>366527868.69999999</v>
      </c>
      <c r="M66" s="74">
        <v>1140.19</v>
      </c>
      <c r="N66" s="23">
        <f t="shared" si="42"/>
        <v>1.4019479293907919E-3</v>
      </c>
      <c r="O66" s="23">
        <f t="shared" si="43"/>
        <v>1.8628028152926606E-3</v>
      </c>
      <c r="P66" s="330">
        <v>367391132.01999998</v>
      </c>
      <c r="Q66" s="74">
        <v>1141.69</v>
      </c>
      <c r="R66" s="23">
        <f t="shared" si="44"/>
        <v>2.3552460637217376E-3</v>
      </c>
      <c r="S66" s="23">
        <f t="shared" si="45"/>
        <v>1.3155702119822135E-3</v>
      </c>
      <c r="T66" s="330">
        <v>313116037.93000001</v>
      </c>
      <c r="U66" s="74">
        <v>1141.69</v>
      </c>
      <c r="V66" s="23">
        <f t="shared" si="46"/>
        <v>-0.14773109462817779</v>
      </c>
      <c r="W66" s="23">
        <f t="shared" si="47"/>
        <v>0</v>
      </c>
      <c r="X66" s="330">
        <v>313935607.06999999</v>
      </c>
      <c r="Y66" s="74">
        <v>1148.69</v>
      </c>
      <c r="Z66" s="23">
        <f t="shared" si="48"/>
        <v>2.617461390410184E-3</v>
      </c>
      <c r="AA66" s="23">
        <f t="shared" si="49"/>
        <v>6.1312615508588141E-3</v>
      </c>
      <c r="AB66" s="330">
        <v>314541731.98000002</v>
      </c>
      <c r="AC66" s="74">
        <v>1151.0999999999999</v>
      </c>
      <c r="AD66" s="23">
        <f t="shared" si="50"/>
        <v>1.9307300489328537E-3</v>
      </c>
      <c r="AE66" s="23">
        <f t="shared" si="51"/>
        <v>2.0980421175424654E-3</v>
      </c>
      <c r="AF66" s="330">
        <v>312162311.66000003</v>
      </c>
      <c r="AG66" s="74">
        <v>1153.1600000000001</v>
      </c>
      <c r="AH66" s="23">
        <f t="shared" si="52"/>
        <v>-7.5647206016888312E-3</v>
      </c>
      <c r="AI66" s="23">
        <f t="shared" si="53"/>
        <v>1.7895925636349343E-3</v>
      </c>
      <c r="AJ66" s="24">
        <f t="shared" si="16"/>
        <v>-1.7964673049268347E-2</v>
      </c>
      <c r="AK66" s="24">
        <f t="shared" si="17"/>
        <v>2.0636920585101908E-3</v>
      </c>
      <c r="AL66" s="25">
        <f t="shared" si="18"/>
        <v>-0.14567112707821314</v>
      </c>
      <c r="AM66" s="25">
        <f t="shared" si="19"/>
        <v>1.446266450841021E-2</v>
      </c>
      <c r="AN66" s="26">
        <f t="shared" si="20"/>
        <v>5.2540222664415312E-2</v>
      </c>
      <c r="AO66" s="78">
        <f t="shared" si="21"/>
        <v>1.7829150827746144E-3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6" t="s">
        <v>174</v>
      </c>
      <c r="B67" s="330">
        <v>692369762.98000002</v>
      </c>
      <c r="C67" s="315">
        <v>1.0904</v>
      </c>
      <c r="D67" s="330">
        <v>693703744.47000003</v>
      </c>
      <c r="E67" s="315">
        <v>1.0923</v>
      </c>
      <c r="F67" s="23">
        <f t="shared" si="38"/>
        <v>1.9266894098010218E-3</v>
      </c>
      <c r="G67" s="23">
        <f t="shared" si="39"/>
        <v>1.7424798239178399E-3</v>
      </c>
      <c r="H67" s="330">
        <v>695563931.83000004</v>
      </c>
      <c r="I67" s="315">
        <v>1.0945</v>
      </c>
      <c r="J67" s="23">
        <f t="shared" si="40"/>
        <v>2.6815299395871435E-3</v>
      </c>
      <c r="K67" s="23">
        <f t="shared" si="41"/>
        <v>2.0140986908358323E-3</v>
      </c>
      <c r="L67" s="330">
        <v>696719584.15999997</v>
      </c>
      <c r="M67" s="315">
        <v>1.0964</v>
      </c>
      <c r="N67" s="23">
        <f t="shared" si="42"/>
        <v>1.6614609773676016E-3</v>
      </c>
      <c r="O67" s="23">
        <f t="shared" si="43"/>
        <v>1.7359524897213455E-3</v>
      </c>
      <c r="P67" s="330">
        <v>697726554.75</v>
      </c>
      <c r="Q67" s="315">
        <v>1.099</v>
      </c>
      <c r="R67" s="23">
        <f t="shared" si="44"/>
        <v>1.4453025476728742E-3</v>
      </c>
      <c r="S67" s="23">
        <f t="shared" si="45"/>
        <v>2.3713973002553227E-3</v>
      </c>
      <c r="T67" s="330">
        <v>699363091.37</v>
      </c>
      <c r="U67" s="315">
        <v>1.1008</v>
      </c>
      <c r="V67" s="23">
        <f t="shared" si="46"/>
        <v>2.345527210995125E-3</v>
      </c>
      <c r="W67" s="23">
        <f t="shared" si="47"/>
        <v>1.6378525932666276E-3</v>
      </c>
      <c r="X67" s="330">
        <v>701085602.53999996</v>
      </c>
      <c r="Y67" s="315">
        <v>1.1026</v>
      </c>
      <c r="Z67" s="23">
        <f t="shared" si="48"/>
        <v>2.4629712251838833E-3</v>
      </c>
      <c r="AA67" s="23">
        <f t="shared" si="49"/>
        <v>1.6351744186046727E-3</v>
      </c>
      <c r="AB67" s="330">
        <v>703767099.83000004</v>
      </c>
      <c r="AC67" s="315">
        <v>1.1048</v>
      </c>
      <c r="AD67" s="23">
        <f t="shared" si="50"/>
        <v>3.8247787150173149E-3</v>
      </c>
      <c r="AE67" s="23">
        <f t="shared" si="51"/>
        <v>1.9952838744784871E-3</v>
      </c>
      <c r="AF67" s="330">
        <v>705652857.17999995</v>
      </c>
      <c r="AG67" s="315">
        <v>1.0418000000000001</v>
      </c>
      <c r="AH67" s="23">
        <f t="shared" si="52"/>
        <v>2.6795190489231776E-3</v>
      </c>
      <c r="AI67" s="23">
        <f t="shared" si="53"/>
        <v>-5.7023895727733476E-2</v>
      </c>
      <c r="AJ67" s="24">
        <f t="shared" si="16"/>
        <v>2.3784723843185175E-3</v>
      </c>
      <c r="AK67" s="24">
        <f t="shared" si="17"/>
        <v>-5.4864570670816685E-3</v>
      </c>
      <c r="AL67" s="25">
        <f t="shared" si="18"/>
        <v>1.7225094725601083E-2</v>
      </c>
      <c r="AM67" s="25">
        <f t="shared" si="19"/>
        <v>-4.6232719948732022E-2</v>
      </c>
      <c r="AN67" s="26">
        <f t="shared" si="20"/>
        <v>7.4368960255454593E-4</v>
      </c>
      <c r="AO67" s="78">
        <f t="shared" si="21"/>
        <v>2.0825747781764475E-2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6" t="s">
        <v>215</v>
      </c>
      <c r="B68" s="330">
        <v>66596249051.779999</v>
      </c>
      <c r="C68" s="330">
        <v>1507.51</v>
      </c>
      <c r="D68" s="330">
        <v>64168047203.940002</v>
      </c>
      <c r="E68" s="330">
        <v>1510.32</v>
      </c>
      <c r="F68" s="23">
        <f t="shared" si="38"/>
        <v>-3.6461540738608536E-2</v>
      </c>
      <c r="G68" s="23">
        <f t="shared" si="39"/>
        <v>1.8640009021498667E-3</v>
      </c>
      <c r="H68" s="330">
        <v>64319937726.480003</v>
      </c>
      <c r="I68" s="330">
        <v>1513.38</v>
      </c>
      <c r="J68" s="23">
        <f t="shared" si="40"/>
        <v>2.367074099313944E-3</v>
      </c>
      <c r="K68" s="23">
        <f t="shared" si="41"/>
        <v>2.0260607023678246E-3</v>
      </c>
      <c r="L68" s="330">
        <v>63676589046.669998</v>
      </c>
      <c r="M68" s="330">
        <v>1516.24</v>
      </c>
      <c r="N68" s="23">
        <f t="shared" si="42"/>
        <v>-1.000232124828603E-2</v>
      </c>
      <c r="O68" s="23">
        <f t="shared" si="43"/>
        <v>1.8898095653437337E-3</v>
      </c>
      <c r="P68" s="330">
        <v>63774472441.470001</v>
      </c>
      <c r="Q68" s="330">
        <v>1520.03</v>
      </c>
      <c r="R68" s="23">
        <f t="shared" si="44"/>
        <v>1.5371959501201001E-3</v>
      </c>
      <c r="S68" s="23">
        <f t="shared" si="45"/>
        <v>2.4996042842821476E-3</v>
      </c>
      <c r="T68" s="330">
        <v>64415746721.839996</v>
      </c>
      <c r="U68" s="330">
        <v>1522.85</v>
      </c>
      <c r="V68" s="23">
        <f t="shared" si="46"/>
        <v>1.0055344337948611E-2</v>
      </c>
      <c r="W68" s="23">
        <f t="shared" si="47"/>
        <v>1.8552265415813743E-3</v>
      </c>
      <c r="X68" s="330">
        <v>65135460613.57</v>
      </c>
      <c r="Y68" s="330">
        <v>1526.63</v>
      </c>
      <c r="Z68" s="23">
        <f t="shared" si="48"/>
        <v>1.1172949602491935E-2</v>
      </c>
      <c r="AA68" s="23">
        <f t="shared" si="49"/>
        <v>2.4821880027581181E-3</v>
      </c>
      <c r="AB68" s="330">
        <v>65196292622.389999</v>
      </c>
      <c r="AC68" s="330">
        <v>1529.95</v>
      </c>
      <c r="AD68" s="23">
        <f t="shared" si="50"/>
        <v>9.339307382947447E-4</v>
      </c>
      <c r="AE68" s="23">
        <f t="shared" si="51"/>
        <v>2.1747247204626768E-3</v>
      </c>
      <c r="AF68" s="330">
        <v>66292805221.339996</v>
      </c>
      <c r="AG68" s="330">
        <v>1533.3</v>
      </c>
      <c r="AH68" s="23">
        <f t="shared" si="52"/>
        <v>1.681863423279114E-2</v>
      </c>
      <c r="AI68" s="23">
        <f t="shared" si="53"/>
        <v>2.1896140396744398E-3</v>
      </c>
      <c r="AJ68" s="24">
        <f t="shared" si="16"/>
        <v>-4.4734162824176197E-4</v>
      </c>
      <c r="AK68" s="24">
        <f t="shared" si="17"/>
        <v>2.1226535948275227E-3</v>
      </c>
      <c r="AL68" s="25">
        <f t="shared" si="18"/>
        <v>3.3112399550621369E-2</v>
      </c>
      <c r="AM68" s="25">
        <f t="shared" si="19"/>
        <v>1.5215318607977131E-2</v>
      </c>
      <c r="AN68" s="26">
        <f t="shared" si="20"/>
        <v>1.6671356594744235E-2</v>
      </c>
      <c r="AO68" s="78">
        <f t="shared" si="21"/>
        <v>2.6200242344643319E-4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6" t="s">
        <v>178</v>
      </c>
      <c r="B69" s="330">
        <v>21218533.559999999</v>
      </c>
      <c r="C69" s="330">
        <v>0.63300000000000001</v>
      </c>
      <c r="D69" s="330">
        <v>21266499.98</v>
      </c>
      <c r="E69" s="330">
        <v>0.63439999999999996</v>
      </c>
      <c r="F69" s="23">
        <f t="shared" si="38"/>
        <v>2.2605907172786634E-3</v>
      </c>
      <c r="G69" s="23">
        <f t="shared" si="39"/>
        <v>2.2116903633490627E-3</v>
      </c>
      <c r="H69" s="330">
        <v>21328124.23</v>
      </c>
      <c r="I69" s="330">
        <v>0.63629999999999998</v>
      </c>
      <c r="J69" s="23">
        <f t="shared" si="40"/>
        <v>2.8977147183577123E-3</v>
      </c>
      <c r="K69" s="23">
        <f t="shared" si="41"/>
        <v>2.9949558638083431E-3</v>
      </c>
      <c r="L69" s="330">
        <v>21373812.640000001</v>
      </c>
      <c r="M69" s="330">
        <v>0.63759999999999994</v>
      </c>
      <c r="N69" s="23">
        <f t="shared" si="42"/>
        <v>2.1421672861289473E-3</v>
      </c>
      <c r="O69" s="23">
        <f t="shared" si="43"/>
        <v>2.0430614490019928E-3</v>
      </c>
      <c r="P69" s="330">
        <v>21421835.140000001</v>
      </c>
      <c r="Q69" s="330">
        <v>0.6391</v>
      </c>
      <c r="R69" s="23">
        <f t="shared" si="44"/>
        <v>2.2467914736993781E-3</v>
      </c>
      <c r="S69" s="23">
        <f t="shared" si="45"/>
        <v>2.3525721455458859E-3</v>
      </c>
      <c r="T69" s="330">
        <v>21442406.440000001</v>
      </c>
      <c r="U69" s="330">
        <v>0.63970000000000005</v>
      </c>
      <c r="V69" s="23">
        <f t="shared" si="46"/>
        <v>9.6029587874051504E-4</v>
      </c>
      <c r="W69" s="23">
        <f t="shared" si="47"/>
        <v>9.3882021592871993E-4</v>
      </c>
      <c r="X69" s="330">
        <v>21256349.329999998</v>
      </c>
      <c r="Y69" s="330">
        <v>0.63970000000000005</v>
      </c>
      <c r="Z69" s="23">
        <f t="shared" si="48"/>
        <v>-8.6770629276441934E-3</v>
      </c>
      <c r="AA69" s="23">
        <f t="shared" si="49"/>
        <v>0</v>
      </c>
      <c r="AB69" s="330">
        <v>21256349.329999998</v>
      </c>
      <c r="AC69" s="330">
        <v>0.63560000000000005</v>
      </c>
      <c r="AD69" s="23">
        <f t="shared" si="50"/>
        <v>0</v>
      </c>
      <c r="AE69" s="23">
        <f t="shared" si="51"/>
        <v>-6.4092543379709113E-3</v>
      </c>
      <c r="AF69" s="330">
        <v>21343973.510000002</v>
      </c>
      <c r="AG69" s="330">
        <v>0.63670000000000004</v>
      </c>
      <c r="AH69" s="23">
        <f t="shared" si="52"/>
        <v>4.1222591254809525E-3</v>
      </c>
      <c r="AI69" s="23">
        <f t="shared" si="53"/>
        <v>1.7306482064191155E-3</v>
      </c>
      <c r="AJ69" s="24">
        <f t="shared" si="16"/>
        <v>7.4409453400524686E-4</v>
      </c>
      <c r="AK69" s="24">
        <f t="shared" si="17"/>
        <v>7.3281173826027614E-4</v>
      </c>
      <c r="AL69" s="25">
        <f t="shared" si="18"/>
        <v>3.6429845095742545E-3</v>
      </c>
      <c r="AM69" s="25">
        <f t="shared" si="19"/>
        <v>3.6254728877680958E-3</v>
      </c>
      <c r="AN69" s="26">
        <f t="shared" si="20"/>
        <v>3.9985920684022375E-3</v>
      </c>
      <c r="AO69" s="78">
        <f t="shared" si="21"/>
        <v>3.0291204311541447E-3</v>
      </c>
      <c r="AP69" s="30"/>
      <c r="AQ69" s="28"/>
      <c r="AR69" s="28"/>
      <c r="AS69" s="29"/>
      <c r="AT69" s="29"/>
    </row>
    <row r="70" spans="1:46">
      <c r="A70" s="206" t="s">
        <v>106</v>
      </c>
      <c r="B70" s="330">
        <v>793113557.49000001</v>
      </c>
      <c r="C70" s="331">
        <v>200.23645500000001</v>
      </c>
      <c r="D70" s="330">
        <v>786291758.03999996</v>
      </c>
      <c r="E70" s="331">
        <v>200.799667</v>
      </c>
      <c r="F70" s="23">
        <f t="shared" si="38"/>
        <v>-8.6012896710393957E-3</v>
      </c>
      <c r="G70" s="23">
        <f t="shared" si="39"/>
        <v>2.8127345742312154E-3</v>
      </c>
      <c r="H70" s="330">
        <v>999353843.46000004</v>
      </c>
      <c r="I70" s="331">
        <v>201.56763100000001</v>
      </c>
      <c r="J70" s="23">
        <f t="shared" si="40"/>
        <v>0.27097077292416594</v>
      </c>
      <c r="K70" s="23">
        <f t="shared" si="41"/>
        <v>3.8245282548202949E-3</v>
      </c>
      <c r="L70" s="330">
        <v>789656823.55999994</v>
      </c>
      <c r="M70" s="331">
        <v>200.332033</v>
      </c>
      <c r="N70" s="23">
        <f t="shared" si="42"/>
        <v>-0.20983260460977393</v>
      </c>
      <c r="O70" s="23">
        <f t="shared" si="43"/>
        <v>-6.1299425600731009E-3</v>
      </c>
      <c r="P70" s="330">
        <v>790952271.98000002</v>
      </c>
      <c r="Q70" s="331">
        <v>200.87907000000001</v>
      </c>
      <c r="R70" s="23">
        <f t="shared" si="44"/>
        <v>1.6405207697184486E-3</v>
      </c>
      <c r="S70" s="23">
        <f t="shared" si="45"/>
        <v>2.7306516676742221E-3</v>
      </c>
      <c r="T70" s="330">
        <v>793597828.27999997</v>
      </c>
      <c r="U70" s="331">
        <v>201.634435</v>
      </c>
      <c r="V70" s="23">
        <f t="shared" si="46"/>
        <v>3.3447736275885528E-3</v>
      </c>
      <c r="W70" s="23">
        <f t="shared" si="47"/>
        <v>3.7602971777994758E-3</v>
      </c>
      <c r="X70" s="330">
        <v>794419420.58000004</v>
      </c>
      <c r="Y70" s="331">
        <v>202.07501300000001</v>
      </c>
      <c r="Z70" s="23">
        <f t="shared" si="48"/>
        <v>1.0352753885185715E-3</v>
      </c>
      <c r="AA70" s="23">
        <f t="shared" si="49"/>
        <v>2.1850335236638344E-3</v>
      </c>
      <c r="AB70" s="330">
        <v>757080412.45000005</v>
      </c>
      <c r="AC70" s="331">
        <v>200.50473099999999</v>
      </c>
      <c r="AD70" s="23">
        <f t="shared" si="50"/>
        <v>-4.7001630577886741E-2</v>
      </c>
      <c r="AE70" s="23">
        <f t="shared" si="51"/>
        <v>-7.7707875738205201E-3</v>
      </c>
      <c r="AF70" s="330">
        <v>742098925.64999998</v>
      </c>
      <c r="AG70" s="331">
        <v>202.98336800000001</v>
      </c>
      <c r="AH70" s="23">
        <f t="shared" si="52"/>
        <v>-1.9788501397781832E-2</v>
      </c>
      <c r="AI70" s="23">
        <f t="shared" si="53"/>
        <v>1.2361987608162824E-2</v>
      </c>
      <c r="AJ70" s="24">
        <f t="shared" ref="AJ70:AJ133" si="54">AVERAGE(F70,J70,N70,R70,V70,Z70,AD70,AH70)</f>
        <v>-1.0290854433112995E-3</v>
      </c>
      <c r="AK70" s="24">
        <f t="shared" ref="AK70:AK133" si="55">AVERAGE(G70,K70,O70,S70,W70,AA70,AE70,AI70)</f>
        <v>1.7218128340572806E-3</v>
      </c>
      <c r="AL70" s="25">
        <f t="shared" ref="AL70:AL133" si="56">((AF70-D70)/D70)</f>
        <v>-5.6204114996906557E-2</v>
      </c>
      <c r="AM70" s="25">
        <f t="shared" ref="AM70:AM133" si="57">((AG70-E70)/E70)</f>
        <v>1.0875023014853972E-2</v>
      </c>
      <c r="AN70" s="26">
        <f t="shared" ref="AN70:AN133" si="58">STDEV(F70,J70,N70,R70,V70,Z70,AD70,AH70)</f>
        <v>0.13100495108656093</v>
      </c>
      <c r="AO70" s="78">
        <f t="shared" ref="AO70:AO133" si="59">STDEV(G70,K70,O70,S70,W70,AA70,AE70,AI70)</f>
        <v>6.2789002051028371E-3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6" t="s">
        <v>113</v>
      </c>
      <c r="B71" s="330">
        <v>1424233832.3800001</v>
      </c>
      <c r="C71" s="331">
        <v>3.53</v>
      </c>
      <c r="D71" s="330">
        <v>1425107169.76</v>
      </c>
      <c r="E71" s="331">
        <v>3.53</v>
      </c>
      <c r="F71" s="23">
        <f t="shared" si="38"/>
        <v>6.1319802980699077E-4</v>
      </c>
      <c r="G71" s="23">
        <f t="shared" si="39"/>
        <v>0</v>
      </c>
      <c r="H71" s="330">
        <v>1411626638.6099999</v>
      </c>
      <c r="I71" s="331">
        <v>3.53</v>
      </c>
      <c r="J71" s="23">
        <f t="shared" si="40"/>
        <v>-9.4593104547150159E-3</v>
      </c>
      <c r="K71" s="23">
        <f t="shared" si="41"/>
        <v>0</v>
      </c>
      <c r="L71" s="330">
        <v>1412833667.97</v>
      </c>
      <c r="M71" s="331">
        <v>3.54</v>
      </c>
      <c r="N71" s="23">
        <f t="shared" si="42"/>
        <v>8.55062753129022E-4</v>
      </c>
      <c r="O71" s="23">
        <f t="shared" si="43"/>
        <v>2.8328611898017653E-3</v>
      </c>
      <c r="P71" s="330">
        <v>1414466170.78</v>
      </c>
      <c r="Q71" s="331">
        <v>3.54</v>
      </c>
      <c r="R71" s="23">
        <f t="shared" si="44"/>
        <v>1.1554812480832012E-3</v>
      </c>
      <c r="S71" s="23">
        <f t="shared" si="45"/>
        <v>0</v>
      </c>
      <c r="T71" s="330">
        <v>1401759105.8099999</v>
      </c>
      <c r="U71" s="331">
        <v>3.54</v>
      </c>
      <c r="V71" s="23">
        <f t="shared" si="46"/>
        <v>-8.9836471401735854E-3</v>
      </c>
      <c r="W71" s="23">
        <f t="shared" si="47"/>
        <v>0</v>
      </c>
      <c r="X71" s="330">
        <v>1353876211.78</v>
      </c>
      <c r="Y71" s="331">
        <v>3.55</v>
      </c>
      <c r="Z71" s="23">
        <f t="shared" si="48"/>
        <v>-3.4159146055506497E-2</v>
      </c>
      <c r="AA71" s="23">
        <f t="shared" si="49"/>
        <v>2.8248587570620866E-3</v>
      </c>
      <c r="AB71" s="330">
        <v>1355220008.55</v>
      </c>
      <c r="AC71" s="331">
        <v>3.55</v>
      </c>
      <c r="AD71" s="23">
        <f t="shared" si="50"/>
        <v>9.9255512306640863E-4</v>
      </c>
      <c r="AE71" s="23">
        <f t="shared" si="51"/>
        <v>0</v>
      </c>
      <c r="AF71" s="330">
        <v>1355564768.8499999</v>
      </c>
      <c r="AG71" s="331">
        <v>3.56</v>
      </c>
      <c r="AH71" s="23">
        <f t="shared" si="52"/>
        <v>2.5439434027307796E-4</v>
      </c>
      <c r="AI71" s="23">
        <f t="shared" si="53"/>
        <v>2.8169014084507694E-3</v>
      </c>
      <c r="AJ71" s="24">
        <f t="shared" si="54"/>
        <v>-6.0914265195045492E-3</v>
      </c>
      <c r="AK71" s="24">
        <f t="shared" si="55"/>
        <v>1.0593276694143277E-3</v>
      </c>
      <c r="AL71" s="25">
        <f t="shared" si="56"/>
        <v>-4.8798014904178476E-2</v>
      </c>
      <c r="AM71" s="25">
        <f t="shared" si="57"/>
        <v>8.4985835694051694E-3</v>
      </c>
      <c r="AN71" s="26">
        <f t="shared" si="58"/>
        <v>1.2210534540317324E-2</v>
      </c>
      <c r="AO71" s="78">
        <f t="shared" si="59"/>
        <v>1.4620173036631382E-3</v>
      </c>
      <c r="AP71" s="30"/>
      <c r="AQ71" s="28"/>
      <c r="AR71" s="28"/>
      <c r="AS71" s="29"/>
      <c r="AT71" s="29"/>
    </row>
    <row r="72" spans="1:46">
      <c r="A72" s="206" t="s">
        <v>86</v>
      </c>
      <c r="B72" s="330">
        <v>15642791633.190001</v>
      </c>
      <c r="C72" s="330">
        <v>1181.22</v>
      </c>
      <c r="D72" s="330">
        <v>15583760859.870001</v>
      </c>
      <c r="E72" s="330">
        <v>1182.93</v>
      </c>
      <c r="F72" s="23">
        <f t="shared" si="38"/>
        <v>-3.7736725454267065E-3</v>
      </c>
      <c r="G72" s="23">
        <f t="shared" si="39"/>
        <v>1.447655813481008E-3</v>
      </c>
      <c r="H72" s="330">
        <v>15651466057.75</v>
      </c>
      <c r="I72" s="330">
        <v>1184.77</v>
      </c>
      <c r="J72" s="23">
        <f t="shared" si="40"/>
        <v>4.3445993870675935E-3</v>
      </c>
      <c r="K72" s="23">
        <f t="shared" si="41"/>
        <v>1.555459748252152E-3</v>
      </c>
      <c r="L72" s="330">
        <v>15651466057.75</v>
      </c>
      <c r="M72" s="330">
        <v>1184.77</v>
      </c>
      <c r="N72" s="23">
        <f t="shared" si="42"/>
        <v>0</v>
      </c>
      <c r="O72" s="23">
        <f t="shared" si="43"/>
        <v>0</v>
      </c>
      <c r="P72" s="330">
        <v>15818105182.459999</v>
      </c>
      <c r="Q72" s="330">
        <v>1169.45</v>
      </c>
      <c r="R72" s="23">
        <f t="shared" si="44"/>
        <v>1.0646870018127525E-2</v>
      </c>
      <c r="S72" s="23">
        <f t="shared" si="45"/>
        <v>-1.2930779813803469E-2</v>
      </c>
      <c r="T72" s="330">
        <v>15908141027.219999</v>
      </c>
      <c r="U72" s="330">
        <v>1171.44</v>
      </c>
      <c r="V72" s="23">
        <f t="shared" si="46"/>
        <v>5.691948796739385E-3</v>
      </c>
      <c r="W72" s="23">
        <f t="shared" si="47"/>
        <v>1.70165462396854E-3</v>
      </c>
      <c r="X72" s="330">
        <v>15891519879.780001</v>
      </c>
      <c r="Y72" s="330">
        <v>1170.21</v>
      </c>
      <c r="Z72" s="23">
        <f t="shared" si="48"/>
        <v>-1.044820222020827E-3</v>
      </c>
      <c r="AA72" s="23">
        <f t="shared" si="49"/>
        <v>-1.0499897561975159E-3</v>
      </c>
      <c r="AB72" s="330">
        <v>15911278976.85</v>
      </c>
      <c r="AC72" s="330">
        <v>1175.8</v>
      </c>
      <c r="AD72" s="23">
        <f t="shared" si="50"/>
        <v>1.2433736495614061E-3</v>
      </c>
      <c r="AE72" s="23">
        <f t="shared" si="51"/>
        <v>4.7769203818117415E-3</v>
      </c>
      <c r="AF72" s="330">
        <v>15915159275.120001</v>
      </c>
      <c r="AG72" s="330">
        <v>1177.8599999999999</v>
      </c>
      <c r="AH72" s="23">
        <f t="shared" si="52"/>
        <v>2.4387092173080928E-4</v>
      </c>
      <c r="AI72" s="23">
        <f t="shared" si="53"/>
        <v>1.7519986392243116E-3</v>
      </c>
      <c r="AJ72" s="24">
        <f t="shared" si="54"/>
        <v>2.1690212507223983E-3</v>
      </c>
      <c r="AK72" s="24">
        <f t="shared" si="55"/>
        <v>-3.4338504540790376E-4</v>
      </c>
      <c r="AL72" s="25">
        <f t="shared" si="56"/>
        <v>2.126562504583791E-2</v>
      </c>
      <c r="AM72" s="25">
        <f t="shared" si="57"/>
        <v>-4.2859678932820741E-3</v>
      </c>
      <c r="AN72" s="26">
        <f t="shared" si="58"/>
        <v>4.5344734371947186E-3</v>
      </c>
      <c r="AO72" s="78">
        <f t="shared" si="59"/>
        <v>5.3540838508553774E-3</v>
      </c>
      <c r="AP72" s="30"/>
      <c r="AQ72" s="28"/>
      <c r="AR72" s="28"/>
      <c r="AS72" s="29"/>
      <c r="AT72" s="29"/>
    </row>
    <row r="73" spans="1:46">
      <c r="A73" s="206" t="s">
        <v>17</v>
      </c>
      <c r="B73" s="330">
        <v>1530808824.01</v>
      </c>
      <c r="C73" s="331">
        <v>330.60840000000002</v>
      </c>
      <c r="D73" s="330">
        <v>1533857195.3299999</v>
      </c>
      <c r="E73" s="331">
        <v>331.26679999999999</v>
      </c>
      <c r="F73" s="23">
        <f t="shared" si="38"/>
        <v>1.9913468436996806E-3</v>
      </c>
      <c r="G73" s="23">
        <f t="shared" si="39"/>
        <v>1.9914799502976084E-3</v>
      </c>
      <c r="H73" s="330">
        <v>1536963040.5899999</v>
      </c>
      <c r="I73" s="331">
        <v>331.91590000000002</v>
      </c>
      <c r="J73" s="23">
        <f t="shared" si="40"/>
        <v>2.0248594650506477E-3</v>
      </c>
      <c r="K73" s="23">
        <f t="shared" si="41"/>
        <v>1.9594477925346963E-3</v>
      </c>
      <c r="L73" s="330">
        <v>1540008604.6199999</v>
      </c>
      <c r="M73" s="331">
        <v>332.5736</v>
      </c>
      <c r="N73" s="23">
        <f t="shared" si="42"/>
        <v>1.9815466927759428E-3</v>
      </c>
      <c r="O73" s="23">
        <f t="shared" si="43"/>
        <v>1.9815260431934024E-3</v>
      </c>
      <c r="P73" s="330">
        <v>1991555396.0899999</v>
      </c>
      <c r="Q73" s="331">
        <v>102.56</v>
      </c>
      <c r="R73" s="23">
        <f t="shared" si="44"/>
        <v>0.29321056396397216</v>
      </c>
      <c r="S73" s="23">
        <f t="shared" si="45"/>
        <v>-0.69161713377129153</v>
      </c>
      <c r="T73" s="330">
        <v>2004722365.72</v>
      </c>
      <c r="U73" s="331">
        <v>101.72</v>
      </c>
      <c r="V73" s="23">
        <f t="shared" si="46"/>
        <v>6.6114001427480702E-3</v>
      </c>
      <c r="W73" s="23">
        <f t="shared" si="47"/>
        <v>-8.1903276131045574E-3</v>
      </c>
      <c r="X73" s="330">
        <v>2014224540.49</v>
      </c>
      <c r="Y73" s="331">
        <v>102.98</v>
      </c>
      <c r="Z73" s="23">
        <f t="shared" si="48"/>
        <v>4.7398956246927767E-3</v>
      </c>
      <c r="AA73" s="23">
        <f t="shared" si="49"/>
        <v>1.238694455367681E-2</v>
      </c>
      <c r="AB73" s="330">
        <v>2080171735.4400001</v>
      </c>
      <c r="AC73" s="331">
        <v>103.17</v>
      </c>
      <c r="AD73" s="23">
        <f t="shared" si="50"/>
        <v>3.2740736508928191E-2</v>
      </c>
      <c r="AE73" s="23">
        <f t="shared" si="51"/>
        <v>1.8450184501844797E-3</v>
      </c>
      <c r="AF73" s="330">
        <v>2180810306</v>
      </c>
      <c r="AG73" s="331">
        <v>103.36</v>
      </c>
      <c r="AH73" s="23">
        <f t="shared" si="52"/>
        <v>4.8379933659041266E-2</v>
      </c>
      <c r="AI73" s="23">
        <f t="shared" si="53"/>
        <v>1.8416206261509908E-3</v>
      </c>
      <c r="AJ73" s="24">
        <f t="shared" si="54"/>
        <v>4.8960035362613591E-2</v>
      </c>
      <c r="AK73" s="24">
        <f t="shared" si="55"/>
        <v>-8.4725177996044759E-2</v>
      </c>
      <c r="AL73" s="25">
        <f t="shared" si="56"/>
        <v>0.4217818403432349</v>
      </c>
      <c r="AM73" s="25">
        <f t="shared" si="57"/>
        <v>-0.68798563574737936</v>
      </c>
      <c r="AN73" s="26">
        <f t="shared" si="58"/>
        <v>0.10020443203356483</v>
      </c>
      <c r="AO73" s="78">
        <f t="shared" si="59"/>
        <v>0.24528306063148081</v>
      </c>
      <c r="AP73" s="30"/>
      <c r="AQ73" s="28"/>
      <c r="AR73" s="28"/>
      <c r="AS73" s="29"/>
      <c r="AT73" s="29"/>
    </row>
    <row r="74" spans="1:46">
      <c r="A74" s="206" t="s">
        <v>225</v>
      </c>
      <c r="B74" s="330">
        <v>1858864175.1900001</v>
      </c>
      <c r="C74" s="331">
        <v>101.94</v>
      </c>
      <c r="D74" s="330">
        <v>1931307706.05</v>
      </c>
      <c r="E74" s="331">
        <v>102.09</v>
      </c>
      <c r="F74" s="23">
        <f t="shared" si="38"/>
        <v>3.8971933413367993E-2</v>
      </c>
      <c r="G74" s="23">
        <f t="shared" si="39"/>
        <v>1.4714537963508505E-3</v>
      </c>
      <c r="H74" s="330">
        <v>1833627805.4200001</v>
      </c>
      <c r="I74" s="331">
        <v>102.27</v>
      </c>
      <c r="J74" s="23">
        <f t="shared" si="40"/>
        <v>-5.057707807202786E-2</v>
      </c>
      <c r="K74" s="23">
        <f t="shared" si="41"/>
        <v>1.7631501616220257E-3</v>
      </c>
      <c r="L74" s="330">
        <v>2004548680.4000001</v>
      </c>
      <c r="M74" s="331">
        <v>102.45</v>
      </c>
      <c r="N74" s="23">
        <f t="shared" si="42"/>
        <v>9.3214595936414638E-2</v>
      </c>
      <c r="O74" s="23">
        <f t="shared" si="43"/>
        <v>1.760046934584989E-3</v>
      </c>
      <c r="P74" s="330">
        <v>1543143523.01</v>
      </c>
      <c r="Q74" s="331">
        <v>333.25060000000002</v>
      </c>
      <c r="R74" s="23">
        <f t="shared" si="44"/>
        <v>-0.23017907317567785</v>
      </c>
      <c r="S74" s="23">
        <f t="shared" si="45"/>
        <v>2.252812103465105</v>
      </c>
      <c r="T74" s="330">
        <v>1545672328.24</v>
      </c>
      <c r="U74" s="331">
        <v>333.76</v>
      </c>
      <c r="V74" s="23">
        <f t="shared" si="46"/>
        <v>1.6387362499292503E-3</v>
      </c>
      <c r="W74" s="23">
        <f t="shared" si="47"/>
        <v>1.528579393405356E-3</v>
      </c>
      <c r="X74" s="330">
        <v>1549372595.52</v>
      </c>
      <c r="Y74" s="331">
        <v>334.55900000000003</v>
      </c>
      <c r="Z74" s="23">
        <f t="shared" si="48"/>
        <v>2.3939532411849083E-3</v>
      </c>
      <c r="AA74" s="23">
        <f t="shared" si="49"/>
        <v>2.3939357622244578E-3</v>
      </c>
      <c r="AB74" s="330">
        <v>1552767234.51</v>
      </c>
      <c r="AC74" s="331">
        <v>335.15839999999997</v>
      </c>
      <c r="AD74" s="23">
        <f t="shared" si="50"/>
        <v>2.1909765280576049E-3</v>
      </c>
      <c r="AE74" s="23">
        <f t="shared" si="51"/>
        <v>1.7916122417867878E-3</v>
      </c>
      <c r="AF74" s="330">
        <v>1555885335.6700001</v>
      </c>
      <c r="AG74" s="331">
        <v>335.8014</v>
      </c>
      <c r="AH74" s="23">
        <f t="shared" si="52"/>
        <v>2.0080930938654509E-3</v>
      </c>
      <c r="AI74" s="23">
        <f t="shared" si="53"/>
        <v>1.9184958515138786E-3</v>
      </c>
      <c r="AJ74" s="24">
        <f t="shared" si="54"/>
        <v>-1.7542232848110732E-2</v>
      </c>
      <c r="AK74" s="24">
        <f t="shared" si="55"/>
        <v>0.28317992220082416</v>
      </c>
      <c r="AL74" s="25">
        <f t="shared" si="56"/>
        <v>-0.19438765205769884</v>
      </c>
      <c r="AM74" s="25">
        <f t="shared" si="57"/>
        <v>2.2892682926829266</v>
      </c>
      <c r="AN74" s="26">
        <f t="shared" si="58"/>
        <v>9.5096664251353324E-2</v>
      </c>
      <c r="AO74" s="78">
        <f t="shared" si="59"/>
        <v>0.79585163337698317</v>
      </c>
      <c r="AP74" s="30"/>
      <c r="AQ74" s="28"/>
      <c r="AR74" s="28"/>
      <c r="AS74" s="29"/>
      <c r="AT74" s="29"/>
    </row>
    <row r="75" spans="1:46" s="88" customFormat="1">
      <c r="A75" s="207" t="s">
        <v>92</v>
      </c>
      <c r="B75" s="330">
        <v>52239878.969999999</v>
      </c>
      <c r="C75" s="330">
        <v>11.8</v>
      </c>
      <c r="D75" s="330">
        <v>52843655.850000001</v>
      </c>
      <c r="E75" s="330">
        <v>11.72</v>
      </c>
      <c r="F75" s="23">
        <f t="shared" si="38"/>
        <v>1.1557777159987986E-2</v>
      </c>
      <c r="G75" s="23">
        <f t="shared" si="39"/>
        <v>-6.7796610169491584E-3</v>
      </c>
      <c r="H75" s="330">
        <v>52920166.770000003</v>
      </c>
      <c r="I75" s="330">
        <v>11.741146000000001</v>
      </c>
      <c r="J75" s="23">
        <f t="shared" si="40"/>
        <v>1.4478733306640022E-3</v>
      </c>
      <c r="K75" s="23">
        <f t="shared" si="41"/>
        <v>1.8042662116040859E-3</v>
      </c>
      <c r="L75" s="330">
        <v>53001570.979999997</v>
      </c>
      <c r="M75" s="330">
        <v>11.76</v>
      </c>
      <c r="N75" s="23">
        <f t="shared" si="42"/>
        <v>1.5382455303625537E-3</v>
      </c>
      <c r="O75" s="23">
        <f t="shared" si="43"/>
        <v>1.605805770578039E-3</v>
      </c>
      <c r="P75" s="330">
        <v>53078036.479999997</v>
      </c>
      <c r="Q75" s="330">
        <v>11.789804999999999</v>
      </c>
      <c r="R75" s="23">
        <f t="shared" si="44"/>
        <v>1.4427025196829366E-3</v>
      </c>
      <c r="S75" s="23">
        <f t="shared" si="45"/>
        <v>2.5344387755101734E-3</v>
      </c>
      <c r="T75" s="330">
        <v>53019660.119999997</v>
      </c>
      <c r="U75" s="330">
        <v>11.786987</v>
      </c>
      <c r="V75" s="23">
        <f t="shared" si="46"/>
        <v>-1.0998213926394175E-3</v>
      </c>
      <c r="W75" s="23">
        <f t="shared" si="47"/>
        <v>-2.3902006861008671E-4</v>
      </c>
      <c r="X75" s="330">
        <v>68232218.510000005</v>
      </c>
      <c r="Y75" s="330">
        <v>15.14</v>
      </c>
      <c r="Z75" s="23">
        <f t="shared" si="48"/>
        <v>0.28692297075404205</v>
      </c>
      <c r="AA75" s="23">
        <f t="shared" si="49"/>
        <v>0.28446735370116222</v>
      </c>
      <c r="AB75" s="330">
        <v>53101176.450000003</v>
      </c>
      <c r="AC75" s="330">
        <v>11.818387</v>
      </c>
      <c r="AD75" s="23">
        <f t="shared" si="50"/>
        <v>-0.22175802561340463</v>
      </c>
      <c r="AE75" s="23">
        <f t="shared" si="51"/>
        <v>-0.21939319682959055</v>
      </c>
      <c r="AF75" s="330">
        <v>96156931.060000002</v>
      </c>
      <c r="AG75" s="330">
        <v>21.393173000000001</v>
      </c>
      <c r="AH75" s="23">
        <f t="shared" si="52"/>
        <v>0.81082487222371125</v>
      </c>
      <c r="AI75" s="23">
        <f t="shared" si="53"/>
        <v>0.81016013437366718</v>
      </c>
      <c r="AJ75" s="24">
        <f t="shared" si="54"/>
        <v>0.11135957431405084</v>
      </c>
      <c r="AK75" s="24">
        <f t="shared" si="55"/>
        <v>0.10927001511467149</v>
      </c>
      <c r="AL75" s="25">
        <f t="shared" si="56"/>
        <v>0.81964948324066411</v>
      </c>
      <c r="AM75" s="25">
        <f t="shared" si="57"/>
        <v>0.82535605802047785</v>
      </c>
      <c r="AN75" s="26">
        <f t="shared" si="58"/>
        <v>0.31393176781465798</v>
      </c>
      <c r="AO75" s="78">
        <f t="shared" si="59"/>
        <v>0.31395024222288648</v>
      </c>
      <c r="AP75" s="30"/>
      <c r="AQ75" s="28"/>
      <c r="AR75" s="28"/>
      <c r="AS75" s="29"/>
      <c r="AT75" s="29"/>
    </row>
    <row r="76" spans="1:46" s="88" customFormat="1">
      <c r="A76" s="206" t="s">
        <v>35</v>
      </c>
      <c r="B76" s="330">
        <v>6681647198.0100002</v>
      </c>
      <c r="C76" s="331">
        <v>1.02</v>
      </c>
      <c r="D76" s="330">
        <v>6726909090.79</v>
      </c>
      <c r="E76" s="331">
        <v>1.02</v>
      </c>
      <c r="F76" s="23">
        <f t="shared" si="38"/>
        <v>6.7740620596490209E-3</v>
      </c>
      <c r="G76" s="23">
        <f t="shared" si="39"/>
        <v>0</v>
      </c>
      <c r="H76" s="330">
        <v>6602679460.8900003</v>
      </c>
      <c r="I76" s="331">
        <v>1.02</v>
      </c>
      <c r="J76" s="23">
        <f t="shared" si="40"/>
        <v>-1.8467564853832483E-2</v>
      </c>
      <c r="K76" s="23">
        <f t="shared" si="41"/>
        <v>0</v>
      </c>
      <c r="L76" s="330">
        <v>6663181285.5500002</v>
      </c>
      <c r="M76" s="331">
        <v>1.03</v>
      </c>
      <c r="N76" s="23">
        <f t="shared" si="42"/>
        <v>9.1632230548784766E-3</v>
      </c>
      <c r="O76" s="23">
        <f t="shared" si="43"/>
        <v>9.8039215686274595E-3</v>
      </c>
      <c r="P76" s="330">
        <v>6586060803.3999996</v>
      </c>
      <c r="Q76" s="331">
        <v>1.03</v>
      </c>
      <c r="R76" s="23">
        <f t="shared" si="44"/>
        <v>-1.1574123357148733E-2</v>
      </c>
      <c r="S76" s="23">
        <f t="shared" si="45"/>
        <v>0</v>
      </c>
      <c r="T76" s="330">
        <v>6594407376.3299999</v>
      </c>
      <c r="U76" s="331">
        <v>1.03</v>
      </c>
      <c r="V76" s="23">
        <f t="shared" si="46"/>
        <v>1.2673088176913666E-3</v>
      </c>
      <c r="W76" s="23">
        <f t="shared" si="47"/>
        <v>0</v>
      </c>
      <c r="X76" s="330">
        <v>6660003986.04</v>
      </c>
      <c r="Y76" s="331">
        <v>1.04</v>
      </c>
      <c r="Z76" s="23">
        <f t="shared" si="48"/>
        <v>9.9473092829316014E-3</v>
      </c>
      <c r="AA76" s="23">
        <f t="shared" si="49"/>
        <v>9.7087378640776777E-3</v>
      </c>
      <c r="AB76" s="330">
        <v>6755116533.3999996</v>
      </c>
      <c r="AC76" s="331">
        <v>1.04</v>
      </c>
      <c r="AD76" s="23">
        <f t="shared" si="50"/>
        <v>1.4281154719931787E-2</v>
      </c>
      <c r="AE76" s="23">
        <f t="shared" si="51"/>
        <v>0</v>
      </c>
      <c r="AF76" s="330">
        <v>6821437756.9899998</v>
      </c>
      <c r="AG76" s="331">
        <v>1.04</v>
      </c>
      <c r="AH76" s="23">
        <f t="shared" si="52"/>
        <v>9.8179244224850127E-3</v>
      </c>
      <c r="AI76" s="23">
        <f t="shared" si="53"/>
        <v>0</v>
      </c>
      <c r="AJ76" s="24">
        <f t="shared" si="54"/>
        <v>2.6511617683232561E-3</v>
      </c>
      <c r="AK76" s="24">
        <f t="shared" si="55"/>
        <v>2.4390824290881422E-3</v>
      </c>
      <c r="AL76" s="25">
        <f t="shared" si="56"/>
        <v>1.4052318074198692E-2</v>
      </c>
      <c r="AM76" s="25">
        <f t="shared" si="57"/>
        <v>1.9607843137254919E-2</v>
      </c>
      <c r="AN76" s="26">
        <f t="shared" si="58"/>
        <v>1.1646781533317873E-2</v>
      </c>
      <c r="AO76" s="78">
        <f t="shared" si="59"/>
        <v>4.516374719840211E-3</v>
      </c>
      <c r="AP76" s="30"/>
      <c r="AQ76" s="28"/>
      <c r="AR76" s="28"/>
      <c r="AS76" s="29"/>
      <c r="AT76" s="29"/>
    </row>
    <row r="77" spans="1:46" s="88" customFormat="1">
      <c r="A77" s="207" t="s">
        <v>69</v>
      </c>
      <c r="B77" s="330">
        <v>41791953405.889999</v>
      </c>
      <c r="C77" s="330">
        <v>4654.46</v>
      </c>
      <c r="D77" s="330">
        <v>37036343649.5</v>
      </c>
      <c r="E77" s="330">
        <v>4661.43</v>
      </c>
      <c r="F77" s="23">
        <f t="shared" si="38"/>
        <v>-0.11379247364206148</v>
      </c>
      <c r="G77" s="23">
        <f t="shared" si="39"/>
        <v>1.4974884304517074E-3</v>
      </c>
      <c r="H77" s="330">
        <v>32044636277.84</v>
      </c>
      <c r="I77" s="330">
        <v>4669.12</v>
      </c>
      <c r="J77" s="23">
        <f t="shared" si="40"/>
        <v>-0.13477862228787774</v>
      </c>
      <c r="K77" s="23">
        <f t="shared" si="41"/>
        <v>1.649708351299837E-3</v>
      </c>
      <c r="L77" s="330">
        <v>32213780290.040001</v>
      </c>
      <c r="M77" s="330">
        <v>4677.2700000000004</v>
      </c>
      <c r="N77" s="23">
        <f t="shared" si="42"/>
        <v>5.2783876444548643E-3</v>
      </c>
      <c r="O77" s="23">
        <f t="shared" si="43"/>
        <v>1.7455109313961831E-3</v>
      </c>
      <c r="P77" s="330">
        <v>32321415970.709999</v>
      </c>
      <c r="Q77" s="330">
        <v>4686.95</v>
      </c>
      <c r="R77" s="23">
        <f t="shared" si="44"/>
        <v>3.3412930646726192E-3</v>
      </c>
      <c r="S77" s="23">
        <f t="shared" si="45"/>
        <v>2.0695833253157035E-3</v>
      </c>
      <c r="T77" s="330">
        <v>32348534741.830002</v>
      </c>
      <c r="U77" s="330">
        <v>4691.49</v>
      </c>
      <c r="V77" s="23">
        <f t="shared" si="46"/>
        <v>8.3903412971071743E-4</v>
      </c>
      <c r="W77" s="23">
        <f t="shared" si="47"/>
        <v>9.6864698791324078E-4</v>
      </c>
      <c r="X77" s="330">
        <v>32287027760.279999</v>
      </c>
      <c r="Y77" s="330">
        <v>4698.83</v>
      </c>
      <c r="Z77" s="23">
        <f t="shared" si="48"/>
        <v>-1.9013838506406339E-3</v>
      </c>
      <c r="AA77" s="23">
        <f t="shared" si="49"/>
        <v>1.5645349345304255E-3</v>
      </c>
      <c r="AB77" s="330">
        <v>32079223039.369999</v>
      </c>
      <c r="AC77" s="330">
        <v>4707.3599999999997</v>
      </c>
      <c r="AD77" s="23">
        <f t="shared" si="50"/>
        <v>-6.4361675671380453E-3</v>
      </c>
      <c r="AE77" s="23">
        <f t="shared" si="51"/>
        <v>1.8153455221831276E-3</v>
      </c>
      <c r="AF77" s="330">
        <v>32114586818.380001</v>
      </c>
      <c r="AG77" s="330">
        <v>4715.96</v>
      </c>
      <c r="AH77" s="23">
        <f t="shared" si="52"/>
        <v>1.1023888878668004E-3</v>
      </c>
      <c r="AI77" s="23">
        <f t="shared" si="53"/>
        <v>1.8269263451277074E-3</v>
      </c>
      <c r="AJ77" s="24">
        <f t="shared" si="54"/>
        <v>-3.0793442952626607E-2</v>
      </c>
      <c r="AK77" s="24">
        <f t="shared" si="55"/>
        <v>1.6422181035272417E-3</v>
      </c>
      <c r="AL77" s="25">
        <f t="shared" si="56"/>
        <v>-0.13288992233407046</v>
      </c>
      <c r="AM77" s="25">
        <f t="shared" si="57"/>
        <v>1.1698126969620855E-2</v>
      </c>
      <c r="AN77" s="26">
        <f t="shared" si="58"/>
        <v>5.808134618284963E-2</v>
      </c>
      <c r="AO77" s="78">
        <f t="shared" si="59"/>
        <v>3.2472761845323624E-4</v>
      </c>
      <c r="AP77" s="30"/>
      <c r="AQ77" s="28"/>
      <c r="AR77" s="28"/>
      <c r="AS77" s="29"/>
      <c r="AT77" s="29"/>
    </row>
    <row r="78" spans="1:46" s="105" customFormat="1" ht="15.75" customHeight="1">
      <c r="A78" s="206" t="s">
        <v>16</v>
      </c>
      <c r="B78" s="330">
        <v>43009272064.739998</v>
      </c>
      <c r="C78" s="331">
        <v>247.06</v>
      </c>
      <c r="D78" s="330">
        <v>41959766006.419998</v>
      </c>
      <c r="E78" s="331">
        <v>247.28</v>
      </c>
      <c r="F78" s="23">
        <f t="shared" si="38"/>
        <v>-2.4401855877500638E-2</v>
      </c>
      <c r="G78" s="23">
        <f t="shared" si="39"/>
        <v>8.9047195013356622E-4</v>
      </c>
      <c r="H78" s="330">
        <v>41859566309.639999</v>
      </c>
      <c r="I78" s="331">
        <v>247.56</v>
      </c>
      <c r="J78" s="23">
        <f t="shared" si="40"/>
        <v>-2.3879946509870399E-3</v>
      </c>
      <c r="K78" s="23">
        <f t="shared" si="41"/>
        <v>1.1323196376577206E-3</v>
      </c>
      <c r="L78" s="330">
        <v>41849252258.809998</v>
      </c>
      <c r="M78" s="331">
        <v>247.81</v>
      </c>
      <c r="N78" s="23">
        <f t="shared" si="42"/>
        <v>-2.4639650477283059E-4</v>
      </c>
      <c r="O78" s="23">
        <f t="shared" si="43"/>
        <v>1.0098561964776217E-3</v>
      </c>
      <c r="P78" s="330">
        <v>41880981512.400002</v>
      </c>
      <c r="Q78" s="331">
        <v>248.13</v>
      </c>
      <c r="R78" s="23">
        <f t="shared" si="44"/>
        <v>7.5817970160564597E-4</v>
      </c>
      <c r="S78" s="23">
        <f t="shared" si="45"/>
        <v>1.2913118921754295E-3</v>
      </c>
      <c r="T78" s="330">
        <v>41256414330</v>
      </c>
      <c r="U78" s="331">
        <v>248.21</v>
      </c>
      <c r="V78" s="23">
        <f t="shared" si="46"/>
        <v>-1.4912907000880136E-2</v>
      </c>
      <c r="W78" s="23">
        <f t="shared" si="47"/>
        <v>3.2241163906022047E-4</v>
      </c>
      <c r="X78" s="330">
        <v>40829332961.010002</v>
      </c>
      <c r="Y78" s="331">
        <v>248.38</v>
      </c>
      <c r="Z78" s="23">
        <f t="shared" si="48"/>
        <v>-1.0351878027350563E-2</v>
      </c>
      <c r="AA78" s="23">
        <f t="shared" si="49"/>
        <v>6.8490391200994114E-4</v>
      </c>
      <c r="AB78" s="330">
        <v>40603770319.120003</v>
      </c>
      <c r="AC78" s="331">
        <v>248.58</v>
      </c>
      <c r="AD78" s="23">
        <f t="shared" si="50"/>
        <v>-5.5245242949572698E-3</v>
      </c>
      <c r="AE78" s="23">
        <f t="shared" si="51"/>
        <v>8.052178114180572E-4</v>
      </c>
      <c r="AF78" s="330">
        <v>40527889205.389999</v>
      </c>
      <c r="AG78" s="331">
        <v>248.87</v>
      </c>
      <c r="AH78" s="23">
        <f t="shared" si="52"/>
        <v>-1.8688194010956546E-3</v>
      </c>
      <c r="AI78" s="23">
        <f t="shared" si="53"/>
        <v>1.1666264381687667E-3</v>
      </c>
      <c r="AJ78" s="24">
        <f t="shared" si="54"/>
        <v>-7.3670245069923108E-3</v>
      </c>
      <c r="AK78" s="24">
        <f t="shared" si="55"/>
        <v>9.128899346376655E-4</v>
      </c>
      <c r="AL78" s="25">
        <f t="shared" si="56"/>
        <v>-3.4124994901328011E-2</v>
      </c>
      <c r="AM78" s="25">
        <f t="shared" si="57"/>
        <v>6.4299579424134719E-3</v>
      </c>
      <c r="AN78" s="26">
        <f t="shared" si="58"/>
        <v>8.7110214611267178E-3</v>
      </c>
      <c r="AO78" s="78">
        <f t="shared" si="59"/>
        <v>3.1119018940721412E-4</v>
      </c>
      <c r="AP78" s="30"/>
      <c r="AQ78" s="28"/>
      <c r="AR78" s="28"/>
      <c r="AS78" s="29"/>
      <c r="AT78" s="29"/>
    </row>
    <row r="79" spans="1:46" s="105" customFormat="1" ht="15.75" customHeight="1">
      <c r="A79" s="207" t="s">
        <v>70</v>
      </c>
      <c r="B79" s="330">
        <v>247948427.30000001</v>
      </c>
      <c r="C79" s="330">
        <v>4399.33</v>
      </c>
      <c r="D79" s="330">
        <v>248114061.63</v>
      </c>
      <c r="E79" s="330">
        <v>4402.25</v>
      </c>
      <c r="F79" s="23">
        <f t="shared" si="38"/>
        <v>6.680192804755221E-4</v>
      </c>
      <c r="G79" s="23">
        <f t="shared" si="39"/>
        <v>6.6373743274545738E-4</v>
      </c>
      <c r="H79" s="330">
        <v>248816723.06999999</v>
      </c>
      <c r="I79" s="330">
        <v>4414.7</v>
      </c>
      <c r="J79" s="23">
        <f t="shared" si="40"/>
        <v>2.8320097433568326E-3</v>
      </c>
      <c r="K79" s="23">
        <f t="shared" si="41"/>
        <v>2.8280992674200281E-3</v>
      </c>
      <c r="L79" s="330">
        <v>248407157.61000001</v>
      </c>
      <c r="M79" s="330">
        <v>4407.3500000000004</v>
      </c>
      <c r="N79" s="23">
        <f t="shared" si="42"/>
        <v>-1.6460527851448106E-3</v>
      </c>
      <c r="O79" s="23">
        <f t="shared" si="43"/>
        <v>-1.6648922916618241E-3</v>
      </c>
      <c r="P79" s="330">
        <v>247897615.19999999</v>
      </c>
      <c r="Q79" s="330">
        <v>4398.22</v>
      </c>
      <c r="R79" s="23">
        <f t="shared" si="44"/>
        <v>-2.0512388407100948E-3</v>
      </c>
      <c r="S79" s="23">
        <f t="shared" si="45"/>
        <v>-2.0715395872803631E-3</v>
      </c>
      <c r="T79" s="330">
        <v>248877469.30000001</v>
      </c>
      <c r="U79" s="330">
        <v>4415.63</v>
      </c>
      <c r="V79" s="23">
        <f t="shared" si="46"/>
        <v>3.9526564191006541E-3</v>
      </c>
      <c r="W79" s="23">
        <f t="shared" si="47"/>
        <v>3.958419542451231E-3</v>
      </c>
      <c r="X79" s="330">
        <v>250022980.03999999</v>
      </c>
      <c r="Y79" s="330">
        <v>4435.9799999999996</v>
      </c>
      <c r="Z79" s="23">
        <f t="shared" si="48"/>
        <v>4.6027096917285303E-3</v>
      </c>
      <c r="AA79" s="23">
        <f t="shared" si="49"/>
        <v>4.6086288932721837E-3</v>
      </c>
      <c r="AB79" s="330">
        <v>251502426.25</v>
      </c>
      <c r="AC79" s="330">
        <v>4462.28</v>
      </c>
      <c r="AD79" s="23">
        <f t="shared" si="50"/>
        <v>5.9172409262673326E-3</v>
      </c>
      <c r="AE79" s="23">
        <f t="shared" si="51"/>
        <v>5.9287913831893259E-3</v>
      </c>
      <c r="AF79" s="330">
        <v>251564123.09999999</v>
      </c>
      <c r="AG79" s="330">
        <v>4463.32</v>
      </c>
      <c r="AH79" s="23">
        <f t="shared" si="52"/>
        <v>2.453131403935871E-4</v>
      </c>
      <c r="AI79" s="23">
        <f t="shared" si="53"/>
        <v>2.3306471131349078E-4</v>
      </c>
      <c r="AJ79" s="24">
        <f t="shared" si="54"/>
        <v>1.8150821969334444E-3</v>
      </c>
      <c r="AK79" s="24">
        <f t="shared" si="55"/>
        <v>1.810538668931191E-3</v>
      </c>
      <c r="AL79" s="25">
        <f t="shared" si="56"/>
        <v>1.390514284976279E-2</v>
      </c>
      <c r="AM79" s="25">
        <f t="shared" si="57"/>
        <v>1.3872451587256451E-2</v>
      </c>
      <c r="AN79" s="26">
        <f t="shared" si="58"/>
        <v>2.9498125953987082E-3</v>
      </c>
      <c r="AO79" s="78">
        <f t="shared" si="59"/>
        <v>2.9614394485490011E-3</v>
      </c>
      <c r="AP79" s="30"/>
      <c r="AQ79" s="28"/>
      <c r="AR79" s="28"/>
      <c r="AS79" s="29"/>
      <c r="AT79" s="29"/>
    </row>
    <row r="80" spans="1:46" s="289" customFormat="1" ht="15.75" customHeight="1">
      <c r="A80" s="206" t="s">
        <v>169</v>
      </c>
      <c r="B80" s="330">
        <v>19981718338.66</v>
      </c>
      <c r="C80" s="331">
        <v>117.08</v>
      </c>
      <c r="D80" s="330">
        <v>19660167052.049999</v>
      </c>
      <c r="E80" s="331">
        <v>117.27</v>
      </c>
      <c r="F80" s="23">
        <f t="shared" si="38"/>
        <v>-1.6092274005678146E-2</v>
      </c>
      <c r="G80" s="23">
        <f t="shared" si="39"/>
        <v>1.622822002049861E-3</v>
      </c>
      <c r="H80" s="330">
        <v>19716459192.169998</v>
      </c>
      <c r="I80" s="331">
        <v>117.48</v>
      </c>
      <c r="J80" s="23">
        <f t="shared" si="40"/>
        <v>2.8632584845777929E-3</v>
      </c>
      <c r="K80" s="23">
        <f t="shared" si="41"/>
        <v>1.7907393195191266E-3</v>
      </c>
      <c r="L80" s="330">
        <v>19464382442.799999</v>
      </c>
      <c r="M80" s="331">
        <v>117.66</v>
      </c>
      <c r="N80" s="23">
        <f t="shared" si="42"/>
        <v>-1.2785092237560901E-2</v>
      </c>
      <c r="O80" s="23">
        <f t="shared" si="43"/>
        <v>1.5321756894789973E-3</v>
      </c>
      <c r="P80" s="330">
        <v>19575287918.790001</v>
      </c>
      <c r="Q80" s="331">
        <v>117.9</v>
      </c>
      <c r="R80" s="23">
        <f t="shared" si="44"/>
        <v>5.6978676983931919E-3</v>
      </c>
      <c r="S80" s="23">
        <f t="shared" si="45"/>
        <v>2.0397756246813624E-3</v>
      </c>
      <c r="T80" s="330">
        <v>19623366148.799999</v>
      </c>
      <c r="U80" s="331">
        <v>117.9</v>
      </c>
      <c r="V80" s="23">
        <f t="shared" si="46"/>
        <v>2.4560675791567188E-3</v>
      </c>
      <c r="W80" s="23">
        <f t="shared" si="47"/>
        <v>0</v>
      </c>
      <c r="X80" s="330">
        <v>19442758991.52</v>
      </c>
      <c r="Y80" s="331">
        <v>118.33</v>
      </c>
      <c r="Z80" s="23">
        <f t="shared" si="48"/>
        <v>-9.2036787119239068E-3</v>
      </c>
      <c r="AA80" s="23">
        <f t="shared" si="49"/>
        <v>3.6471586089906072E-3</v>
      </c>
      <c r="AB80" s="330">
        <v>19932872774.810001</v>
      </c>
      <c r="AC80" s="331">
        <v>118.54</v>
      </c>
      <c r="AD80" s="23">
        <f t="shared" si="50"/>
        <v>2.5208036755676757E-2</v>
      </c>
      <c r="AE80" s="23">
        <f t="shared" si="51"/>
        <v>1.7746978788135549E-3</v>
      </c>
      <c r="AF80" s="330">
        <v>19942192679.689999</v>
      </c>
      <c r="AG80" s="331">
        <v>118.76</v>
      </c>
      <c r="AH80" s="23">
        <f t="shared" si="52"/>
        <v>4.6756455957393174E-4</v>
      </c>
      <c r="AI80" s="23">
        <f t="shared" si="53"/>
        <v>1.8559136156571525E-3</v>
      </c>
      <c r="AJ80" s="24">
        <f t="shared" si="54"/>
        <v>-1.7353123472306985E-4</v>
      </c>
      <c r="AK80" s="24">
        <f t="shared" si="55"/>
        <v>1.7829103423988328E-3</v>
      </c>
      <c r="AL80" s="25">
        <f t="shared" si="56"/>
        <v>1.4345027023083819E-2</v>
      </c>
      <c r="AM80" s="25">
        <f t="shared" si="57"/>
        <v>1.2705721838492445E-2</v>
      </c>
      <c r="AN80" s="26">
        <f t="shared" si="58"/>
        <v>1.3034276846716198E-2</v>
      </c>
      <c r="AO80" s="78">
        <f t="shared" si="59"/>
        <v>9.8663388925629924E-4</v>
      </c>
      <c r="AP80" s="30"/>
      <c r="AQ80" s="28"/>
      <c r="AR80" s="28"/>
      <c r="AS80" s="29"/>
      <c r="AT80" s="29"/>
    </row>
    <row r="81" spans="1:46" s="289" customFormat="1" ht="15.75" customHeight="1">
      <c r="A81" s="206" t="s">
        <v>64</v>
      </c>
      <c r="B81" s="330">
        <v>14977291273.709999</v>
      </c>
      <c r="C81" s="331">
        <v>336.76</v>
      </c>
      <c r="D81" s="330">
        <v>15026247728.280001</v>
      </c>
      <c r="E81" s="331">
        <v>337.15</v>
      </c>
      <c r="F81" s="23">
        <f t="shared" si="38"/>
        <v>3.2687121906973958E-3</v>
      </c>
      <c r="G81" s="23">
        <f t="shared" si="39"/>
        <v>1.1580947856039505E-3</v>
      </c>
      <c r="H81" s="330">
        <v>14957015967.440001</v>
      </c>
      <c r="I81" s="331">
        <v>337.54</v>
      </c>
      <c r="J81" s="23">
        <f t="shared" si="40"/>
        <v>-4.6073884905879197E-3</v>
      </c>
      <c r="K81" s="23">
        <f t="shared" si="41"/>
        <v>1.1567551534926389E-3</v>
      </c>
      <c r="L81" s="330">
        <v>14889598657.879999</v>
      </c>
      <c r="M81" s="331">
        <v>337.9</v>
      </c>
      <c r="N81" s="23">
        <f t="shared" si="42"/>
        <v>-4.5074037299126001E-3</v>
      </c>
      <c r="O81" s="23">
        <f t="shared" si="43"/>
        <v>1.0665402618947584E-3</v>
      </c>
      <c r="P81" s="330">
        <v>14919937285.01</v>
      </c>
      <c r="Q81" s="331">
        <v>338.34</v>
      </c>
      <c r="R81" s="23">
        <f t="shared" si="44"/>
        <v>2.0375718531503201E-3</v>
      </c>
      <c r="S81" s="23">
        <f t="shared" si="45"/>
        <v>1.302160402485936E-3</v>
      </c>
      <c r="T81" s="330">
        <v>14889597778.9</v>
      </c>
      <c r="U81" s="331">
        <v>338.58</v>
      </c>
      <c r="V81" s="23">
        <f t="shared" si="46"/>
        <v>-2.0334875093933934E-3</v>
      </c>
      <c r="W81" s="23">
        <f t="shared" si="47"/>
        <v>7.0934562865759029E-4</v>
      </c>
      <c r="X81" s="330">
        <v>14917564432.26</v>
      </c>
      <c r="Y81" s="331">
        <v>339.03</v>
      </c>
      <c r="Z81" s="23">
        <f t="shared" si="48"/>
        <v>1.8782678871038453E-3</v>
      </c>
      <c r="AA81" s="23">
        <f t="shared" si="49"/>
        <v>1.3290802764486639E-3</v>
      </c>
      <c r="AB81" s="330">
        <v>14916045769.65</v>
      </c>
      <c r="AC81" s="331">
        <v>339.32</v>
      </c>
      <c r="AD81" s="23">
        <f t="shared" si="50"/>
        <v>-1.0180365681655273E-4</v>
      </c>
      <c r="AE81" s="23">
        <f t="shared" si="51"/>
        <v>8.5538152965820282E-4</v>
      </c>
      <c r="AF81" s="330">
        <v>14885535672.709999</v>
      </c>
      <c r="AG81" s="331">
        <v>339.72</v>
      </c>
      <c r="AH81" s="23">
        <f t="shared" si="52"/>
        <v>-2.0454547680512007E-3</v>
      </c>
      <c r="AI81" s="23">
        <f t="shared" si="53"/>
        <v>1.1788282447248442E-3</v>
      </c>
      <c r="AJ81" s="24">
        <f t="shared" si="54"/>
        <v>-7.6387327797626308E-4</v>
      </c>
      <c r="AK81" s="24">
        <f t="shared" si="55"/>
        <v>1.0945232853708231E-3</v>
      </c>
      <c r="AL81" s="25">
        <f t="shared" si="56"/>
        <v>-9.3644173924522667E-3</v>
      </c>
      <c r="AM81" s="25">
        <f t="shared" si="57"/>
        <v>7.6227198576302837E-3</v>
      </c>
      <c r="AN81" s="26">
        <f t="shared" si="58"/>
        <v>3.0135429398162779E-3</v>
      </c>
      <c r="AO81" s="78">
        <f t="shared" si="59"/>
        <v>2.1363696772467065E-4</v>
      </c>
      <c r="AP81" s="30"/>
      <c r="AQ81" s="28"/>
      <c r="AR81" s="28"/>
      <c r="AS81" s="29"/>
      <c r="AT81" s="29"/>
    </row>
    <row r="82" spans="1:46" s="292" customFormat="1" ht="15.75" customHeight="1">
      <c r="A82" s="206" t="s">
        <v>252</v>
      </c>
      <c r="B82" s="330">
        <v>56086780.799999997</v>
      </c>
      <c r="C82" s="74">
        <v>103.8403</v>
      </c>
      <c r="D82" s="330">
        <v>56191792.5</v>
      </c>
      <c r="E82" s="74">
        <v>104.0162</v>
      </c>
      <c r="F82" s="23">
        <f t="shared" si="38"/>
        <v>1.8723074938899503E-3</v>
      </c>
      <c r="G82" s="23">
        <f t="shared" si="39"/>
        <v>1.6939473402907987E-3</v>
      </c>
      <c r="H82" s="330">
        <v>56796798.340000004</v>
      </c>
      <c r="I82" s="74">
        <v>104.18989999999999</v>
      </c>
      <c r="J82" s="23">
        <f t="shared" si="40"/>
        <v>1.0766800863311195E-2</v>
      </c>
      <c r="K82" s="23">
        <f>((I82-E82)/E82)</f>
        <v>1.6699321836405928E-3</v>
      </c>
      <c r="L82" s="330">
        <v>56941662.649999999</v>
      </c>
      <c r="M82" s="74">
        <v>104.3455</v>
      </c>
      <c r="N82" s="23">
        <f t="shared" si="42"/>
        <v>2.5505717616827717E-3</v>
      </c>
      <c r="O82" s="23">
        <f>((M82-I82)/I82)</f>
        <v>1.4934269060629375E-3</v>
      </c>
      <c r="P82" s="330">
        <v>57077825.68</v>
      </c>
      <c r="Q82" s="74">
        <v>104.5492</v>
      </c>
      <c r="R82" s="23">
        <f t="shared" si="44"/>
        <v>2.3912724648900148E-3</v>
      </c>
      <c r="S82" s="23">
        <f>((Q82-M82)/M82)</f>
        <v>1.9521685170898388E-3</v>
      </c>
      <c r="T82" s="330">
        <v>57152283.390000001</v>
      </c>
      <c r="U82" s="74">
        <v>104.68559999999999</v>
      </c>
      <c r="V82" s="23">
        <f t="shared" si="46"/>
        <v>1.3044945057549867E-3</v>
      </c>
      <c r="W82" s="23">
        <f>((U82-Q82)/Q82)</f>
        <v>1.3046489117085043E-3</v>
      </c>
      <c r="X82" s="330">
        <v>57315351.109999999</v>
      </c>
      <c r="Y82" s="74">
        <v>104.9109</v>
      </c>
      <c r="Z82" s="23">
        <f t="shared" si="48"/>
        <v>2.8532144356725902E-3</v>
      </c>
      <c r="AA82" s="23">
        <f>((Y82-U82)/U82)</f>
        <v>2.1521584630551315E-3</v>
      </c>
      <c r="AB82" s="330">
        <v>57549172.159999996</v>
      </c>
      <c r="AC82" s="74">
        <v>105.04559999999999</v>
      </c>
      <c r="AD82" s="23">
        <f t="shared" si="50"/>
        <v>4.0795536531085036E-3</v>
      </c>
      <c r="AE82" s="23">
        <f>((AC82-Y82)/Y82)</f>
        <v>1.2839466633113924E-3</v>
      </c>
      <c r="AF82" s="330">
        <v>57752216.039999999</v>
      </c>
      <c r="AG82" s="74">
        <v>105.1422</v>
      </c>
      <c r="AH82" s="23">
        <f t="shared" si="52"/>
        <v>3.5281807257886138E-3</v>
      </c>
      <c r="AI82" s="23">
        <f>((AG82-AC82)/AC82)</f>
        <v>9.1960063058337861E-4</v>
      </c>
      <c r="AJ82" s="24">
        <f t="shared" si="54"/>
        <v>3.6682994880123283E-3</v>
      </c>
      <c r="AK82" s="24">
        <f t="shared" si="55"/>
        <v>1.5587287019678219E-3</v>
      </c>
      <c r="AL82" s="25">
        <f t="shared" si="56"/>
        <v>2.7769598914289824E-2</v>
      </c>
      <c r="AM82" s="25">
        <f t="shared" si="57"/>
        <v>1.0825236838107957E-2</v>
      </c>
      <c r="AN82" s="26">
        <f t="shared" si="58"/>
        <v>2.9984549163715826E-3</v>
      </c>
      <c r="AO82" s="78">
        <f t="shared" si="59"/>
        <v>3.9468156942742337E-4</v>
      </c>
      <c r="AP82" s="30"/>
      <c r="AQ82" s="28"/>
      <c r="AR82" s="28"/>
      <c r="AS82" s="29"/>
      <c r="AT82" s="29"/>
    </row>
    <row r="83" spans="1:46" s="306" customFormat="1" ht="15.75" customHeight="1">
      <c r="A83" s="206" t="s">
        <v>160</v>
      </c>
      <c r="B83" s="330">
        <v>101383037450.89</v>
      </c>
      <c r="C83" s="330">
        <v>1.9807999999999999</v>
      </c>
      <c r="D83" s="330">
        <v>100780052811.61</v>
      </c>
      <c r="E83" s="330">
        <v>1.9834000000000001</v>
      </c>
      <c r="F83" s="23">
        <f t="shared" si="38"/>
        <v>-5.9475890093753101E-3</v>
      </c>
      <c r="G83" s="23">
        <f t="shared" si="39"/>
        <v>1.3126009693054108E-3</v>
      </c>
      <c r="H83" s="330">
        <v>100886259435.62</v>
      </c>
      <c r="I83" s="330">
        <v>1.9861</v>
      </c>
      <c r="J83" s="23">
        <f>((H83-D83)/D83)</f>
        <v>1.053845687187012E-3</v>
      </c>
      <c r="K83" s="23">
        <f>((I83-E83)/E83)</f>
        <v>1.3612987798729075E-3</v>
      </c>
      <c r="L83" s="330">
        <v>100984005975.89</v>
      </c>
      <c r="M83" s="330">
        <v>1.9885999999999999</v>
      </c>
      <c r="N83" s="23">
        <f>((L83-H83)/H83)</f>
        <v>9.688786244709636E-4</v>
      </c>
      <c r="O83" s="23">
        <f>((M83-I83)/I83)</f>
        <v>1.2587483006897672E-3</v>
      </c>
      <c r="P83" s="330">
        <v>101141179358.55</v>
      </c>
      <c r="Q83" s="330">
        <v>1.9916</v>
      </c>
      <c r="R83" s="23">
        <f>((P83-L83)/L83)</f>
        <v>1.5564185748140049E-3</v>
      </c>
      <c r="S83" s="23">
        <f>((Q83-M83)/M83)</f>
        <v>1.5085990143820344E-3</v>
      </c>
      <c r="T83" s="330">
        <v>101263706918.3</v>
      </c>
      <c r="U83" s="330">
        <v>1.9943</v>
      </c>
      <c r="V83" s="23">
        <f>((T83-P83)/P83)</f>
        <v>1.2114507713582648E-3</v>
      </c>
      <c r="W83" s="23">
        <f>((U83-Q83)/Q83)</f>
        <v>1.3556939144406129E-3</v>
      </c>
      <c r="X83" s="330">
        <v>101405197593.45</v>
      </c>
      <c r="Y83" s="330">
        <v>1.9974000000000001</v>
      </c>
      <c r="Z83" s="23">
        <f>((X83-T83)/T83)</f>
        <v>1.3972496114935747E-3</v>
      </c>
      <c r="AA83" s="23">
        <f>((Y83-U83)/U83)</f>
        <v>1.5544301258587489E-3</v>
      </c>
      <c r="AB83" s="330">
        <v>102523698297.03999</v>
      </c>
      <c r="AC83" s="330">
        <v>2</v>
      </c>
      <c r="AD83" s="23">
        <f>((AB83-X83)/X83)</f>
        <v>1.1030013550925154E-2</v>
      </c>
      <c r="AE83" s="23">
        <f>((AC83-Y83)/Y83)</f>
        <v>1.3016921998597855E-3</v>
      </c>
      <c r="AF83" s="330">
        <v>101582871782.85001</v>
      </c>
      <c r="AG83" s="330">
        <v>2.0026999999999999</v>
      </c>
      <c r="AH83" s="23">
        <f>((AF83-AB83)/AB83)</f>
        <v>-9.1766735868632834E-3</v>
      </c>
      <c r="AI83" s="23">
        <f>((AG83-AC83)/AC83)</f>
        <v>1.3499999999999623E-3</v>
      </c>
      <c r="AJ83" s="24">
        <f t="shared" si="54"/>
        <v>2.6169927800129777E-4</v>
      </c>
      <c r="AK83" s="24">
        <f t="shared" si="55"/>
        <v>1.3753829130511539E-3</v>
      </c>
      <c r="AL83" s="25">
        <f t="shared" si="56"/>
        <v>7.966050312959546E-3</v>
      </c>
      <c r="AM83" s="25">
        <f t="shared" si="57"/>
        <v>9.7307653524250637E-3</v>
      </c>
      <c r="AN83" s="26">
        <f t="shared" si="58"/>
        <v>5.9592681085928962E-3</v>
      </c>
      <c r="AO83" s="78">
        <f t="shared" si="59"/>
        <v>1.0282458869942229E-4</v>
      </c>
      <c r="AP83" s="30"/>
      <c r="AQ83" s="28"/>
      <c r="AR83" s="28"/>
      <c r="AS83" s="29"/>
      <c r="AT83" s="29"/>
    </row>
    <row r="84" spans="1:46" s="306" customFormat="1" ht="15.75" customHeight="1">
      <c r="A84" s="206" t="s">
        <v>49</v>
      </c>
      <c r="B84" s="330">
        <v>9875918059.3700008</v>
      </c>
      <c r="C84" s="331">
        <v>1</v>
      </c>
      <c r="D84" s="330">
        <v>9866152181.8999996</v>
      </c>
      <c r="E84" s="331">
        <v>1</v>
      </c>
      <c r="F84" s="23">
        <f t="shared" si="38"/>
        <v>-9.8885768505699821E-4</v>
      </c>
      <c r="G84" s="23">
        <f t="shared" si="39"/>
        <v>0</v>
      </c>
      <c r="H84" s="330">
        <v>9865789687.8999996</v>
      </c>
      <c r="I84" s="331">
        <v>1</v>
      </c>
      <c r="J84" s="23">
        <f>((H84-D84)/D84)</f>
        <v>-3.6741172578405511E-5</v>
      </c>
      <c r="K84" s="23">
        <f>((I84-E84)/E84)</f>
        <v>0</v>
      </c>
      <c r="L84" s="330">
        <v>9857997468.7700005</v>
      </c>
      <c r="M84" s="331">
        <v>1</v>
      </c>
      <c r="N84" s="23">
        <f>((L84-H84)/H84)</f>
        <v>-7.8982214059924766E-4</v>
      </c>
      <c r="O84" s="23">
        <f>((M84-I84)/I84)</f>
        <v>0</v>
      </c>
      <c r="P84" s="330">
        <v>9863356245.0499992</v>
      </c>
      <c r="Q84" s="331">
        <v>1</v>
      </c>
      <c r="R84" s="23">
        <f>((P84-L84)/L84)</f>
        <v>5.4359684073518062E-4</v>
      </c>
      <c r="S84" s="23">
        <f>((Q84-M84)/M84)</f>
        <v>0</v>
      </c>
      <c r="T84" s="330">
        <v>9705460621.6700001</v>
      </c>
      <c r="U84" s="331">
        <v>1</v>
      </c>
      <c r="V84" s="23">
        <f>((T84-P84)/P84)</f>
        <v>-1.6008305840036985E-2</v>
      </c>
      <c r="W84" s="23">
        <f>((U84-Q84)/Q84)</f>
        <v>0</v>
      </c>
      <c r="X84" s="330">
        <v>9688548268.0100002</v>
      </c>
      <c r="Y84" s="331">
        <v>1</v>
      </c>
      <c r="Z84" s="23">
        <f>((X84-T84)/T84)</f>
        <v>-1.7425606387231698E-3</v>
      </c>
      <c r="AA84" s="23">
        <f>((Y84-U84)/U84)</f>
        <v>0</v>
      </c>
      <c r="AB84" s="330">
        <v>9688464346.5499992</v>
      </c>
      <c r="AC84" s="331">
        <v>1</v>
      </c>
      <c r="AD84" s="23">
        <f>((AB84-X84)/X84)</f>
        <v>-8.6619230951335335E-6</v>
      </c>
      <c r="AE84" s="23">
        <f>((AC84-Y84)/Y84)</f>
        <v>0</v>
      </c>
      <c r="AF84" s="330">
        <v>9651379398.7800007</v>
      </c>
      <c r="AG84" s="331">
        <v>1</v>
      </c>
      <c r="AH84" s="23">
        <f>((AF84-AB84)/AB84)</f>
        <v>-3.8277426064125698E-3</v>
      </c>
      <c r="AI84" s="23">
        <f>((AG84-AC84)/AC84)</f>
        <v>0</v>
      </c>
      <c r="AJ84" s="24">
        <f t="shared" si="54"/>
        <v>-2.8573868957209158E-3</v>
      </c>
      <c r="AK84" s="24">
        <f t="shared" si="55"/>
        <v>0</v>
      </c>
      <c r="AL84" s="25">
        <f t="shared" si="56"/>
        <v>-2.1768646901069645E-2</v>
      </c>
      <c r="AM84" s="25">
        <f t="shared" si="57"/>
        <v>0</v>
      </c>
      <c r="AN84" s="26">
        <f t="shared" si="58"/>
        <v>5.4842018423968521E-3</v>
      </c>
      <c r="AO84" s="78">
        <f t="shared" si="59"/>
        <v>0</v>
      </c>
      <c r="AP84" s="30"/>
      <c r="AQ84" s="28"/>
      <c r="AR84" s="28"/>
      <c r="AS84" s="29"/>
      <c r="AT84" s="29"/>
    </row>
    <row r="85" spans="1:46" s="110" customFormat="1" ht="15.75" customHeight="1">
      <c r="A85" s="206" t="s">
        <v>19</v>
      </c>
      <c r="B85" s="330">
        <v>3492696859.6599998</v>
      </c>
      <c r="C85" s="331">
        <v>23.898399999999999</v>
      </c>
      <c r="D85" s="330">
        <v>3310508943.7600002</v>
      </c>
      <c r="E85" s="331">
        <v>23.9253</v>
      </c>
      <c r="F85" s="23">
        <f t="shared" si="38"/>
        <v>-5.2162533200128591E-2</v>
      </c>
      <c r="G85" s="23">
        <f t="shared" si="39"/>
        <v>1.1255983664178882E-3</v>
      </c>
      <c r="H85" s="330">
        <v>3317337901.4200001</v>
      </c>
      <c r="I85" s="331">
        <v>23.953099999999999</v>
      </c>
      <c r="J85" s="23">
        <f>((H85-D85)/D85)</f>
        <v>2.0628120255865171E-3</v>
      </c>
      <c r="K85" s="23">
        <f>((I85-E85)/E85)</f>
        <v>1.1619499024045324E-3</v>
      </c>
      <c r="L85" s="330">
        <v>3321098491.3000002</v>
      </c>
      <c r="M85" s="331">
        <v>23.9803</v>
      </c>
      <c r="N85" s="23">
        <f>((L85-H85)/H85)</f>
        <v>1.1336167709627585E-3</v>
      </c>
      <c r="O85" s="23">
        <f>((M85-I85)/I85)</f>
        <v>1.1355523919659902E-3</v>
      </c>
      <c r="P85" s="330">
        <v>3326377950.4299998</v>
      </c>
      <c r="Q85" s="331">
        <v>24.0075</v>
      </c>
      <c r="R85" s="23">
        <f>((P85-L85)/L85)</f>
        <v>1.589672556784988E-3</v>
      </c>
      <c r="S85" s="23">
        <f>((Q85-M85)/M85)</f>
        <v>1.1342643753414494E-3</v>
      </c>
      <c r="T85" s="330">
        <v>3229097686.6599998</v>
      </c>
      <c r="U85" s="331">
        <v>24.0351</v>
      </c>
      <c r="V85" s="23">
        <f>((T85-P85)/P85)</f>
        <v>-2.9245102396564585E-2</v>
      </c>
      <c r="W85" s="23">
        <f>((U85-Q85)/Q85)</f>
        <v>1.1496407372695876E-3</v>
      </c>
      <c r="X85" s="330">
        <v>2615876692.9899998</v>
      </c>
      <c r="Y85" s="331">
        <v>24.063400000000001</v>
      </c>
      <c r="Z85" s="23">
        <f>((X85-T85)/T85)</f>
        <v>-0.18990475147386512</v>
      </c>
      <c r="AA85" s="23">
        <f>((Y85-U85)/U85)</f>
        <v>1.1774446538604601E-3</v>
      </c>
      <c r="AB85" s="330">
        <v>2619514763.6799998</v>
      </c>
      <c r="AC85" s="331">
        <v>24.122399999999999</v>
      </c>
      <c r="AD85" s="23">
        <f>((AB85-X85)/X85)</f>
        <v>1.3907653597546562E-3</v>
      </c>
      <c r="AE85" s="23">
        <f>((AC85-Y85)/Y85)</f>
        <v>2.4518563461521439E-3</v>
      </c>
      <c r="AF85" s="330">
        <v>2623245741.79</v>
      </c>
      <c r="AG85" s="331">
        <v>24.156099999999999</v>
      </c>
      <c r="AH85" s="23">
        <f>((AF85-AB85)/AB85)</f>
        <v>1.4243012338509232E-3</v>
      </c>
      <c r="AI85" s="23">
        <f>((AG85-AC85)/AC85)</f>
        <v>1.3970417537226654E-3</v>
      </c>
      <c r="AJ85" s="24">
        <f t="shared" si="54"/>
        <v>-3.2963902390452313E-2</v>
      </c>
      <c r="AK85" s="24">
        <f t="shared" si="55"/>
        <v>1.3416685658918398E-3</v>
      </c>
      <c r="AL85" s="25">
        <f t="shared" si="56"/>
        <v>-0.20760046676974764</v>
      </c>
      <c r="AM85" s="25">
        <f t="shared" si="57"/>
        <v>9.6466919955026081E-3</v>
      </c>
      <c r="AN85" s="26">
        <f t="shared" si="58"/>
        <v>6.6503598003091052E-2</v>
      </c>
      <c r="AO85" s="78">
        <f t="shared" si="59"/>
        <v>4.5730777103393598E-4</v>
      </c>
      <c r="AP85" s="30"/>
      <c r="AQ85" s="28"/>
      <c r="AR85" s="28"/>
      <c r="AS85" s="29"/>
      <c r="AT85" s="29"/>
    </row>
    <row r="86" spans="1:46">
      <c r="A86" s="208" t="s">
        <v>42</v>
      </c>
      <c r="B86" s="76">
        <f>SUM(B56:B85)</f>
        <v>338781243498.64948</v>
      </c>
      <c r="C86" s="87"/>
      <c r="D86" s="76">
        <f>SUM(D56:D85)</f>
        <v>329560582532.39905</v>
      </c>
      <c r="E86" s="87"/>
      <c r="F86" s="23">
        <f>((D85-B86)/B86)</f>
        <v>-0.99022818114258082</v>
      </c>
      <c r="G86" s="23"/>
      <c r="H86" s="76">
        <f>SUM(H56:H85)</f>
        <v>325274738811.00592</v>
      </c>
      <c r="I86" s="87"/>
      <c r="J86" s="23">
        <f>((H85-D86)/D86)</f>
        <v>-0.98993405741691254</v>
      </c>
      <c r="K86" s="23"/>
      <c r="L86" s="76">
        <f>SUM(L56:L85)</f>
        <v>324645636399.64471</v>
      </c>
      <c r="M86" s="87"/>
      <c r="N86" s="23">
        <f>((L85-H86)/H86)</f>
        <v>-0.98978986654961354</v>
      </c>
      <c r="O86" s="23"/>
      <c r="P86" s="76">
        <f>SUM(P56:P85)</f>
        <v>325325671083.40485</v>
      </c>
      <c r="Q86" s="87"/>
      <c r="R86" s="23">
        <f>((P85-L86)/L86)</f>
        <v>-0.98975381900302162</v>
      </c>
      <c r="S86" s="23"/>
      <c r="T86" s="76">
        <f>SUM(T56:T85)</f>
        <v>325304566651.13672</v>
      </c>
      <c r="U86" s="87"/>
      <c r="V86" s="23">
        <f>((T85-P86)/P86)</f>
        <v>-0.99007426104461294</v>
      </c>
      <c r="W86" s="23"/>
      <c r="X86" s="76">
        <f>SUM(X56:X85)</f>
        <v>324966477016.1626</v>
      </c>
      <c r="Y86" s="87"/>
      <c r="Z86" s="23">
        <f>((X85-T86)/T86)</f>
        <v>-0.99195868438024326</v>
      </c>
      <c r="AA86" s="23"/>
      <c r="AB86" s="76">
        <f>SUM(AB56:AB85)</f>
        <v>326343931654.87665</v>
      </c>
      <c r="AC86" s="87"/>
      <c r="AD86" s="23">
        <f>((AB85-X86)/X86)</f>
        <v>-0.99193912311284427</v>
      </c>
      <c r="AE86" s="23"/>
      <c r="AF86" s="76">
        <f>SUM(AF56:AF85)</f>
        <v>326621734089.72247</v>
      </c>
      <c r="AG86" s="87"/>
      <c r="AH86" s="23">
        <f>((AF85-AB86)/AB86)</f>
        <v>-0.99196171435305203</v>
      </c>
      <c r="AI86" s="23"/>
      <c r="AJ86" s="24">
        <f t="shared" si="54"/>
        <v>-0.99070496337536029</v>
      </c>
      <c r="AK86" s="24"/>
      <c r="AL86" s="25">
        <f t="shared" si="56"/>
        <v>-8.9174755672962094E-3</v>
      </c>
      <c r="AM86" s="25"/>
      <c r="AN86" s="26">
        <f t="shared" si="58"/>
        <v>1.0444321886924489E-3</v>
      </c>
      <c r="AO86" s="78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10" customFormat="1" ht="7.5" customHeight="1">
      <c r="A87" s="208"/>
      <c r="B87" s="87"/>
      <c r="C87" s="87"/>
      <c r="D87" s="87"/>
      <c r="E87" s="87"/>
      <c r="F87" s="23"/>
      <c r="G87" s="23"/>
      <c r="H87" s="87"/>
      <c r="I87" s="87"/>
      <c r="J87" s="23"/>
      <c r="K87" s="23"/>
      <c r="L87" s="87"/>
      <c r="M87" s="87"/>
      <c r="N87" s="23"/>
      <c r="O87" s="23"/>
      <c r="P87" s="87"/>
      <c r="Q87" s="87"/>
      <c r="R87" s="23"/>
      <c r="S87" s="23"/>
      <c r="T87" s="87"/>
      <c r="U87" s="87"/>
      <c r="V87" s="23"/>
      <c r="W87" s="23"/>
      <c r="X87" s="87"/>
      <c r="Y87" s="87"/>
      <c r="Z87" s="23"/>
      <c r="AA87" s="23"/>
      <c r="AB87" s="87"/>
      <c r="AC87" s="87"/>
      <c r="AD87" s="23"/>
      <c r="AE87" s="23"/>
      <c r="AF87" s="87"/>
      <c r="AG87" s="87"/>
      <c r="AH87" s="23"/>
      <c r="AI87" s="23"/>
      <c r="AJ87" s="24"/>
      <c r="AK87" s="24"/>
      <c r="AL87" s="25"/>
      <c r="AM87" s="25"/>
      <c r="AN87" s="26"/>
      <c r="AO87" s="78"/>
      <c r="AP87" s="30"/>
      <c r="AQ87" s="40"/>
      <c r="AR87" s="13"/>
      <c r="AS87" s="29"/>
      <c r="AT87" s="29"/>
    </row>
    <row r="88" spans="1:46" s="110" customFormat="1">
      <c r="A88" s="205" t="s">
        <v>199</v>
      </c>
      <c r="B88" s="87"/>
      <c r="C88" s="87"/>
      <c r="D88" s="87"/>
      <c r="E88" s="87"/>
      <c r="F88" s="23"/>
      <c r="G88" s="23"/>
      <c r="H88" s="87"/>
      <c r="I88" s="87"/>
      <c r="J88" s="23"/>
      <c r="K88" s="23"/>
      <c r="L88" s="87"/>
      <c r="M88" s="87"/>
      <c r="N88" s="23"/>
      <c r="O88" s="23"/>
      <c r="P88" s="87"/>
      <c r="Q88" s="87"/>
      <c r="R88" s="23"/>
      <c r="S88" s="23"/>
      <c r="T88" s="87"/>
      <c r="U88" s="87"/>
      <c r="V88" s="23"/>
      <c r="W88" s="23"/>
      <c r="X88" s="87"/>
      <c r="Y88" s="87"/>
      <c r="Z88" s="23"/>
      <c r="AA88" s="23"/>
      <c r="AB88" s="87"/>
      <c r="AC88" s="87"/>
      <c r="AD88" s="23"/>
      <c r="AE88" s="23"/>
      <c r="AF88" s="87"/>
      <c r="AG88" s="87"/>
      <c r="AH88" s="23"/>
      <c r="AI88" s="23"/>
      <c r="AJ88" s="24"/>
      <c r="AK88" s="24"/>
      <c r="AL88" s="25"/>
      <c r="AM88" s="25"/>
      <c r="AN88" s="26"/>
      <c r="AO88" s="78"/>
      <c r="AP88" s="30"/>
      <c r="AQ88" s="40"/>
      <c r="AR88" s="13"/>
      <c r="AS88" s="29"/>
      <c r="AT88" s="29"/>
    </row>
    <row r="89" spans="1:46" s="110" customFormat="1">
      <c r="A89" s="204" t="s">
        <v>200</v>
      </c>
      <c r="B89" s="87"/>
      <c r="C89" s="87"/>
      <c r="D89" s="87"/>
      <c r="E89" s="87"/>
      <c r="F89" s="23"/>
      <c r="G89" s="23"/>
      <c r="H89" s="87"/>
      <c r="I89" s="87"/>
      <c r="J89" s="23"/>
      <c r="K89" s="23"/>
      <c r="L89" s="87"/>
      <c r="M89" s="87"/>
      <c r="N89" s="23"/>
      <c r="O89" s="23"/>
      <c r="P89" s="87"/>
      <c r="Q89" s="87"/>
      <c r="R89" s="23"/>
      <c r="S89" s="23"/>
      <c r="T89" s="87"/>
      <c r="U89" s="87"/>
      <c r="V89" s="23"/>
      <c r="W89" s="23"/>
      <c r="X89" s="87"/>
      <c r="Y89" s="87"/>
      <c r="Z89" s="23"/>
      <c r="AA89" s="23"/>
      <c r="AB89" s="87"/>
      <c r="AC89" s="87"/>
      <c r="AD89" s="23"/>
      <c r="AE89" s="23"/>
      <c r="AF89" s="87"/>
      <c r="AG89" s="87"/>
      <c r="AH89" s="23"/>
      <c r="AI89" s="23"/>
      <c r="AJ89" s="24"/>
      <c r="AK89" s="24"/>
      <c r="AL89" s="25"/>
      <c r="AM89" s="25"/>
      <c r="AN89" s="26"/>
      <c r="AO89" s="78"/>
      <c r="AP89" s="30"/>
      <c r="AQ89" s="40"/>
      <c r="AR89" s="13"/>
      <c r="AS89" s="29"/>
      <c r="AT89" s="29"/>
    </row>
    <row r="90" spans="1:46">
      <c r="A90" s="206" t="s">
        <v>148</v>
      </c>
      <c r="B90" s="330">
        <v>791994864.57000005</v>
      </c>
      <c r="C90" s="330">
        <f>107.0848*460.44</f>
        <v>49306.125312000004</v>
      </c>
      <c r="D90" s="330">
        <v>792837584.21000004</v>
      </c>
      <c r="E90" s="330">
        <f>107.208*460.4</f>
        <v>49358.563199999997</v>
      </c>
      <c r="F90" s="23">
        <f>((D103-B90)/B90)</f>
        <v>2.8038006949169225</v>
      </c>
      <c r="G90" s="23">
        <f t="shared" ref="G90:G99" si="60">((E90-C90)/C90)</f>
        <v>1.06351670645738E-3</v>
      </c>
      <c r="H90" s="330">
        <v>795871730.70000005</v>
      </c>
      <c r="I90" s="330">
        <f>107.307*460.85</f>
        <v>49452.430950000002</v>
      </c>
      <c r="J90" s="23">
        <f>((H103-D90)/D90)</f>
        <v>2.7279106297313711</v>
      </c>
      <c r="K90" s="23">
        <f t="shared" ref="K90:K99" si="61">((I90-E90)/E90)</f>
        <v>1.9017520753117241E-3</v>
      </c>
      <c r="L90" s="330">
        <v>796712638.04999995</v>
      </c>
      <c r="M90" s="330">
        <f>107.4297*460.36</f>
        <v>49456.336691999997</v>
      </c>
      <c r="N90" s="23">
        <f>((L103-H90)/H90)</f>
        <v>2.7392571224590681</v>
      </c>
      <c r="O90" s="23">
        <f t="shared" ref="O90:O99" si="62">((M90-I90)/I90)</f>
        <v>7.8979777636095576E-5</v>
      </c>
      <c r="P90" s="330">
        <v>793224099.02999997</v>
      </c>
      <c r="Q90" s="330">
        <f>107.551*460.36</f>
        <v>49512.178360000005</v>
      </c>
      <c r="R90" s="23">
        <f>((P103-L90)/L90)</f>
        <v>2.7358777998575019</v>
      </c>
      <c r="S90" s="23">
        <f t="shared" ref="S90:S99" si="63">((Q90-M90)/M90)</f>
        <v>1.1291104787597643E-3</v>
      </c>
      <c r="T90" s="330">
        <v>794416847.38999999</v>
      </c>
      <c r="U90" s="330">
        <f>107.6729*460.53</f>
        <v>49586.600636999996</v>
      </c>
      <c r="V90" s="23">
        <f>((T103-P90)/P90)</f>
        <v>2.7466024843245491</v>
      </c>
      <c r="W90" s="23">
        <f t="shared" ref="W90:W99" si="64">((U90-Q90)/Q90)</f>
        <v>1.5031105369444821E-3</v>
      </c>
      <c r="X90" s="330">
        <v>795930564.35000002</v>
      </c>
      <c r="Y90" s="330">
        <f>107.5721*460.31</f>
        <v>49516.513351000001</v>
      </c>
      <c r="Z90" s="23">
        <f>((X103-T90)/T90)</f>
        <v>2.6972363794763257</v>
      </c>
      <c r="AA90" s="23">
        <f t="shared" ref="AA90:AA99" si="65">((Y90-U90)/U90)</f>
        <v>-1.413431957416688E-3</v>
      </c>
      <c r="AB90" s="330">
        <v>795010939.25999999</v>
      </c>
      <c r="AC90" s="330">
        <f>108.026*460.5</f>
        <v>49745.972999999998</v>
      </c>
      <c r="AD90" s="23">
        <f>((AB103-X90)/X90)</f>
        <v>2.6917264358601711</v>
      </c>
      <c r="AE90" s="23">
        <f t="shared" ref="AE90:AE99" si="66">((AC90-Y90)/Y90)</f>
        <v>4.634002547260584E-3</v>
      </c>
      <c r="AF90" s="330">
        <v>792032015.80999994</v>
      </c>
      <c r="AG90" s="330">
        <f>108.1469*461.03</f>
        <v>49858.965306999999</v>
      </c>
      <c r="AH90" s="23">
        <f>((AF103-AB90)/AB90)</f>
        <v>2.7341729791113165</v>
      </c>
      <c r="AI90" s="23">
        <f t="shared" ref="AI90:AI99" si="67">((AG90-AC90)/AC90)</f>
        <v>2.2713860074663819E-3</v>
      </c>
      <c r="AJ90" s="24">
        <f t="shared" si="54"/>
        <v>2.7345730657171532</v>
      </c>
      <c r="AK90" s="24">
        <f t="shared" si="55"/>
        <v>1.3960532715524654E-3</v>
      </c>
      <c r="AL90" s="25">
        <f t="shared" si="56"/>
        <v>-1.0160572808903612E-3</v>
      </c>
      <c r="AM90" s="25">
        <f t="shared" si="57"/>
        <v>1.0138101163366152E-2</v>
      </c>
      <c r="AN90" s="26">
        <f t="shared" si="58"/>
        <v>3.4299571483152526E-2</v>
      </c>
      <c r="AO90" s="78">
        <f t="shared" si="59"/>
        <v>1.7455021508658095E-3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6" t="s">
        <v>149</v>
      </c>
      <c r="B91" s="330">
        <f>11301314.56*460.36</f>
        <v>5202673170.8416004</v>
      </c>
      <c r="C91" s="330">
        <f>1.1372*460.36</f>
        <v>523.52139199999999</v>
      </c>
      <c r="D91" s="330">
        <f>11301341.53*460.4</f>
        <v>5203137640.4119997</v>
      </c>
      <c r="E91" s="330">
        <f>1.1386*460.4</f>
        <v>524.21144000000004</v>
      </c>
      <c r="F91" s="23">
        <f>((D104-B91)/B91)</f>
        <v>0.16202376391289647</v>
      </c>
      <c r="G91" s="23">
        <f t="shared" si="60"/>
        <v>1.3180894048357189E-3</v>
      </c>
      <c r="H91" s="330">
        <f>11634515.93*460.35</f>
        <v>5355949408.3754997</v>
      </c>
      <c r="I91" s="330">
        <f>1.1401*460.35</f>
        <v>524.84503499999994</v>
      </c>
      <c r="J91" s="23">
        <f>((H104-D91)/D91)</f>
        <v>0.17906881957368789</v>
      </c>
      <c r="K91" s="23">
        <f t="shared" si="61"/>
        <v>1.2086630539766552E-3</v>
      </c>
      <c r="L91" s="330">
        <f>11646169.51*460.36</f>
        <v>5361430595.6236</v>
      </c>
      <c r="M91" s="330">
        <f>1.1412*460.36</f>
        <v>525.36283200000003</v>
      </c>
      <c r="N91" s="23">
        <f>((L104-H91)/H91)</f>
        <v>0.13773274964862803</v>
      </c>
      <c r="O91" s="23">
        <f t="shared" si="62"/>
        <v>9.865712076329101E-4</v>
      </c>
      <c r="P91" s="330">
        <f>11671298.13*460.43</f>
        <v>5373815797.9959002</v>
      </c>
      <c r="Q91" s="330">
        <f>1.1424*460.43</f>
        <v>525.9952320000001</v>
      </c>
      <c r="R91" s="23">
        <f>((P104-L91)/L91)</f>
        <v>6.5222639523085491E-2</v>
      </c>
      <c r="S91" s="23">
        <f t="shared" si="63"/>
        <v>1.2037395138757648E-3</v>
      </c>
      <c r="T91" s="330">
        <f>11777992.92*460.47</f>
        <v>5423412399.8724003</v>
      </c>
      <c r="U91" s="330">
        <f>1.1436*460.47</f>
        <v>526.59349199999997</v>
      </c>
      <c r="V91" s="23">
        <f>((T104-P91)/P91)</f>
        <v>6.7237440255925818E-2</v>
      </c>
      <c r="W91" s="23">
        <f t="shared" si="64"/>
        <v>1.1373867358551802E-3</v>
      </c>
      <c r="X91" s="330">
        <f>11798899.38*460.31</f>
        <v>5431151373.6078005</v>
      </c>
      <c r="Y91" s="330">
        <f>1.1446*460.31</f>
        <v>526.87082600000008</v>
      </c>
      <c r="Z91" s="23">
        <f>((X104-T91)/T91)</f>
        <v>4.8607993182263255E-2</v>
      </c>
      <c r="AA91" s="23">
        <f t="shared" si="65"/>
        <v>5.266567175883554E-4</v>
      </c>
      <c r="AB91" s="330">
        <f>11799004.44*461</f>
        <v>5439341046.8400002</v>
      </c>
      <c r="AC91" s="330">
        <f>1.146*461</f>
        <v>528.30599999999993</v>
      </c>
      <c r="AD91" s="23">
        <f>((AB104-X91)/X91)</f>
        <v>5.2084533164887419E-2</v>
      </c>
      <c r="AE91" s="23">
        <f t="shared" si="66"/>
        <v>2.7239579972489253E-3</v>
      </c>
      <c r="AF91" s="330">
        <f>11820551.48*460.57</f>
        <v>5444191395.1436005</v>
      </c>
      <c r="AG91" s="330">
        <f>1.1471*460.57</f>
        <v>528.31984699999998</v>
      </c>
      <c r="AH91" s="23">
        <f>((AF104-AB91)/AB91)</f>
        <v>4.5381615249774659E-2</v>
      </c>
      <c r="AI91" s="23">
        <f t="shared" si="67"/>
        <v>2.6210188792206096E-5</v>
      </c>
      <c r="AJ91" s="24">
        <f t="shared" si="54"/>
        <v>9.4669944313893625E-2</v>
      </c>
      <c r="AK91" s="24">
        <f t="shared" si="55"/>
        <v>1.1414093524757145E-3</v>
      </c>
      <c r="AL91" s="25">
        <f t="shared" si="56"/>
        <v>4.6328537008010692E-2</v>
      </c>
      <c r="AM91" s="25">
        <f t="shared" si="57"/>
        <v>7.8373089301521977E-3</v>
      </c>
      <c r="AN91" s="26">
        <f t="shared" si="58"/>
        <v>5.5418354834630673E-2</v>
      </c>
      <c r="AO91" s="78">
        <f t="shared" si="59"/>
        <v>7.7364306763384836E-4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6" t="s">
        <v>175</v>
      </c>
      <c r="B92" s="330">
        <v>1007635437.2375998</v>
      </c>
      <c r="C92" s="330">
        <v>48851.113769999996</v>
      </c>
      <c r="D92" s="330">
        <v>1010765628.0919999</v>
      </c>
      <c r="E92" s="330">
        <v>48893.839059999998</v>
      </c>
      <c r="F92" s="23">
        <f t="shared" ref="F92:F97" si="68">((D92-B92)/B92)</f>
        <v>3.1064715855779706E-3</v>
      </c>
      <c r="G92" s="23">
        <f t="shared" si="60"/>
        <v>8.746021677450515E-4</v>
      </c>
      <c r="H92" s="330">
        <v>1007932957.0115</v>
      </c>
      <c r="I92" s="330">
        <v>48927.753225</v>
      </c>
      <c r="J92" s="23">
        <f>((H92-D92)/D92)</f>
        <v>-2.8025004034288922E-3</v>
      </c>
      <c r="K92" s="23">
        <f t="shared" si="61"/>
        <v>6.936285972223258E-4</v>
      </c>
      <c r="L92" s="330">
        <v>1008850362.1182001</v>
      </c>
      <c r="M92" s="330">
        <v>48972.274008</v>
      </c>
      <c r="N92" s="23">
        <f>((L92-H92)/H92)</f>
        <v>9.1018465099122227E-4</v>
      </c>
      <c r="O92" s="23">
        <f t="shared" si="62"/>
        <v>9.0992902934385533E-4</v>
      </c>
      <c r="P92" s="330">
        <v>1017893723.7982001</v>
      </c>
      <c r="Q92" s="330">
        <v>49037.328653999997</v>
      </c>
      <c r="R92" s="23">
        <f>((P92-L92)/L92)</f>
        <v>8.9640267968110407E-3</v>
      </c>
      <c r="S92" s="23">
        <f t="shared" si="63"/>
        <v>1.3283974926173467E-3</v>
      </c>
      <c r="T92" s="330">
        <v>1018874693.8449</v>
      </c>
      <c r="U92" s="330">
        <v>49084.592667000004</v>
      </c>
      <c r="V92" s="23">
        <f>((T92-P92)/P92)</f>
        <v>9.6372541038907246E-4</v>
      </c>
      <c r="W92" s="23">
        <f t="shared" si="64"/>
        <v>9.6383743359054091E-4</v>
      </c>
      <c r="X92" s="330">
        <v>1011302796.119</v>
      </c>
      <c r="Y92" s="330">
        <v>49122.345999999998</v>
      </c>
      <c r="Z92" s="23">
        <f>((X92-T92)/T92)</f>
        <v>-7.4316280222116293E-3</v>
      </c>
      <c r="AA92" s="23">
        <f t="shared" si="65"/>
        <v>7.6914834062329258E-4</v>
      </c>
      <c r="AB92" s="330">
        <v>1013070328.72</v>
      </c>
      <c r="AC92" s="330">
        <v>49193.263900000005</v>
      </c>
      <c r="AD92" s="23">
        <f>((AB92-X92)/X92)</f>
        <v>1.7477778245874494E-3</v>
      </c>
      <c r="AE92" s="23">
        <f t="shared" si="66"/>
        <v>1.4436993705473197E-3</v>
      </c>
      <c r="AF92" s="330">
        <v>1112084505.4552</v>
      </c>
      <c r="AG92" s="330">
        <v>47605.035739999992</v>
      </c>
      <c r="AH92" s="23">
        <f>((AF92-AB92)/AB92)</f>
        <v>9.7736725603545155E-2</v>
      </c>
      <c r="AI92" s="23">
        <f t="shared" si="67"/>
        <v>-3.2285480451725287E-2</v>
      </c>
      <c r="AJ92" s="24">
        <f t="shared" si="54"/>
        <v>1.2899347930782673E-2</v>
      </c>
      <c r="AK92" s="24">
        <f t="shared" si="55"/>
        <v>-3.1627797525044443E-3</v>
      </c>
      <c r="AL92" s="25">
        <f t="shared" si="56"/>
        <v>0.10023973367046275</v>
      </c>
      <c r="AM92" s="25">
        <f t="shared" si="57"/>
        <v>-2.635921712791776E-2</v>
      </c>
      <c r="AN92" s="26">
        <f t="shared" si="58"/>
        <v>3.4598144234244128E-2</v>
      </c>
      <c r="AO92" s="78">
        <f t="shared" si="59"/>
        <v>1.1770242999410818E-2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6" t="s">
        <v>244</v>
      </c>
      <c r="B93" s="330">
        <v>13173067820.83</v>
      </c>
      <c r="C93" s="330">
        <v>56338.64</v>
      </c>
      <c r="D93" s="330">
        <v>13158806006.07</v>
      </c>
      <c r="E93" s="330">
        <v>56356.07</v>
      </c>
      <c r="F93" s="23">
        <f t="shared" si="68"/>
        <v>-1.0826494597901213E-3</v>
      </c>
      <c r="G93" s="23">
        <f t="shared" si="60"/>
        <v>3.0937914014254322E-4</v>
      </c>
      <c r="H93" s="330">
        <v>13160232187.540001</v>
      </c>
      <c r="I93" s="330">
        <v>56436</v>
      </c>
      <c r="J93" s="23">
        <f>((H93-D93)/D93)</f>
        <v>1.0838228554652605E-4</v>
      </c>
      <c r="K93" s="23">
        <f t="shared" si="61"/>
        <v>1.4183032990057734E-3</v>
      </c>
      <c r="L93" s="330">
        <v>13421788517.82</v>
      </c>
      <c r="M93" s="330">
        <v>56715.7</v>
      </c>
      <c r="N93" s="23">
        <f>((L93-H93)/H93)</f>
        <v>1.9874750426336563E-2</v>
      </c>
      <c r="O93" s="23">
        <f t="shared" si="62"/>
        <v>4.9560564178892392E-3</v>
      </c>
      <c r="P93" s="330">
        <v>13234964096.879999</v>
      </c>
      <c r="Q93" s="330">
        <v>56895.68</v>
      </c>
      <c r="R93" s="23">
        <f>((P93-L93)/L93)</f>
        <v>-1.3919487756192497E-2</v>
      </c>
      <c r="S93" s="23">
        <f t="shared" si="63"/>
        <v>3.1733717471529614E-3</v>
      </c>
      <c r="T93" s="330">
        <v>13225551299.139999</v>
      </c>
      <c r="U93" s="330">
        <v>56924.77</v>
      </c>
      <c r="V93" s="23">
        <f>((T93-P93)/P93)</f>
        <v>-7.1120689645230977E-4</v>
      </c>
      <c r="W93" s="23">
        <f t="shared" si="64"/>
        <v>5.1128662140950785E-4</v>
      </c>
      <c r="X93" s="330">
        <v>13206440467.370001</v>
      </c>
      <c r="Y93" s="330">
        <v>56935.11</v>
      </c>
      <c r="Z93" s="23">
        <f>((X93-T93)/T93)</f>
        <v>-1.4449932057835082E-3</v>
      </c>
      <c r="AA93" s="23">
        <f t="shared" si="65"/>
        <v>1.8164324598946618E-4</v>
      </c>
      <c r="AB93" s="330">
        <v>13184477272.639999</v>
      </c>
      <c r="AC93" s="330">
        <v>56919</v>
      </c>
      <c r="AD93" s="23">
        <f>((AB93-X93)/X93)</f>
        <v>-1.663066954662562E-3</v>
      </c>
      <c r="AE93" s="23">
        <f t="shared" si="66"/>
        <v>-2.8295369939569068E-4</v>
      </c>
      <c r="AF93" s="330">
        <v>13187329635.59</v>
      </c>
      <c r="AG93" s="330">
        <v>57009.91</v>
      </c>
      <c r="AH93" s="23">
        <f>((AF93-AB93)/AB93)</f>
        <v>2.163425133220787E-4</v>
      </c>
      <c r="AI93" s="23">
        <f t="shared" si="67"/>
        <v>1.5971819603296526E-3</v>
      </c>
      <c r="AJ93" s="24">
        <f t="shared" si="54"/>
        <v>1.7225886904052111E-4</v>
      </c>
      <c r="AK93" s="24">
        <f t="shared" si="55"/>
        <v>1.4830335915654313E-3</v>
      </c>
      <c r="AL93" s="25">
        <f t="shared" si="56"/>
        <v>2.1676457200480691E-3</v>
      </c>
      <c r="AM93" s="25">
        <f t="shared" si="57"/>
        <v>1.1601944564267944E-2</v>
      </c>
      <c r="AN93" s="26">
        <f t="shared" si="58"/>
        <v>9.2204024697247235E-3</v>
      </c>
      <c r="AO93" s="78">
        <f t="shared" si="59"/>
        <v>1.7756461754211451E-3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75" customFormat="1">
      <c r="A94" s="206" t="s">
        <v>277</v>
      </c>
      <c r="B94" s="330">
        <v>0</v>
      </c>
      <c r="C94" s="330">
        <v>0</v>
      </c>
      <c r="D94" s="330">
        <v>0</v>
      </c>
      <c r="E94" s="330">
        <v>0</v>
      </c>
      <c r="F94" s="23" t="e">
        <f t="shared" si="68"/>
        <v>#DIV/0!</v>
      </c>
      <c r="G94" s="23" t="e">
        <f t="shared" si="60"/>
        <v>#DIV/0!</v>
      </c>
      <c r="H94" s="330">
        <v>0</v>
      </c>
      <c r="I94" s="330">
        <v>0</v>
      </c>
      <c r="J94" s="23" t="e">
        <f>((H94-D94)/D94)</f>
        <v>#DIV/0!</v>
      </c>
      <c r="K94" s="23" t="e">
        <f t="shared" ref="K94" si="69">((I94-E94)/E94)</f>
        <v>#DIV/0!</v>
      </c>
      <c r="L94" s="330">
        <v>0</v>
      </c>
      <c r="M94" s="330">
        <v>0</v>
      </c>
      <c r="N94" s="23" t="e">
        <f>((L94-H94)/H94)</f>
        <v>#DIV/0!</v>
      </c>
      <c r="O94" s="23" t="e">
        <f t="shared" ref="O94" si="70">((M94-I94)/I94)</f>
        <v>#DIV/0!</v>
      </c>
      <c r="P94" s="330">
        <v>0</v>
      </c>
      <c r="Q94" s="330">
        <v>0</v>
      </c>
      <c r="R94" s="23" t="e">
        <f>((P94-L94)/L94)</f>
        <v>#DIV/0!</v>
      </c>
      <c r="S94" s="23" t="e">
        <f t="shared" ref="S94" si="71">((Q94-M94)/M94)</f>
        <v>#DIV/0!</v>
      </c>
      <c r="T94" s="330">
        <v>7153819328.8199997</v>
      </c>
      <c r="U94" s="330">
        <v>49686.879999999997</v>
      </c>
      <c r="V94" s="23" t="e">
        <f>((T94-P94)/P94)</f>
        <v>#DIV/0!</v>
      </c>
      <c r="W94" s="23" t="e">
        <f t="shared" ref="W94" si="72">((U94-Q94)/Q94)</f>
        <v>#DIV/0!</v>
      </c>
      <c r="X94" s="330">
        <v>7182895927.8599997</v>
      </c>
      <c r="Y94" s="330">
        <v>49730.83</v>
      </c>
      <c r="Z94" s="23">
        <f>((X94-T94)/T94)</f>
        <v>4.064486074293416E-3</v>
      </c>
      <c r="AA94" s="23">
        <f t="shared" si="65"/>
        <v>8.8453933915762814E-4</v>
      </c>
      <c r="AB94" s="330">
        <v>7470822431.4300003</v>
      </c>
      <c r="AC94" s="330">
        <v>49740.57</v>
      </c>
      <c r="AD94" s="23">
        <f>((AB94-X94)/X94)</f>
        <v>4.0085016748360798E-2</v>
      </c>
      <c r="AE94" s="23">
        <f t="shared" si="66"/>
        <v>1.958543623743654E-4</v>
      </c>
      <c r="AF94" s="330">
        <v>7636845106.1330996</v>
      </c>
      <c r="AG94" s="330">
        <v>49848.42</v>
      </c>
      <c r="AH94" s="23">
        <f>((AF94-AB94)/AB94)</f>
        <v>2.22228109725425E-2</v>
      </c>
      <c r="AI94" s="23">
        <f t="shared" si="67"/>
        <v>2.1682501828989603E-3</v>
      </c>
      <c r="AJ94" s="24" t="e">
        <f t="shared" si="54"/>
        <v>#DIV/0!</v>
      </c>
      <c r="AK94" s="24" t="e">
        <f t="shared" si="55"/>
        <v>#DIV/0!</v>
      </c>
      <c r="AL94" s="25" t="e">
        <f t="shared" si="56"/>
        <v>#DIV/0!</v>
      </c>
      <c r="AM94" s="25" t="e">
        <f t="shared" si="57"/>
        <v>#DIV/0!</v>
      </c>
      <c r="AN94" s="26" t="e">
        <f t="shared" si="58"/>
        <v>#DIV/0!</v>
      </c>
      <c r="AO94" s="78" t="e">
        <f t="shared" si="59"/>
        <v>#DIV/0!</v>
      </c>
      <c r="AP94" s="30"/>
      <c r="AQ94" s="28"/>
      <c r="AR94" s="28"/>
      <c r="AS94" s="29"/>
      <c r="AT94" s="29"/>
    </row>
    <row r="95" spans="1:46">
      <c r="A95" s="206" t="s">
        <v>241</v>
      </c>
      <c r="B95" s="330">
        <f>80017.47*460.94</f>
        <v>36883252.621799998</v>
      </c>
      <c r="C95" s="330">
        <f>101.26*460.94</f>
        <v>46674.784400000004</v>
      </c>
      <c r="D95" s="330">
        <f>80070.43*460.9</f>
        <v>36904461.186999992</v>
      </c>
      <c r="E95" s="330">
        <f>101.32*460.9</f>
        <v>46698.387999999992</v>
      </c>
      <c r="F95" s="23">
        <f t="shared" si="68"/>
        <v>5.7501884168041466E-4</v>
      </c>
      <c r="G95" s="23">
        <f t="shared" si="60"/>
        <v>5.0570346073173578E-4</v>
      </c>
      <c r="H95" s="330">
        <f>80123.38*460.85</f>
        <v>36924859.673</v>
      </c>
      <c r="I95" s="330">
        <f>101.39*460.85</f>
        <v>46725.5815</v>
      </c>
      <c r="J95" s="23">
        <f>((H95-D95)/D95)</f>
        <v>5.5273767300508577E-4</v>
      </c>
      <c r="K95" s="23">
        <f t="shared" si="61"/>
        <v>5.8232202790401463E-4</v>
      </c>
      <c r="L95" s="330">
        <f>80176.31*460.86</f>
        <v>36950054.226599999</v>
      </c>
      <c r="M95" s="330">
        <f>101.46*460.86</f>
        <v>46758.855599999995</v>
      </c>
      <c r="N95" s="23">
        <f>((L95-H95)/H95)</f>
        <v>6.8231954902785944E-4</v>
      </c>
      <c r="O95" s="23">
        <f t="shared" si="62"/>
        <v>7.1211740831936114E-4</v>
      </c>
      <c r="P95" s="330">
        <f>80229.23*460.93</f>
        <v>36980058.983899996</v>
      </c>
      <c r="Q95" s="330">
        <f>101.52*460.93</f>
        <v>46793.613599999997</v>
      </c>
      <c r="R95" s="23">
        <f>((P95-L95)/L95)</f>
        <v>8.120355417069122E-4</v>
      </c>
      <c r="S95" s="23">
        <f t="shared" si="63"/>
        <v>7.4334582303168324E-4</v>
      </c>
      <c r="T95" s="330">
        <f>80282.13*460.97</f>
        <v>37007653.466100007</v>
      </c>
      <c r="U95" s="330">
        <f>101.59*460.97</f>
        <v>46829.942300000002</v>
      </c>
      <c r="V95" s="23">
        <f>((T95-P95)/P95)</f>
        <v>7.4619897745499585E-4</v>
      </c>
      <c r="W95" s="23">
        <f t="shared" si="64"/>
        <v>7.763602168139775E-4</v>
      </c>
      <c r="X95" s="330">
        <f>84323.95*460.81</f>
        <v>38857319.399499997</v>
      </c>
      <c r="Y95" s="330">
        <f>101.88*460.81</f>
        <v>46947.322800000002</v>
      </c>
      <c r="Z95" s="23">
        <f>((X95-T95)/T95)</f>
        <v>4.9980632657359192E-2</v>
      </c>
      <c r="AA95" s="23">
        <f t="shared" si="65"/>
        <v>2.5065266843175096E-3</v>
      </c>
      <c r="AB95" s="330">
        <f>84375.74*461</f>
        <v>38897216.140000001</v>
      </c>
      <c r="AC95" s="330">
        <f>101.72*461</f>
        <v>46892.92</v>
      </c>
      <c r="AD95" s="23">
        <f>((AB95-X95)/X95)</f>
        <v>1.0267496861998276E-3</v>
      </c>
      <c r="AE95" s="23">
        <f t="shared" si="66"/>
        <v>-1.1588051619421307E-3</v>
      </c>
      <c r="AF95" s="330">
        <f>84427.53*461.03</f>
        <v>38923624.155899994</v>
      </c>
      <c r="AG95" s="330">
        <f>101.78*461.03</f>
        <v>46923.633399999999</v>
      </c>
      <c r="AH95" s="23">
        <f>((AF95-AB95)/AB95)</f>
        <v>6.7891788977763787E-4</v>
      </c>
      <c r="AI95" s="23">
        <f t="shared" si="67"/>
        <v>6.5496880979048751E-4</v>
      </c>
      <c r="AJ95" s="24">
        <f t="shared" si="54"/>
        <v>6.8818263520264902E-3</v>
      </c>
      <c r="AK95" s="24">
        <f t="shared" si="55"/>
        <v>6.6531740862082989E-4</v>
      </c>
      <c r="AL95" s="25">
        <f t="shared" si="56"/>
        <v>5.4713248858142799E-2</v>
      </c>
      <c r="AM95" s="25">
        <f t="shared" si="57"/>
        <v>4.8234084654058531E-3</v>
      </c>
      <c r="AN95" s="26">
        <f t="shared" si="58"/>
        <v>1.7415184072440366E-2</v>
      </c>
      <c r="AO95" s="78">
        <f t="shared" si="59"/>
        <v>9.834745887563434E-4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6" t="s">
        <v>122</v>
      </c>
      <c r="B96" s="330">
        <v>5983470761.6700001</v>
      </c>
      <c r="C96" s="330">
        <v>460.39</v>
      </c>
      <c r="D96" s="330">
        <v>5813282404.3199997</v>
      </c>
      <c r="E96" s="330">
        <v>460.4</v>
      </c>
      <c r="F96" s="23">
        <f t="shared" si="68"/>
        <v>-2.8443083308808622E-2</v>
      </c>
      <c r="G96" s="23">
        <f t="shared" si="60"/>
        <v>2.1720715045919558E-5</v>
      </c>
      <c r="H96" s="330">
        <v>5822418592.3299999</v>
      </c>
      <c r="I96" s="330">
        <v>460.35</v>
      </c>
      <c r="J96" s="23">
        <f t="shared" ref="J96" si="73">((H96-D96)/D96)</f>
        <v>1.571605742602646E-3</v>
      </c>
      <c r="K96" s="23">
        <f t="shared" si="61"/>
        <v>-1.0860121633352417E-4</v>
      </c>
      <c r="L96" s="330">
        <v>5830206478.21</v>
      </c>
      <c r="M96" s="330">
        <v>460.36</v>
      </c>
      <c r="N96" s="23">
        <f t="shared" ref="N96" si="74">((L96-H96)/H96)</f>
        <v>1.33756887391423E-3</v>
      </c>
      <c r="O96" s="23">
        <f t="shared" si="62"/>
        <v>2.1722602367743901E-5</v>
      </c>
      <c r="P96" s="330">
        <v>5829468228.9700003</v>
      </c>
      <c r="Q96" s="330">
        <v>460.43</v>
      </c>
      <c r="R96" s="23">
        <f t="shared" ref="R96" si="75">((P96-L96)/L96)</f>
        <v>-1.2662488760199615E-4</v>
      </c>
      <c r="S96" s="23">
        <f t="shared" si="63"/>
        <v>1.5205491354590577E-4</v>
      </c>
      <c r="T96" s="330">
        <v>5830614986.2200003</v>
      </c>
      <c r="U96" s="330">
        <v>460.47</v>
      </c>
      <c r="V96" s="23">
        <f t="shared" ref="V96" si="76">((T96-P96)/P96)</f>
        <v>1.9671729992473409E-4</v>
      </c>
      <c r="W96" s="23">
        <f t="shared" si="64"/>
        <v>8.6875312208197687E-5</v>
      </c>
      <c r="X96" s="330">
        <v>5839257050.3199997</v>
      </c>
      <c r="Y96" s="330">
        <v>460.31</v>
      </c>
      <c r="Z96" s="23">
        <f t="shared" ref="Z96" si="77">((X96-T96)/T96)</f>
        <v>1.4821874056894461E-3</v>
      </c>
      <c r="AA96" s="23">
        <f t="shared" si="65"/>
        <v>-3.4747106217565749E-4</v>
      </c>
      <c r="AB96" s="330">
        <v>5848133666.3100004</v>
      </c>
      <c r="AC96" s="330">
        <v>460.5</v>
      </c>
      <c r="AD96" s="23">
        <f t="shared" ref="AD96" si="78">((AB96-X96)/X96)</f>
        <v>1.5201618824974101E-3</v>
      </c>
      <c r="AE96" s="23">
        <f t="shared" si="66"/>
        <v>4.1276531033433494E-4</v>
      </c>
      <c r="AF96" s="330">
        <v>5891862899.6499996</v>
      </c>
      <c r="AG96" s="330">
        <v>460.53</v>
      </c>
      <c r="AH96" s="23">
        <f t="shared" ref="AH96" si="79">((AF96-AB96)/AB96)</f>
        <v>7.4774681693606116E-3</v>
      </c>
      <c r="AI96" s="23">
        <f t="shared" si="67"/>
        <v>6.5146579804501004E-5</v>
      </c>
      <c r="AJ96" s="24">
        <f t="shared" si="54"/>
        <v>-1.8729998528026926E-3</v>
      </c>
      <c r="AK96" s="24">
        <f t="shared" si="55"/>
        <v>3.802664434967765E-5</v>
      </c>
      <c r="AL96" s="25">
        <f t="shared" si="56"/>
        <v>1.3517405462979871E-2</v>
      </c>
      <c r="AM96" s="25">
        <f t="shared" si="57"/>
        <v>2.823631624674098E-4</v>
      </c>
      <c r="AN96" s="26">
        <f t="shared" si="58"/>
        <v>1.0991412421017702E-2</v>
      </c>
      <c r="AO96" s="78">
        <f t="shared" si="59"/>
        <v>2.1619868956610508E-4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6" customFormat="1">
      <c r="A97" s="217" t="s">
        <v>255</v>
      </c>
      <c r="B97" s="330">
        <f>1190162.79*460.94</f>
        <v>548593636.42260003</v>
      </c>
      <c r="C97" s="330">
        <f>102.34*460.94</f>
        <v>47172.599600000001</v>
      </c>
      <c r="D97" s="330">
        <f>1225411.12*460.9</f>
        <v>564791985.20800006</v>
      </c>
      <c r="E97" s="330">
        <f>102.54*460.9</f>
        <v>47260.686000000002</v>
      </c>
      <c r="F97" s="23">
        <f t="shared" si="68"/>
        <v>2.9527044628206191E-2</v>
      </c>
      <c r="G97" s="23">
        <f t="shared" si="60"/>
        <v>1.8673212997996434E-3</v>
      </c>
      <c r="H97" s="330">
        <f>1261446.31*460.85</f>
        <v>581337531.96350002</v>
      </c>
      <c r="I97" s="330">
        <f>102.65*460.85</f>
        <v>47306.252500000002</v>
      </c>
      <c r="J97" s="23">
        <f>((H97-D97)/D97)</f>
        <v>2.9294939002023214E-2</v>
      </c>
      <c r="K97" s="23">
        <f t="shared" si="61"/>
        <v>9.6415231890626416E-4</v>
      </c>
      <c r="L97" s="330">
        <f>1261205.8*460.86</f>
        <v>581239304.98800004</v>
      </c>
      <c r="M97" s="330">
        <f>100.48*460.86</f>
        <v>46307.212800000001</v>
      </c>
      <c r="N97" s="23">
        <f>((L97-H97)/H97)</f>
        <v>-1.68967200807112E-4</v>
      </c>
      <c r="O97" s="23">
        <f t="shared" si="62"/>
        <v>-2.1118555100089594E-2</v>
      </c>
      <c r="P97" s="330">
        <f>1522270.9*460.93</f>
        <v>701660325.93699992</v>
      </c>
      <c r="Q97" s="330">
        <f>100.68*460.93</f>
        <v>46406.432400000005</v>
      </c>
      <c r="R97" s="23">
        <f>((P97-L97)/L97)</f>
        <v>0.20717976213168521</v>
      </c>
      <c r="S97" s="23">
        <f t="shared" si="63"/>
        <v>2.1426381334703E-3</v>
      </c>
      <c r="T97" s="330">
        <f>1558676.46*460.97</f>
        <v>718503087.76620007</v>
      </c>
      <c r="U97" s="330">
        <f>100.84*460.97</f>
        <v>46484.214800000002</v>
      </c>
      <c r="V97" s="23">
        <f>((T97-P97)/P97)</f>
        <v>2.4004153016216584E-2</v>
      </c>
      <c r="W97" s="23">
        <f t="shared" si="64"/>
        <v>1.6761124692704541E-3</v>
      </c>
      <c r="X97" s="330">
        <f>1569661.91*460.81</f>
        <v>723315904.7471</v>
      </c>
      <c r="Y97" s="330">
        <f>101.05*460.81</f>
        <v>46564.8505</v>
      </c>
      <c r="Z97" s="23">
        <f>((X97-T97)/T97)</f>
        <v>6.6983942906394499E-3</v>
      </c>
      <c r="AA97" s="23">
        <f t="shared" si="65"/>
        <v>1.7346899446820151E-3</v>
      </c>
      <c r="AB97" s="330">
        <f>1573650.61*461</f>
        <v>725452931.21000004</v>
      </c>
      <c r="AC97" s="330">
        <f>101.24*461</f>
        <v>46671.64</v>
      </c>
      <c r="AD97" s="23">
        <f>((AB97-X97)/X97)</f>
        <v>2.9544856526378081E-3</v>
      </c>
      <c r="AE97" s="23">
        <f t="shared" si="66"/>
        <v>2.2933500022726144E-3</v>
      </c>
      <c r="AF97" s="330">
        <f>1754294.48*461.03</f>
        <v>808782384.11439991</v>
      </c>
      <c r="AG97" s="330">
        <f>101.42*461.03</f>
        <v>46757.662599999996</v>
      </c>
      <c r="AH97" s="23">
        <f>((AF97-AB97)/AB97)</f>
        <v>0.11486541623784291</v>
      </c>
      <c r="AI97" s="23">
        <f t="shared" si="67"/>
        <v>1.8431450019754309E-3</v>
      </c>
      <c r="AJ97" s="24">
        <f t="shared" si="54"/>
        <v>5.1794403469805524E-2</v>
      </c>
      <c r="AK97" s="24">
        <f t="shared" si="55"/>
        <v>-1.0746432412141089E-3</v>
      </c>
      <c r="AL97" s="25">
        <f t="shared" si="56"/>
        <v>0.43200046264208886</v>
      </c>
      <c r="AM97" s="25">
        <f t="shared" si="57"/>
        <v>-1.0643590742631317E-2</v>
      </c>
      <c r="AN97" s="26">
        <f t="shared" si="58"/>
        <v>7.2718735095458509E-2</v>
      </c>
      <c r="AO97" s="78">
        <f t="shared" si="59"/>
        <v>8.1085230414424097E-3</v>
      </c>
      <c r="AP97" s="30"/>
      <c r="AQ97" s="28"/>
      <c r="AR97" s="32"/>
      <c r="AS97" s="29"/>
      <c r="AT97" s="29"/>
    </row>
    <row r="98" spans="1:46" s="306" customFormat="1">
      <c r="A98" s="217" t="s">
        <v>130</v>
      </c>
      <c r="B98" s="330">
        <f>1683523.4*460.94</f>
        <v>776003275.99599993</v>
      </c>
      <c r="C98" s="330">
        <f>127*460.94</f>
        <v>58539.38</v>
      </c>
      <c r="D98" s="330">
        <f>1692768.98*460.9</f>
        <v>780197222.88199997</v>
      </c>
      <c r="E98" s="330">
        <f>127.13*460.9</f>
        <v>58594.216999999997</v>
      </c>
      <c r="F98" s="23">
        <f>((D110-B98)/B98)</f>
        <v>4.9404120324148764</v>
      </c>
      <c r="G98" s="23">
        <f t="shared" si="60"/>
        <v>9.3675402780144814E-4</v>
      </c>
      <c r="H98" s="330">
        <f>1698778.13*460.85</f>
        <v>782881901.2105</v>
      </c>
      <c r="I98" s="330">
        <f>127.51*460.85</f>
        <v>58762.983500000002</v>
      </c>
      <c r="J98" s="23">
        <f>((H110-D98)/D98)</f>
        <v>5.4971075793699136</v>
      </c>
      <c r="K98" s="23">
        <f t="shared" si="61"/>
        <v>2.8802586439546619E-3</v>
      </c>
      <c r="L98" s="330">
        <f>1692043.14*460.86</f>
        <v>779795001.50039995</v>
      </c>
      <c r="M98" s="330">
        <f>127.81*460.86</f>
        <v>58902.516600000003</v>
      </c>
      <c r="N98" s="23">
        <f>((L110-H98)/H98)</f>
        <v>5.5412280578997217</v>
      </c>
      <c r="O98" s="23">
        <f t="shared" si="62"/>
        <v>2.3745067334778971E-3</v>
      </c>
      <c r="P98" s="330">
        <f>1711379.01*460.93</f>
        <v>788825927.07930005</v>
      </c>
      <c r="Q98" s="330">
        <f>128.27*460.93</f>
        <v>59123.491100000007</v>
      </c>
      <c r="R98" s="23">
        <f>((P110-L98)/L98)</f>
        <v>5.6988175755667774</v>
      </c>
      <c r="S98" s="23">
        <f t="shared" si="63"/>
        <v>3.7515290136177965E-3</v>
      </c>
      <c r="T98" s="330">
        <f>1734343.84*460.97</f>
        <v>799480479.92480004</v>
      </c>
      <c r="U98" s="330">
        <f>128.53*460.97</f>
        <v>59248.474100000007</v>
      </c>
      <c r="V98" s="23">
        <f>((T110-P98)/P98)</f>
        <v>5.5923980098428263</v>
      </c>
      <c r="W98" s="23">
        <f t="shared" si="64"/>
        <v>2.1139313270355947E-3</v>
      </c>
      <c r="X98" s="330">
        <f>1719589.23*460.81</f>
        <v>792403913.07630002</v>
      </c>
      <c r="Y98" s="330">
        <f>128.23*460.81</f>
        <v>59089.666299999997</v>
      </c>
      <c r="Z98" s="23">
        <f>((X110-T98)/T98)</f>
        <v>5.700521859125165</v>
      </c>
      <c r="AA98" s="23">
        <f t="shared" si="65"/>
        <v>-2.6803694510675945E-3</v>
      </c>
      <c r="AB98" s="330">
        <f>1720954.35*461</f>
        <v>793359955.35000002</v>
      </c>
      <c r="AC98" s="330">
        <f>128.42*461</f>
        <v>59201.619999999995</v>
      </c>
      <c r="AD98" s="23">
        <f>((AB110-X98)/X98)</f>
        <v>5.8477130795257946</v>
      </c>
      <c r="AE98" s="23">
        <f t="shared" si="66"/>
        <v>1.8946409247194921E-3</v>
      </c>
      <c r="AF98" s="330">
        <f>1722269.22*461.03</f>
        <v>794017778.49659991</v>
      </c>
      <c r="AG98" s="330">
        <f>128.553101*461.03</f>
        <v>59266.836154029996</v>
      </c>
      <c r="AH98" s="23">
        <f>((AF110-AB98)/AB98)</f>
        <v>5.9373329051778683</v>
      </c>
      <c r="AI98" s="23">
        <f t="shared" si="67"/>
        <v>1.1015940785066411E-3</v>
      </c>
      <c r="AJ98" s="24">
        <f t="shared" si="54"/>
        <v>5.5944413873653689</v>
      </c>
      <c r="AK98" s="24">
        <f t="shared" si="55"/>
        <v>1.5466056622557419E-3</v>
      </c>
      <c r="AL98" s="25">
        <f t="shared" si="56"/>
        <v>1.7714182016115965E-2</v>
      </c>
      <c r="AM98" s="25">
        <f t="shared" si="57"/>
        <v>1.1479275404089773E-2</v>
      </c>
      <c r="AN98" s="26">
        <f t="shared" si="58"/>
        <v>0.30329916850956967</v>
      </c>
      <c r="AO98" s="78">
        <f t="shared" si="59"/>
        <v>1.9348679295244377E-3</v>
      </c>
      <c r="AP98" s="30"/>
      <c r="AQ98" s="28"/>
      <c r="AR98" s="32"/>
      <c r="AS98" s="29"/>
      <c r="AT98" s="29"/>
    </row>
    <row r="99" spans="1:46">
      <c r="A99" s="217" t="s">
        <v>168</v>
      </c>
      <c r="B99" s="330">
        <v>71142641000.550003</v>
      </c>
      <c r="C99" s="330">
        <v>58541.99</v>
      </c>
      <c r="D99" s="330">
        <v>67457423864.040001</v>
      </c>
      <c r="E99" s="330">
        <v>58536.73</v>
      </c>
      <c r="F99" s="23">
        <f>((D111-B99)/B99)</f>
        <v>3.4121152892631872</v>
      </c>
      <c r="G99" s="23">
        <f t="shared" si="60"/>
        <v>-8.9850037554151495E-5</v>
      </c>
      <c r="H99" s="330">
        <v>67650100725.160004</v>
      </c>
      <c r="I99" s="330">
        <v>58683.75</v>
      </c>
      <c r="J99" s="23">
        <f>((H111-D99)/D99)</f>
        <v>3.6814581659528778</v>
      </c>
      <c r="K99" s="23">
        <f t="shared" si="61"/>
        <v>2.5115854609575354E-3</v>
      </c>
      <c r="L99" s="330">
        <v>69523723907.869995</v>
      </c>
      <c r="M99" s="330">
        <v>58980.76</v>
      </c>
      <c r="N99" s="23">
        <f>((L111-H99)/H99)</f>
        <v>3.853932472567144</v>
      </c>
      <c r="O99" s="23">
        <f t="shared" si="62"/>
        <v>5.0611966685837565E-3</v>
      </c>
      <c r="P99" s="330">
        <v>69539948270.880005</v>
      </c>
      <c r="Q99" s="330">
        <v>59155.22</v>
      </c>
      <c r="R99" s="23">
        <f>((P111-L99)/L99)</f>
        <v>3.736346379068419</v>
      </c>
      <c r="S99" s="23">
        <f t="shared" si="63"/>
        <v>2.9579137332241753E-3</v>
      </c>
      <c r="T99" s="330">
        <v>69882566645.910004</v>
      </c>
      <c r="U99" s="330">
        <v>59181.31</v>
      </c>
      <c r="V99" s="23">
        <f>((T111-P99)/P99)</f>
        <v>3.792941712452548</v>
      </c>
      <c r="W99" s="23">
        <f t="shared" si="64"/>
        <v>4.4104307278371217E-4</v>
      </c>
      <c r="X99" s="330">
        <v>69076569590.919998</v>
      </c>
      <c r="Y99" s="330">
        <v>59180.85</v>
      </c>
      <c r="Z99" s="23">
        <f>((X111-T99)/T99)</f>
        <v>3.7605825391875056</v>
      </c>
      <c r="AA99" s="23">
        <f t="shared" si="65"/>
        <v>-7.7727241928089612E-6</v>
      </c>
      <c r="AB99" s="330">
        <v>68829528747.479996</v>
      </c>
      <c r="AC99" s="330">
        <v>59163.86</v>
      </c>
      <c r="AD99" s="23">
        <f>((AB111-X99)/X99)</f>
        <v>3.8430177431957708</v>
      </c>
      <c r="AE99" s="23">
        <f t="shared" si="66"/>
        <v>-2.8708610978040979E-4</v>
      </c>
      <c r="AF99" s="330">
        <v>67931334769.089996</v>
      </c>
      <c r="AG99" s="330">
        <v>59234.32</v>
      </c>
      <c r="AH99" s="23">
        <f>((AF111-AB99)/AB99)</f>
        <v>3.8143956672398494</v>
      </c>
      <c r="AI99" s="23">
        <f t="shared" si="67"/>
        <v>1.1909297331174661E-3</v>
      </c>
      <c r="AJ99" s="24">
        <f t="shared" si="54"/>
        <v>3.7368487461159128</v>
      </c>
      <c r="AK99" s="24">
        <f t="shared" si="55"/>
        <v>1.4722449746424095E-3</v>
      </c>
      <c r="AL99" s="25">
        <f t="shared" si="56"/>
        <v>7.0253335793723721E-3</v>
      </c>
      <c r="AM99" s="25">
        <f t="shared" si="57"/>
        <v>1.191713305475035E-2</v>
      </c>
      <c r="AN99" s="26">
        <f t="shared" si="58"/>
        <v>0.14304039412768726</v>
      </c>
      <c r="AO99" s="78">
        <f t="shared" si="59"/>
        <v>1.8911964949012185E-3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8"/>
      <c r="B100" s="87"/>
      <c r="C100" s="87"/>
      <c r="D100" s="87"/>
      <c r="E100" s="87"/>
      <c r="F100" s="23"/>
      <c r="G100" s="23"/>
      <c r="H100" s="87"/>
      <c r="I100" s="87"/>
      <c r="J100" s="23"/>
      <c r="K100" s="23"/>
      <c r="L100" s="87"/>
      <c r="M100" s="87"/>
      <c r="N100" s="23"/>
      <c r="O100" s="23"/>
      <c r="P100" s="87"/>
      <c r="Q100" s="87"/>
      <c r="R100" s="23"/>
      <c r="S100" s="23"/>
      <c r="T100" s="87"/>
      <c r="U100" s="87"/>
      <c r="V100" s="23"/>
      <c r="W100" s="23"/>
      <c r="X100" s="87"/>
      <c r="Y100" s="87"/>
      <c r="Z100" s="23"/>
      <c r="AA100" s="23"/>
      <c r="AB100" s="87"/>
      <c r="AC100" s="87"/>
      <c r="AD100" s="23"/>
      <c r="AE100" s="23"/>
      <c r="AF100" s="87"/>
      <c r="AG100" s="87"/>
      <c r="AH100" s="23"/>
      <c r="AI100" s="23"/>
      <c r="AJ100" s="24"/>
      <c r="AK100" s="24"/>
      <c r="AL100" s="25"/>
      <c r="AM100" s="25"/>
      <c r="AN100" s="26"/>
      <c r="AO100" s="78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4" t="s">
        <v>201</v>
      </c>
      <c r="B101" s="87"/>
      <c r="C101" s="87"/>
      <c r="D101" s="87"/>
      <c r="E101" s="87"/>
      <c r="F101" s="23"/>
      <c r="G101" s="23"/>
      <c r="H101" s="87"/>
      <c r="I101" s="87"/>
      <c r="J101" s="23"/>
      <c r="K101" s="23"/>
      <c r="L101" s="87"/>
      <c r="M101" s="87"/>
      <c r="N101" s="23"/>
      <c r="O101" s="23"/>
      <c r="P101" s="87"/>
      <c r="Q101" s="87"/>
      <c r="R101" s="23"/>
      <c r="S101" s="23"/>
      <c r="T101" s="87"/>
      <c r="U101" s="87"/>
      <c r="V101" s="23"/>
      <c r="W101" s="23"/>
      <c r="X101" s="87"/>
      <c r="Y101" s="87"/>
      <c r="Z101" s="23"/>
      <c r="AA101" s="23"/>
      <c r="AB101" s="87"/>
      <c r="AC101" s="87"/>
      <c r="AD101" s="23"/>
      <c r="AE101" s="23"/>
      <c r="AF101" s="87"/>
      <c r="AG101" s="87"/>
      <c r="AH101" s="23"/>
      <c r="AI101" s="23"/>
      <c r="AJ101" s="24"/>
      <c r="AK101" s="24"/>
      <c r="AL101" s="25"/>
      <c r="AM101" s="25"/>
      <c r="AN101" s="26"/>
      <c r="AO101" s="78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6" t="s">
        <v>151</v>
      </c>
      <c r="B102" s="329">
        <v>358042486.66000003</v>
      </c>
      <c r="C102" s="330">
        <v>42741.599999999999</v>
      </c>
      <c r="D102" s="329">
        <v>360557228.12</v>
      </c>
      <c r="E102" s="330">
        <v>43040.78</v>
      </c>
      <c r="F102" s="23">
        <f t="shared" ref="F102:F110" si="80">((D102-B102)/B102)</f>
        <v>7.0235839423939562E-3</v>
      </c>
      <c r="G102" s="23">
        <f t="shared" ref="G102:G110" si="81">((E102-C102)/C102)</f>
        <v>6.9997379602073926E-3</v>
      </c>
      <c r="H102" s="329">
        <v>382185147.95999998</v>
      </c>
      <c r="I102" s="330">
        <v>44414.57</v>
      </c>
      <c r="J102" s="23">
        <f t="shared" ref="J102:K108" si="82">((H102-D102)/D102)</f>
        <v>5.9984707428474594E-2</v>
      </c>
      <c r="K102" s="23">
        <f t="shared" si="82"/>
        <v>3.1918334193757662E-2</v>
      </c>
      <c r="L102" s="329">
        <v>385055080.33999997</v>
      </c>
      <c r="M102" s="330">
        <v>44746.02</v>
      </c>
      <c r="N102" s="23">
        <f t="shared" ref="N102:O108" si="83">((L102-H102)/H102)</f>
        <v>7.5092723914545372E-3</v>
      </c>
      <c r="O102" s="23">
        <f t="shared" si="83"/>
        <v>7.462641200849115E-3</v>
      </c>
      <c r="P102" s="329">
        <v>378013764.69</v>
      </c>
      <c r="Q102" s="330">
        <v>43931.199999999997</v>
      </c>
      <c r="R102" s="23">
        <f t="shared" ref="R102:S108" si="84">((P102-L102)/L102)</f>
        <v>-1.8286515383156513E-2</v>
      </c>
      <c r="S102" s="23">
        <f t="shared" si="84"/>
        <v>-1.8209887717388046E-2</v>
      </c>
      <c r="T102" s="329">
        <v>368864810.23000002</v>
      </c>
      <c r="U102" s="330">
        <v>41505.160000000003</v>
      </c>
      <c r="V102" s="23">
        <f t="shared" ref="V102:V109" si="85">((T102-P102)/P102)</f>
        <v>-2.4202701897648664E-2</v>
      </c>
      <c r="W102" s="23">
        <f t="shared" ref="W102:W109" si="86">((U102-Q102)/Q102)</f>
        <v>-5.5223622391375467E-2</v>
      </c>
      <c r="X102" s="329">
        <v>390563596.22000003</v>
      </c>
      <c r="Y102" s="330">
        <v>42122.03</v>
      </c>
      <c r="Z102" s="23">
        <f t="shared" ref="Z102:Z109" si="87">((X102-T102)/T102)</f>
        <v>5.8825849981379526E-2</v>
      </c>
      <c r="AA102" s="23">
        <f t="shared" ref="AA102:AA109" si="88">((Y102-U102)/U102)</f>
        <v>1.4862489386861666E-2</v>
      </c>
      <c r="AB102" s="329">
        <v>390563596.22000003</v>
      </c>
      <c r="AC102" s="330">
        <v>42122.03</v>
      </c>
      <c r="AD102" s="23">
        <f t="shared" ref="AD102:AD109" si="89">((AB102-X102)/X102)</f>
        <v>0</v>
      </c>
      <c r="AE102" s="23">
        <f t="shared" ref="AE102:AE109" si="90">((AC102-Y102)/Y102)</f>
        <v>0</v>
      </c>
      <c r="AF102" s="329">
        <v>390563596.22000003</v>
      </c>
      <c r="AG102" s="330">
        <v>42122.03</v>
      </c>
      <c r="AH102" s="23">
        <f t="shared" ref="AH102:AH109" si="91">((AF102-AB102)/AB102)</f>
        <v>0</v>
      </c>
      <c r="AI102" s="23">
        <f t="shared" ref="AI102:AI109" si="92">((AG102-AC102)/AC102)</f>
        <v>0</v>
      </c>
      <c r="AJ102" s="24">
        <f t="shared" si="54"/>
        <v>1.135677455786218E-2</v>
      </c>
      <c r="AK102" s="24">
        <f t="shared" si="55"/>
        <v>-1.5237884208859599E-3</v>
      </c>
      <c r="AL102" s="25">
        <f t="shared" si="56"/>
        <v>8.3222206517555533E-2</v>
      </c>
      <c r="AM102" s="25">
        <f t="shared" si="57"/>
        <v>-2.1346035085795381E-2</v>
      </c>
      <c r="AN102" s="26">
        <f t="shared" si="58"/>
        <v>3.1741641085705874E-2</v>
      </c>
      <c r="AO102" s="78">
        <f t="shared" si="59"/>
        <v>2.5931321450475543E-2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6" t="s">
        <v>232</v>
      </c>
      <c r="B103" s="330">
        <f>6351734.48*460.94</f>
        <v>2927768491.2112002</v>
      </c>
      <c r="C103" s="329">
        <f>126.06*460.94</f>
        <v>58106.096400000002</v>
      </c>
      <c r="D103" s="330">
        <f>6536321.58*460.9</f>
        <v>3012590616.2220001</v>
      </c>
      <c r="E103" s="329">
        <f>126.13*460.9</f>
        <v>58133.316999999995</v>
      </c>
      <c r="F103" s="23">
        <f t="shared" si="80"/>
        <v>2.8971595693247414E-2</v>
      </c>
      <c r="G103" s="23">
        <f t="shared" si="81"/>
        <v>4.6846375314231714E-4</v>
      </c>
      <c r="H103" s="330">
        <f>6413426.62 *460.85</f>
        <v>2955627657.8270001</v>
      </c>
      <c r="I103" s="329">
        <f>126.23*460.85</f>
        <v>58173.095500000003</v>
      </c>
      <c r="J103" s="23">
        <f t="shared" si="82"/>
        <v>-1.8908297094291399E-2</v>
      </c>
      <c r="K103" s="23">
        <f t="shared" si="82"/>
        <v>6.8426338032642503E-4</v>
      </c>
      <c r="L103" s="330">
        <f>6457425.33*460.86</f>
        <v>2975969037.5838003</v>
      </c>
      <c r="M103" s="329">
        <f>126.38*460.86</f>
        <v>58243.486799999999</v>
      </c>
      <c r="N103" s="23">
        <f t="shared" si="83"/>
        <v>6.8822538261654083E-3</v>
      </c>
      <c r="O103" s="23">
        <f t="shared" si="83"/>
        <v>1.2100318780525557E-3</v>
      </c>
      <c r="P103" s="330">
        <f>6457425.33*460.93</f>
        <v>2976421057.3569002</v>
      </c>
      <c r="Q103" s="329">
        <f>126.38*460.93</f>
        <v>58252.333399999996</v>
      </c>
      <c r="R103" s="23">
        <f t="shared" si="84"/>
        <v>1.5188994488561471E-4</v>
      </c>
      <c r="S103" s="23">
        <f t="shared" si="84"/>
        <v>1.518899448855992E-4</v>
      </c>
      <c r="T103" s="330">
        <f>6447047.27 *460.97</f>
        <v>2971895380.0518999</v>
      </c>
      <c r="U103" s="329">
        <f>126.52*460.97</f>
        <v>58321.924400000004</v>
      </c>
      <c r="V103" s="23">
        <f t="shared" si="85"/>
        <v>-1.5205097725720178E-3</v>
      </c>
      <c r="W103" s="23">
        <f t="shared" si="86"/>
        <v>1.1946474233426609E-3</v>
      </c>
      <c r="X103" s="330">
        <f>6373878.32*460.81</f>
        <v>2937146868.6392002</v>
      </c>
      <c r="Y103" s="329">
        <f>126.65*460.81</f>
        <v>58361.586500000005</v>
      </c>
      <c r="Z103" s="23">
        <f t="shared" si="87"/>
        <v>-1.1692373710710122E-2</v>
      </c>
      <c r="AA103" s="23">
        <f t="shared" si="88"/>
        <v>6.800547205537918E-4</v>
      </c>
      <c r="AB103" s="330">
        <f>6373878.32  *461</f>
        <v>2938357905.52</v>
      </c>
      <c r="AC103" s="329">
        <f>126.65*461</f>
        <v>58385.65</v>
      </c>
      <c r="AD103" s="23">
        <f t="shared" si="89"/>
        <v>4.1231744102767726E-4</v>
      </c>
      <c r="AE103" s="23">
        <f t="shared" si="90"/>
        <v>4.1231744102769661E-4</v>
      </c>
      <c r="AF103" s="330">
        <f>6439295.42*461.03</f>
        <v>2968708367.4825997</v>
      </c>
      <c r="AG103" s="329">
        <f>126.86*461.03</f>
        <v>58486.265799999994</v>
      </c>
      <c r="AH103" s="23">
        <f t="shared" si="91"/>
        <v>1.0329055526416086E-2</v>
      </c>
      <c r="AI103" s="23">
        <f t="shared" si="92"/>
        <v>1.7232967347283502E-3</v>
      </c>
      <c r="AJ103" s="24">
        <f t="shared" si="54"/>
        <v>1.8282414817710826E-3</v>
      </c>
      <c r="AK103" s="24">
        <f t="shared" si="55"/>
        <v>8.1562065950742456E-4</v>
      </c>
      <c r="AL103" s="25">
        <f t="shared" si="56"/>
        <v>-1.4566283418366284E-2</v>
      </c>
      <c r="AM103" s="25">
        <f t="shared" si="57"/>
        <v>6.0713686783088316E-3</v>
      </c>
      <c r="AN103" s="26">
        <f t="shared" si="58"/>
        <v>1.4458851740992994E-2</v>
      </c>
      <c r="AO103" s="78">
        <f t="shared" si="59"/>
        <v>5.1857498126388129E-4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6" t="s">
        <v>145</v>
      </c>
      <c r="B104" s="329">
        <v>6036174339.4099998</v>
      </c>
      <c r="C104" s="329">
        <v>52734.15</v>
      </c>
      <c r="D104" s="329">
        <v>6045629860.3900003</v>
      </c>
      <c r="E104" s="329">
        <v>52784.800000000003</v>
      </c>
      <c r="F104" s="23">
        <f t="shared" si="80"/>
        <v>1.5664757921695013E-3</v>
      </c>
      <c r="G104" s="23">
        <f t="shared" si="81"/>
        <v>9.604781721143027E-4</v>
      </c>
      <c r="H104" s="329">
        <v>6134857355.7600002</v>
      </c>
      <c r="I104" s="329">
        <v>52830.85</v>
      </c>
      <c r="J104" s="23">
        <f t="shared" si="82"/>
        <v>1.4759007321074047E-2</v>
      </c>
      <c r="K104" s="23">
        <f t="shared" si="82"/>
        <v>8.7241023931123414E-4</v>
      </c>
      <c r="L104" s="329">
        <v>6093639047.3699999</v>
      </c>
      <c r="M104" s="329">
        <v>52881.51</v>
      </c>
      <c r="N104" s="23">
        <f t="shared" si="83"/>
        <v>-6.7187068907642311E-3</v>
      </c>
      <c r="O104" s="23">
        <f t="shared" si="83"/>
        <v>9.5890942508029863E-4</v>
      </c>
      <c r="P104" s="329">
        <v>5711117250.6899996</v>
      </c>
      <c r="Q104" s="329">
        <v>52936.77</v>
      </c>
      <c r="R104" s="23">
        <f t="shared" si="84"/>
        <v>-6.2773950623986469E-2</v>
      </c>
      <c r="S104" s="23">
        <f t="shared" si="84"/>
        <v>1.0449777247282606E-3</v>
      </c>
      <c r="T104" s="329">
        <v>5735137416.6599998</v>
      </c>
      <c r="U104" s="329">
        <v>52959.8</v>
      </c>
      <c r="V104" s="23">
        <f t="shared" si="85"/>
        <v>4.2058611153707667E-3</v>
      </c>
      <c r="W104" s="23">
        <f t="shared" si="86"/>
        <v>4.3504732154995695E-4</v>
      </c>
      <c r="X104" s="329">
        <v>5687033592.8299999</v>
      </c>
      <c r="Y104" s="329">
        <v>53038.09</v>
      </c>
      <c r="Z104" s="23">
        <f t="shared" si="87"/>
        <v>-8.3875625526012906E-3</v>
      </c>
      <c r="AA104" s="23">
        <f t="shared" si="88"/>
        <v>1.4782910811595512E-3</v>
      </c>
      <c r="AB104" s="329">
        <v>5714030357.4499998</v>
      </c>
      <c r="AC104" s="329">
        <v>53162.43</v>
      </c>
      <c r="AD104" s="23">
        <f t="shared" si="89"/>
        <v>4.7470731760818861E-3</v>
      </c>
      <c r="AE104" s="23">
        <f t="shared" si="90"/>
        <v>2.3443528980776605E-3</v>
      </c>
      <c r="AF104" s="329">
        <v>5686187129.4399996</v>
      </c>
      <c r="AG104" s="329">
        <v>51007.199999999997</v>
      </c>
      <c r="AH104" s="23">
        <f t="shared" si="91"/>
        <v>-4.8727826539629775E-3</v>
      </c>
      <c r="AI104" s="23">
        <f t="shared" si="92"/>
        <v>-4.0540471908451198E-2</v>
      </c>
      <c r="AJ104" s="24">
        <f t="shared" si="54"/>
        <v>-7.1843231645773468E-3</v>
      </c>
      <c r="AK104" s="24">
        <f t="shared" si="55"/>
        <v>-4.0557506308037412E-3</v>
      </c>
      <c r="AL104" s="25">
        <f t="shared" si="56"/>
        <v>-5.9454968175443892E-2</v>
      </c>
      <c r="AM104" s="25">
        <f t="shared" si="57"/>
        <v>-3.3676361376760083E-2</v>
      </c>
      <c r="AN104" s="26">
        <f t="shared" si="58"/>
        <v>2.3686630454150502E-2</v>
      </c>
      <c r="AO104" s="78">
        <f t="shared" si="59"/>
        <v>1.475273660814252E-2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6" t="s">
        <v>156</v>
      </c>
      <c r="B105" s="329">
        <v>1705398534.1820498</v>
      </c>
      <c r="C105" s="329">
        <v>527.7750411141335</v>
      </c>
      <c r="D105" s="329">
        <v>1704477990.9657764</v>
      </c>
      <c r="E105" s="329">
        <v>528.06456764343159</v>
      </c>
      <c r="F105" s="23">
        <f t="shared" si="80"/>
        <v>-5.3978187375118309E-4</v>
      </c>
      <c r="G105" s="23">
        <f t="shared" si="81"/>
        <v>5.4857942635350078E-4</v>
      </c>
      <c r="H105" s="329">
        <v>1707768881.9635661</v>
      </c>
      <c r="I105" s="329">
        <v>528.06456764343159</v>
      </c>
      <c r="J105" s="23">
        <f t="shared" si="82"/>
        <v>1.9307324677891354E-3</v>
      </c>
      <c r="K105" s="23">
        <f t="shared" si="82"/>
        <v>0</v>
      </c>
      <c r="L105" s="329">
        <v>1713920200.681679</v>
      </c>
      <c r="M105" s="329">
        <v>530.83310788384358</v>
      </c>
      <c r="N105" s="23">
        <f t="shared" si="83"/>
        <v>3.601962058847363E-3</v>
      </c>
      <c r="O105" s="23">
        <f t="shared" si="83"/>
        <v>5.2428062969023387E-3</v>
      </c>
      <c r="P105" s="329">
        <v>1712416040.9213228</v>
      </c>
      <c r="Q105" s="329">
        <v>531.52645097944651</v>
      </c>
      <c r="R105" s="23">
        <f t="shared" si="84"/>
        <v>-8.7761364838219252E-4</v>
      </c>
      <c r="S105" s="23">
        <f t="shared" si="84"/>
        <v>1.3061413941698671E-3</v>
      </c>
      <c r="T105" s="329">
        <v>1716306284.6169174</v>
      </c>
      <c r="U105" s="329">
        <v>531.91015652020201</v>
      </c>
      <c r="V105" s="23">
        <f t="shared" si="85"/>
        <v>2.2717865300429562E-3</v>
      </c>
      <c r="W105" s="23">
        <f t="shared" si="86"/>
        <v>7.2189359541457196E-4</v>
      </c>
      <c r="X105" s="329">
        <v>1684379579.7274783</v>
      </c>
      <c r="Y105" s="329">
        <v>532.78415377063072</v>
      </c>
      <c r="Z105" s="23">
        <f t="shared" si="87"/>
        <v>-1.8601985656986161E-2</v>
      </c>
      <c r="AA105" s="23">
        <f t="shared" si="88"/>
        <v>1.6431294640930976E-3</v>
      </c>
      <c r="AB105" s="329">
        <v>1685301911.6629212</v>
      </c>
      <c r="AC105" s="329">
        <v>533.31672585611852</v>
      </c>
      <c r="AD105" s="23">
        <f t="shared" si="89"/>
        <v>5.4757962311093315E-4</v>
      </c>
      <c r="AE105" s="23">
        <f t="shared" si="90"/>
        <v>9.9960196210542324E-4</v>
      </c>
      <c r="AF105" s="329">
        <v>1701605744.8269351</v>
      </c>
      <c r="AG105" s="329">
        <v>535.97687989856763</v>
      </c>
      <c r="AH105" s="23">
        <f t="shared" si="91"/>
        <v>9.6741320063694364E-3</v>
      </c>
      <c r="AI105" s="23">
        <f t="shared" si="92"/>
        <v>4.9879441492835918E-3</v>
      </c>
      <c r="AJ105" s="24">
        <f t="shared" si="54"/>
        <v>-2.4914856161996411E-4</v>
      </c>
      <c r="AK105" s="24">
        <f t="shared" si="55"/>
        <v>1.931262036040299E-3</v>
      </c>
      <c r="AL105" s="25">
        <f t="shared" si="56"/>
        <v>-1.68511776277847E-3</v>
      </c>
      <c r="AM105" s="25">
        <f t="shared" si="57"/>
        <v>1.4983607573683538E-2</v>
      </c>
      <c r="AN105" s="26">
        <f t="shared" si="58"/>
        <v>8.1271185072628559E-3</v>
      </c>
      <c r="AO105" s="78">
        <f t="shared" si="59"/>
        <v>2.0268051530322245E-3</v>
      </c>
      <c r="AP105" s="30"/>
      <c r="AQ105" s="28"/>
      <c r="AR105" s="32"/>
      <c r="AS105" s="29"/>
      <c r="AT105" s="29"/>
    </row>
    <row r="106" spans="1:46" ht="16.5" customHeight="1">
      <c r="A106" s="206" t="s">
        <v>196</v>
      </c>
      <c r="B106" s="330">
        <v>4210786077.3899999</v>
      </c>
      <c r="C106" s="329">
        <f>0.9971*460.94</f>
        <v>459.603274</v>
      </c>
      <c r="D106" s="330">
        <v>4292324383.25</v>
      </c>
      <c r="E106" s="329">
        <f>0.9971*460.9</f>
        <v>459.56338999999997</v>
      </c>
      <c r="F106" s="23">
        <f t="shared" si="80"/>
        <v>1.9364153001698099E-2</v>
      </c>
      <c r="G106" s="23">
        <f t="shared" si="81"/>
        <v>-8.677919035021739E-5</v>
      </c>
      <c r="H106" s="330">
        <v>4821065047.0900002</v>
      </c>
      <c r="I106" s="329">
        <f>1.0003*460.85</f>
        <v>460.98825499999998</v>
      </c>
      <c r="J106" s="23">
        <f t="shared" si="82"/>
        <v>0.12318282977477484</v>
      </c>
      <c r="K106" s="23">
        <f t="shared" si="82"/>
        <v>3.1004754316918308E-3</v>
      </c>
      <c r="L106" s="330">
        <v>4813307316.1499996</v>
      </c>
      <c r="M106" s="329">
        <f>1.0014*460.86</f>
        <v>461.50520400000005</v>
      </c>
      <c r="N106" s="23">
        <f t="shared" si="83"/>
        <v>-1.6091321863999964E-3</v>
      </c>
      <c r="O106" s="23">
        <f t="shared" si="83"/>
        <v>1.121392995142724E-3</v>
      </c>
      <c r="P106" s="330">
        <v>4824854087.9499998</v>
      </c>
      <c r="Q106" s="329">
        <f>1.0035*460.93</f>
        <v>462.54325500000004</v>
      </c>
      <c r="R106" s="23">
        <f t="shared" si="84"/>
        <v>2.3989267756200656E-3</v>
      </c>
      <c r="S106" s="23">
        <f t="shared" si="84"/>
        <v>2.2492725780834224E-3</v>
      </c>
      <c r="T106" s="330">
        <v>4842916555.3299999</v>
      </c>
      <c r="U106" s="329">
        <f>1.0044*460.97</f>
        <v>462.998268</v>
      </c>
      <c r="V106" s="23">
        <f t="shared" si="85"/>
        <v>3.7436297659468819E-3</v>
      </c>
      <c r="W106" s="23">
        <f t="shared" si="86"/>
        <v>9.8371989015373531E-4</v>
      </c>
      <c r="X106" s="330">
        <v>4871978121.9200001</v>
      </c>
      <c r="Y106" s="329">
        <f>1.0068*460.81</f>
        <v>463.94350799999995</v>
      </c>
      <c r="Z106" s="23">
        <f t="shared" si="87"/>
        <v>6.0008398364856559E-3</v>
      </c>
      <c r="AA106" s="23">
        <f t="shared" si="88"/>
        <v>2.0415627127139831E-3</v>
      </c>
      <c r="AB106" s="330">
        <v>4815917235.7700005</v>
      </c>
      <c r="AC106" s="329">
        <f>1.0088*461</f>
        <v>465.05679999999995</v>
      </c>
      <c r="AD106" s="23">
        <f t="shared" si="89"/>
        <v>-1.150680170294085E-2</v>
      </c>
      <c r="AE106" s="23">
        <f t="shared" si="90"/>
        <v>2.3996283616495857E-3</v>
      </c>
      <c r="AF106" s="330">
        <v>4794772026.1099997</v>
      </c>
      <c r="AG106" s="329">
        <f>1.0107*461.03</f>
        <v>465.96302099999997</v>
      </c>
      <c r="AH106" s="23">
        <f t="shared" si="91"/>
        <v>-4.3906920789555399E-3</v>
      </c>
      <c r="AI106" s="23">
        <f t="shared" si="92"/>
        <v>1.948624340080645E-3</v>
      </c>
      <c r="AJ106" s="24">
        <f t="shared" si="54"/>
        <v>1.7147969148278645E-2</v>
      </c>
      <c r="AK106" s="24">
        <f t="shared" si="55"/>
        <v>1.7197371398957138E-3</v>
      </c>
      <c r="AL106" s="25">
        <f t="shared" si="56"/>
        <v>0.11705723938775653</v>
      </c>
      <c r="AM106" s="25">
        <f t="shared" si="57"/>
        <v>1.3925458683730225E-2</v>
      </c>
      <c r="AN106" s="26">
        <f t="shared" si="58"/>
        <v>4.3763342237393379E-2</v>
      </c>
      <c r="AO106" s="78">
        <f t="shared" si="59"/>
        <v>9.9773296547710352E-4</v>
      </c>
      <c r="AP106" s="30"/>
      <c r="AQ106" s="28"/>
      <c r="AR106" s="32"/>
      <c r="AS106" s="29"/>
      <c r="AT106" s="29"/>
    </row>
    <row r="107" spans="1:46">
      <c r="A107" s="206" t="s">
        <v>164</v>
      </c>
      <c r="B107" s="329">
        <v>97978147.037</v>
      </c>
      <c r="C107" s="329">
        <v>383.012</v>
      </c>
      <c r="D107" s="329">
        <v>97861472.569999993</v>
      </c>
      <c r="E107" s="329">
        <v>382.57</v>
      </c>
      <c r="F107" s="23">
        <f t="shared" si="80"/>
        <v>-1.1908213262692877E-3</v>
      </c>
      <c r="G107" s="23">
        <f t="shared" si="81"/>
        <v>-1.1540108403914429E-3</v>
      </c>
      <c r="H107" s="329">
        <v>102308709.04000001</v>
      </c>
      <c r="I107" s="329">
        <v>401.51</v>
      </c>
      <c r="J107" s="23">
        <f t="shared" si="82"/>
        <v>4.544420141255201E-2</v>
      </c>
      <c r="K107" s="23">
        <f t="shared" si="82"/>
        <v>4.9507279713516476E-2</v>
      </c>
      <c r="L107" s="329">
        <v>101996792.39</v>
      </c>
      <c r="M107" s="329">
        <v>397.72</v>
      </c>
      <c r="N107" s="23">
        <f t="shared" si="83"/>
        <v>-3.0487790621818401E-3</v>
      </c>
      <c r="O107" s="23">
        <f t="shared" si="83"/>
        <v>-9.4393663918705979E-3</v>
      </c>
      <c r="P107" s="329">
        <v>100947126.48</v>
      </c>
      <c r="Q107" s="329">
        <v>393.19</v>
      </c>
      <c r="R107" s="23">
        <f t="shared" si="84"/>
        <v>-1.0291165882809743E-2</v>
      </c>
      <c r="S107" s="23">
        <f t="shared" si="84"/>
        <v>-1.1389922558584002E-2</v>
      </c>
      <c r="T107" s="329">
        <v>100635852.45</v>
      </c>
      <c r="U107" s="329">
        <v>393.07</v>
      </c>
      <c r="V107" s="23">
        <f t="shared" si="85"/>
        <v>-3.0835353204597842E-3</v>
      </c>
      <c r="W107" s="23">
        <f t="shared" si="86"/>
        <v>-3.0519596124012447E-4</v>
      </c>
      <c r="X107" s="329">
        <v>100635852.45</v>
      </c>
      <c r="Y107" s="329">
        <v>393.07</v>
      </c>
      <c r="Z107" s="23">
        <f t="shared" si="87"/>
        <v>0</v>
      </c>
      <c r="AA107" s="23">
        <f t="shared" si="88"/>
        <v>0</v>
      </c>
      <c r="AB107" s="329">
        <v>101675429.23</v>
      </c>
      <c r="AC107" s="329">
        <v>397.9</v>
      </c>
      <c r="AD107" s="23">
        <f t="shared" si="89"/>
        <v>1.0330083709645181E-2</v>
      </c>
      <c r="AE107" s="23">
        <f t="shared" si="90"/>
        <v>1.2287887653598555E-2</v>
      </c>
      <c r="AF107" s="329">
        <v>102366570.39</v>
      </c>
      <c r="AG107" s="329">
        <v>399.47</v>
      </c>
      <c r="AH107" s="23">
        <f t="shared" si="91"/>
        <v>6.7975238977016359E-3</v>
      </c>
      <c r="AI107" s="23">
        <f t="shared" si="92"/>
        <v>3.9457150037699174E-3</v>
      </c>
      <c r="AJ107" s="24">
        <f t="shared" si="54"/>
        <v>5.6196884285222709E-3</v>
      </c>
      <c r="AK107" s="24">
        <f t="shared" si="55"/>
        <v>5.4315483273498482E-3</v>
      </c>
      <c r="AL107" s="25">
        <f t="shared" si="56"/>
        <v>4.6035459120825371E-2</v>
      </c>
      <c r="AM107" s="25">
        <f t="shared" si="57"/>
        <v>4.417492223645355E-2</v>
      </c>
      <c r="AN107" s="26">
        <f t="shared" si="58"/>
        <v>1.7285727443862406E-2</v>
      </c>
      <c r="AO107" s="78">
        <f t="shared" si="59"/>
        <v>1.9279058646317751E-2</v>
      </c>
      <c r="AP107" s="30"/>
      <c r="AQ107" s="28"/>
      <c r="AR107" s="32"/>
      <c r="AS107" s="29"/>
      <c r="AT107" s="29"/>
    </row>
    <row r="108" spans="1:46" s="292" customFormat="1">
      <c r="A108" s="206" t="s">
        <v>94</v>
      </c>
      <c r="B108" s="330">
        <v>196257723513.31</v>
      </c>
      <c r="C108" s="329">
        <v>639.22</v>
      </c>
      <c r="D108" s="330">
        <v>196214409513.01999</v>
      </c>
      <c r="E108" s="329">
        <v>639.36</v>
      </c>
      <c r="F108" s="23">
        <f t="shared" si="80"/>
        <v>-2.2069959599358663E-4</v>
      </c>
      <c r="G108" s="23">
        <f t="shared" si="81"/>
        <v>2.190169268796132E-4</v>
      </c>
      <c r="H108" s="330">
        <v>196717601784.23001</v>
      </c>
      <c r="I108" s="329">
        <v>640.29999999999995</v>
      </c>
      <c r="J108" s="23">
        <f t="shared" si="82"/>
        <v>2.5645021303933959E-3</v>
      </c>
      <c r="K108" s="23">
        <f t="shared" si="82"/>
        <v>1.4702202202201277E-3</v>
      </c>
      <c r="L108" s="330">
        <v>206919631467.92999</v>
      </c>
      <c r="M108" s="329">
        <v>643.59</v>
      </c>
      <c r="N108" s="23">
        <f t="shared" si="83"/>
        <v>5.1861295538210624E-2</v>
      </c>
      <c r="O108" s="23">
        <f t="shared" si="83"/>
        <v>5.1382164610340115E-3</v>
      </c>
      <c r="P108" s="330">
        <v>207429439723.20001</v>
      </c>
      <c r="Q108" s="329">
        <v>645.66</v>
      </c>
      <c r="R108" s="23">
        <f t="shared" si="84"/>
        <v>2.4637983919328292E-3</v>
      </c>
      <c r="S108" s="23">
        <f t="shared" si="84"/>
        <v>3.2163333799467616E-3</v>
      </c>
      <c r="T108" s="330">
        <v>202814116695.92001</v>
      </c>
      <c r="U108" s="329">
        <v>645.94000000000005</v>
      </c>
      <c r="V108" s="23">
        <f t="shared" si="85"/>
        <v>-2.2250086744865255E-2</v>
      </c>
      <c r="W108" s="23">
        <f t="shared" si="86"/>
        <v>4.3366477712741445E-4</v>
      </c>
      <c r="X108" s="330">
        <v>202875429527.73001</v>
      </c>
      <c r="Y108" s="329">
        <v>645.98</v>
      </c>
      <c r="Z108" s="23">
        <f t="shared" si="87"/>
        <v>3.0231047428480595E-4</v>
      </c>
      <c r="AA108" s="23">
        <f t="shared" si="88"/>
        <v>6.1925256215691269E-5</v>
      </c>
      <c r="AB108" s="330">
        <v>204650408125.57999</v>
      </c>
      <c r="AC108" s="329">
        <v>645.74</v>
      </c>
      <c r="AD108" s="23">
        <f t="shared" si="89"/>
        <v>8.7491058034081092E-3</v>
      </c>
      <c r="AE108" s="23">
        <f t="shared" si="90"/>
        <v>-3.7152853029506967E-4</v>
      </c>
      <c r="AF108" s="330">
        <v>201739663926.91</v>
      </c>
      <c r="AG108" s="329">
        <v>646.79999999999995</v>
      </c>
      <c r="AH108" s="23">
        <f t="shared" si="91"/>
        <v>-1.4223007055445783E-2</v>
      </c>
      <c r="AI108" s="23">
        <f t="shared" si="92"/>
        <v>1.6415275497877557E-3</v>
      </c>
      <c r="AJ108" s="24">
        <f t="shared" si="54"/>
        <v>3.6559023677406426E-3</v>
      </c>
      <c r="AK108" s="24">
        <f t="shared" si="55"/>
        <v>1.4761720051145383E-3</v>
      </c>
      <c r="AL108" s="25">
        <f t="shared" si="56"/>
        <v>2.8159269380893158E-2</v>
      </c>
      <c r="AM108" s="25">
        <f t="shared" si="57"/>
        <v>1.1636636636636544E-2</v>
      </c>
      <c r="AN108" s="26">
        <f t="shared" si="58"/>
        <v>2.1939407511735419E-2</v>
      </c>
      <c r="AO108" s="78">
        <f t="shared" si="59"/>
        <v>1.8726398644673967E-3</v>
      </c>
      <c r="AP108" s="30"/>
      <c r="AQ108" s="28"/>
      <c r="AR108" s="32"/>
      <c r="AS108" s="29"/>
      <c r="AT108" s="29"/>
    </row>
    <row r="109" spans="1:46" s="360" customFormat="1">
      <c r="A109" s="206" t="s">
        <v>258</v>
      </c>
      <c r="B109" s="330">
        <v>2523808607.0900002</v>
      </c>
      <c r="C109" s="330">
        <v>467.23</v>
      </c>
      <c r="D109" s="330">
        <v>2733757018.21</v>
      </c>
      <c r="E109" s="330">
        <v>467.14</v>
      </c>
      <c r="F109" s="23">
        <f t="shared" si="80"/>
        <v>8.3187136508768161E-2</v>
      </c>
      <c r="G109" s="23">
        <f t="shared" si="81"/>
        <v>-1.9262461742617517E-4</v>
      </c>
      <c r="H109" s="330">
        <v>2715018034.4299998</v>
      </c>
      <c r="I109" s="330">
        <v>467.93</v>
      </c>
      <c r="J109" s="23">
        <f t="shared" ref="J109" si="93">((H109-D109)/D109)</f>
        <v>-6.8546632546992257E-3</v>
      </c>
      <c r="K109" s="23">
        <f t="shared" ref="K109" si="94">((I109-E109)/E109)</f>
        <v>1.6911418418461713E-3</v>
      </c>
      <c r="L109" s="330">
        <v>2903795821.2199998</v>
      </c>
      <c r="M109" s="330">
        <v>471.03</v>
      </c>
      <c r="N109" s="23">
        <f t="shared" ref="N109" si="95">((L109-H109)/H109)</f>
        <v>6.9530951321887857E-2</v>
      </c>
      <c r="O109" s="23">
        <f t="shared" ref="O109" si="96">((M109-I109)/I109)</f>
        <v>6.6249225311477483E-3</v>
      </c>
      <c r="P109" s="330">
        <v>3614743948.1599998</v>
      </c>
      <c r="Q109" s="330">
        <v>467.93</v>
      </c>
      <c r="R109" s="23">
        <f t="shared" ref="R109" si="97">((P109-L109)/L109)</f>
        <v>0.24483406227966212</v>
      </c>
      <c r="S109" s="23">
        <f t="shared" ref="S109" si="98">((Q109-M109)/M109)</f>
        <v>-6.5813217841750333E-3</v>
      </c>
      <c r="T109" s="330">
        <v>4666543859.8900003</v>
      </c>
      <c r="U109" s="330">
        <v>474.24</v>
      </c>
      <c r="V109" s="23">
        <f t="shared" si="85"/>
        <v>0.29097494229581444</v>
      </c>
      <c r="W109" s="23">
        <f t="shared" si="86"/>
        <v>1.3484922958562183E-2</v>
      </c>
      <c r="X109" s="330">
        <v>4679498089.1599998</v>
      </c>
      <c r="Y109" s="330">
        <v>474.85</v>
      </c>
      <c r="Z109" s="23">
        <f t="shared" si="87"/>
        <v>2.77597932408694E-3</v>
      </c>
      <c r="AA109" s="23">
        <f t="shared" si="88"/>
        <v>1.2862685560054269E-3</v>
      </c>
      <c r="AB109" s="330">
        <v>4678548431.2700005</v>
      </c>
      <c r="AC109" s="330">
        <v>474.86</v>
      </c>
      <c r="AD109" s="23">
        <f t="shared" si="89"/>
        <v>-2.0294011706068662E-4</v>
      </c>
      <c r="AE109" s="23">
        <f t="shared" si="90"/>
        <v>2.1059281878468788E-5</v>
      </c>
      <c r="AF109" s="330">
        <v>4847511381.1099997</v>
      </c>
      <c r="AG109" s="330">
        <v>475.55</v>
      </c>
      <c r="AH109" s="23">
        <f t="shared" si="91"/>
        <v>3.6114395805053982E-2</v>
      </c>
      <c r="AI109" s="23">
        <f t="shared" si="92"/>
        <v>1.4530598492187123E-3</v>
      </c>
      <c r="AJ109" s="24">
        <f t="shared" si="54"/>
        <v>9.0044983020439187E-2</v>
      </c>
      <c r="AK109" s="24">
        <f t="shared" si="55"/>
        <v>2.2234285771321875E-3</v>
      </c>
      <c r="AL109" s="25">
        <f t="shared" si="56"/>
        <v>0.77320491500156674</v>
      </c>
      <c r="AM109" s="25">
        <f t="shared" si="57"/>
        <v>1.800316821509617E-2</v>
      </c>
      <c r="AN109" s="26">
        <f t="shared" si="58"/>
        <v>0.11517624970332455</v>
      </c>
      <c r="AO109" s="78">
        <f t="shared" si="59"/>
        <v>5.8083787172063944E-3</v>
      </c>
      <c r="AP109" s="30"/>
      <c r="AQ109" s="28"/>
      <c r="AR109" s="32"/>
      <c r="AS109" s="29"/>
      <c r="AT109" s="29"/>
    </row>
    <row r="110" spans="1:46" s="88" customFormat="1">
      <c r="A110" s="206" t="s">
        <v>126</v>
      </c>
      <c r="B110" s="329">
        <v>4614690682.6000004</v>
      </c>
      <c r="C110" s="329">
        <v>460.39</v>
      </c>
      <c r="D110" s="329">
        <v>4609779197.9200001</v>
      </c>
      <c r="E110" s="329">
        <v>459.9</v>
      </c>
      <c r="F110" s="23">
        <f t="shared" si="80"/>
        <v>-1.0643150360043385E-3</v>
      </c>
      <c r="G110" s="23">
        <f t="shared" si="81"/>
        <v>-1.0643150372510461E-3</v>
      </c>
      <c r="H110" s="329">
        <v>5069025290.1899996</v>
      </c>
      <c r="I110" s="329">
        <v>460.35</v>
      </c>
      <c r="J110" s="23">
        <f>((H110-D110)/D110)</f>
        <v>9.9624314430768843E-2</v>
      </c>
      <c r="K110" s="23">
        <f>((I110-E110)/E110)</f>
        <v>9.7847358121340607E-4</v>
      </c>
      <c r="L110" s="329">
        <v>5121009058.2200003</v>
      </c>
      <c r="M110" s="329">
        <v>460.36</v>
      </c>
      <c r="N110" s="23">
        <f>((L110-H110)/H110)</f>
        <v>1.0255180247493341E-2</v>
      </c>
      <c r="O110" s="23">
        <f>((M110-I110)/I110)</f>
        <v>2.1722602367743901E-5</v>
      </c>
      <c r="P110" s="329">
        <v>5223704461.3900003</v>
      </c>
      <c r="Q110" s="329">
        <v>464</v>
      </c>
      <c r="R110" s="23">
        <f>((P110-L110)/L110)</f>
        <v>2.0053743706068689E-2</v>
      </c>
      <c r="S110" s="23">
        <f>((Q110-M110)/M110)</f>
        <v>7.9068555043878413E-3</v>
      </c>
      <c r="T110" s="329">
        <v>5200254471.79</v>
      </c>
      <c r="U110" s="329">
        <v>460.47</v>
      </c>
      <c r="V110" s="23">
        <f>((T110-P110)/P110)</f>
        <v>-4.4891493715478042E-3</v>
      </c>
      <c r="W110" s="23">
        <f>((U110-Q110)/Q110)</f>
        <v>-7.6077586206895961E-3</v>
      </c>
      <c r="X110" s="329">
        <v>5356936431.6800003</v>
      </c>
      <c r="Y110" s="329">
        <v>460.31</v>
      </c>
      <c r="Z110" s="23">
        <f>((X110-T110)/T110)</f>
        <v>3.0129671680483788E-2</v>
      </c>
      <c r="AA110" s="23">
        <f>((Y110-U110)/U110)</f>
        <v>-3.4747106217565749E-4</v>
      </c>
      <c r="AB110" s="329">
        <v>5426154639.8400002</v>
      </c>
      <c r="AC110" s="329">
        <v>460.87</v>
      </c>
      <c r="AD110" s="23">
        <f>((AB110-X110)/X110)</f>
        <v>1.2921230080434644E-2</v>
      </c>
      <c r="AE110" s="23">
        <f>((AC110-Y110)/Y110)</f>
        <v>1.2165714409854277E-3</v>
      </c>
      <c r="AF110" s="329">
        <v>5503802123.8999996</v>
      </c>
      <c r="AG110" s="329">
        <v>460.17</v>
      </c>
      <c r="AH110" s="23">
        <f>((AF110-AB110)/AB110)</f>
        <v>1.4309854623363451E-2</v>
      </c>
      <c r="AI110" s="23">
        <f>((AG110-AC110)/AC110)</f>
        <v>-1.5188664916353605E-3</v>
      </c>
      <c r="AJ110" s="24">
        <f t="shared" si="54"/>
        <v>2.2717566295132576E-2</v>
      </c>
      <c r="AK110" s="24">
        <f t="shared" si="55"/>
        <v>-5.1848510349655042E-5</v>
      </c>
      <c r="AL110" s="25">
        <f t="shared" si="56"/>
        <v>0.19394050942470212</v>
      </c>
      <c r="AM110" s="25">
        <f t="shared" si="57"/>
        <v>5.8708414872806847E-4</v>
      </c>
      <c r="AN110" s="26">
        <f t="shared" si="58"/>
        <v>3.2959792188212378E-2</v>
      </c>
      <c r="AO110" s="78">
        <f t="shared" si="59"/>
        <v>4.2489197888123751E-3</v>
      </c>
      <c r="AP110" s="30"/>
      <c r="AQ110" s="28"/>
      <c r="AR110" s="32"/>
      <c r="AS110" s="29"/>
      <c r="AT110" s="29"/>
    </row>
    <row r="111" spans="1:46" s="105" customFormat="1">
      <c r="A111" s="208" t="s">
        <v>42</v>
      </c>
      <c r="B111" s="76">
        <f>SUM(B90:B110)</f>
        <v>317395334099.62988</v>
      </c>
      <c r="C111" s="87"/>
      <c r="D111" s="76">
        <f>SUM(D90:D110)</f>
        <v>313889534077.08875</v>
      </c>
      <c r="E111" s="87"/>
      <c r="F111" s="23"/>
      <c r="G111" s="23"/>
      <c r="H111" s="76">
        <f>SUM(H90:H110)</f>
        <v>315799107802.45459</v>
      </c>
      <c r="I111" s="87"/>
      <c r="J111" s="23"/>
      <c r="K111" s="23"/>
      <c r="L111" s="76">
        <f>SUM(L90:L110)</f>
        <v>328369020682.29224</v>
      </c>
      <c r="M111" s="87"/>
      <c r="N111" s="23"/>
      <c r="O111" s="23"/>
      <c r="P111" s="76">
        <f>SUM(P90:P110)</f>
        <v>329288437990.39252</v>
      </c>
      <c r="Q111" s="87"/>
      <c r="R111" s="23"/>
      <c r="S111" s="23"/>
      <c r="T111" s="76">
        <f>SUM(T90:T110)</f>
        <v>333300918749.29321</v>
      </c>
      <c r="U111" s="87"/>
      <c r="V111" s="23"/>
      <c r="W111" s="23"/>
      <c r="X111" s="76">
        <f>SUM(X90:X110)</f>
        <v>332681726568.12634</v>
      </c>
      <c r="Y111" s="87"/>
      <c r="Z111" s="23"/>
      <c r="AA111" s="23"/>
      <c r="AB111" s="76">
        <f>SUM(AB90:AB110)</f>
        <v>334539052167.92297</v>
      </c>
      <c r="AC111" s="87"/>
      <c r="AD111" s="23"/>
      <c r="AE111" s="23"/>
      <c r="AF111" s="76">
        <f>SUM(AF90:AF110)</f>
        <v>331372584980.02832</v>
      </c>
      <c r="AG111" s="87"/>
      <c r="AH111" s="23"/>
      <c r="AI111" s="23"/>
      <c r="AJ111" s="24" t="e">
        <f t="shared" si="54"/>
        <v>#DIV/0!</v>
      </c>
      <c r="AK111" s="24"/>
      <c r="AL111" s="25">
        <f t="shared" si="56"/>
        <v>5.5698100780403458E-2</v>
      </c>
      <c r="AM111" s="25"/>
      <c r="AN111" s="26" t="e">
        <f t="shared" si="58"/>
        <v>#DIV/0!</v>
      </c>
      <c r="AO111" s="78"/>
      <c r="AP111" s="30"/>
      <c r="AQ111" s="28"/>
      <c r="AR111" s="32"/>
      <c r="AS111" s="29"/>
      <c r="AT111" s="29"/>
    </row>
    <row r="112" spans="1:46" s="105" customFormat="1" ht="8.25" customHeight="1">
      <c r="A112" s="208"/>
      <c r="B112" s="87"/>
      <c r="C112" s="87"/>
      <c r="D112" s="87"/>
      <c r="E112" s="87"/>
      <c r="F112" s="23"/>
      <c r="G112" s="23"/>
      <c r="H112" s="87"/>
      <c r="I112" s="87"/>
      <c r="J112" s="23"/>
      <c r="K112" s="23"/>
      <c r="L112" s="87"/>
      <c r="M112" s="87"/>
      <c r="N112" s="23"/>
      <c r="O112" s="23"/>
      <c r="P112" s="87"/>
      <c r="Q112" s="87"/>
      <c r="R112" s="23"/>
      <c r="S112" s="23"/>
      <c r="T112" s="87"/>
      <c r="U112" s="87"/>
      <c r="V112" s="23"/>
      <c r="W112" s="23"/>
      <c r="X112" s="87"/>
      <c r="Y112" s="87"/>
      <c r="Z112" s="23"/>
      <c r="AA112" s="23"/>
      <c r="AB112" s="87"/>
      <c r="AC112" s="87"/>
      <c r="AD112" s="23"/>
      <c r="AE112" s="23"/>
      <c r="AF112" s="87"/>
      <c r="AG112" s="87"/>
      <c r="AH112" s="23"/>
      <c r="AI112" s="23"/>
      <c r="AJ112" s="24"/>
      <c r="AK112" s="24"/>
      <c r="AL112" s="25"/>
      <c r="AM112" s="25"/>
      <c r="AN112" s="26"/>
      <c r="AO112" s="78"/>
      <c r="AP112" s="30"/>
      <c r="AQ112" s="28"/>
      <c r="AR112" s="32"/>
      <c r="AS112" s="29"/>
      <c r="AT112" s="29"/>
    </row>
    <row r="113" spans="1:46">
      <c r="A113" s="210" t="s">
        <v>217</v>
      </c>
      <c r="B113" s="87"/>
      <c r="C113" s="87"/>
      <c r="D113" s="87"/>
      <c r="E113" s="87"/>
      <c r="F113" s="23"/>
      <c r="G113" s="23"/>
      <c r="H113" s="87"/>
      <c r="I113" s="87"/>
      <c r="J113" s="23"/>
      <c r="K113" s="23"/>
      <c r="L113" s="87"/>
      <c r="M113" s="87"/>
      <c r="N113" s="23"/>
      <c r="O113" s="23"/>
      <c r="P113" s="87"/>
      <c r="Q113" s="87"/>
      <c r="R113" s="23"/>
      <c r="S113" s="23"/>
      <c r="T113" s="87"/>
      <c r="U113" s="87"/>
      <c r="V113" s="23"/>
      <c r="W113" s="23"/>
      <c r="X113" s="87"/>
      <c r="Y113" s="87"/>
      <c r="Z113" s="23"/>
      <c r="AA113" s="23"/>
      <c r="AB113" s="87"/>
      <c r="AC113" s="87"/>
      <c r="AD113" s="23"/>
      <c r="AE113" s="23"/>
      <c r="AF113" s="87"/>
      <c r="AG113" s="87"/>
      <c r="AH113" s="23"/>
      <c r="AI113" s="23"/>
      <c r="AJ113" s="24"/>
      <c r="AK113" s="24"/>
      <c r="AL113" s="25"/>
      <c r="AM113" s="25"/>
      <c r="AN113" s="26"/>
      <c r="AO113" s="78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6" t="s">
        <v>166</v>
      </c>
      <c r="B114" s="330">
        <v>7511812185.1700001</v>
      </c>
      <c r="C114" s="331">
        <v>101.31</v>
      </c>
      <c r="D114" s="330">
        <v>7511812185.1700001</v>
      </c>
      <c r="E114" s="331">
        <v>101.31</v>
      </c>
      <c r="F114" s="23">
        <f t="shared" ref="F114:G117" si="99">((D114-B114)/B114)</f>
        <v>0</v>
      </c>
      <c r="G114" s="23">
        <f t="shared" si="99"/>
        <v>0</v>
      </c>
      <c r="H114" s="330">
        <v>7511812185.1700001</v>
      </c>
      <c r="I114" s="331">
        <v>101.31</v>
      </c>
      <c r="J114" s="23">
        <f t="shared" ref="J114:K117" si="100">((H114-D114)/D114)</f>
        <v>0</v>
      </c>
      <c r="K114" s="23">
        <f t="shared" si="100"/>
        <v>0</v>
      </c>
      <c r="L114" s="330">
        <v>7511812185.1700001</v>
      </c>
      <c r="M114" s="331">
        <v>101.31</v>
      </c>
      <c r="N114" s="23">
        <f t="shared" ref="N114:O117" si="101">((L114-H114)/H114)</f>
        <v>0</v>
      </c>
      <c r="O114" s="23">
        <f t="shared" si="101"/>
        <v>0</v>
      </c>
      <c r="P114" s="330">
        <v>7511812185.1700001</v>
      </c>
      <c r="Q114" s="331">
        <v>101.31</v>
      </c>
      <c r="R114" s="23">
        <f t="shared" ref="R114:S117" si="102">((P114-L114)/L114)</f>
        <v>0</v>
      </c>
      <c r="S114" s="23">
        <f t="shared" si="102"/>
        <v>0</v>
      </c>
      <c r="T114" s="330">
        <v>7511812185.1700001</v>
      </c>
      <c r="U114" s="331">
        <v>101.31</v>
      </c>
      <c r="V114" s="23">
        <f t="shared" ref="V114:V117" si="103">((T114-P114)/P114)</f>
        <v>0</v>
      </c>
      <c r="W114" s="23">
        <f t="shared" ref="W114:W117" si="104">((U114-Q114)/Q114)</f>
        <v>0</v>
      </c>
      <c r="X114" s="330">
        <v>7511812185.1700001</v>
      </c>
      <c r="Y114" s="331">
        <v>101.68</v>
      </c>
      <c r="Z114" s="23">
        <f t="shared" ref="Z114:Z117" si="105">((X114-T114)/T114)</f>
        <v>0</v>
      </c>
      <c r="AA114" s="23">
        <f t="shared" ref="AA114:AA117" si="106">((Y114-U114)/U114)</f>
        <v>3.652156746619332E-3</v>
      </c>
      <c r="AB114" s="330">
        <v>54330953714</v>
      </c>
      <c r="AC114" s="331">
        <v>101.68</v>
      </c>
      <c r="AD114" s="23">
        <f t="shared" ref="AD114:AD117" si="107">((AB114-X114)/X114)</f>
        <v>6.2327359064250132</v>
      </c>
      <c r="AE114" s="23">
        <f t="shared" ref="AE114:AE117" si="108">((AC114-Y114)/Y114)</f>
        <v>0</v>
      </c>
      <c r="AF114" s="330">
        <v>54330953714</v>
      </c>
      <c r="AG114" s="331">
        <v>101.68</v>
      </c>
      <c r="AH114" s="23">
        <f t="shared" ref="AH114:AH117" si="109">((AF114-AB114)/AB114)</f>
        <v>0</v>
      </c>
      <c r="AI114" s="23">
        <f t="shared" ref="AI114:AI117" si="110">((AG114-AC114)/AC114)</f>
        <v>0</v>
      </c>
      <c r="AJ114" s="24">
        <f t="shared" si="54"/>
        <v>0.77909198830312665</v>
      </c>
      <c r="AK114" s="24">
        <f t="shared" si="55"/>
        <v>4.5651959332741651E-4</v>
      </c>
      <c r="AL114" s="25">
        <f t="shared" si="56"/>
        <v>6.2327359064250132</v>
      </c>
      <c r="AM114" s="25">
        <f t="shared" si="57"/>
        <v>3.652156746619332E-3</v>
      </c>
      <c r="AN114" s="26">
        <f t="shared" si="58"/>
        <v>2.2036049123890051</v>
      </c>
      <c r="AO114" s="78">
        <f t="shared" si="59"/>
        <v>1.2912324007453646E-3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6" t="s">
        <v>143</v>
      </c>
      <c r="B115" s="330">
        <v>2324740232.4000001</v>
      </c>
      <c r="C115" s="331">
        <v>77</v>
      </c>
      <c r="D115" s="330">
        <v>2329739480.9200001</v>
      </c>
      <c r="E115" s="331">
        <v>77</v>
      </c>
      <c r="F115" s="23">
        <f t="shared" si="99"/>
        <v>2.1504546832051379E-3</v>
      </c>
      <c r="G115" s="23">
        <f t="shared" si="99"/>
        <v>0</v>
      </c>
      <c r="H115" s="330">
        <v>2340365539.8699999</v>
      </c>
      <c r="I115" s="331">
        <v>77</v>
      </c>
      <c r="J115" s="23">
        <f t="shared" si="100"/>
        <v>4.5610502964063791E-3</v>
      </c>
      <c r="K115" s="23">
        <f t="shared" si="100"/>
        <v>0</v>
      </c>
      <c r="L115" s="330">
        <v>2341177154.25</v>
      </c>
      <c r="M115" s="331">
        <v>77</v>
      </c>
      <c r="N115" s="23">
        <f t="shared" si="101"/>
        <v>3.4678957888142426E-4</v>
      </c>
      <c r="O115" s="23">
        <f t="shared" si="101"/>
        <v>0</v>
      </c>
      <c r="P115" s="330">
        <v>2344656416.2600002</v>
      </c>
      <c r="Q115" s="331">
        <v>77</v>
      </c>
      <c r="R115" s="23">
        <f t="shared" si="102"/>
        <v>1.4861165049745312E-3</v>
      </c>
      <c r="S115" s="23">
        <f t="shared" si="102"/>
        <v>0</v>
      </c>
      <c r="T115" s="330">
        <v>2348893578.9000001</v>
      </c>
      <c r="U115" s="331">
        <v>77</v>
      </c>
      <c r="V115" s="23">
        <f t="shared" si="103"/>
        <v>1.8071571641010984E-3</v>
      </c>
      <c r="W115" s="23">
        <f t="shared" si="104"/>
        <v>0</v>
      </c>
      <c r="X115" s="330">
        <v>2352866820.48</v>
      </c>
      <c r="Y115" s="331">
        <v>77</v>
      </c>
      <c r="Z115" s="23">
        <f t="shared" si="105"/>
        <v>1.6915375033127787E-3</v>
      </c>
      <c r="AA115" s="23">
        <f t="shared" si="106"/>
        <v>0</v>
      </c>
      <c r="AB115" s="330">
        <v>2359826154.1500001</v>
      </c>
      <c r="AC115" s="331">
        <v>77</v>
      </c>
      <c r="AD115" s="23">
        <f t="shared" si="107"/>
        <v>2.9578102803882148E-3</v>
      </c>
      <c r="AE115" s="23">
        <f t="shared" si="108"/>
        <v>0</v>
      </c>
      <c r="AF115" s="330">
        <v>2364368561.3600001</v>
      </c>
      <c r="AG115" s="331">
        <v>77</v>
      </c>
      <c r="AH115" s="23">
        <f t="shared" si="109"/>
        <v>1.9248906119680646E-3</v>
      </c>
      <c r="AI115" s="23">
        <f t="shared" si="110"/>
        <v>0</v>
      </c>
      <c r="AJ115" s="24">
        <f t="shared" si="54"/>
        <v>2.1157258279047033E-3</v>
      </c>
      <c r="AK115" s="24">
        <f t="shared" si="55"/>
        <v>0</v>
      </c>
      <c r="AL115" s="25">
        <f t="shared" si="56"/>
        <v>1.4863928230432547E-2</v>
      </c>
      <c r="AM115" s="25">
        <f t="shared" si="57"/>
        <v>0</v>
      </c>
      <c r="AN115" s="26">
        <f t="shared" si="58"/>
        <v>1.2263206212097754E-3</v>
      </c>
      <c r="AO115" s="78">
        <f t="shared" si="59"/>
        <v>0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6" t="s">
        <v>21</v>
      </c>
      <c r="B116" s="330">
        <v>10103642798.32</v>
      </c>
      <c r="C116" s="331">
        <v>36.6</v>
      </c>
      <c r="D116" s="330">
        <v>10105268488.299999</v>
      </c>
      <c r="E116" s="331">
        <v>36.6</v>
      </c>
      <c r="F116" s="23">
        <f t="shared" si="99"/>
        <v>1.6090137116385949E-4</v>
      </c>
      <c r="G116" s="23">
        <f t="shared" si="99"/>
        <v>0</v>
      </c>
      <c r="H116" s="330">
        <v>10133565491.77</v>
      </c>
      <c r="I116" s="331">
        <v>36.6</v>
      </c>
      <c r="J116" s="23">
        <f t="shared" si="100"/>
        <v>2.8002228246348754E-3</v>
      </c>
      <c r="K116" s="23">
        <f t="shared" si="100"/>
        <v>0</v>
      </c>
      <c r="L116" s="330">
        <v>10148918090.66</v>
      </c>
      <c r="M116" s="331">
        <v>36.6</v>
      </c>
      <c r="N116" s="23">
        <f t="shared" si="101"/>
        <v>1.5150243912143303E-3</v>
      </c>
      <c r="O116" s="23">
        <f t="shared" si="101"/>
        <v>0</v>
      </c>
      <c r="P116" s="330">
        <v>10154946927.15</v>
      </c>
      <c r="Q116" s="331">
        <v>36.6</v>
      </c>
      <c r="R116" s="23">
        <f t="shared" si="102"/>
        <v>5.9403735808529975E-4</v>
      </c>
      <c r="S116" s="23">
        <f t="shared" si="102"/>
        <v>0</v>
      </c>
      <c r="T116" s="330">
        <v>10179097473.139999</v>
      </c>
      <c r="U116" s="331">
        <v>36.6</v>
      </c>
      <c r="V116" s="23">
        <f t="shared" si="103"/>
        <v>2.378205042650839E-3</v>
      </c>
      <c r="W116" s="23">
        <f t="shared" si="104"/>
        <v>0</v>
      </c>
      <c r="X116" s="330">
        <v>10188447956.73</v>
      </c>
      <c r="Y116" s="331">
        <v>36.6</v>
      </c>
      <c r="Z116" s="23">
        <f t="shared" si="105"/>
        <v>9.1859652731233349E-4</v>
      </c>
      <c r="AA116" s="23">
        <f t="shared" si="106"/>
        <v>0</v>
      </c>
      <c r="AB116" s="330">
        <v>10204268194.49</v>
      </c>
      <c r="AC116" s="331">
        <v>36.6</v>
      </c>
      <c r="AD116" s="23">
        <f t="shared" si="107"/>
        <v>1.5527622879547753E-3</v>
      </c>
      <c r="AE116" s="23">
        <f t="shared" si="108"/>
        <v>0</v>
      </c>
      <c r="AF116" s="330">
        <v>10224711101.32</v>
      </c>
      <c r="AG116" s="331">
        <v>36.6</v>
      </c>
      <c r="AH116" s="23">
        <f t="shared" si="109"/>
        <v>2.0033682416381884E-3</v>
      </c>
      <c r="AI116" s="23">
        <f t="shared" si="110"/>
        <v>0</v>
      </c>
      <c r="AJ116" s="24">
        <f t="shared" si="54"/>
        <v>1.4903897555818128E-3</v>
      </c>
      <c r="AK116" s="24">
        <f t="shared" si="55"/>
        <v>0</v>
      </c>
      <c r="AL116" s="25">
        <f t="shared" si="56"/>
        <v>1.1819835678615817E-2</v>
      </c>
      <c r="AM116" s="25">
        <f t="shared" si="57"/>
        <v>0</v>
      </c>
      <c r="AN116" s="26">
        <f t="shared" si="58"/>
        <v>8.9995692425941904E-4</v>
      </c>
      <c r="AO116" s="78">
        <f t="shared" si="59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6" t="s">
        <v>186</v>
      </c>
      <c r="B117" s="330">
        <v>26502288426.880001</v>
      </c>
      <c r="C117" s="331">
        <v>9.93</v>
      </c>
      <c r="D117" s="330">
        <v>26501317592.720001</v>
      </c>
      <c r="E117" s="331">
        <v>9.93</v>
      </c>
      <c r="F117" s="23">
        <f t="shared" si="99"/>
        <v>-3.6632087930005952E-5</v>
      </c>
      <c r="G117" s="23">
        <f t="shared" si="99"/>
        <v>0</v>
      </c>
      <c r="H117" s="330">
        <v>26518692064.02</v>
      </c>
      <c r="I117" s="331">
        <v>3.15</v>
      </c>
      <c r="J117" s="23">
        <f t="shared" si="100"/>
        <v>6.5560782927910199E-4</v>
      </c>
      <c r="K117" s="23">
        <f t="shared" si="100"/>
        <v>-0.68277945619335345</v>
      </c>
      <c r="L117" s="330">
        <v>26545649172.029999</v>
      </c>
      <c r="M117" s="331">
        <v>3.2</v>
      </c>
      <c r="N117" s="23">
        <f t="shared" si="101"/>
        <v>1.016532336697448E-3</v>
      </c>
      <c r="O117" s="23">
        <f t="shared" si="101"/>
        <v>1.5873015873015959E-2</v>
      </c>
      <c r="P117" s="330">
        <v>26550833017.650002</v>
      </c>
      <c r="Q117" s="331">
        <v>3.3</v>
      </c>
      <c r="R117" s="23">
        <f t="shared" si="102"/>
        <v>1.9528042378653675E-4</v>
      </c>
      <c r="S117" s="23">
        <f t="shared" si="102"/>
        <v>3.1249999999999889E-2</v>
      </c>
      <c r="T117" s="330">
        <v>27163422055.529999</v>
      </c>
      <c r="U117" s="331">
        <v>3.15</v>
      </c>
      <c r="V117" s="23">
        <f t="shared" si="103"/>
        <v>2.3072309538189291E-2</v>
      </c>
      <c r="W117" s="23">
        <f t="shared" si="104"/>
        <v>-4.5454545454545428E-2</v>
      </c>
      <c r="X117" s="330">
        <v>27163422055.529999</v>
      </c>
      <c r="Y117" s="331">
        <v>3.15</v>
      </c>
      <c r="Z117" s="23">
        <f t="shared" si="105"/>
        <v>0</v>
      </c>
      <c r="AA117" s="23">
        <f t="shared" si="106"/>
        <v>0</v>
      </c>
      <c r="AB117" s="330">
        <v>27268732309.669998</v>
      </c>
      <c r="AC117" s="331">
        <v>3.15</v>
      </c>
      <c r="AD117" s="23">
        <f t="shared" si="107"/>
        <v>3.876914106209238E-3</v>
      </c>
      <c r="AE117" s="23">
        <f t="shared" si="108"/>
        <v>0</v>
      </c>
      <c r="AF117" s="330">
        <v>27273204629.889999</v>
      </c>
      <c r="AG117" s="331">
        <v>3.35</v>
      </c>
      <c r="AH117" s="23">
        <f t="shared" si="109"/>
        <v>1.640090991107516E-4</v>
      </c>
      <c r="AI117" s="23">
        <f t="shared" si="110"/>
        <v>6.3492063492063544E-2</v>
      </c>
      <c r="AJ117" s="24">
        <f t="shared" si="54"/>
        <v>3.6180026556677952E-3</v>
      </c>
      <c r="AK117" s="24">
        <f t="shared" si="55"/>
        <v>-7.7202365285352431E-2</v>
      </c>
      <c r="AL117" s="25">
        <f t="shared" si="56"/>
        <v>2.9126364546570246E-2</v>
      </c>
      <c r="AM117" s="25">
        <f t="shared" si="57"/>
        <v>-0.66263846928499504</v>
      </c>
      <c r="AN117" s="26">
        <f t="shared" si="58"/>
        <v>7.9657473834387239E-3</v>
      </c>
      <c r="AO117" s="78">
        <f t="shared" si="59"/>
        <v>0.24664376193679247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8" t="s">
        <v>42</v>
      </c>
      <c r="B118" s="70">
        <f>SUM(B114:B117)</f>
        <v>46442483642.770004</v>
      </c>
      <c r="C118" s="87"/>
      <c r="D118" s="70">
        <f>SUM(D114:D117)</f>
        <v>46448137747.110001</v>
      </c>
      <c r="E118" s="87"/>
      <c r="F118" s="23">
        <f>((D118-B118)/B118)</f>
        <v>1.217442284845709E-4</v>
      </c>
      <c r="G118" s="23"/>
      <c r="H118" s="70">
        <f>SUM(H114:H117)</f>
        <v>46504435280.830002</v>
      </c>
      <c r="I118" s="87"/>
      <c r="J118" s="23">
        <f>((H118-D118)/D118)</f>
        <v>1.212051471826856E-3</v>
      </c>
      <c r="K118" s="23"/>
      <c r="L118" s="70">
        <f>SUM(L114:L117)</f>
        <v>46547556602.110001</v>
      </c>
      <c r="M118" s="87"/>
      <c r="N118" s="23">
        <f>((L118-H118)/H118)</f>
        <v>9.2725179909397147E-4</v>
      </c>
      <c r="O118" s="23"/>
      <c r="P118" s="70">
        <f>SUM(P114:P117)</f>
        <v>46562248546.230003</v>
      </c>
      <c r="Q118" s="87"/>
      <c r="R118" s="23">
        <f>((P118-L118)/L118)</f>
        <v>3.1563298253418443E-4</v>
      </c>
      <c r="S118" s="23"/>
      <c r="T118" s="70">
        <f>SUM(T114:T117)</f>
        <v>47203225292.739998</v>
      </c>
      <c r="U118" s="87"/>
      <c r="V118" s="23">
        <f>((T118-P118)/P118)</f>
        <v>1.3766017890514704E-2</v>
      </c>
      <c r="W118" s="23"/>
      <c r="X118" s="70">
        <f>SUM(X114:X117)</f>
        <v>47216549017.909996</v>
      </c>
      <c r="Y118" s="87"/>
      <c r="Z118" s="23">
        <f>((X118-T118)/T118)</f>
        <v>2.8226302519305602E-4</v>
      </c>
      <c r="AA118" s="23"/>
      <c r="AB118" s="70">
        <f>SUM(AB114:AB117)</f>
        <v>94163780372.309998</v>
      </c>
      <c r="AC118" s="87"/>
      <c r="AD118" s="23">
        <f>((AB118-X118)/X118)</f>
        <v>0.99429611716417821</v>
      </c>
      <c r="AE118" s="23"/>
      <c r="AF118" s="70">
        <f>SUM(AF114:AF117)</f>
        <v>94193238006.570007</v>
      </c>
      <c r="AG118" s="87"/>
      <c r="AH118" s="23">
        <f>((AF118-AB118)/AB118)</f>
        <v>3.128340232681667E-4</v>
      </c>
      <c r="AI118" s="23"/>
      <c r="AJ118" s="24">
        <f t="shared" si="54"/>
        <v>0.12640423907313669</v>
      </c>
      <c r="AK118" s="24"/>
      <c r="AL118" s="25">
        <f t="shared" si="56"/>
        <v>1.0279228097240714</v>
      </c>
      <c r="AM118" s="25"/>
      <c r="AN118" s="26">
        <f t="shared" si="58"/>
        <v>0.35071205923685789</v>
      </c>
      <c r="AO118" s="78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75" customFormat="1" ht="7.5" customHeight="1">
      <c r="A119" s="208"/>
      <c r="B119" s="70"/>
      <c r="C119" s="87"/>
      <c r="D119" s="70"/>
      <c r="E119" s="87"/>
      <c r="F119" s="23"/>
      <c r="G119" s="23"/>
      <c r="H119" s="70"/>
      <c r="I119" s="87"/>
      <c r="J119" s="23"/>
      <c r="K119" s="23"/>
      <c r="L119" s="70"/>
      <c r="M119" s="87"/>
      <c r="N119" s="23"/>
      <c r="O119" s="23"/>
      <c r="P119" s="70"/>
      <c r="Q119" s="87"/>
      <c r="R119" s="23"/>
      <c r="S119" s="23"/>
      <c r="T119" s="70"/>
      <c r="U119" s="87"/>
      <c r="V119" s="23"/>
      <c r="W119" s="23"/>
      <c r="X119" s="70"/>
      <c r="Y119" s="87"/>
      <c r="Z119" s="23"/>
      <c r="AA119" s="23"/>
      <c r="AB119" s="87"/>
      <c r="AC119" s="87"/>
      <c r="AD119" s="23"/>
      <c r="AE119" s="23"/>
      <c r="AF119" s="87"/>
      <c r="AG119" s="87"/>
      <c r="AH119" s="23"/>
      <c r="AI119" s="23"/>
      <c r="AJ119" s="24"/>
      <c r="AK119" s="24"/>
      <c r="AL119" s="25"/>
      <c r="AM119" s="25"/>
      <c r="AN119" s="26"/>
      <c r="AO119" s="78"/>
      <c r="AP119" s="30"/>
      <c r="AQ119" s="28"/>
      <c r="AR119" s="32"/>
      <c r="AS119" s="29"/>
      <c r="AT119" s="29"/>
    </row>
    <row r="120" spans="1:46">
      <c r="A120" s="210" t="s">
        <v>226</v>
      </c>
      <c r="B120" s="87"/>
      <c r="C120" s="87"/>
      <c r="D120" s="87"/>
      <c r="E120" s="87"/>
      <c r="F120" s="23"/>
      <c r="G120" s="23"/>
      <c r="H120" s="87"/>
      <c r="I120" s="87"/>
      <c r="J120" s="23"/>
      <c r="K120" s="23"/>
      <c r="L120" s="87"/>
      <c r="M120" s="87"/>
      <c r="N120" s="23"/>
      <c r="O120" s="23"/>
      <c r="P120" s="87"/>
      <c r="Q120" s="87"/>
      <c r="R120" s="23"/>
      <c r="S120" s="23"/>
      <c r="T120" s="87"/>
      <c r="U120" s="87"/>
      <c r="V120" s="23"/>
      <c r="W120" s="23"/>
      <c r="X120" s="87"/>
      <c r="Y120" s="87"/>
      <c r="Z120" s="23"/>
      <c r="AA120" s="23"/>
      <c r="AB120" s="87"/>
      <c r="AC120" s="87"/>
      <c r="AD120" s="23"/>
      <c r="AE120" s="23"/>
      <c r="AF120" s="87"/>
      <c r="AG120" s="87"/>
      <c r="AH120" s="23"/>
      <c r="AI120" s="23"/>
      <c r="AJ120" s="24"/>
      <c r="AK120" s="24"/>
      <c r="AL120" s="25"/>
      <c r="AM120" s="25"/>
      <c r="AN120" s="26"/>
      <c r="AO120" s="78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5" customFormat="1">
      <c r="A121" s="206" t="s">
        <v>118</v>
      </c>
      <c r="B121" s="329">
        <v>172001524.68000001</v>
      </c>
      <c r="C121" s="329">
        <v>3.92</v>
      </c>
      <c r="D121" s="329">
        <v>172731006.96000001</v>
      </c>
      <c r="E121" s="329">
        <v>3.94</v>
      </c>
      <c r="F121" s="23">
        <f t="shared" ref="F121:F144" si="111">((D121-B121)/B121)</f>
        <v>4.2411384512850425E-3</v>
      </c>
      <c r="G121" s="23">
        <f t="shared" ref="G121:G144" si="112">((E121-C121)/C121)</f>
        <v>5.1020408163265354E-3</v>
      </c>
      <c r="H121" s="329">
        <v>173678190.16999999</v>
      </c>
      <c r="I121" s="329">
        <v>3.96</v>
      </c>
      <c r="J121" s="23">
        <f t="shared" ref="J121:J144" si="113">((H121-D121)/D121)</f>
        <v>5.4835737177131227E-3</v>
      </c>
      <c r="K121" s="23">
        <f t="shared" ref="K121:K144" si="114">((I121-E121)/E121)</f>
        <v>5.0761421319797002E-3</v>
      </c>
      <c r="L121" s="329">
        <v>171101927.94999999</v>
      </c>
      <c r="M121" s="329">
        <v>3.9</v>
      </c>
      <c r="N121" s="23">
        <f t="shared" ref="N121:N144" si="115">((L121-H121)/H121)</f>
        <v>-1.4833539072915819E-2</v>
      </c>
      <c r="O121" s="23">
        <f t="shared" ref="O121:O144" si="116">((M121-I121)/I121)</f>
        <v>-1.5151515151515166E-2</v>
      </c>
      <c r="P121" s="329">
        <v>170294462.5</v>
      </c>
      <c r="Q121" s="329">
        <v>3.88</v>
      </c>
      <c r="R121" s="23">
        <f t="shared" ref="R121:R144" si="117">((P121-L121)/L121)</f>
        <v>-4.7192071981558767E-3</v>
      </c>
      <c r="S121" s="23">
        <f t="shared" ref="S121:S144" si="118">((Q121-M121)/M121)</f>
        <v>-5.1282051282051325E-3</v>
      </c>
      <c r="T121" s="329">
        <v>168710246.75</v>
      </c>
      <c r="U121" s="329">
        <v>3.85</v>
      </c>
      <c r="V121" s="23">
        <f t="shared" ref="V121:V131" si="119">((T121-P121)/P121)</f>
        <v>-9.3028024913023814E-3</v>
      </c>
      <c r="W121" s="23">
        <f t="shared" ref="W121:W131" si="120">((U121-Q121)/Q121)</f>
        <v>-7.7319587628865479E-3</v>
      </c>
      <c r="X121" s="329">
        <v>170773706.19</v>
      </c>
      <c r="Y121" s="329">
        <v>3.89</v>
      </c>
      <c r="Z121" s="23">
        <f t="shared" ref="Z121:Z131" si="121">((X121-T121)/T121)</f>
        <v>1.2230789058460064E-2</v>
      </c>
      <c r="AA121" s="23">
        <f t="shared" ref="AA121:AA131" si="122">((Y121-U121)/U121)</f>
        <v>1.0389610389610398E-2</v>
      </c>
      <c r="AB121" s="329">
        <v>171476888.66999999</v>
      </c>
      <c r="AC121" s="329">
        <v>3.91</v>
      </c>
      <c r="AD121" s="23">
        <f t="shared" ref="AD121:AD131" si="123">((AB121-X121)/X121)</f>
        <v>4.1176273308587688E-3</v>
      </c>
      <c r="AE121" s="23">
        <f t="shared" ref="AE121:AE131" si="124">((AC121-Y121)/Y121)</f>
        <v>5.1413881748072028E-3</v>
      </c>
      <c r="AF121" s="329">
        <v>171930951.83000001</v>
      </c>
      <c r="AG121" s="329">
        <v>3.92</v>
      </c>
      <c r="AH121" s="23">
        <f t="shared" ref="AH121:AH131" si="125">((AF121-AB121)/AB121)</f>
        <v>2.6479554389037905E-3</v>
      </c>
      <c r="AI121" s="23">
        <f t="shared" ref="AI121:AI131" si="126">((AG121-AC121)/AC121)</f>
        <v>2.5575447570331936E-3</v>
      </c>
      <c r="AJ121" s="24">
        <f t="shared" si="54"/>
        <v>-1.6808095644160769E-5</v>
      </c>
      <c r="AK121" s="24">
        <f t="shared" si="55"/>
        <v>3.1880903393773118E-5</v>
      </c>
      <c r="AL121" s="25">
        <f t="shared" si="56"/>
        <v>-4.6317979850905812E-3</v>
      </c>
      <c r="AM121" s="25">
        <f t="shared" si="57"/>
        <v>-5.0761421319797002E-3</v>
      </c>
      <c r="AN121" s="26">
        <f t="shared" si="58"/>
        <v>8.8677604840532876E-3</v>
      </c>
      <c r="AO121" s="78">
        <f t="shared" si="59"/>
        <v>8.5218953746067604E-3</v>
      </c>
      <c r="AP121" s="30"/>
      <c r="AQ121" s="28"/>
      <c r="AR121" s="32"/>
      <c r="AS121" s="29"/>
      <c r="AT121" s="29"/>
    </row>
    <row r="122" spans="1:46" s="105" customFormat="1">
      <c r="A122" s="206" t="s">
        <v>158</v>
      </c>
      <c r="B122" s="329">
        <v>4974734439.8800001</v>
      </c>
      <c r="C122" s="329">
        <v>564.27769999999998</v>
      </c>
      <c r="D122" s="329">
        <v>4978111331.3400002</v>
      </c>
      <c r="E122" s="329">
        <v>564.47370000000001</v>
      </c>
      <c r="F122" s="23">
        <f t="shared" si="111"/>
        <v>6.7880838682144709E-4</v>
      </c>
      <c r="G122" s="23">
        <f t="shared" si="112"/>
        <v>3.4734670535452029E-4</v>
      </c>
      <c r="H122" s="329">
        <v>4973999318.1199999</v>
      </c>
      <c r="I122" s="329">
        <v>563.76959999999997</v>
      </c>
      <c r="J122" s="23">
        <f t="shared" si="113"/>
        <v>-8.2601873407547953E-4</v>
      </c>
      <c r="K122" s="23">
        <f t="shared" si="114"/>
        <v>-1.2473566084656193E-3</v>
      </c>
      <c r="L122" s="329">
        <v>4918914713.4399996</v>
      </c>
      <c r="M122" s="329">
        <v>557.14210000000003</v>
      </c>
      <c r="N122" s="23">
        <f t="shared" si="115"/>
        <v>-1.1074509897765806E-2</v>
      </c>
      <c r="O122" s="23">
        <f t="shared" si="116"/>
        <v>-1.1755688848777836E-2</v>
      </c>
      <c r="P122" s="329">
        <v>4869590487.46</v>
      </c>
      <c r="Q122" s="329">
        <v>552.24419999999998</v>
      </c>
      <c r="R122" s="23">
        <f t="shared" si="117"/>
        <v>-1.002746110747366E-2</v>
      </c>
      <c r="S122" s="23">
        <f t="shared" si="118"/>
        <v>-8.7911145110018598E-3</v>
      </c>
      <c r="T122" s="329">
        <v>4863334664.6599998</v>
      </c>
      <c r="U122" s="329">
        <v>551.76990000000001</v>
      </c>
      <c r="V122" s="23">
        <f t="shared" si="119"/>
        <v>-1.2846712297697245E-3</v>
      </c>
      <c r="W122" s="23">
        <f t="shared" si="120"/>
        <v>-8.5885917860245716E-4</v>
      </c>
      <c r="X122" s="329">
        <v>4908955750.3999996</v>
      </c>
      <c r="Y122" s="329">
        <v>556.91679999999997</v>
      </c>
      <c r="Z122" s="23">
        <f t="shared" si="121"/>
        <v>9.3806182148045078E-3</v>
      </c>
      <c r="AA122" s="23">
        <f t="shared" si="122"/>
        <v>9.3279825521471165E-3</v>
      </c>
      <c r="AB122" s="329">
        <v>4938418482.0100002</v>
      </c>
      <c r="AC122" s="329">
        <v>559.78129999999999</v>
      </c>
      <c r="AD122" s="23">
        <f t="shared" si="123"/>
        <v>6.0018327946019636E-3</v>
      </c>
      <c r="AE122" s="23">
        <f t="shared" si="124"/>
        <v>5.1434971974270143E-3</v>
      </c>
      <c r="AF122" s="329">
        <v>4935775290.6000004</v>
      </c>
      <c r="AG122" s="329">
        <v>559.86249999999995</v>
      </c>
      <c r="AH122" s="23">
        <f t="shared" si="125"/>
        <v>-5.3523034137925758E-4</v>
      </c>
      <c r="AI122" s="23">
        <f t="shared" si="126"/>
        <v>1.4505664980228364E-4</v>
      </c>
      <c r="AJ122" s="24">
        <f t="shared" si="54"/>
        <v>-9.6082898927950125E-4</v>
      </c>
      <c r="AK122" s="24">
        <f t="shared" si="55"/>
        <v>-9.6114200526460452E-4</v>
      </c>
      <c r="AL122" s="25">
        <f t="shared" si="56"/>
        <v>-8.5044383144809704E-3</v>
      </c>
      <c r="AM122" s="25">
        <f t="shared" si="57"/>
        <v>-8.169025412521529E-3</v>
      </c>
      <c r="AN122" s="26">
        <f t="shared" si="58"/>
        <v>6.9990523992564911E-3</v>
      </c>
      <c r="AO122" s="78">
        <f t="shared" si="59"/>
        <v>6.8032724656844389E-3</v>
      </c>
      <c r="AP122" s="30"/>
      <c r="AQ122" s="28"/>
      <c r="AR122" s="32"/>
      <c r="AS122" s="29"/>
      <c r="AT122" s="29"/>
    </row>
    <row r="123" spans="1:46" s="375" customFormat="1">
      <c r="A123" s="206" t="s">
        <v>246</v>
      </c>
      <c r="B123" s="329">
        <v>2646892579.3899999</v>
      </c>
      <c r="C123" s="329">
        <v>14.7103</v>
      </c>
      <c r="D123" s="329">
        <v>2649688853.8699999</v>
      </c>
      <c r="E123" s="329">
        <v>14.6698</v>
      </c>
      <c r="F123" s="23">
        <f t="shared" si="111"/>
        <v>1.0564367068664514E-3</v>
      </c>
      <c r="G123" s="23">
        <f t="shared" si="112"/>
        <v>-2.7531729468467507E-3</v>
      </c>
      <c r="H123" s="329">
        <v>2652855180.1700001</v>
      </c>
      <c r="I123" s="329">
        <v>14.6122</v>
      </c>
      <c r="J123" s="23">
        <f t="shared" ref="J123" si="127">((H123-D123)/D123)</f>
        <v>1.1949804202012687E-3</v>
      </c>
      <c r="K123" s="23">
        <f t="shared" ref="K123" si="128">((I123-E123)/E123)</f>
        <v>-3.9264338982127065E-3</v>
      </c>
      <c r="L123" s="329">
        <v>2653239570.73</v>
      </c>
      <c r="M123" s="329">
        <v>14.7095</v>
      </c>
      <c r="N123" s="23">
        <f t="shared" ref="N123" si="129">((L123-H123)/H123)</f>
        <v>1.4489692572487514E-4</v>
      </c>
      <c r="O123" s="23">
        <f t="shared" ref="O123" si="130">((M123-I123)/I123)</f>
        <v>6.6588193427410394E-3</v>
      </c>
      <c r="P123" s="329">
        <v>2650665377.96</v>
      </c>
      <c r="Q123" s="329">
        <v>14.694599999999999</v>
      </c>
      <c r="R123" s="23">
        <f t="shared" ref="R123" si="131">((P123-L123)/L123)</f>
        <v>-9.7020743938766509E-4</v>
      </c>
      <c r="S123" s="23">
        <f t="shared" ref="S123" si="132">((Q123-M123)/M123)</f>
        <v>-1.0129508140997859E-3</v>
      </c>
      <c r="T123" s="329">
        <v>2649526940.52</v>
      </c>
      <c r="U123" s="329">
        <v>14.6632</v>
      </c>
      <c r="V123" s="23">
        <f t="shared" si="119"/>
        <v>-4.2949119472644233E-4</v>
      </c>
      <c r="W123" s="23">
        <f t="shared" si="120"/>
        <v>-2.1368393831747478E-3</v>
      </c>
      <c r="X123" s="329">
        <v>2681164804.3800001</v>
      </c>
      <c r="Y123" s="329">
        <v>14.798400000000001</v>
      </c>
      <c r="Z123" s="23">
        <f t="shared" si="121"/>
        <v>1.1940948165558506E-2</v>
      </c>
      <c r="AA123" s="23">
        <f t="shared" si="122"/>
        <v>9.2203611762781048E-3</v>
      </c>
      <c r="AB123" s="329">
        <v>2697991011.23</v>
      </c>
      <c r="AC123" s="329">
        <v>14.9048</v>
      </c>
      <c r="AD123" s="23">
        <f t="shared" si="123"/>
        <v>6.2757077903276602E-3</v>
      </c>
      <c r="AE123" s="23">
        <f t="shared" si="124"/>
        <v>7.1899664828629405E-3</v>
      </c>
      <c r="AF123" s="329">
        <v>2699776971.6500001</v>
      </c>
      <c r="AG123" s="329">
        <v>14.969200000000001</v>
      </c>
      <c r="AH123" s="23">
        <f t="shared" si="125"/>
        <v>6.6195936627152304E-4</v>
      </c>
      <c r="AI123" s="23">
        <f t="shared" si="126"/>
        <v>4.3207557296978758E-3</v>
      </c>
      <c r="AJ123" s="24">
        <f t="shared" si="54"/>
        <v>2.4844038426045222E-3</v>
      </c>
      <c r="AK123" s="24">
        <f t="shared" si="55"/>
        <v>2.1950632111557462E-3</v>
      </c>
      <c r="AL123" s="25">
        <f t="shared" si="56"/>
        <v>1.890339603717775E-2</v>
      </c>
      <c r="AM123" s="25">
        <f t="shared" si="57"/>
        <v>2.040927620008455E-2</v>
      </c>
      <c r="AN123" s="26">
        <f t="shared" si="58"/>
        <v>4.4194640745020284E-3</v>
      </c>
      <c r="AO123" s="78">
        <f t="shared" si="59"/>
        <v>5.2066174883025809E-3</v>
      </c>
      <c r="AP123" s="30"/>
      <c r="AQ123" s="28"/>
      <c r="AR123" s="32"/>
      <c r="AS123" s="29"/>
      <c r="AT123" s="29"/>
    </row>
    <row r="124" spans="1:46">
      <c r="A124" s="206" t="s">
        <v>146</v>
      </c>
      <c r="B124" s="330">
        <v>1047028699.78</v>
      </c>
      <c r="C124" s="329">
        <v>2.4295</v>
      </c>
      <c r="D124" s="330">
        <v>1050592113.49</v>
      </c>
      <c r="E124" s="329">
        <v>2.4378000000000002</v>
      </c>
      <c r="F124" s="23">
        <f t="shared" si="111"/>
        <v>3.4033581990147712E-3</v>
      </c>
      <c r="G124" s="23">
        <f t="shared" si="112"/>
        <v>3.416340810866514E-3</v>
      </c>
      <c r="H124" s="330">
        <v>1031192765.14</v>
      </c>
      <c r="I124" s="329">
        <v>2.4527999999999999</v>
      </c>
      <c r="J124" s="23">
        <f t="shared" si="113"/>
        <v>-1.8465157029931078E-2</v>
      </c>
      <c r="K124" s="23">
        <f t="shared" si="114"/>
        <v>6.1530888506028713E-3</v>
      </c>
      <c r="L124" s="330">
        <v>1013844367.62</v>
      </c>
      <c r="M124" s="329">
        <v>2.4114</v>
      </c>
      <c r="N124" s="23">
        <f t="shared" si="115"/>
        <v>-1.6823622223187992E-2</v>
      </c>
      <c r="O124" s="23">
        <f t="shared" si="116"/>
        <v>-1.6878669275929504E-2</v>
      </c>
      <c r="P124" s="330">
        <v>1008347071.5599999</v>
      </c>
      <c r="Q124" s="329">
        <v>2.3980999999999999</v>
      </c>
      <c r="R124" s="23">
        <f t="shared" si="117"/>
        <v>-5.4222287321129634E-3</v>
      </c>
      <c r="S124" s="23">
        <f t="shared" si="118"/>
        <v>-5.5154681927511362E-3</v>
      </c>
      <c r="T124" s="330">
        <v>1012602240.15</v>
      </c>
      <c r="U124" s="329">
        <v>2.4079000000000002</v>
      </c>
      <c r="V124" s="23">
        <f t="shared" si="119"/>
        <v>4.2199444120137328E-3</v>
      </c>
      <c r="W124" s="23">
        <f t="shared" si="120"/>
        <v>4.0865685334223979E-3</v>
      </c>
      <c r="X124" s="330">
        <v>1012602240.15</v>
      </c>
      <c r="Y124" s="329">
        <v>2.4079000000000002</v>
      </c>
      <c r="Z124" s="23">
        <f t="shared" si="121"/>
        <v>0</v>
      </c>
      <c r="AA124" s="23">
        <f t="shared" si="122"/>
        <v>0</v>
      </c>
      <c r="AB124" s="330">
        <v>1032654596.37</v>
      </c>
      <c r="AC124" s="329">
        <v>2.4561000000000002</v>
      </c>
      <c r="AD124" s="23">
        <f t="shared" si="123"/>
        <v>1.9802796621336341E-2</v>
      </c>
      <c r="AE124" s="23">
        <f t="shared" si="124"/>
        <v>2.0017442584824959E-2</v>
      </c>
      <c r="AF124" s="330">
        <v>1047558751.25</v>
      </c>
      <c r="AG124" s="329">
        <v>2.4914000000000001</v>
      </c>
      <c r="AH124" s="23">
        <f t="shared" si="125"/>
        <v>1.4432855799404043E-2</v>
      </c>
      <c r="AI124" s="23">
        <f t="shared" si="126"/>
        <v>1.4372378974797395E-2</v>
      </c>
      <c r="AJ124" s="24">
        <f t="shared" si="54"/>
        <v>1.4349338081710654E-4</v>
      </c>
      <c r="AK124" s="24">
        <f t="shared" si="55"/>
        <v>3.2064602857291872E-3</v>
      </c>
      <c r="AL124" s="25">
        <f t="shared" si="56"/>
        <v>-2.8872882263730054E-3</v>
      </c>
      <c r="AM124" s="25">
        <f t="shared" si="57"/>
        <v>2.198703749282134E-2</v>
      </c>
      <c r="AN124" s="26">
        <f t="shared" si="58"/>
        <v>1.353873273713444E-2</v>
      </c>
      <c r="AO124" s="78">
        <f t="shared" si="59"/>
        <v>1.1380145490844467E-2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6" t="s">
        <v>276</v>
      </c>
      <c r="B125" s="330">
        <v>2325537171.3157201</v>
      </c>
      <c r="C125" s="329">
        <v>4390.9135297029998</v>
      </c>
      <c r="D125" s="330">
        <v>2334194556.6071301</v>
      </c>
      <c r="E125" s="329">
        <v>4406.1711271848098</v>
      </c>
      <c r="F125" s="23">
        <f t="shared" si="111"/>
        <v>3.7227464682974202E-3</v>
      </c>
      <c r="G125" s="23">
        <f t="shared" si="112"/>
        <v>3.4748116487828217E-3</v>
      </c>
      <c r="H125" s="330">
        <v>2355807176.3098302</v>
      </c>
      <c r="I125" s="329">
        <v>4442.8573026631802</v>
      </c>
      <c r="J125" s="23">
        <f t="shared" si="113"/>
        <v>9.2591337947917993E-3</v>
      </c>
      <c r="K125" s="23">
        <f t="shared" si="114"/>
        <v>8.3260895728781894E-3</v>
      </c>
      <c r="L125" s="330">
        <v>2348018832.5989199</v>
      </c>
      <c r="M125" s="329">
        <v>4430.2352936403504</v>
      </c>
      <c r="N125" s="23">
        <f t="shared" si="115"/>
        <v>-3.3060191806997094E-3</v>
      </c>
      <c r="O125" s="23">
        <f t="shared" si="116"/>
        <v>-2.8409665588997957E-3</v>
      </c>
      <c r="P125" s="330">
        <v>2336337596.4126301</v>
      </c>
      <c r="Q125" s="329">
        <v>4408.0639662127296</v>
      </c>
      <c r="R125" s="23">
        <f t="shared" si="117"/>
        <v>-4.9749329196650165E-3</v>
      </c>
      <c r="S125" s="23">
        <f t="shared" si="118"/>
        <v>-5.0045485077164992E-3</v>
      </c>
      <c r="T125" s="330">
        <v>2342849908.4763198</v>
      </c>
      <c r="U125" s="329">
        <v>4420.7530680885802</v>
      </c>
      <c r="V125" s="23">
        <f t="shared" si="119"/>
        <v>2.7874019892027381E-3</v>
      </c>
      <c r="W125" s="23">
        <f t="shared" si="120"/>
        <v>2.8786111029946533E-3</v>
      </c>
      <c r="X125" s="330">
        <v>2367475279.2972498</v>
      </c>
      <c r="Y125" s="329">
        <v>4470.5542497194201</v>
      </c>
      <c r="Z125" s="23">
        <f t="shared" si="121"/>
        <v>1.0510861464849532E-2</v>
      </c>
      <c r="AA125" s="23">
        <f t="shared" si="122"/>
        <v>1.1265316307832738E-2</v>
      </c>
      <c r="AB125" s="330">
        <v>2381743169.8162699</v>
      </c>
      <c r="AC125" s="329">
        <v>4497.5691687045801</v>
      </c>
      <c r="AD125" s="23">
        <f t="shared" si="123"/>
        <v>6.0266270333582082E-3</v>
      </c>
      <c r="AE125" s="23">
        <f t="shared" si="124"/>
        <v>6.0428567636452392E-3</v>
      </c>
      <c r="AF125" s="330">
        <v>2369343849.3488002</v>
      </c>
      <c r="AG125" s="329">
        <v>4469.4253479082499</v>
      </c>
      <c r="AH125" s="23">
        <f t="shared" si="125"/>
        <v>-5.2059855254780428E-3</v>
      </c>
      <c r="AI125" s="23">
        <f t="shared" si="126"/>
        <v>-6.2575626389835643E-3</v>
      </c>
      <c r="AJ125" s="24">
        <f t="shared" si="54"/>
        <v>2.3524791405821165E-3</v>
      </c>
      <c r="AK125" s="24">
        <f t="shared" si="55"/>
        <v>2.2355759613167229E-3</v>
      </c>
      <c r="AL125" s="25">
        <f t="shared" si="56"/>
        <v>1.5058424603971918E-2</v>
      </c>
      <c r="AM125" s="25">
        <f t="shared" si="57"/>
        <v>1.4355824796086497E-2</v>
      </c>
      <c r="AN125" s="26">
        <f t="shared" si="58"/>
        <v>6.2411902790340838E-3</v>
      </c>
      <c r="AO125" s="78">
        <f t="shared" si="59"/>
        <v>6.3852423909577499E-3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6" t="s">
        <v>159</v>
      </c>
      <c r="B126" s="329">
        <v>359800628.67000002</v>
      </c>
      <c r="C126" s="329">
        <v>144.66</v>
      </c>
      <c r="D126" s="329">
        <v>359009872.99000001</v>
      </c>
      <c r="E126" s="329">
        <v>144.57</v>
      </c>
      <c r="F126" s="23">
        <f t="shared" si="111"/>
        <v>-2.1977606957581724E-3</v>
      </c>
      <c r="G126" s="23">
        <f t="shared" si="112"/>
        <v>-6.2214848610537405E-4</v>
      </c>
      <c r="H126" s="329">
        <v>360028880.64999998</v>
      </c>
      <c r="I126" s="329">
        <v>144.54</v>
      </c>
      <c r="J126" s="23">
        <f t="shared" si="113"/>
        <v>2.8383833890505581E-3</v>
      </c>
      <c r="K126" s="23">
        <f t="shared" si="114"/>
        <v>-2.075119319360942E-4</v>
      </c>
      <c r="L126" s="329">
        <v>359233882.88999999</v>
      </c>
      <c r="M126" s="329">
        <v>143.82</v>
      </c>
      <c r="N126" s="23">
        <f t="shared" si="115"/>
        <v>-2.2081499644270009E-3</v>
      </c>
      <c r="O126" s="23">
        <f t="shared" si="116"/>
        <v>-4.9813200498131927E-3</v>
      </c>
      <c r="P126" s="329">
        <v>358699743.48000002</v>
      </c>
      <c r="Q126" s="329">
        <v>143.5</v>
      </c>
      <c r="R126" s="23">
        <f t="shared" si="117"/>
        <v>-1.486884827519246E-3</v>
      </c>
      <c r="S126" s="23">
        <f t="shared" si="118"/>
        <v>-2.2250034765678847E-3</v>
      </c>
      <c r="T126" s="329">
        <v>355507081.77999997</v>
      </c>
      <c r="U126" s="329">
        <v>142.11000000000001</v>
      </c>
      <c r="V126" s="23">
        <f t="shared" si="119"/>
        <v>-8.9006523088803399E-3</v>
      </c>
      <c r="W126" s="23">
        <f t="shared" si="120"/>
        <v>-9.686411149825689E-3</v>
      </c>
      <c r="X126" s="329">
        <v>357118167.88</v>
      </c>
      <c r="Y126" s="329">
        <v>142.54</v>
      </c>
      <c r="Z126" s="23">
        <f t="shared" si="121"/>
        <v>4.5317974875027089E-3</v>
      </c>
      <c r="AA126" s="23">
        <f t="shared" si="122"/>
        <v>3.0258250650902706E-3</v>
      </c>
      <c r="AB126" s="329">
        <v>360101576.60000002</v>
      </c>
      <c r="AC126" s="329">
        <v>143.65</v>
      </c>
      <c r="AD126" s="23">
        <f t="shared" si="123"/>
        <v>8.3541219359148464E-3</v>
      </c>
      <c r="AE126" s="23">
        <f t="shared" si="124"/>
        <v>7.7872877788691857E-3</v>
      </c>
      <c r="AF126" s="329">
        <v>361009987.01999998</v>
      </c>
      <c r="AG126" s="329">
        <v>144.01</v>
      </c>
      <c r="AH126" s="23">
        <f t="shared" si="125"/>
        <v>2.5226504937217124E-3</v>
      </c>
      <c r="AI126" s="23">
        <f t="shared" si="126"/>
        <v>2.5060911938738963E-3</v>
      </c>
      <c r="AJ126" s="24">
        <f t="shared" si="54"/>
        <v>4.3168818870063319E-4</v>
      </c>
      <c r="AK126" s="24">
        <f t="shared" si="55"/>
        <v>-5.5039888205186038E-4</v>
      </c>
      <c r="AL126" s="25">
        <f t="shared" si="56"/>
        <v>5.5711950575122017E-3</v>
      </c>
      <c r="AM126" s="25">
        <f t="shared" si="57"/>
        <v>-3.8735560628069608E-3</v>
      </c>
      <c r="AN126" s="26">
        <f t="shared" si="58"/>
        <v>5.2698116851902675E-3</v>
      </c>
      <c r="AO126" s="78">
        <f t="shared" si="59"/>
        <v>5.3140693409919094E-3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6" t="s">
        <v>184</v>
      </c>
      <c r="B127" s="329">
        <v>3734808.11</v>
      </c>
      <c r="C127" s="329">
        <v>102.99</v>
      </c>
      <c r="D127" s="329">
        <v>3734808.11</v>
      </c>
      <c r="E127" s="329">
        <v>102.99</v>
      </c>
      <c r="F127" s="23">
        <f t="shared" si="111"/>
        <v>0</v>
      </c>
      <c r="G127" s="23">
        <f t="shared" si="112"/>
        <v>0</v>
      </c>
      <c r="H127" s="329">
        <v>3734808.11</v>
      </c>
      <c r="I127" s="329">
        <v>102.99</v>
      </c>
      <c r="J127" s="23">
        <f t="shared" si="113"/>
        <v>0</v>
      </c>
      <c r="K127" s="23">
        <f t="shared" si="114"/>
        <v>0</v>
      </c>
      <c r="L127" s="329">
        <v>3734808.11</v>
      </c>
      <c r="M127" s="329">
        <v>102.99</v>
      </c>
      <c r="N127" s="23">
        <f t="shared" si="115"/>
        <v>0</v>
      </c>
      <c r="O127" s="23">
        <f t="shared" si="116"/>
        <v>0</v>
      </c>
      <c r="P127" s="329">
        <v>3734808.11</v>
      </c>
      <c r="Q127" s="329">
        <v>102.99</v>
      </c>
      <c r="R127" s="23">
        <f t="shared" si="117"/>
        <v>0</v>
      </c>
      <c r="S127" s="23">
        <f t="shared" si="118"/>
        <v>0</v>
      </c>
      <c r="T127" s="329">
        <v>3734808.11</v>
      </c>
      <c r="U127" s="329">
        <v>102.99</v>
      </c>
      <c r="V127" s="23">
        <f t="shared" si="119"/>
        <v>0</v>
      </c>
      <c r="W127" s="23">
        <f t="shared" si="120"/>
        <v>0</v>
      </c>
      <c r="X127" s="329">
        <v>3734808.11</v>
      </c>
      <c r="Y127" s="329">
        <v>102.99</v>
      </c>
      <c r="Z127" s="23">
        <f t="shared" si="121"/>
        <v>0</v>
      </c>
      <c r="AA127" s="23">
        <f t="shared" si="122"/>
        <v>0</v>
      </c>
      <c r="AB127" s="329">
        <v>3734808.11</v>
      </c>
      <c r="AC127" s="329">
        <v>102.99</v>
      </c>
      <c r="AD127" s="23">
        <f t="shared" si="123"/>
        <v>0</v>
      </c>
      <c r="AE127" s="23">
        <f t="shared" si="124"/>
        <v>0</v>
      </c>
      <c r="AF127" s="329">
        <v>3734808.11</v>
      </c>
      <c r="AG127" s="329">
        <v>102.99</v>
      </c>
      <c r="AH127" s="23">
        <f t="shared" si="125"/>
        <v>0</v>
      </c>
      <c r="AI127" s="23">
        <f t="shared" si="126"/>
        <v>0</v>
      </c>
      <c r="AJ127" s="24">
        <f t="shared" si="54"/>
        <v>0</v>
      </c>
      <c r="AK127" s="24">
        <f t="shared" si="55"/>
        <v>0</v>
      </c>
      <c r="AL127" s="25">
        <f t="shared" si="56"/>
        <v>0</v>
      </c>
      <c r="AM127" s="25">
        <f t="shared" si="57"/>
        <v>0</v>
      </c>
      <c r="AN127" s="26">
        <f t="shared" si="58"/>
        <v>0</v>
      </c>
      <c r="AO127" s="78">
        <f t="shared" si="59"/>
        <v>0</v>
      </c>
      <c r="AP127" s="30"/>
      <c r="AQ127" s="466" t="s">
        <v>85</v>
      </c>
      <c r="AR127" s="466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6" t="s">
        <v>111</v>
      </c>
      <c r="B128" s="329">
        <v>124997954.26000001</v>
      </c>
      <c r="C128" s="329">
        <v>1.2289000000000001</v>
      </c>
      <c r="D128" s="329">
        <v>126336048.79000001</v>
      </c>
      <c r="E128" s="329">
        <v>1.2421</v>
      </c>
      <c r="F128" s="23">
        <f t="shared" si="111"/>
        <v>1.0704931436051496E-2</v>
      </c>
      <c r="G128" s="23">
        <f t="shared" si="112"/>
        <v>1.0741313369680101E-2</v>
      </c>
      <c r="H128" s="329">
        <v>126495044.53</v>
      </c>
      <c r="I128" s="329">
        <v>1.2461</v>
      </c>
      <c r="J128" s="23">
        <f t="shared" si="113"/>
        <v>1.2585144265852628E-3</v>
      </c>
      <c r="K128" s="23">
        <f t="shared" si="114"/>
        <v>3.2203526286128359E-3</v>
      </c>
      <c r="L128" s="329">
        <v>125796723.95999999</v>
      </c>
      <c r="M128" s="329">
        <v>1.2375</v>
      </c>
      <c r="N128" s="23">
        <f t="shared" si="115"/>
        <v>-5.5205369711885562E-3</v>
      </c>
      <c r="O128" s="23">
        <f t="shared" si="116"/>
        <v>-6.9015327822806683E-3</v>
      </c>
      <c r="P128" s="329">
        <v>125151874.13</v>
      </c>
      <c r="Q128" s="329">
        <v>1.1667000000000001</v>
      </c>
      <c r="R128" s="23">
        <f t="shared" si="117"/>
        <v>-5.1261257821391543E-3</v>
      </c>
      <c r="S128" s="23">
        <f t="shared" si="118"/>
        <v>-5.7212121212121186E-2</v>
      </c>
      <c r="T128" s="329">
        <v>124778014.66</v>
      </c>
      <c r="U128" s="329">
        <v>1.1632</v>
      </c>
      <c r="V128" s="23">
        <f t="shared" si="119"/>
        <v>-2.9872462765651981E-3</v>
      </c>
      <c r="W128" s="23">
        <f t="shared" si="120"/>
        <v>-2.9999142881632452E-3</v>
      </c>
      <c r="X128" s="329">
        <v>126281353.8</v>
      </c>
      <c r="Y128" s="329">
        <v>1.1772</v>
      </c>
      <c r="Z128" s="23">
        <f t="shared" si="121"/>
        <v>1.2048109148846116E-2</v>
      </c>
      <c r="AA128" s="23">
        <f t="shared" si="122"/>
        <v>1.203576341127924E-2</v>
      </c>
      <c r="AB128" s="329">
        <v>127529083.97</v>
      </c>
      <c r="AC128" s="329">
        <v>1.1888000000000001</v>
      </c>
      <c r="AD128" s="23">
        <f t="shared" si="123"/>
        <v>9.8805574414106562E-3</v>
      </c>
      <c r="AE128" s="23">
        <f t="shared" si="124"/>
        <v>9.8538905878355881E-3</v>
      </c>
      <c r="AF128" s="329">
        <v>127934595.36</v>
      </c>
      <c r="AG128" s="329">
        <v>1.1929000000000001</v>
      </c>
      <c r="AH128" s="23">
        <f t="shared" si="125"/>
        <v>3.1797561573906801E-3</v>
      </c>
      <c r="AI128" s="23">
        <f t="shared" si="126"/>
        <v>3.4488559892328335E-3</v>
      </c>
      <c r="AJ128" s="24">
        <f t="shared" si="54"/>
        <v>2.9297449475489128E-3</v>
      </c>
      <c r="AK128" s="24">
        <f t="shared" si="55"/>
        <v>-3.4766740369905624E-3</v>
      </c>
      <c r="AL128" s="25">
        <f t="shared" si="56"/>
        <v>1.2653130957555513E-2</v>
      </c>
      <c r="AM128" s="25">
        <f t="shared" si="57"/>
        <v>-3.9610337331937778E-2</v>
      </c>
      <c r="AN128" s="26">
        <f t="shared" si="58"/>
        <v>7.231701092989244E-3</v>
      </c>
      <c r="AO128" s="78">
        <f t="shared" si="59"/>
        <v>2.2718020560772788E-2</v>
      </c>
      <c r="AP128" s="30"/>
      <c r="AQ128" s="59" t="s">
        <v>73</v>
      </c>
      <c r="AR128" s="60" t="s">
        <v>74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6" t="s">
        <v>239</v>
      </c>
      <c r="B129" s="325">
        <v>166525710.12</v>
      </c>
      <c r="C129" s="329">
        <v>107.16</v>
      </c>
      <c r="D129" s="325">
        <v>166714824.49000001</v>
      </c>
      <c r="E129" s="329">
        <v>107.35</v>
      </c>
      <c r="F129" s="23">
        <f t="shared" si="111"/>
        <v>1.1356466810063573E-3</v>
      </c>
      <c r="G129" s="23">
        <f t="shared" si="112"/>
        <v>1.7730496453900498E-3</v>
      </c>
      <c r="H129" s="325">
        <v>166828571.34999999</v>
      </c>
      <c r="I129" s="329">
        <v>107.39</v>
      </c>
      <c r="J129" s="23">
        <f t="shared" si="113"/>
        <v>6.8228401612123782E-4</v>
      </c>
      <c r="K129" s="23">
        <f t="shared" si="114"/>
        <v>3.7261294830001168E-4</v>
      </c>
      <c r="L129" s="325">
        <v>166962610.19</v>
      </c>
      <c r="M129" s="329">
        <v>107.64</v>
      </c>
      <c r="N129" s="23">
        <f t="shared" si="115"/>
        <v>8.0345254362213046E-4</v>
      </c>
      <c r="O129" s="23">
        <f t="shared" si="116"/>
        <v>2.3279634975323588E-3</v>
      </c>
      <c r="P129" s="325">
        <v>167061363.49000001</v>
      </c>
      <c r="Q129" s="329">
        <v>107.72</v>
      </c>
      <c r="R129" s="23">
        <f t="shared" si="117"/>
        <v>5.9146955050374877E-4</v>
      </c>
      <c r="S129" s="23">
        <f t="shared" si="118"/>
        <v>7.4321813452246654E-4</v>
      </c>
      <c r="T129" s="325">
        <v>167436985.37</v>
      </c>
      <c r="U129" s="329">
        <v>107.84</v>
      </c>
      <c r="V129" s="23">
        <f t="shared" si="119"/>
        <v>2.2484066462349884E-3</v>
      </c>
      <c r="W129" s="23">
        <f t="shared" si="120"/>
        <v>1.1139992573338706E-3</v>
      </c>
      <c r="X129" s="325">
        <v>167666168.72999999</v>
      </c>
      <c r="Y129" s="329">
        <v>108.05</v>
      </c>
      <c r="Z129" s="23">
        <f t="shared" si="121"/>
        <v>1.3687738076120887E-3</v>
      </c>
      <c r="AA129" s="23">
        <f t="shared" si="122"/>
        <v>1.9473293768545413E-3</v>
      </c>
      <c r="AB129" s="325">
        <v>167947239.72</v>
      </c>
      <c r="AC129" s="329">
        <v>108.37</v>
      </c>
      <c r="AD129" s="23">
        <f t="shared" si="123"/>
        <v>1.6763727120921465E-3</v>
      </c>
      <c r="AE129" s="23">
        <f t="shared" si="124"/>
        <v>2.9615918556224656E-3</v>
      </c>
      <c r="AF129" s="325">
        <v>168041733.13999999</v>
      </c>
      <c r="AG129" s="329">
        <v>108.5</v>
      </c>
      <c r="AH129" s="23">
        <f t="shared" si="125"/>
        <v>5.6263752924743152E-4</v>
      </c>
      <c r="AI129" s="23">
        <f t="shared" si="126"/>
        <v>1.199593983574748E-3</v>
      </c>
      <c r="AJ129" s="24">
        <f t="shared" si="54"/>
        <v>1.1336304358050163E-3</v>
      </c>
      <c r="AK129" s="24">
        <f t="shared" si="55"/>
        <v>1.5549198373913139E-3</v>
      </c>
      <c r="AL129" s="25">
        <f t="shared" si="56"/>
        <v>7.9591521273476643E-3</v>
      </c>
      <c r="AM129" s="25">
        <f t="shared" si="57"/>
        <v>1.0712622263623715E-2</v>
      </c>
      <c r="AN129" s="26">
        <f t="shared" si="58"/>
        <v>6.0062990795341415E-4</v>
      </c>
      <c r="AO129" s="78">
        <f t="shared" si="59"/>
        <v>8.5817623746937694E-4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6" t="s">
        <v>274</v>
      </c>
      <c r="B130" s="330">
        <v>228405189.28</v>
      </c>
      <c r="C130" s="329">
        <v>1.1359999999999999</v>
      </c>
      <c r="D130" s="330">
        <v>232107835.13</v>
      </c>
      <c r="E130" s="329">
        <v>1.1345000000000001</v>
      </c>
      <c r="F130" s="23">
        <f t="shared" si="111"/>
        <v>1.6210865706124355E-2</v>
      </c>
      <c r="G130" s="23">
        <f t="shared" si="112"/>
        <v>-1.3204225352111223E-3</v>
      </c>
      <c r="H130" s="330">
        <v>233052381.19999999</v>
      </c>
      <c r="I130" s="329">
        <v>1.139</v>
      </c>
      <c r="J130" s="23">
        <f t="shared" si="113"/>
        <v>4.0694277703765026E-3</v>
      </c>
      <c r="K130" s="23">
        <f t="shared" si="114"/>
        <v>3.9665050683119858E-3</v>
      </c>
      <c r="L130" s="330">
        <v>231726744.71000001</v>
      </c>
      <c r="M130" s="329">
        <v>1.1309</v>
      </c>
      <c r="N130" s="23">
        <f t="shared" si="115"/>
        <v>-5.6881482316301678E-3</v>
      </c>
      <c r="O130" s="23">
        <f t="shared" si="116"/>
        <v>-7.111501316944685E-3</v>
      </c>
      <c r="P130" s="330">
        <v>231187305</v>
      </c>
      <c r="Q130" s="329">
        <v>1.1258999999999999</v>
      </c>
      <c r="R130" s="23">
        <f t="shared" si="117"/>
        <v>-2.3279130368620295E-3</v>
      </c>
      <c r="S130" s="23">
        <f t="shared" si="118"/>
        <v>-4.4212574056062565E-3</v>
      </c>
      <c r="T130" s="330">
        <v>231221768.09</v>
      </c>
      <c r="U130" s="329">
        <v>1.1266</v>
      </c>
      <c r="V130" s="23">
        <f t="shared" si="119"/>
        <v>1.4906999326802818E-4</v>
      </c>
      <c r="W130" s="23">
        <f t="shared" si="120"/>
        <v>6.2172484234847237E-4</v>
      </c>
      <c r="X130" s="330">
        <v>233783277.56999999</v>
      </c>
      <c r="Y130" s="329">
        <v>1.1387</v>
      </c>
      <c r="Z130" s="23">
        <f t="shared" si="121"/>
        <v>1.1078150215523634E-2</v>
      </c>
      <c r="AA130" s="23">
        <f t="shared" si="122"/>
        <v>1.074028048996982E-2</v>
      </c>
      <c r="AB130" s="330">
        <v>233938002.75999999</v>
      </c>
      <c r="AC130" s="329">
        <v>1.1393</v>
      </c>
      <c r="AD130" s="23">
        <f t="shared" si="123"/>
        <v>6.6183172555474756E-4</v>
      </c>
      <c r="AE130" s="23">
        <f t="shared" si="124"/>
        <v>5.269166593483217E-4</v>
      </c>
      <c r="AF130" s="330">
        <v>234160705.58000001</v>
      </c>
      <c r="AG130" s="329">
        <v>1.0678000000000001</v>
      </c>
      <c r="AH130" s="23">
        <f t="shared" si="125"/>
        <v>9.519736741041443E-4</v>
      </c>
      <c r="AI130" s="23">
        <f t="shared" si="126"/>
        <v>-6.2757833757570353E-2</v>
      </c>
      <c r="AJ130" s="24">
        <f t="shared" si="54"/>
        <v>3.1381572270574019E-3</v>
      </c>
      <c r="AK130" s="24">
        <f t="shared" si="55"/>
        <v>-7.469448494419227E-3</v>
      </c>
      <c r="AL130" s="25">
        <f t="shared" si="56"/>
        <v>8.8444685585483875E-3</v>
      </c>
      <c r="AM130" s="25">
        <f t="shared" si="57"/>
        <v>-5.8792419568091649E-2</v>
      </c>
      <c r="AN130" s="26">
        <f t="shared" si="58"/>
        <v>7.1955768323163673E-3</v>
      </c>
      <c r="AO130" s="78">
        <f t="shared" si="59"/>
        <v>2.2977690626099775E-2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7" t="s">
        <v>129</v>
      </c>
      <c r="B131" s="329">
        <v>5105017764.8400002</v>
      </c>
      <c r="C131" s="329">
        <v>210.66</v>
      </c>
      <c r="D131" s="329">
        <v>5112204220.3800001</v>
      </c>
      <c r="E131" s="329">
        <v>210.94</v>
      </c>
      <c r="F131" s="23">
        <f t="shared" si="111"/>
        <v>1.4077239044094096E-3</v>
      </c>
      <c r="G131" s="23">
        <f t="shared" si="112"/>
        <v>1.3291559859489278E-3</v>
      </c>
      <c r="H131" s="329">
        <v>5130939950.1099997</v>
      </c>
      <c r="I131" s="329">
        <v>211.85</v>
      </c>
      <c r="J131" s="23">
        <f t="shared" si="113"/>
        <v>3.6649024417508263E-3</v>
      </c>
      <c r="K131" s="23">
        <f t="shared" si="114"/>
        <v>4.3140229449132291E-3</v>
      </c>
      <c r="L131" s="329">
        <v>5100262401.0699997</v>
      </c>
      <c r="M131" s="329">
        <v>210.71</v>
      </c>
      <c r="N131" s="23">
        <f t="shared" si="115"/>
        <v>-5.9789335557010916E-3</v>
      </c>
      <c r="O131" s="23">
        <f t="shared" si="116"/>
        <v>-5.3811659192824473E-3</v>
      </c>
      <c r="P131" s="329">
        <v>5077741522.0200005</v>
      </c>
      <c r="Q131" s="329">
        <v>209.72</v>
      </c>
      <c r="R131" s="23">
        <f t="shared" si="117"/>
        <v>-4.4156314477612982E-3</v>
      </c>
      <c r="S131" s="23">
        <f t="shared" si="118"/>
        <v>-4.6984006454368994E-3</v>
      </c>
      <c r="T131" s="329">
        <v>5102339293.04</v>
      </c>
      <c r="U131" s="329">
        <v>210.71</v>
      </c>
      <c r="V131" s="23">
        <f t="shared" si="119"/>
        <v>4.8442345702965498E-3</v>
      </c>
      <c r="W131" s="23">
        <f t="shared" si="120"/>
        <v>4.7205798207133757E-3</v>
      </c>
      <c r="X131" s="329">
        <v>5159744796.3000002</v>
      </c>
      <c r="Y131" s="329">
        <v>213.13</v>
      </c>
      <c r="Z131" s="23">
        <f t="shared" si="121"/>
        <v>1.1250820449809353E-2</v>
      </c>
      <c r="AA131" s="23">
        <f t="shared" si="122"/>
        <v>1.1484979355512256E-2</v>
      </c>
      <c r="AB131" s="329">
        <v>5197018896.0799999</v>
      </c>
      <c r="AC131" s="329">
        <v>214.68</v>
      </c>
      <c r="AD131" s="23">
        <f t="shared" si="123"/>
        <v>7.2240200342328182E-3</v>
      </c>
      <c r="AE131" s="23">
        <f t="shared" si="124"/>
        <v>7.272556655562386E-3</v>
      </c>
      <c r="AF131" s="329">
        <v>5206895677.54</v>
      </c>
      <c r="AG131" s="329">
        <v>215.13</v>
      </c>
      <c r="AH131" s="23">
        <f t="shared" si="125"/>
        <v>1.9004705692815323E-3</v>
      </c>
      <c r="AI131" s="23">
        <f t="shared" si="126"/>
        <v>2.0961430967020153E-3</v>
      </c>
      <c r="AJ131" s="24">
        <f t="shared" si="54"/>
        <v>2.4872008707897625E-3</v>
      </c>
      <c r="AK131" s="24">
        <f t="shared" si="55"/>
        <v>2.6422339118291056E-3</v>
      </c>
      <c r="AL131" s="25">
        <f t="shared" si="56"/>
        <v>1.8522628024621686E-2</v>
      </c>
      <c r="AM131" s="25">
        <f t="shared" si="57"/>
        <v>1.9863468284820319E-2</v>
      </c>
      <c r="AN131" s="26">
        <f t="shared" si="58"/>
        <v>5.694798652867269E-3</v>
      </c>
      <c r="AO131" s="78">
        <f t="shared" si="59"/>
        <v>5.6949938586701851E-3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75" customFormat="1">
      <c r="A132" s="206" t="s">
        <v>275</v>
      </c>
      <c r="B132" s="329">
        <v>1921889025.23</v>
      </c>
      <c r="C132" s="329">
        <v>1.3481000000000001</v>
      </c>
      <c r="D132" s="329">
        <v>1923154245.5</v>
      </c>
      <c r="E132" s="329">
        <v>1.3489</v>
      </c>
      <c r="F132" s="23">
        <f t="shared" si="111"/>
        <v>6.5832118992852203E-4</v>
      </c>
      <c r="G132" s="23">
        <f t="shared" si="112"/>
        <v>5.9342778725607283E-4</v>
      </c>
      <c r="H132" s="329">
        <v>1923154245.5</v>
      </c>
      <c r="I132" s="329">
        <v>1.3484</v>
      </c>
      <c r="J132" s="23">
        <f>((H132-D132)/D132)</f>
        <v>0</v>
      </c>
      <c r="K132" s="23">
        <f>((I132-E132)/E132)</f>
        <v>-3.7067239973307504E-4</v>
      </c>
      <c r="L132" s="329">
        <v>1921703235.22</v>
      </c>
      <c r="M132" s="329">
        <v>1.3478000000000001</v>
      </c>
      <c r="N132" s="23">
        <f>((L132-H132)/H132)</f>
        <v>-7.5449500912118665E-4</v>
      </c>
      <c r="O132" s="23">
        <f>((M132-I132)/I132)</f>
        <v>-4.4497181845144904E-4</v>
      </c>
      <c r="P132" s="329">
        <v>1918209376.6500001</v>
      </c>
      <c r="Q132" s="329">
        <v>1.3452999999999999</v>
      </c>
      <c r="R132" s="23">
        <f>((P132-L132)/L132)</f>
        <v>-1.8181051610707988E-3</v>
      </c>
      <c r="S132" s="23">
        <f>((Q132-M132)/M132)</f>
        <v>-1.8548746104764568E-3</v>
      </c>
      <c r="T132" s="329">
        <v>1905463477.6300001</v>
      </c>
      <c r="U132" s="329">
        <v>1.3361000000000001</v>
      </c>
      <c r="V132" s="23">
        <f>((T132-P132)/P132)</f>
        <v>-6.64468601559006E-3</v>
      </c>
      <c r="W132" s="23">
        <f>((U132-Q132)/Q132)</f>
        <v>-6.838623355385323E-3</v>
      </c>
      <c r="X132" s="329">
        <v>1944623783.6800001</v>
      </c>
      <c r="Y132" s="329">
        <v>1.3633999999999999</v>
      </c>
      <c r="Z132" s="23">
        <f>((X132-T132)/T132)</f>
        <v>2.0551590995964521E-2</v>
      </c>
      <c r="AA132" s="23">
        <f>((Y132-U132)/U132)</f>
        <v>2.0432602350123404E-2</v>
      </c>
      <c r="AB132" s="329">
        <v>1964282080.48</v>
      </c>
      <c r="AC132" s="329">
        <v>1.3775999999999999</v>
      </c>
      <c r="AD132" s="23">
        <f>((AB132-X132)/X132)</f>
        <v>1.0109048837610456E-2</v>
      </c>
      <c r="AE132" s="23">
        <f>((AC132-Y132)/Y132)</f>
        <v>1.0415138624028158E-2</v>
      </c>
      <c r="AF132" s="329">
        <v>1974540457.4000001</v>
      </c>
      <c r="AG132" s="329">
        <v>1.3720000000000001</v>
      </c>
      <c r="AH132" s="23">
        <f>((AF132-AB132)/AB132)</f>
        <v>5.2224560932171704E-3</v>
      </c>
      <c r="AI132" s="23">
        <f>((AG132-AC132)/AC132)</f>
        <v>-4.0650406504063787E-3</v>
      </c>
      <c r="AJ132" s="24">
        <f t="shared" si="54"/>
        <v>3.4155163663673279E-3</v>
      </c>
      <c r="AK132" s="24">
        <f t="shared" si="55"/>
        <v>2.233373240869369E-3</v>
      </c>
      <c r="AL132" s="25">
        <f t="shared" si="56"/>
        <v>2.6719755849141585E-2</v>
      </c>
      <c r="AM132" s="25">
        <f t="shared" si="57"/>
        <v>1.7125064867670042E-2</v>
      </c>
      <c r="AN132" s="26">
        <f t="shared" si="58"/>
        <v>8.5102358558149412E-3</v>
      </c>
      <c r="AO132" s="78">
        <f t="shared" si="59"/>
        <v>8.8920682334991778E-3</v>
      </c>
      <c r="AP132" s="30"/>
      <c r="AQ132" s="53"/>
      <c r="AR132" s="47"/>
      <c r="AS132" s="29"/>
      <c r="AT132" s="29"/>
    </row>
    <row r="133" spans="1:46" s="375" customFormat="1">
      <c r="A133" s="206" t="s">
        <v>262</v>
      </c>
      <c r="B133" s="329">
        <v>133896010.43000001</v>
      </c>
      <c r="C133" s="329">
        <v>91.43</v>
      </c>
      <c r="D133" s="329">
        <v>133856820.12057699</v>
      </c>
      <c r="E133" s="329">
        <v>91.44</v>
      </c>
      <c r="F133" s="23">
        <f t="shared" si="111"/>
        <v>-2.9269213695880036E-4</v>
      </c>
      <c r="G133" s="23">
        <f t="shared" si="112"/>
        <v>1.0937329104222798E-4</v>
      </c>
      <c r="H133" s="329">
        <v>134893707.38644087</v>
      </c>
      <c r="I133" s="329">
        <v>92.15</v>
      </c>
      <c r="J133" s="23">
        <f>((H133-D133)/D133)</f>
        <v>7.7462415805923225E-3</v>
      </c>
      <c r="K133" s="23">
        <f>((I133-E133)/E133)</f>
        <v>7.7646544181978125E-3</v>
      </c>
      <c r="L133" s="329">
        <v>134609616.28622717</v>
      </c>
      <c r="M133" s="329">
        <v>92</v>
      </c>
      <c r="N133" s="23">
        <f>((L133-H133)/H133)</f>
        <v>-2.1060367137797453E-3</v>
      </c>
      <c r="O133" s="23">
        <f>((M133-I133)/I133)</f>
        <v>-1.6277807921867137E-3</v>
      </c>
      <c r="P133" s="329">
        <v>133761340.7388152</v>
      </c>
      <c r="Q133" s="329">
        <v>91.49</v>
      </c>
      <c r="R133" s="23">
        <f>((P133-L133)/L133)</f>
        <v>-6.3017455276615049E-3</v>
      </c>
      <c r="S133" s="23">
        <f>((Q133-M133)/M133)</f>
        <v>-5.5434782608696212E-3</v>
      </c>
      <c r="T133" s="329">
        <v>134133161.89603932</v>
      </c>
      <c r="U133" s="329">
        <v>91.77</v>
      </c>
      <c r="V133" s="23">
        <f>((T133-P133)/P133)</f>
        <v>2.779735573600024E-3</v>
      </c>
      <c r="W133" s="23">
        <f>((U133-Q133)/Q133)</f>
        <v>3.0604437643458426E-3</v>
      </c>
      <c r="X133" s="329">
        <v>135447646.7558611</v>
      </c>
      <c r="Y133" s="329">
        <v>92.66</v>
      </c>
      <c r="Z133" s="23">
        <f>((X133-T133)/T133)</f>
        <v>9.7998499494150494E-3</v>
      </c>
      <c r="AA133" s="23">
        <f>((Y133-U133)/U133)</f>
        <v>9.6981584395772098E-3</v>
      </c>
      <c r="AB133" s="329">
        <v>135894178.53519499</v>
      </c>
      <c r="AC133" s="329">
        <v>92.99</v>
      </c>
      <c r="AD133" s="23">
        <f>((AB133-X133)/X133)</f>
        <v>3.2967112388356582E-3</v>
      </c>
      <c r="AE133" s="23">
        <f>((AC133-Y133)/Y133)</f>
        <v>3.561407295488866E-3</v>
      </c>
      <c r="AF133" s="329">
        <v>137636606.43044761</v>
      </c>
      <c r="AG133" s="329">
        <v>94.17</v>
      </c>
      <c r="AH133" s="23">
        <f>((AF133-AB133)/AB133)</f>
        <v>1.2821946561907705E-2</v>
      </c>
      <c r="AI133" s="23">
        <f>((AG133-AC133)/AC133)</f>
        <v>1.268953650930215E-2</v>
      </c>
      <c r="AJ133" s="24">
        <f t="shared" si="54"/>
        <v>3.4680013157438387E-3</v>
      </c>
      <c r="AK133" s="24">
        <f t="shared" si="55"/>
        <v>3.714039333112222E-3</v>
      </c>
      <c r="AL133" s="25">
        <f t="shared" si="56"/>
        <v>2.8237532510228609E-2</v>
      </c>
      <c r="AM133" s="25">
        <f t="shared" si="57"/>
        <v>2.9855643044619466E-2</v>
      </c>
      <c r="AN133" s="26">
        <f t="shared" si="58"/>
        <v>6.4037450778875885E-3</v>
      </c>
      <c r="AO133" s="78">
        <f t="shared" si="59"/>
        <v>6.0998534975718931E-3</v>
      </c>
      <c r="AP133" s="30"/>
      <c r="AQ133" s="53"/>
      <c r="AR133" s="47"/>
      <c r="AS133" s="29"/>
      <c r="AT133" s="29"/>
    </row>
    <row r="134" spans="1:46">
      <c r="A134" s="206" t="s">
        <v>132</v>
      </c>
      <c r="B134" s="330">
        <v>163101395.71000001</v>
      </c>
      <c r="C134" s="329">
        <v>151.7449</v>
      </c>
      <c r="D134" s="330">
        <v>162888158.83000001</v>
      </c>
      <c r="E134" s="329">
        <v>151.64154199999999</v>
      </c>
      <c r="F134" s="23">
        <f t="shared" si="111"/>
        <v>-1.3073884442971774E-3</v>
      </c>
      <c r="G134" s="23">
        <f t="shared" si="112"/>
        <v>-6.8112997537323676E-4</v>
      </c>
      <c r="H134" s="330">
        <v>162231912.21000001</v>
      </c>
      <c r="I134" s="329">
        <v>151.13761099999999</v>
      </c>
      <c r="J134" s="23">
        <f t="shared" si="113"/>
        <v>-4.0288172247370272E-3</v>
      </c>
      <c r="K134" s="23">
        <f t="shared" si="114"/>
        <v>-3.3231724852810741E-3</v>
      </c>
      <c r="L134" s="330">
        <v>162044198.03999999</v>
      </c>
      <c r="M134" s="329">
        <v>150.74810199999999</v>
      </c>
      <c r="N134" s="23">
        <f t="shared" si="115"/>
        <v>-1.1570730286223302E-3</v>
      </c>
      <c r="O134" s="23">
        <f t="shared" si="116"/>
        <v>-2.5771811359384523E-3</v>
      </c>
      <c r="P134" s="330">
        <v>162487765.78999999</v>
      </c>
      <c r="Q134" s="329">
        <v>151.22424000000001</v>
      </c>
      <c r="R134" s="23">
        <f t="shared" si="117"/>
        <v>2.7373257133865847E-3</v>
      </c>
      <c r="S134" s="23">
        <f t="shared" si="118"/>
        <v>3.1585007949222485E-3</v>
      </c>
      <c r="T134" s="330">
        <v>162610033.88999999</v>
      </c>
      <c r="U134" s="329">
        <v>151.423892</v>
      </c>
      <c r="V134" s="23">
        <f t="shared" ref="V134:V144" si="133">((T134-P134)/P134)</f>
        <v>7.5247572889896187E-4</v>
      </c>
      <c r="W134" s="23">
        <f t="shared" ref="W134:W144" si="134">((U134-Q134)/Q134)</f>
        <v>1.320238078233927E-3</v>
      </c>
      <c r="X134" s="330">
        <v>163397509.31</v>
      </c>
      <c r="Y134" s="329">
        <v>152.22498100000001</v>
      </c>
      <c r="Z134" s="23">
        <f t="shared" ref="Z134:Z144" si="135">((X134-T134)/T134)</f>
        <v>4.8427234234064325E-3</v>
      </c>
      <c r="AA134" s="23">
        <f t="shared" ref="AA134:AA144" si="136">((Y134-U134)/U134)</f>
        <v>5.2903738598927231E-3</v>
      </c>
      <c r="AB134" s="330">
        <v>163839422</v>
      </c>
      <c r="AC134" s="329">
        <v>152.71399700000001</v>
      </c>
      <c r="AD134" s="23">
        <f t="shared" ref="AD134:AD144" si="137">((AB134-X134)/X134)</f>
        <v>2.7045252517380468E-3</v>
      </c>
      <c r="AE134" s="23">
        <f t="shared" ref="AE134:AE144" si="138">((AC134-Y134)/Y134)</f>
        <v>3.2124556481303965E-3</v>
      </c>
      <c r="AF134" s="330">
        <v>164324644.02000001</v>
      </c>
      <c r="AG134" s="329">
        <v>153.242255</v>
      </c>
      <c r="AH134" s="23">
        <f t="shared" ref="AH134:AH144" si="139">((AF134-AB134)/AB134)</f>
        <v>2.9615706285878543E-3</v>
      </c>
      <c r="AI134" s="23">
        <f t="shared" ref="AI134:AI144" si="140">((AG134-AC134)/AC134)</f>
        <v>3.4591328259189883E-3</v>
      </c>
      <c r="AJ134" s="24">
        <f t="shared" ref="AJ134:AJ171" si="141">AVERAGE(F134,J134,N134,R134,V134,Z134,AD134,AH134)</f>
        <v>9.3816775604516804E-4</v>
      </c>
      <c r="AK134" s="24">
        <f t="shared" ref="AK134:AK171" si="142">AVERAGE(G134,K134,O134,S134,W134,AA134,AE134,AI134)</f>
        <v>1.2324022013131899E-3</v>
      </c>
      <c r="AL134" s="25">
        <f t="shared" ref="AL134:AL171" si="143">((AF134-D134)/D134)</f>
        <v>8.8188435569414286E-3</v>
      </c>
      <c r="AM134" s="25">
        <f t="shared" ref="AM134:AM171" si="144">((AG134-E134)/E134)</f>
        <v>1.0555900308637149E-2</v>
      </c>
      <c r="AN134" s="26">
        <f t="shared" ref="AN134:AN171" si="145">STDEV(F134,J134,N134,R134,V134,Z134,AD134,AH134)</f>
        <v>2.9236640471720201E-3</v>
      </c>
      <c r="AO134" s="78">
        <f t="shared" ref="AO134:AO171" si="146">STDEV(G134,K134,O134,S134,W134,AA134,AE134,AI134)</f>
        <v>3.1165786452005363E-3</v>
      </c>
      <c r="AP134" s="30"/>
      <c r="AQ134" s="53">
        <v>82672021.189999998</v>
      </c>
      <c r="AR134" s="47">
        <v>18.53</v>
      </c>
      <c r="AS134" s="29" t="e">
        <f>(#REF!/AQ134)-1</f>
        <v>#REF!</v>
      </c>
      <c r="AT134" s="29" t="e">
        <f>(#REF!/AR134)-1</f>
        <v>#REF!</v>
      </c>
    </row>
    <row r="135" spans="1:46">
      <c r="A135" s="206" t="s">
        <v>27</v>
      </c>
      <c r="B135" s="330">
        <v>1178392986</v>
      </c>
      <c r="C135" s="329">
        <v>552.20000000000005</v>
      </c>
      <c r="D135" s="330">
        <v>1182012382</v>
      </c>
      <c r="E135" s="329">
        <v>552.20000000000005</v>
      </c>
      <c r="F135" s="23">
        <f t="shared" si="111"/>
        <v>3.071467704747523E-3</v>
      </c>
      <c r="G135" s="23">
        <f t="shared" si="112"/>
        <v>0</v>
      </c>
      <c r="H135" s="330">
        <v>1203004205</v>
      </c>
      <c r="I135" s="329">
        <v>552.20000000000005</v>
      </c>
      <c r="J135" s="23">
        <f t="shared" si="113"/>
        <v>1.7759393488316268E-2</v>
      </c>
      <c r="K135" s="23">
        <f t="shared" si="114"/>
        <v>0</v>
      </c>
      <c r="L135" s="330">
        <v>1202332925</v>
      </c>
      <c r="M135" s="329">
        <v>552.20000000000005</v>
      </c>
      <c r="N135" s="23">
        <f t="shared" si="115"/>
        <v>-5.5800303707167836E-4</v>
      </c>
      <c r="O135" s="23">
        <f t="shared" si="116"/>
        <v>0</v>
      </c>
      <c r="P135" s="330">
        <v>1202730006</v>
      </c>
      <c r="Q135" s="329">
        <v>552.20000000000005</v>
      </c>
      <c r="R135" s="23">
        <f t="shared" si="117"/>
        <v>3.3025877587108412E-4</v>
      </c>
      <c r="S135" s="23">
        <f t="shared" si="118"/>
        <v>0</v>
      </c>
      <c r="T135" s="330">
        <v>1198603935</v>
      </c>
      <c r="U135" s="329">
        <v>552.20000000000005</v>
      </c>
      <c r="V135" s="23">
        <f t="shared" si="133"/>
        <v>-3.4305878953850596E-3</v>
      </c>
      <c r="W135" s="23">
        <f t="shared" si="134"/>
        <v>0</v>
      </c>
      <c r="X135" s="330">
        <v>1200049394</v>
      </c>
      <c r="Y135" s="329">
        <v>552.20000000000005</v>
      </c>
      <c r="Z135" s="23">
        <f t="shared" si="135"/>
        <v>1.2059521563309401E-3</v>
      </c>
      <c r="AA135" s="23">
        <f t="shared" si="136"/>
        <v>0</v>
      </c>
      <c r="AB135" s="330">
        <v>1210159040.8599999</v>
      </c>
      <c r="AC135" s="329">
        <v>552.20000000000005</v>
      </c>
      <c r="AD135" s="23">
        <f t="shared" si="137"/>
        <v>8.4243589560113515E-3</v>
      </c>
      <c r="AE135" s="23">
        <f t="shared" si="138"/>
        <v>0</v>
      </c>
      <c r="AF135" s="330">
        <v>1222906333</v>
      </c>
      <c r="AG135" s="329">
        <v>552.20000000000005</v>
      </c>
      <c r="AH135" s="23">
        <f t="shared" si="139"/>
        <v>1.0533567663090991E-2</v>
      </c>
      <c r="AI135" s="23">
        <f t="shared" si="140"/>
        <v>0</v>
      </c>
      <c r="AJ135" s="24">
        <f t="shared" si="141"/>
        <v>4.6670509764889278E-3</v>
      </c>
      <c r="AK135" s="24">
        <f t="shared" si="142"/>
        <v>0</v>
      </c>
      <c r="AL135" s="25">
        <f t="shared" si="143"/>
        <v>3.459688885052644E-2</v>
      </c>
      <c r="AM135" s="25">
        <f t="shared" si="144"/>
        <v>0</v>
      </c>
      <c r="AN135" s="26">
        <f t="shared" si="145"/>
        <v>7.0320553395491802E-3</v>
      </c>
      <c r="AO135" s="78">
        <f t="shared" si="146"/>
        <v>0</v>
      </c>
      <c r="AP135" s="30"/>
      <c r="AQ135" s="53">
        <v>541500000</v>
      </c>
      <c r="AR135" s="47">
        <v>3610</v>
      </c>
      <c r="AS135" s="29" t="e">
        <f>(#REF!/AQ135)-1</f>
        <v>#REF!</v>
      </c>
      <c r="AT135" s="29" t="e">
        <f>(#REF!/AR135)-1</f>
        <v>#REF!</v>
      </c>
    </row>
    <row r="136" spans="1:46">
      <c r="A136" s="206" t="s">
        <v>191</v>
      </c>
      <c r="B136" s="330">
        <v>20111025.239999998</v>
      </c>
      <c r="C136" s="329">
        <v>1.26</v>
      </c>
      <c r="D136" s="330">
        <v>20158363.510000002</v>
      </c>
      <c r="E136" s="329">
        <v>1.26</v>
      </c>
      <c r="F136" s="23">
        <f t="shared" si="111"/>
        <v>2.3538466803696024E-3</v>
      </c>
      <c r="G136" s="23">
        <f t="shared" si="112"/>
        <v>0</v>
      </c>
      <c r="H136" s="330">
        <v>20329465.870000001</v>
      </c>
      <c r="I136" s="329">
        <v>1.26</v>
      </c>
      <c r="J136" s="23">
        <f t="shared" si="113"/>
        <v>8.487909244970223E-3</v>
      </c>
      <c r="K136" s="23">
        <f t="shared" si="114"/>
        <v>0</v>
      </c>
      <c r="L136" s="330">
        <v>20020697.940000001</v>
      </c>
      <c r="M136" s="329">
        <v>1.25</v>
      </c>
      <c r="N136" s="23">
        <f t="shared" si="115"/>
        <v>-1.5188196875140021E-2</v>
      </c>
      <c r="O136" s="23">
        <f t="shared" si="116"/>
        <v>-7.936507936507943E-3</v>
      </c>
      <c r="P136" s="330">
        <v>19897445.559999999</v>
      </c>
      <c r="Q136" s="329">
        <v>1.25</v>
      </c>
      <c r="R136" s="23">
        <f t="shared" si="117"/>
        <v>-6.1562479174990577E-3</v>
      </c>
      <c r="S136" s="23">
        <f t="shared" si="118"/>
        <v>0</v>
      </c>
      <c r="T136" s="330">
        <v>19606340.510000002</v>
      </c>
      <c r="U136" s="329">
        <v>1.23</v>
      </c>
      <c r="V136" s="23">
        <f t="shared" si="133"/>
        <v>-1.4630272470010319E-2</v>
      </c>
      <c r="W136" s="23">
        <f t="shared" si="134"/>
        <v>-1.6000000000000014E-2</v>
      </c>
      <c r="X136" s="330">
        <v>19606340.510000002</v>
      </c>
      <c r="Y136" s="329">
        <v>1.23</v>
      </c>
      <c r="Z136" s="23">
        <f t="shared" si="135"/>
        <v>0</v>
      </c>
      <c r="AA136" s="23">
        <f t="shared" si="136"/>
        <v>0</v>
      </c>
      <c r="AB136" s="330">
        <v>20061234.27</v>
      </c>
      <c r="AC136" s="329">
        <v>1.25</v>
      </c>
      <c r="AD136" s="23">
        <f t="shared" si="137"/>
        <v>2.3201359772772705E-2</v>
      </c>
      <c r="AE136" s="23">
        <f t="shared" si="138"/>
        <v>1.6260162601626032E-2</v>
      </c>
      <c r="AF136" s="330">
        <v>20434272.059999999</v>
      </c>
      <c r="AG136" s="329">
        <v>1.27</v>
      </c>
      <c r="AH136" s="23">
        <f t="shared" si="139"/>
        <v>1.8594957068910154E-2</v>
      </c>
      <c r="AI136" s="23">
        <f t="shared" si="140"/>
        <v>1.6000000000000014E-2</v>
      </c>
      <c r="AJ136" s="24">
        <f t="shared" si="141"/>
        <v>2.0829194380466609E-3</v>
      </c>
      <c r="AK136" s="24">
        <f t="shared" si="142"/>
        <v>1.0404568331397611E-3</v>
      </c>
      <c r="AL136" s="25">
        <f t="shared" si="143"/>
        <v>1.3687051027883613E-2</v>
      </c>
      <c r="AM136" s="25">
        <f t="shared" si="144"/>
        <v>7.936507936507943E-3</v>
      </c>
      <c r="AN136" s="26">
        <f t="shared" si="145"/>
        <v>1.4190428763526847E-2</v>
      </c>
      <c r="AO136" s="78">
        <f t="shared" si="146"/>
        <v>1.089377700920874E-2</v>
      </c>
      <c r="AP136" s="30"/>
      <c r="AQ136" s="28">
        <v>913647681</v>
      </c>
      <c r="AR136" s="32">
        <v>81</v>
      </c>
      <c r="AS136" s="29" t="e">
        <f>(#REF!/AQ136)-1</f>
        <v>#REF!</v>
      </c>
      <c r="AT136" s="29" t="e">
        <f>(#REF!/AR136)-1</f>
        <v>#REF!</v>
      </c>
    </row>
    <row r="137" spans="1:46">
      <c r="A137" s="207" t="s">
        <v>48</v>
      </c>
      <c r="B137" s="329">
        <v>163707654.36000001</v>
      </c>
      <c r="C137" s="329">
        <v>1.7</v>
      </c>
      <c r="D137" s="329">
        <v>164236785.69999999</v>
      </c>
      <c r="E137" s="329">
        <v>1.71</v>
      </c>
      <c r="F137" s="23">
        <f t="shared" si="111"/>
        <v>3.2321722650572693E-3</v>
      </c>
      <c r="G137" s="23">
        <f t="shared" si="112"/>
        <v>5.8823529411764757E-3</v>
      </c>
      <c r="H137" s="329">
        <v>164694733.72999999</v>
      </c>
      <c r="I137" s="329">
        <v>1.72</v>
      </c>
      <c r="J137" s="23">
        <f t="shared" si="113"/>
        <v>2.7883401885160082E-3</v>
      </c>
      <c r="K137" s="23">
        <f t="shared" si="114"/>
        <v>5.8479532163742748E-3</v>
      </c>
      <c r="L137" s="329">
        <v>164694177.12</v>
      </c>
      <c r="M137" s="329">
        <v>1.7176720000000001</v>
      </c>
      <c r="N137" s="23">
        <f t="shared" si="115"/>
        <v>-3.3796466187984337E-6</v>
      </c>
      <c r="O137" s="23">
        <f t="shared" si="116"/>
        <v>-1.3534883720929568E-3</v>
      </c>
      <c r="P137" s="329">
        <v>164482079.80000001</v>
      </c>
      <c r="Q137" s="329">
        <v>1.715206</v>
      </c>
      <c r="R137" s="23">
        <f t="shared" si="117"/>
        <v>-1.2878252510740184E-3</v>
      </c>
      <c r="S137" s="23">
        <f t="shared" si="118"/>
        <v>-1.4356640848777176E-3</v>
      </c>
      <c r="T137" s="329">
        <v>161878402.22999999</v>
      </c>
      <c r="U137" s="329">
        <v>1.689519</v>
      </c>
      <c r="V137" s="23">
        <f t="shared" si="133"/>
        <v>-1.5829551603225911E-2</v>
      </c>
      <c r="W137" s="23">
        <f t="shared" si="134"/>
        <v>-1.4976043693877013E-2</v>
      </c>
      <c r="X137" s="329">
        <v>161878402.22999999</v>
      </c>
      <c r="Y137" s="329">
        <v>1.97</v>
      </c>
      <c r="Z137" s="23">
        <f t="shared" si="135"/>
        <v>0</v>
      </c>
      <c r="AA137" s="23">
        <f t="shared" si="136"/>
        <v>0.16601233842294758</v>
      </c>
      <c r="AB137" s="329">
        <v>166494118.93000001</v>
      </c>
      <c r="AC137" s="329">
        <v>1.7363219999999999</v>
      </c>
      <c r="AD137" s="23">
        <f t="shared" si="137"/>
        <v>2.8513480714010987E-2</v>
      </c>
      <c r="AE137" s="23">
        <f t="shared" si="138"/>
        <v>-0.11861827411167515</v>
      </c>
      <c r="AF137" s="329">
        <v>194737320.71000001</v>
      </c>
      <c r="AG137" s="329">
        <v>2.0239989999999999</v>
      </c>
      <c r="AH137" s="23">
        <f t="shared" si="139"/>
        <v>0.16963483131722171</v>
      </c>
      <c r="AI137" s="23">
        <f t="shared" si="140"/>
        <v>0.16568182629719602</v>
      </c>
      <c r="AJ137" s="24">
        <f t="shared" si="141"/>
        <v>2.3381008497985904E-2</v>
      </c>
      <c r="AK137" s="24">
        <f t="shared" si="142"/>
        <v>2.5880125076896437E-2</v>
      </c>
      <c r="AL137" s="25">
        <f t="shared" si="143"/>
        <v>0.18571074001480548</v>
      </c>
      <c r="AM137" s="25">
        <f t="shared" si="144"/>
        <v>0.18362514619883036</v>
      </c>
      <c r="AN137" s="26">
        <f t="shared" si="145"/>
        <v>6.0339606868367313E-2</v>
      </c>
      <c r="AO137" s="78">
        <f t="shared" si="146"/>
        <v>9.5632919925918491E-2</v>
      </c>
      <c r="AP137" s="30"/>
      <c r="AQ137" s="61">
        <f>SUM(AQ129:AQ136)</f>
        <v>3629819788.79</v>
      </c>
      <c r="AR137" s="62"/>
      <c r="AS137" s="29" t="e">
        <f>(#REF!/AQ137)-1</f>
        <v>#REF!</v>
      </c>
      <c r="AT137" s="29" t="e">
        <f>(#REF!/AR137)-1</f>
        <v>#REF!</v>
      </c>
    </row>
    <row r="138" spans="1:46">
      <c r="A138" s="206" t="s">
        <v>22</v>
      </c>
      <c r="B138" s="330">
        <v>1655284774.4100001</v>
      </c>
      <c r="C138" s="329">
        <v>3840.8</v>
      </c>
      <c r="D138" s="330">
        <v>1667769510.96</v>
      </c>
      <c r="E138" s="329">
        <v>3853.29</v>
      </c>
      <c r="F138" s="23">
        <f t="shared" si="111"/>
        <v>7.5423496566927213E-3</v>
      </c>
      <c r="G138" s="23">
        <f t="shared" si="112"/>
        <v>3.2519266819412054E-3</v>
      </c>
      <c r="H138" s="330">
        <v>1674575343.8099999</v>
      </c>
      <c r="I138" s="329">
        <v>3850.97</v>
      </c>
      <c r="J138" s="23">
        <f t="shared" si="113"/>
        <v>4.0807994181895893E-3</v>
      </c>
      <c r="K138" s="23">
        <f t="shared" si="114"/>
        <v>-6.0208289539592493E-4</v>
      </c>
      <c r="L138" s="330">
        <v>1682686027.4200001</v>
      </c>
      <c r="M138" s="329">
        <v>3857.35</v>
      </c>
      <c r="N138" s="23">
        <f t="shared" si="115"/>
        <v>4.843427105254444E-3</v>
      </c>
      <c r="O138" s="23">
        <f t="shared" si="116"/>
        <v>1.6567254483935501E-3</v>
      </c>
      <c r="P138" s="330">
        <v>1678010875.3800001</v>
      </c>
      <c r="Q138" s="329">
        <v>3842.68</v>
      </c>
      <c r="R138" s="23">
        <f t="shared" si="117"/>
        <v>-2.7783864391910345E-3</v>
      </c>
      <c r="S138" s="23">
        <f t="shared" si="118"/>
        <v>-3.8031290912154906E-3</v>
      </c>
      <c r="T138" s="330">
        <v>1663834088</v>
      </c>
      <c r="U138" s="329">
        <v>3813.12</v>
      </c>
      <c r="V138" s="23">
        <f t="shared" si="133"/>
        <v>-8.4485670432795368E-3</v>
      </c>
      <c r="W138" s="23">
        <f t="shared" si="134"/>
        <v>-7.6925479092716399E-3</v>
      </c>
      <c r="X138" s="330">
        <v>1676822193.02</v>
      </c>
      <c r="Y138" s="329">
        <v>3852.48</v>
      </c>
      <c r="Z138" s="23">
        <f t="shared" si="135"/>
        <v>7.8061298982113302E-3</v>
      </c>
      <c r="AA138" s="23">
        <f t="shared" si="136"/>
        <v>1.0322255790533769E-2</v>
      </c>
      <c r="AB138" s="330">
        <v>1715674888.0799999</v>
      </c>
      <c r="AC138" s="329">
        <v>3913.49</v>
      </c>
      <c r="AD138" s="23">
        <f t="shared" si="137"/>
        <v>2.3170432274649967E-2</v>
      </c>
      <c r="AE138" s="23">
        <f t="shared" si="138"/>
        <v>1.5836552039205854E-2</v>
      </c>
      <c r="AF138" s="330">
        <v>1724095028.71</v>
      </c>
      <c r="AG138" s="329">
        <v>3916.1</v>
      </c>
      <c r="AH138" s="23">
        <f t="shared" si="139"/>
        <v>4.9077716812787513E-3</v>
      </c>
      <c r="AI138" s="23">
        <f t="shared" si="140"/>
        <v>6.6692389657316807E-4</v>
      </c>
      <c r="AJ138" s="24">
        <f t="shared" si="141"/>
        <v>5.1404945689757795E-3</v>
      </c>
      <c r="AK138" s="24">
        <f t="shared" si="142"/>
        <v>2.4545779950955618E-3</v>
      </c>
      <c r="AL138" s="25">
        <f t="shared" si="143"/>
        <v>3.3772962858385602E-2</v>
      </c>
      <c r="AM138" s="25">
        <f t="shared" si="144"/>
        <v>1.6300356318885927E-2</v>
      </c>
      <c r="AN138" s="26">
        <f t="shared" si="145"/>
        <v>9.1541544666700614E-3</v>
      </c>
      <c r="AO138" s="78">
        <f t="shared" si="146"/>
        <v>7.5300527592283544E-3</v>
      </c>
      <c r="AP138" s="30"/>
      <c r="AQ138" s="79"/>
      <c r="AR138" s="80"/>
      <c r="AS138" s="29"/>
      <c r="AT138" s="29"/>
    </row>
    <row r="139" spans="1:46" s="88" customFormat="1">
      <c r="A139" s="206" t="s">
        <v>253</v>
      </c>
      <c r="B139" s="325">
        <v>57257677.07</v>
      </c>
      <c r="C139" s="329">
        <v>106.852</v>
      </c>
      <c r="D139" s="325">
        <v>57378819.380000003</v>
      </c>
      <c r="E139" s="329">
        <v>107.01300000000001</v>
      </c>
      <c r="F139" s="23">
        <f t="shared" si="111"/>
        <v>2.115739167201992E-3</v>
      </c>
      <c r="G139" s="23">
        <f t="shared" si="112"/>
        <v>1.5067570096956664E-3</v>
      </c>
      <c r="H139" s="325">
        <v>57875930.520000003</v>
      </c>
      <c r="I139" s="329">
        <v>107.50660000000001</v>
      </c>
      <c r="J139" s="23">
        <f t="shared" si="113"/>
        <v>8.6636697194448376E-3</v>
      </c>
      <c r="K139" s="23">
        <f t="shared" si="114"/>
        <v>4.612523712072371E-3</v>
      </c>
      <c r="L139" s="325">
        <v>57662394.420000002</v>
      </c>
      <c r="M139" s="329">
        <v>107.0796</v>
      </c>
      <c r="N139" s="23">
        <f t="shared" si="115"/>
        <v>-3.6895493183683758E-3</v>
      </c>
      <c r="O139" s="23">
        <f t="shared" si="116"/>
        <v>-3.9718491701905435E-3</v>
      </c>
      <c r="P139" s="325">
        <v>57617404.770000003</v>
      </c>
      <c r="Q139" s="329">
        <v>106.9949</v>
      </c>
      <c r="R139" s="23">
        <f t="shared" si="117"/>
        <v>-7.8022514417809205E-4</v>
      </c>
      <c r="S139" s="23">
        <f t="shared" si="118"/>
        <v>-7.9100033993401175E-4</v>
      </c>
      <c r="T139" s="325">
        <v>57048714.859999999</v>
      </c>
      <c r="U139" s="329">
        <v>105.93429999999999</v>
      </c>
      <c r="V139" s="23">
        <f t="shared" si="133"/>
        <v>-9.870106303297212E-3</v>
      </c>
      <c r="W139" s="23">
        <f t="shared" si="134"/>
        <v>-9.9126220034787445E-3</v>
      </c>
      <c r="X139" s="325">
        <v>58210130.109999999</v>
      </c>
      <c r="Y139" s="329">
        <v>108.08920000000001</v>
      </c>
      <c r="Z139" s="23">
        <f t="shared" si="135"/>
        <v>2.0358306981150459E-2</v>
      </c>
      <c r="AA139" s="23">
        <f t="shared" si="136"/>
        <v>2.034185339403774E-2</v>
      </c>
      <c r="AB139" s="325">
        <v>59067169.149999999</v>
      </c>
      <c r="AC139" s="329">
        <v>109.27119999999999</v>
      </c>
      <c r="AD139" s="23">
        <f t="shared" si="137"/>
        <v>1.4723194027920015E-2</v>
      </c>
      <c r="AE139" s="23">
        <f t="shared" si="138"/>
        <v>1.0935412603664268E-2</v>
      </c>
      <c r="AF139" s="325">
        <v>59095586</v>
      </c>
      <c r="AG139" s="329">
        <v>109.3357</v>
      </c>
      <c r="AH139" s="23">
        <f t="shared" si="139"/>
        <v>4.8109381927272354E-4</v>
      </c>
      <c r="AI139" s="23">
        <f t="shared" si="140"/>
        <v>5.9027447305428651E-4</v>
      </c>
      <c r="AJ139" s="24">
        <f t="shared" si="141"/>
        <v>4.0002653686432932E-3</v>
      </c>
      <c r="AK139" s="24">
        <f t="shared" si="142"/>
        <v>2.9139187098651291E-3</v>
      </c>
      <c r="AL139" s="25">
        <f t="shared" si="143"/>
        <v>2.9919866573594831E-2</v>
      </c>
      <c r="AM139" s="25">
        <f t="shared" si="144"/>
        <v>2.170483959892721E-2</v>
      </c>
      <c r="AN139" s="26">
        <f t="shared" si="145"/>
        <v>9.9615232752746658E-3</v>
      </c>
      <c r="AO139" s="78">
        <f t="shared" si="146"/>
        <v>9.2890283078009683E-3</v>
      </c>
      <c r="AP139" s="30"/>
      <c r="AQ139" s="79"/>
      <c r="AR139" s="80"/>
      <c r="AS139" s="29"/>
      <c r="AT139" s="29"/>
    </row>
    <row r="140" spans="1:46" s="107" customFormat="1">
      <c r="A140" s="206" t="s">
        <v>75</v>
      </c>
      <c r="B140" s="329">
        <v>1226351025.71</v>
      </c>
      <c r="C140" s="329">
        <v>1.5911999999999999</v>
      </c>
      <c r="D140" s="329">
        <v>1236999883.1600001</v>
      </c>
      <c r="E140" s="329">
        <v>1.6063000000000001</v>
      </c>
      <c r="F140" s="23">
        <f t="shared" si="111"/>
        <v>8.6833681602988474E-3</v>
      </c>
      <c r="G140" s="23">
        <f t="shared" si="112"/>
        <v>9.4896933132227971E-3</v>
      </c>
      <c r="H140" s="329">
        <v>1230226342.0599999</v>
      </c>
      <c r="I140" s="329">
        <v>1.5974999999999999</v>
      </c>
      <c r="J140" s="23">
        <f t="shared" si="113"/>
        <v>-5.4757815196365845E-3</v>
      </c>
      <c r="K140" s="23">
        <f t="shared" si="114"/>
        <v>-5.4784286870448486E-3</v>
      </c>
      <c r="L140" s="329">
        <v>1229899208.8599999</v>
      </c>
      <c r="M140" s="329">
        <v>1.5959000000000001</v>
      </c>
      <c r="N140" s="23">
        <f t="shared" si="115"/>
        <v>-2.6591301845501605E-4</v>
      </c>
      <c r="O140" s="23">
        <f t="shared" si="116"/>
        <v>-1.0015649452268069E-3</v>
      </c>
      <c r="P140" s="329">
        <v>1220075404.24</v>
      </c>
      <c r="Q140" s="329">
        <v>1.5828</v>
      </c>
      <c r="R140" s="23">
        <f t="shared" si="117"/>
        <v>-7.9874875511999257E-3</v>
      </c>
      <c r="S140" s="23">
        <f t="shared" si="118"/>
        <v>-8.2085343693214553E-3</v>
      </c>
      <c r="T140" s="329">
        <v>1219590687.76</v>
      </c>
      <c r="U140" s="329">
        <v>1.5818000000000001</v>
      </c>
      <c r="V140" s="23">
        <f t="shared" si="133"/>
        <v>-3.9728403532727135E-4</v>
      </c>
      <c r="W140" s="23">
        <f t="shared" si="134"/>
        <v>-6.3179176143536131E-4</v>
      </c>
      <c r="X140" s="329">
        <v>1222429240.7</v>
      </c>
      <c r="Y140" s="329">
        <v>1.5859000000000001</v>
      </c>
      <c r="Z140" s="23">
        <f t="shared" si="135"/>
        <v>2.3274636060181598E-3</v>
      </c>
      <c r="AA140" s="23">
        <f t="shared" si="136"/>
        <v>2.5919838159059252E-3</v>
      </c>
      <c r="AB140" s="329">
        <v>1224516702.3199999</v>
      </c>
      <c r="AC140" s="329">
        <v>1.5862000000000001</v>
      </c>
      <c r="AD140" s="23">
        <f t="shared" si="137"/>
        <v>1.7076339067319281E-3</v>
      </c>
      <c r="AE140" s="23">
        <f t="shared" si="138"/>
        <v>1.8916703449143511E-4</v>
      </c>
      <c r="AF140" s="329">
        <v>1223917806.3</v>
      </c>
      <c r="AG140" s="329">
        <v>1.5713999999999999</v>
      </c>
      <c r="AH140" s="23">
        <f t="shared" si="139"/>
        <v>-4.8908766933541828E-4</v>
      </c>
      <c r="AI140" s="23">
        <f t="shared" si="140"/>
        <v>-9.330475349892918E-3</v>
      </c>
      <c r="AJ140" s="24">
        <f t="shared" si="141"/>
        <v>-2.3713601511316009E-4</v>
      </c>
      <c r="AK140" s="24">
        <f t="shared" si="142"/>
        <v>-1.547493868662654E-3</v>
      </c>
      <c r="AL140" s="25">
        <f t="shared" si="143"/>
        <v>-1.0575649228503629E-2</v>
      </c>
      <c r="AM140" s="25">
        <f t="shared" si="144"/>
        <v>-2.1726950133848066E-2</v>
      </c>
      <c r="AN140" s="26">
        <f t="shared" si="145"/>
        <v>5.0360983594802044E-3</v>
      </c>
      <c r="AO140" s="78">
        <f t="shared" si="146"/>
        <v>6.1354220492288603E-3</v>
      </c>
      <c r="AP140" s="30"/>
      <c r="AQ140" s="79"/>
      <c r="AR140" s="80"/>
      <c r="AS140" s="29"/>
      <c r="AT140" s="29"/>
    </row>
    <row r="141" spans="1:46" s="107" customFormat="1">
      <c r="A141" s="206" t="s">
        <v>214</v>
      </c>
      <c r="B141" s="329">
        <v>702054403.38999999</v>
      </c>
      <c r="C141" s="329">
        <v>1.2876000000000001</v>
      </c>
      <c r="D141" s="329">
        <v>706025762.05999994</v>
      </c>
      <c r="E141" s="329">
        <v>1.2937000000000001</v>
      </c>
      <c r="F141" s="23">
        <f t="shared" si="111"/>
        <v>5.6567676960980725E-3</v>
      </c>
      <c r="G141" s="23">
        <f t="shared" si="112"/>
        <v>4.7374961168064568E-3</v>
      </c>
      <c r="H141" s="329">
        <v>704549349.99000001</v>
      </c>
      <c r="I141" s="329">
        <v>1.2906</v>
      </c>
      <c r="J141" s="23">
        <f t="shared" si="113"/>
        <v>-2.0911589198843766E-3</v>
      </c>
      <c r="K141" s="23">
        <f t="shared" si="114"/>
        <v>-2.3962278735410857E-3</v>
      </c>
      <c r="L141" s="329">
        <v>704662425.39999998</v>
      </c>
      <c r="M141" s="329">
        <v>1.2907999999999999</v>
      </c>
      <c r="N141" s="23">
        <f t="shared" si="115"/>
        <v>1.6049324295249376E-4</v>
      </c>
      <c r="O141" s="23">
        <f t="shared" si="116"/>
        <v>1.5496668216331781E-4</v>
      </c>
      <c r="P141" s="329">
        <v>702600576.89999998</v>
      </c>
      <c r="Q141" s="329">
        <v>1.2889999999999999</v>
      </c>
      <c r="R141" s="23">
        <f t="shared" si="117"/>
        <v>-2.9260088599581515E-3</v>
      </c>
      <c r="S141" s="23">
        <f t="shared" si="118"/>
        <v>-1.3944840409048837E-3</v>
      </c>
      <c r="T141" s="329">
        <v>698550526.20000005</v>
      </c>
      <c r="U141" s="329">
        <v>1.2814000000000001</v>
      </c>
      <c r="V141" s="23">
        <f t="shared" si="133"/>
        <v>-5.764371441124458E-3</v>
      </c>
      <c r="W141" s="23">
        <f t="shared" si="134"/>
        <v>-5.8960434445305115E-3</v>
      </c>
      <c r="X141" s="329">
        <v>696016789.77999997</v>
      </c>
      <c r="Y141" s="329">
        <v>1.2786999999999999</v>
      </c>
      <c r="Z141" s="23">
        <f t="shared" si="135"/>
        <v>-3.6271340797396369E-3</v>
      </c>
      <c r="AA141" s="23">
        <f t="shared" si="136"/>
        <v>-2.1070703917591281E-3</v>
      </c>
      <c r="AB141" s="329">
        <v>692236800.63</v>
      </c>
      <c r="AC141" s="329">
        <v>1.2716000000000001</v>
      </c>
      <c r="AD141" s="23">
        <f t="shared" si="137"/>
        <v>-5.4308878830276091E-3</v>
      </c>
      <c r="AE141" s="23">
        <f t="shared" si="138"/>
        <v>-5.5525142723077221E-3</v>
      </c>
      <c r="AF141" s="329">
        <v>690170453.63999999</v>
      </c>
      <c r="AG141" s="329">
        <v>1.2557</v>
      </c>
      <c r="AH141" s="23">
        <f t="shared" si="139"/>
        <v>-2.9850290942628897E-3</v>
      </c>
      <c r="AI141" s="23">
        <f t="shared" si="140"/>
        <v>-1.2503932054105084E-2</v>
      </c>
      <c r="AJ141" s="24">
        <f t="shared" si="141"/>
        <v>-2.1259161673683196E-3</v>
      </c>
      <c r="AK141" s="24">
        <f t="shared" si="142"/>
        <v>-3.1197261597723301E-3</v>
      </c>
      <c r="AL141" s="25">
        <f t="shared" si="143"/>
        <v>-2.2457124473387886E-2</v>
      </c>
      <c r="AM141" s="25">
        <f t="shared" si="144"/>
        <v>-2.937311586921236E-2</v>
      </c>
      <c r="AN141" s="26">
        <f t="shared" si="145"/>
        <v>3.6565424252830835E-3</v>
      </c>
      <c r="AO141" s="78">
        <f t="shared" si="146"/>
        <v>5.0522223241622642E-3</v>
      </c>
      <c r="AP141" s="30"/>
      <c r="AQ141" s="79"/>
      <c r="AR141" s="80"/>
      <c r="AS141" s="29"/>
      <c r="AT141" s="29"/>
    </row>
    <row r="142" spans="1:46" ht="15.75" customHeight="1" thickBot="1">
      <c r="A142" s="206" t="s">
        <v>127</v>
      </c>
      <c r="B142" s="329">
        <v>4354648635.3699999</v>
      </c>
      <c r="C142" s="329">
        <v>196.9196</v>
      </c>
      <c r="D142" s="329">
        <v>4366708962.9099998</v>
      </c>
      <c r="E142" s="329">
        <v>197.46610000000001</v>
      </c>
      <c r="F142" s="23">
        <f t="shared" si="111"/>
        <v>2.7695294270223565E-3</v>
      </c>
      <c r="G142" s="23">
        <f t="shared" si="112"/>
        <v>2.7752443129074448E-3</v>
      </c>
      <c r="H142" s="329">
        <v>4402555112.5799999</v>
      </c>
      <c r="I142" s="329">
        <v>199.09</v>
      </c>
      <c r="J142" s="23">
        <f t="shared" si="113"/>
        <v>8.2089623958158178E-3</v>
      </c>
      <c r="K142" s="23">
        <f t="shared" si="114"/>
        <v>8.2236900409740805E-3</v>
      </c>
      <c r="L142" s="329">
        <v>4375790008.4200001</v>
      </c>
      <c r="M142" s="329">
        <v>197.85</v>
      </c>
      <c r="N142" s="23">
        <f t="shared" si="115"/>
        <v>-6.0794478378068213E-3</v>
      </c>
      <c r="O142" s="23">
        <f t="shared" si="116"/>
        <v>-6.2283389421869959E-3</v>
      </c>
      <c r="P142" s="329">
        <v>4339064727.4099998</v>
      </c>
      <c r="Q142" s="329">
        <v>196.19</v>
      </c>
      <c r="R142" s="23">
        <f t="shared" si="117"/>
        <v>-8.3928344228887952E-3</v>
      </c>
      <c r="S142" s="23">
        <f t="shared" si="118"/>
        <v>-8.3901945918625053E-3</v>
      </c>
      <c r="T142" s="329">
        <v>4421065748.79</v>
      </c>
      <c r="U142" s="329">
        <v>199.87</v>
      </c>
      <c r="V142" s="23">
        <f t="shared" si="133"/>
        <v>1.889831715622891E-2</v>
      </c>
      <c r="W142" s="23">
        <f t="shared" si="134"/>
        <v>1.8757327080891006E-2</v>
      </c>
      <c r="X142" s="329">
        <v>4429213580.5299997</v>
      </c>
      <c r="Y142" s="329">
        <v>200.24</v>
      </c>
      <c r="Z142" s="23">
        <f t="shared" si="135"/>
        <v>1.8429564731602891E-3</v>
      </c>
      <c r="AA142" s="23">
        <f t="shared" si="136"/>
        <v>1.8512032821334093E-3</v>
      </c>
      <c r="AB142" s="329">
        <v>4554277245.3000002</v>
      </c>
      <c r="AC142" s="329">
        <v>205.89</v>
      </c>
      <c r="AD142" s="23">
        <f t="shared" si="137"/>
        <v>2.8236088076618635E-2</v>
      </c>
      <c r="AE142" s="23">
        <f t="shared" si="138"/>
        <v>2.8216140631242396E-2</v>
      </c>
      <c r="AF142" s="329">
        <v>4553824280.3699999</v>
      </c>
      <c r="AG142" s="329">
        <v>205.85040000000001</v>
      </c>
      <c r="AH142" s="23">
        <f t="shared" si="139"/>
        <v>-9.9459234825408045E-5</v>
      </c>
      <c r="AI142" s="23">
        <f t="shared" si="140"/>
        <v>-1.923357132448335E-4</v>
      </c>
      <c r="AJ142" s="24">
        <f t="shared" si="141"/>
        <v>5.6730140041656232E-3</v>
      </c>
      <c r="AK142" s="24">
        <f t="shared" si="142"/>
        <v>5.6265920126067504E-3</v>
      </c>
      <c r="AL142" s="25">
        <f t="shared" si="143"/>
        <v>4.2850421003396873E-2</v>
      </c>
      <c r="AM142" s="25">
        <f t="shared" si="144"/>
        <v>4.2459439873476994E-2</v>
      </c>
      <c r="AN142" s="26">
        <f t="shared" si="145"/>
        <v>1.2437394371717233E-2</v>
      </c>
      <c r="AO142" s="78">
        <f t="shared" si="146"/>
        <v>1.243670941035753E-2</v>
      </c>
      <c r="AP142" s="30"/>
      <c r="AQ142" s="64" t="e">
        <f>SUM(AQ125,AQ137)</f>
        <v>#REF!</v>
      </c>
      <c r="AR142" s="65"/>
      <c r="AS142" s="29" t="e">
        <f>(#REF!/AQ142)-1</f>
        <v>#REF!</v>
      </c>
      <c r="AT142" s="29" t="e">
        <f>(#REF!/AR142)-1</f>
        <v>#REF!</v>
      </c>
    </row>
    <row r="143" spans="1:46" s="306" customFormat="1" ht="15.75" customHeight="1">
      <c r="A143" s="206" t="s">
        <v>52</v>
      </c>
      <c r="B143" s="330">
        <v>2261786761.5700002</v>
      </c>
      <c r="C143" s="329">
        <v>3.25</v>
      </c>
      <c r="D143" s="330">
        <v>2261786761.5700002</v>
      </c>
      <c r="E143" s="329">
        <v>3.24</v>
      </c>
      <c r="F143" s="23">
        <f t="shared" si="111"/>
        <v>0</v>
      </c>
      <c r="G143" s="23">
        <f t="shared" si="112"/>
        <v>-3.0769230769230114E-3</v>
      </c>
      <c r="H143" s="330">
        <v>2270030320.8400002</v>
      </c>
      <c r="I143" s="329">
        <v>3.26</v>
      </c>
      <c r="J143" s="23">
        <f t="shared" si="113"/>
        <v>3.6447110797826867E-3</v>
      </c>
      <c r="K143" s="23">
        <f t="shared" si="114"/>
        <v>6.1728395061727073E-3</v>
      </c>
      <c r="L143" s="330">
        <v>2262318178.27</v>
      </c>
      <c r="M143" s="329">
        <v>3.25</v>
      </c>
      <c r="N143" s="23">
        <f t="shared" si="115"/>
        <v>-3.3973742549598973E-3</v>
      </c>
      <c r="O143" s="23">
        <f t="shared" si="116"/>
        <v>-3.0674846625766221E-3</v>
      </c>
      <c r="P143" s="330">
        <v>2255379209.2399998</v>
      </c>
      <c r="Q143" s="329">
        <v>3.24</v>
      </c>
      <c r="R143" s="23">
        <f t="shared" si="117"/>
        <v>-3.067194127090671E-3</v>
      </c>
      <c r="S143" s="23">
        <f t="shared" si="118"/>
        <v>-3.0769230769230114E-3</v>
      </c>
      <c r="T143" s="330">
        <v>2202486841.4000001</v>
      </c>
      <c r="U143" s="329">
        <v>3.16</v>
      </c>
      <c r="V143" s="23">
        <f t="shared" si="133"/>
        <v>-2.3451651776919116E-2</v>
      </c>
      <c r="W143" s="23">
        <f t="shared" si="134"/>
        <v>-2.4691358024691377E-2</v>
      </c>
      <c r="X143" s="330">
        <v>2226709276.98</v>
      </c>
      <c r="Y143" s="329">
        <v>3.2</v>
      </c>
      <c r="Z143" s="23">
        <f t="shared" si="135"/>
        <v>1.0997766308834358E-2</v>
      </c>
      <c r="AA143" s="23">
        <f t="shared" si="136"/>
        <v>1.2658227848101276E-2</v>
      </c>
      <c r="AB143" s="330">
        <v>2266365732.1999998</v>
      </c>
      <c r="AC143" s="329">
        <v>3.26</v>
      </c>
      <c r="AD143" s="23">
        <f t="shared" si="137"/>
        <v>1.7809444470355068E-2</v>
      </c>
      <c r="AE143" s="23">
        <f t="shared" si="138"/>
        <v>1.8749999999999878E-2</v>
      </c>
      <c r="AF143" s="330">
        <v>2269310744</v>
      </c>
      <c r="AG143" s="329">
        <v>3.26</v>
      </c>
      <c r="AH143" s="23">
        <f t="shared" si="139"/>
        <v>1.2994424325068741E-3</v>
      </c>
      <c r="AI143" s="23">
        <f t="shared" si="140"/>
        <v>0</v>
      </c>
      <c r="AJ143" s="24">
        <f t="shared" si="141"/>
        <v>4.7939301656366266E-4</v>
      </c>
      <c r="AK143" s="24">
        <f t="shared" si="142"/>
        <v>4.585473141449799E-4</v>
      </c>
      <c r="AL143" s="25">
        <f t="shared" si="143"/>
        <v>3.3265657743867592E-3</v>
      </c>
      <c r="AM143" s="25">
        <f t="shared" si="144"/>
        <v>6.1728395061727073E-3</v>
      </c>
      <c r="AN143" s="26">
        <f t="shared" si="145"/>
        <v>1.2084174462078432E-2</v>
      </c>
      <c r="AO143" s="78">
        <f t="shared" si="146"/>
        <v>1.3017694492004604E-2</v>
      </c>
      <c r="AP143" s="30"/>
      <c r="AQ143" s="340"/>
      <c r="AR143" s="341"/>
      <c r="AS143" s="29"/>
      <c r="AT143" s="29"/>
    </row>
    <row r="144" spans="1:46" s="306" customFormat="1" ht="15.75" customHeight="1">
      <c r="A144" s="206" t="s">
        <v>238</v>
      </c>
      <c r="B144" s="330">
        <v>200798978.24000001</v>
      </c>
      <c r="C144" s="329">
        <v>155.84</v>
      </c>
      <c r="D144" s="330">
        <v>202521215.75999999</v>
      </c>
      <c r="E144" s="329">
        <v>157.19</v>
      </c>
      <c r="F144" s="23">
        <f t="shared" si="111"/>
        <v>8.5769237228962344E-3</v>
      </c>
      <c r="G144" s="23">
        <f t="shared" si="112"/>
        <v>8.6627310061601279E-3</v>
      </c>
      <c r="H144" s="330">
        <v>200847717.59</v>
      </c>
      <c r="I144" s="329">
        <v>155.62</v>
      </c>
      <c r="J144" s="23">
        <f t="shared" si="113"/>
        <v>-8.2633227522354216E-3</v>
      </c>
      <c r="K144" s="23">
        <f t="shared" si="114"/>
        <v>-9.9879127170939188E-3</v>
      </c>
      <c r="L144" s="330">
        <v>202794728.06</v>
      </c>
      <c r="M144" s="329">
        <v>155.21</v>
      </c>
      <c r="N144" s="23">
        <f t="shared" si="115"/>
        <v>9.6939636325592896E-3</v>
      </c>
      <c r="O144" s="23">
        <f t="shared" si="116"/>
        <v>-2.6346227991260545E-3</v>
      </c>
      <c r="P144" s="330">
        <v>187572810.06</v>
      </c>
      <c r="Q144" s="329">
        <v>155.21</v>
      </c>
      <c r="R144" s="23">
        <f t="shared" si="117"/>
        <v>-7.5060718518759312E-2</v>
      </c>
      <c r="S144" s="23">
        <f t="shared" si="118"/>
        <v>0</v>
      </c>
      <c r="T144" s="330">
        <v>197315448.12</v>
      </c>
      <c r="U144" s="329">
        <v>155.21</v>
      </c>
      <c r="V144" s="23">
        <f t="shared" si="133"/>
        <v>5.1940566742501582E-2</v>
      </c>
      <c r="W144" s="23">
        <f t="shared" si="134"/>
        <v>0</v>
      </c>
      <c r="X144" s="330">
        <v>197619997.56</v>
      </c>
      <c r="Y144" s="329">
        <v>155.21</v>
      </c>
      <c r="Z144" s="23">
        <f t="shared" si="135"/>
        <v>1.5434647560630013E-3</v>
      </c>
      <c r="AA144" s="23">
        <f t="shared" si="136"/>
        <v>0</v>
      </c>
      <c r="AB144" s="330">
        <v>199592627.5</v>
      </c>
      <c r="AC144" s="329">
        <v>154.97999999999999</v>
      </c>
      <c r="AD144" s="23">
        <f t="shared" si="137"/>
        <v>9.9819348464523765E-3</v>
      </c>
      <c r="AE144" s="23">
        <f t="shared" si="138"/>
        <v>-1.4818632820051425E-3</v>
      </c>
      <c r="AF144" s="330">
        <v>203000759.84999999</v>
      </c>
      <c r="AG144" s="329">
        <v>154.97999999999999</v>
      </c>
      <c r="AH144" s="23">
        <f t="shared" si="139"/>
        <v>1.7075442077638836E-2</v>
      </c>
      <c r="AI144" s="23">
        <f t="shared" si="140"/>
        <v>0</v>
      </c>
      <c r="AJ144" s="24">
        <f t="shared" si="141"/>
        <v>1.9360318133895742E-3</v>
      </c>
      <c r="AK144" s="24">
        <f t="shared" si="142"/>
        <v>-6.8020847400812351E-4</v>
      </c>
      <c r="AL144" s="25">
        <f t="shared" si="143"/>
        <v>2.3678708830599388E-3</v>
      </c>
      <c r="AM144" s="25">
        <f t="shared" si="144"/>
        <v>-1.4059418538074991E-2</v>
      </c>
      <c r="AN144" s="26">
        <f t="shared" si="145"/>
        <v>3.5719860957714566E-2</v>
      </c>
      <c r="AO144" s="78">
        <f t="shared" si="146"/>
        <v>5.0742627397584242E-3</v>
      </c>
      <c r="AP144" s="30"/>
      <c r="AQ144" s="340"/>
      <c r="AR144" s="341"/>
      <c r="AS144" s="29"/>
      <c r="AT144" s="29"/>
    </row>
    <row r="145" spans="1:41">
      <c r="A145" s="208" t="s">
        <v>42</v>
      </c>
      <c r="B145" s="220">
        <f>SUM(B121:B144)</f>
        <v>31193956823.055725</v>
      </c>
      <c r="C145" s="87"/>
      <c r="D145" s="220">
        <f>SUM(D121:D144)</f>
        <v>31270923143.61771</v>
      </c>
      <c r="E145" s="87"/>
      <c r="F145" s="23">
        <f>((D145-B145)/B145)</f>
        <v>2.4673471531222527E-3</v>
      </c>
      <c r="G145" s="23"/>
      <c r="H145" s="220">
        <f>SUM(H121:H144)</f>
        <v>31357580652.946274</v>
      </c>
      <c r="I145" s="87"/>
      <c r="J145" s="23">
        <f>((H145-D145)/D145)</f>
        <v>2.7711848777400164E-3</v>
      </c>
      <c r="K145" s="23"/>
      <c r="L145" s="220">
        <f>SUM(L121:L144)</f>
        <v>31214054403.725143</v>
      </c>
      <c r="M145" s="87"/>
      <c r="N145" s="23">
        <f>((L145-H145)/H145)</f>
        <v>-4.5770829966005379E-3</v>
      </c>
      <c r="O145" s="23"/>
      <c r="P145" s="220">
        <f>SUM(P121:P144)</f>
        <v>31040700634.661449</v>
      </c>
      <c r="Q145" s="87"/>
      <c r="R145" s="23">
        <f>((P145-L145)/L145)</f>
        <v>-5.5537088140336435E-3</v>
      </c>
      <c r="S145" s="23"/>
      <c r="T145" s="220">
        <f>SUM(T121:T144)</f>
        <v>31064229357.892361</v>
      </c>
      <c r="U145" s="87"/>
      <c r="V145" s="23">
        <f>((T145-P145)/P145)</f>
        <v>7.579958812088803E-4</v>
      </c>
      <c r="W145" s="23"/>
      <c r="X145" s="220">
        <f>SUM(X121:X144)</f>
        <v>31321324637.973106</v>
      </c>
      <c r="Y145" s="87"/>
      <c r="Z145" s="23">
        <f>((X145-T145)/T145)</f>
        <v>8.2762484502267742E-3</v>
      </c>
      <c r="AA145" s="23"/>
      <c r="AB145" s="220">
        <f>SUM(AB121:AB144)</f>
        <v>31685014995.591473</v>
      </c>
      <c r="AC145" s="87"/>
      <c r="AD145" s="23">
        <f>((AB145-X145)/X145)</f>
        <v>1.1611589286917901E-2</v>
      </c>
      <c r="AE145" s="23"/>
      <c r="AF145" s="220">
        <f>SUM(AF121:AF144)</f>
        <v>31764157613.919247</v>
      </c>
      <c r="AG145" s="87"/>
      <c r="AH145" s="23">
        <f>((AF145-AB145)/AB145)</f>
        <v>2.497793305093453E-3</v>
      </c>
      <c r="AI145" s="23"/>
      <c r="AJ145" s="24">
        <f t="shared" si="141"/>
        <v>2.2814208929593867E-3</v>
      </c>
      <c r="AK145" s="24"/>
      <c r="AL145" s="25">
        <f t="shared" si="143"/>
        <v>1.5772942424381355E-2</v>
      </c>
      <c r="AM145" s="25"/>
      <c r="AN145" s="26">
        <f t="shared" si="145"/>
        <v>5.7824909480711593E-3</v>
      </c>
      <c r="AO145" s="78"/>
    </row>
    <row r="146" spans="1:41" s="110" customFormat="1" ht="8.25" customHeight="1">
      <c r="A146" s="208"/>
      <c r="B146" s="87"/>
      <c r="C146" s="87"/>
      <c r="D146" s="87"/>
      <c r="E146" s="87"/>
      <c r="F146" s="23"/>
      <c r="G146" s="23"/>
      <c r="H146" s="87"/>
      <c r="I146" s="87"/>
      <c r="J146" s="23"/>
      <c r="K146" s="23"/>
      <c r="L146" s="87"/>
      <c r="M146" s="87"/>
      <c r="N146" s="23"/>
      <c r="O146" s="23"/>
      <c r="P146" s="87"/>
      <c r="Q146" s="87"/>
      <c r="R146" s="23"/>
      <c r="S146" s="23"/>
      <c r="T146" s="87"/>
      <c r="U146" s="87"/>
      <c r="V146" s="23"/>
      <c r="W146" s="23"/>
      <c r="X146" s="87"/>
      <c r="Y146" s="87"/>
      <c r="Z146" s="23"/>
      <c r="AA146" s="23"/>
      <c r="AB146" s="87"/>
      <c r="AC146" s="87"/>
      <c r="AD146" s="23"/>
      <c r="AE146" s="23"/>
      <c r="AF146" s="87"/>
      <c r="AG146" s="87"/>
      <c r="AH146" s="23"/>
      <c r="AI146" s="23"/>
      <c r="AJ146" s="24"/>
      <c r="AK146" s="24"/>
      <c r="AL146" s="25"/>
      <c r="AM146" s="25"/>
      <c r="AN146" s="26"/>
      <c r="AO146" s="78"/>
    </row>
    <row r="147" spans="1:41" s="110" customFormat="1">
      <c r="A147" s="210" t="s">
        <v>67</v>
      </c>
      <c r="B147" s="87"/>
      <c r="C147" s="87"/>
      <c r="D147" s="87"/>
      <c r="E147" s="87"/>
      <c r="F147" s="23"/>
      <c r="G147" s="23"/>
      <c r="H147" s="87"/>
      <c r="I147" s="87"/>
      <c r="J147" s="23"/>
      <c r="K147" s="23"/>
      <c r="L147" s="87"/>
      <c r="M147" s="87"/>
      <c r="N147" s="23"/>
      <c r="O147" s="23"/>
      <c r="P147" s="87"/>
      <c r="Q147" s="87"/>
      <c r="R147" s="23"/>
      <c r="S147" s="23"/>
      <c r="T147" s="87"/>
      <c r="U147" s="87"/>
      <c r="V147" s="23"/>
      <c r="W147" s="23"/>
      <c r="X147" s="87"/>
      <c r="Y147" s="87"/>
      <c r="Z147" s="23"/>
      <c r="AA147" s="23"/>
      <c r="AB147" s="87"/>
      <c r="AC147" s="87"/>
      <c r="AD147" s="23"/>
      <c r="AE147" s="23"/>
      <c r="AF147" s="87"/>
      <c r="AG147" s="87"/>
      <c r="AH147" s="23"/>
      <c r="AI147" s="23"/>
      <c r="AJ147" s="24"/>
      <c r="AK147" s="24"/>
      <c r="AL147" s="25"/>
      <c r="AM147" s="25"/>
      <c r="AN147" s="26"/>
      <c r="AO147" s="78"/>
    </row>
    <row r="148" spans="1:41" s="110" customFormat="1">
      <c r="A148" s="207" t="s">
        <v>26</v>
      </c>
      <c r="B148" s="326">
        <v>634569310.63</v>
      </c>
      <c r="C148" s="326">
        <v>48.831899999999997</v>
      </c>
      <c r="D148" s="326">
        <v>549945703.21000004</v>
      </c>
      <c r="E148" s="326">
        <v>48.862400000000001</v>
      </c>
      <c r="F148" s="23">
        <f t="shared" ref="F148:G150" si="147">((D148-B148)/B148)</f>
        <v>-0.13335597231449106</v>
      </c>
      <c r="G148" s="23">
        <f t="shared" si="147"/>
        <v>6.2459171156566769E-4</v>
      </c>
      <c r="H148" s="326">
        <v>549272911.86000001</v>
      </c>
      <c r="I148" s="326">
        <v>48.790199999999999</v>
      </c>
      <c r="J148" s="23">
        <f t="shared" ref="J148:K150" si="148">((H148-D148)/D148)</f>
        <v>-1.2233777736110694E-3</v>
      </c>
      <c r="K148" s="23">
        <f t="shared" si="148"/>
        <v>-1.4776187825404044E-3</v>
      </c>
      <c r="L148" s="326">
        <v>535695586.55000001</v>
      </c>
      <c r="M148" s="326">
        <v>47.569400000000002</v>
      </c>
      <c r="N148" s="23">
        <f t="shared" ref="N148:O150" si="149">((L148-H148)/H148)</f>
        <v>-2.4718723637805431E-2</v>
      </c>
      <c r="O148" s="23">
        <f t="shared" si="149"/>
        <v>-2.5021418235629225E-2</v>
      </c>
      <c r="P148" s="326">
        <v>529813279.63999999</v>
      </c>
      <c r="Q148" s="326">
        <v>47.0655</v>
      </c>
      <c r="R148" s="23">
        <f t="shared" ref="R148:S150" si="150">((P148-L148)/L148)</f>
        <v>-1.0980689514138813E-2</v>
      </c>
      <c r="S148" s="23">
        <f t="shared" si="150"/>
        <v>-1.0592944203626734E-2</v>
      </c>
      <c r="T148" s="326">
        <v>527986842.94</v>
      </c>
      <c r="U148" s="326">
        <v>47.099299999999999</v>
      </c>
      <c r="V148" s="23">
        <f t="shared" ref="V148:V150" si="151">((T148-P148)/P148)</f>
        <v>-3.4473214813358845E-3</v>
      </c>
      <c r="W148" s="23">
        <f t="shared" ref="W148:W150" si="152">((U148-Q148)/Q148)</f>
        <v>7.181481127364925E-4</v>
      </c>
      <c r="X148" s="326">
        <v>532477716.75</v>
      </c>
      <c r="Y148" s="326">
        <v>47.486600000000003</v>
      </c>
      <c r="Z148" s="23">
        <f t="shared" ref="Z148:Z150" si="153">((X148-T148)/T148)</f>
        <v>8.505654771610173E-3</v>
      </c>
      <c r="AA148" s="23">
        <f t="shared" ref="AA148:AA150" si="154">((Y148-U148)/U148)</f>
        <v>8.2230521472718976E-3</v>
      </c>
      <c r="AB148" s="326">
        <v>535215028.16000003</v>
      </c>
      <c r="AC148" s="326">
        <v>47.703400000000002</v>
      </c>
      <c r="AD148" s="23">
        <f t="shared" ref="AD148:AD150" si="155">((AB148-X148)/X148)</f>
        <v>5.140706031244501E-3</v>
      </c>
      <c r="AE148" s="23">
        <f t="shared" ref="AE148:AE150" si="156">((AC148-Y148)/Y148)</f>
        <v>4.5654984774652048E-3</v>
      </c>
      <c r="AF148" s="326">
        <v>529568607.05000001</v>
      </c>
      <c r="AG148" s="326">
        <v>47.210099999999997</v>
      </c>
      <c r="AH148" s="23">
        <f t="shared" ref="AH148:AH150" si="157">((AF148-AB148)/AB148)</f>
        <v>-1.0549817947772653E-2</v>
      </c>
      <c r="AI148" s="23">
        <f t="shared" ref="AI148:AI150" si="158">((AG148-AC148)/AC148)</f>
        <v>-1.0340981984512738E-2</v>
      </c>
      <c r="AJ148" s="24">
        <f t="shared" si="141"/>
        <v>-2.1328692733287528E-2</v>
      </c>
      <c r="AK148" s="24">
        <f t="shared" si="142"/>
        <v>-4.1627090946587293E-3</v>
      </c>
      <c r="AL148" s="25">
        <f t="shared" si="143"/>
        <v>-3.7052923663300104E-2</v>
      </c>
      <c r="AM148" s="25">
        <f t="shared" si="144"/>
        <v>-3.3815367235338498E-2</v>
      </c>
      <c r="AN148" s="26">
        <f t="shared" si="145"/>
        <v>4.6444365307384952E-2</v>
      </c>
      <c r="AO148" s="78">
        <f t="shared" si="146"/>
        <v>1.0678042500667289E-2</v>
      </c>
    </row>
    <row r="149" spans="1:41">
      <c r="A149" s="207" t="s">
        <v>193</v>
      </c>
      <c r="B149" s="325">
        <v>606564709.72000003</v>
      </c>
      <c r="C149" s="326">
        <v>16.714099999999998</v>
      </c>
      <c r="D149" s="325">
        <v>607964722.22000003</v>
      </c>
      <c r="E149" s="326">
        <v>16.6525</v>
      </c>
      <c r="F149" s="23">
        <f t="shared" si="147"/>
        <v>2.308100813590471E-3</v>
      </c>
      <c r="G149" s="23">
        <f t="shared" si="147"/>
        <v>-3.6855110355926163E-3</v>
      </c>
      <c r="H149" s="325">
        <v>606894083.29999995</v>
      </c>
      <c r="I149" s="326">
        <v>16.6816</v>
      </c>
      <c r="J149" s="23">
        <f t="shared" si="148"/>
        <v>-1.7610214554729566E-3</v>
      </c>
      <c r="K149" s="23">
        <f t="shared" si="148"/>
        <v>1.7474853625581554E-3</v>
      </c>
      <c r="L149" s="325">
        <v>606641779.87</v>
      </c>
      <c r="M149" s="326">
        <v>16.731100000000001</v>
      </c>
      <c r="N149" s="23">
        <f t="shared" si="149"/>
        <v>-4.1572893350358945E-4</v>
      </c>
      <c r="O149" s="23">
        <f t="shared" si="149"/>
        <v>2.9673412622291551E-3</v>
      </c>
      <c r="P149" s="325">
        <v>607464513.48000002</v>
      </c>
      <c r="Q149" s="326">
        <v>16.692299999999999</v>
      </c>
      <c r="R149" s="23">
        <f t="shared" si="150"/>
        <v>1.3562099369026669E-3</v>
      </c>
      <c r="S149" s="23">
        <f t="shared" si="150"/>
        <v>-2.3190346121893923E-3</v>
      </c>
      <c r="T149" s="325">
        <v>613179496.97000003</v>
      </c>
      <c r="U149" s="326">
        <v>16.7182</v>
      </c>
      <c r="V149" s="23">
        <f t="shared" si="151"/>
        <v>9.4079297854954749E-3</v>
      </c>
      <c r="W149" s="23">
        <f t="shared" si="152"/>
        <v>1.5516136182551258E-3</v>
      </c>
      <c r="X149" s="325">
        <v>607669075.78999996</v>
      </c>
      <c r="Y149" s="326">
        <v>16.986599999999999</v>
      </c>
      <c r="Z149" s="23">
        <f t="shared" si="153"/>
        <v>-8.986636388251033E-3</v>
      </c>
      <c r="AA149" s="23">
        <f t="shared" si="154"/>
        <v>1.6054359919130037E-2</v>
      </c>
      <c r="AB149" s="325">
        <v>607669075.78999996</v>
      </c>
      <c r="AC149" s="326">
        <v>17.139299999999999</v>
      </c>
      <c r="AD149" s="23">
        <f t="shared" si="155"/>
        <v>0</v>
      </c>
      <c r="AE149" s="23">
        <f t="shared" si="156"/>
        <v>8.9894387340609307E-3</v>
      </c>
      <c r="AF149" s="325">
        <v>612120747.19000006</v>
      </c>
      <c r="AG149" s="326">
        <v>17.2972</v>
      </c>
      <c r="AH149" s="23">
        <f t="shared" si="157"/>
        <v>7.3258152790031342E-3</v>
      </c>
      <c r="AI149" s="23">
        <f t="shared" si="158"/>
        <v>9.2127449779163383E-3</v>
      </c>
      <c r="AJ149" s="24">
        <f t="shared" si="141"/>
        <v>1.154333629720521E-3</v>
      </c>
      <c r="AK149" s="24">
        <f t="shared" si="142"/>
        <v>4.3148047782959669E-3</v>
      </c>
      <c r="AL149" s="25">
        <f t="shared" si="143"/>
        <v>6.8359640257154861E-3</v>
      </c>
      <c r="AM149" s="25">
        <f t="shared" si="144"/>
        <v>3.8714907671520811E-2</v>
      </c>
      <c r="AN149" s="26">
        <f t="shared" si="145"/>
        <v>5.6406321678049891E-3</v>
      </c>
      <c r="AO149" s="78">
        <f t="shared" si="146"/>
        <v>6.6301698556277665E-3</v>
      </c>
    </row>
    <row r="150" spans="1:41">
      <c r="A150" s="207" t="s">
        <v>25</v>
      </c>
      <c r="B150" s="325">
        <v>1896919676.9100001</v>
      </c>
      <c r="C150" s="326">
        <v>1.51</v>
      </c>
      <c r="D150" s="325">
        <v>1904826585.9400001</v>
      </c>
      <c r="E150" s="326">
        <v>1.52</v>
      </c>
      <c r="F150" s="23">
        <f t="shared" si="147"/>
        <v>4.1682887927442366E-3</v>
      </c>
      <c r="G150" s="23">
        <f t="shared" si="147"/>
        <v>6.6225165562913968E-3</v>
      </c>
      <c r="H150" s="325">
        <v>1909452911.46</v>
      </c>
      <c r="I150" s="326">
        <v>1.52</v>
      </c>
      <c r="J150" s="23">
        <f t="shared" si="148"/>
        <v>2.4287384238271571E-3</v>
      </c>
      <c r="K150" s="23">
        <f t="shared" si="148"/>
        <v>0</v>
      </c>
      <c r="L150" s="325">
        <v>1902635686.27</v>
      </c>
      <c r="M150" s="326">
        <v>1.52</v>
      </c>
      <c r="N150" s="23">
        <f t="shared" si="149"/>
        <v>-3.5702504885483095E-3</v>
      </c>
      <c r="O150" s="23">
        <f t="shared" si="149"/>
        <v>0</v>
      </c>
      <c r="P150" s="325">
        <v>1260332552.6700001</v>
      </c>
      <c r="Q150" s="326">
        <v>1.52</v>
      </c>
      <c r="R150" s="23">
        <f t="shared" si="150"/>
        <v>-0.33758598045598293</v>
      </c>
      <c r="S150" s="23">
        <f t="shared" si="150"/>
        <v>0</v>
      </c>
      <c r="T150" s="325">
        <v>1875545851.6199999</v>
      </c>
      <c r="U150" s="326">
        <v>1.5</v>
      </c>
      <c r="V150" s="23">
        <f t="shared" si="151"/>
        <v>0.48813568898674997</v>
      </c>
      <c r="W150" s="23">
        <f t="shared" si="152"/>
        <v>-1.3157894736842117E-2</v>
      </c>
      <c r="X150" s="325">
        <v>1879399528.9000001</v>
      </c>
      <c r="Y150" s="326">
        <v>1.5</v>
      </c>
      <c r="Z150" s="23">
        <f t="shared" si="153"/>
        <v>2.0546963843467766E-3</v>
      </c>
      <c r="AA150" s="23">
        <f t="shared" si="154"/>
        <v>0</v>
      </c>
      <c r="AB150" s="325">
        <v>1915614003.02</v>
      </c>
      <c r="AC150" s="326">
        <v>1.53</v>
      </c>
      <c r="AD150" s="23">
        <f t="shared" si="155"/>
        <v>1.9269172713476189E-2</v>
      </c>
      <c r="AE150" s="23">
        <f t="shared" si="156"/>
        <v>2.0000000000000018E-2</v>
      </c>
      <c r="AF150" s="325">
        <v>1910684810.6900001</v>
      </c>
      <c r="AG150" s="326">
        <v>1.53</v>
      </c>
      <c r="AH150" s="23">
        <f t="shared" si="157"/>
        <v>-2.5731657433224874E-3</v>
      </c>
      <c r="AI150" s="23">
        <f t="shared" si="158"/>
        <v>0</v>
      </c>
      <c r="AJ150" s="24">
        <f t="shared" si="141"/>
        <v>2.1540898576661329E-2</v>
      </c>
      <c r="AK150" s="24">
        <f t="shared" si="142"/>
        <v>1.6830777274311622E-3</v>
      </c>
      <c r="AL150" s="25">
        <f t="shared" si="143"/>
        <v>3.0754635583317754E-3</v>
      </c>
      <c r="AM150" s="25">
        <f t="shared" si="144"/>
        <v>6.5789473684210583E-3</v>
      </c>
      <c r="AN150" s="26">
        <f t="shared" si="145"/>
        <v>0.22327012039796568</v>
      </c>
      <c r="AO150" s="78">
        <f t="shared" si="146"/>
        <v>9.2143204877095913E-3</v>
      </c>
    </row>
    <row r="151" spans="1:41">
      <c r="A151" s="208" t="s">
        <v>42</v>
      </c>
      <c r="B151" s="220">
        <f>SUM(B148:B150)</f>
        <v>3138053697.2600002</v>
      </c>
      <c r="C151" s="87"/>
      <c r="D151" s="220">
        <f>SUM(D148:D150)</f>
        <v>3062737011.3699999</v>
      </c>
      <c r="E151" s="87"/>
      <c r="F151" s="23">
        <f>((D151-B151)/B151)</f>
        <v>-2.4001082567759534E-2</v>
      </c>
      <c r="G151" s="23"/>
      <c r="H151" s="220">
        <f>SUM(H148:H150)</f>
        <v>3065619906.6199999</v>
      </c>
      <c r="I151" s="87"/>
      <c r="J151" s="23">
        <f>((H151-D151)/D151)</f>
        <v>9.4128070392516183E-4</v>
      </c>
      <c r="K151" s="23"/>
      <c r="L151" s="220">
        <f>SUM(L148:L150)</f>
        <v>3044973052.6900001</v>
      </c>
      <c r="M151" s="87"/>
      <c r="N151" s="23">
        <f>((L151-H151)/H151)</f>
        <v>-6.7349686389412914E-3</v>
      </c>
      <c r="O151" s="23"/>
      <c r="P151" s="220">
        <f>SUM(P148:P150)</f>
        <v>2397610345.79</v>
      </c>
      <c r="Q151" s="87"/>
      <c r="R151" s="23">
        <f>((P151-L151)/L151)</f>
        <v>-0.21260047156348552</v>
      </c>
      <c r="S151" s="23"/>
      <c r="T151" s="220">
        <f>SUM(T148:T150)</f>
        <v>3016712191.5299997</v>
      </c>
      <c r="U151" s="87"/>
      <c r="V151" s="23">
        <f>((T151-P151)/P151)</f>
        <v>0.25821620549272739</v>
      </c>
      <c r="W151" s="23"/>
      <c r="X151" s="220">
        <f>SUM(X148:X150)</f>
        <v>3019546321.4400001</v>
      </c>
      <c r="Y151" s="87"/>
      <c r="Z151" s="23">
        <f>((X151-T151)/T151)</f>
        <v>9.3947640015434343E-4</v>
      </c>
      <c r="AA151" s="23"/>
      <c r="AB151" s="220">
        <f>SUM(AB148:AB150)</f>
        <v>3058498106.9700003</v>
      </c>
      <c r="AC151" s="87"/>
      <c r="AD151" s="23">
        <f>((AB151-X151)/X151)</f>
        <v>1.2899880108951062E-2</v>
      </c>
      <c r="AE151" s="23"/>
      <c r="AF151" s="220">
        <f>SUM(AF148:AF150)</f>
        <v>3052374164.9300003</v>
      </c>
      <c r="AG151" s="87"/>
      <c r="AH151" s="23">
        <f>((AF151-AB151)/AB151)</f>
        <v>-2.0022709924338786E-3</v>
      </c>
      <c r="AI151" s="23"/>
      <c r="AJ151" s="24">
        <f t="shared" si="141"/>
        <v>3.4572561178922178E-3</v>
      </c>
      <c r="AK151" s="24"/>
      <c r="AL151" s="25">
        <f t="shared" si="143"/>
        <v>-3.383524736707365E-3</v>
      </c>
      <c r="AM151" s="25"/>
      <c r="AN151" s="26">
        <f t="shared" si="145"/>
        <v>0.12681400593973141</v>
      </c>
      <c r="AO151" s="78"/>
    </row>
    <row r="152" spans="1:41" ht="8.25" customHeight="1">
      <c r="A152" s="208"/>
      <c r="B152" s="87"/>
      <c r="C152" s="87"/>
      <c r="D152" s="87"/>
      <c r="E152" s="87"/>
      <c r="F152" s="23"/>
      <c r="G152" s="23"/>
      <c r="H152" s="87"/>
      <c r="I152" s="87"/>
      <c r="J152" s="23"/>
      <c r="K152" s="23"/>
      <c r="L152" s="87"/>
      <c r="M152" s="87"/>
      <c r="N152" s="23"/>
      <c r="O152" s="23"/>
      <c r="P152" s="87"/>
      <c r="Q152" s="87"/>
      <c r="R152" s="23"/>
      <c r="S152" s="23"/>
      <c r="T152" s="87"/>
      <c r="U152" s="87"/>
      <c r="V152" s="23"/>
      <c r="W152" s="23"/>
      <c r="X152" s="87"/>
      <c r="Y152" s="87"/>
      <c r="Z152" s="23"/>
      <c r="AA152" s="23"/>
      <c r="AB152" s="87"/>
      <c r="AC152" s="87"/>
      <c r="AD152" s="23"/>
      <c r="AE152" s="23"/>
      <c r="AF152" s="87"/>
      <c r="AG152" s="87"/>
      <c r="AH152" s="23"/>
      <c r="AI152" s="23"/>
      <c r="AJ152" s="24"/>
      <c r="AK152" s="24"/>
      <c r="AL152" s="25"/>
      <c r="AM152" s="25"/>
      <c r="AN152" s="26"/>
      <c r="AO152" s="78"/>
    </row>
    <row r="153" spans="1:41">
      <c r="A153" s="211" t="s">
        <v>202</v>
      </c>
      <c r="B153" s="87"/>
      <c r="C153" s="87"/>
      <c r="D153" s="87"/>
      <c r="E153" s="87"/>
      <c r="F153" s="23"/>
      <c r="G153" s="23"/>
      <c r="H153" s="87"/>
      <c r="I153" s="87"/>
      <c r="J153" s="23"/>
      <c r="K153" s="23"/>
      <c r="L153" s="87"/>
      <c r="M153" s="87"/>
      <c r="N153" s="23"/>
      <c r="O153" s="23"/>
      <c r="P153" s="87"/>
      <c r="Q153" s="87"/>
      <c r="R153" s="23"/>
      <c r="S153" s="23"/>
      <c r="T153" s="87"/>
      <c r="U153" s="87"/>
      <c r="V153" s="23"/>
      <c r="W153" s="23"/>
      <c r="X153" s="87"/>
      <c r="Y153" s="87"/>
      <c r="Z153" s="23"/>
      <c r="AA153" s="23"/>
      <c r="AB153" s="87"/>
      <c r="AC153" s="87"/>
      <c r="AD153" s="23"/>
      <c r="AE153" s="23"/>
      <c r="AF153" s="87"/>
      <c r="AG153" s="87"/>
      <c r="AH153" s="23"/>
      <c r="AI153" s="23"/>
      <c r="AJ153" s="24"/>
      <c r="AK153" s="24"/>
      <c r="AL153" s="25"/>
      <c r="AM153" s="25"/>
      <c r="AN153" s="26"/>
      <c r="AO153" s="78"/>
    </row>
    <row r="154" spans="1:41">
      <c r="A154" s="212" t="s">
        <v>203</v>
      </c>
      <c r="B154" s="87"/>
      <c r="C154" s="87"/>
      <c r="D154" s="87"/>
      <c r="E154" s="87"/>
      <c r="F154" s="23"/>
      <c r="G154" s="23"/>
      <c r="H154" s="87"/>
      <c r="I154" s="87"/>
      <c r="J154" s="23"/>
      <c r="K154" s="23"/>
      <c r="L154" s="87"/>
      <c r="M154" s="87"/>
      <c r="N154" s="23"/>
      <c r="O154" s="23"/>
      <c r="P154" s="87"/>
      <c r="Q154" s="87"/>
      <c r="R154" s="23"/>
      <c r="S154" s="23"/>
      <c r="T154" s="87"/>
      <c r="U154" s="87"/>
      <c r="V154" s="23"/>
      <c r="W154" s="23"/>
      <c r="X154" s="87"/>
      <c r="Y154" s="87"/>
      <c r="Z154" s="23"/>
      <c r="AA154" s="23"/>
      <c r="AB154" s="87"/>
      <c r="AC154" s="87"/>
      <c r="AD154" s="23"/>
      <c r="AE154" s="23"/>
      <c r="AF154" s="87"/>
      <c r="AG154" s="87"/>
      <c r="AH154" s="23"/>
      <c r="AI154" s="23"/>
      <c r="AJ154" s="24"/>
      <c r="AK154" s="24"/>
      <c r="AL154" s="25"/>
      <c r="AM154" s="25"/>
      <c r="AN154" s="26"/>
      <c r="AO154" s="78"/>
    </row>
    <row r="155" spans="1:41">
      <c r="A155" s="207" t="s">
        <v>24</v>
      </c>
      <c r="B155" s="320">
        <v>3745618807.2600002</v>
      </c>
      <c r="C155" s="321">
        <v>1.86</v>
      </c>
      <c r="D155" s="320">
        <v>3724875608.98</v>
      </c>
      <c r="E155" s="321">
        <v>1.85</v>
      </c>
      <c r="F155" s="23">
        <f>((D148-B155)/B155)</f>
        <v>-0.85317627566797249</v>
      </c>
      <c r="G155" s="23">
        <f>((E155-C155)/C155)</f>
        <v>-5.3763440860215101E-3</v>
      </c>
      <c r="H155" s="320">
        <v>3701217416.4699998</v>
      </c>
      <c r="I155" s="321">
        <v>1.84</v>
      </c>
      <c r="J155" s="23">
        <f>((H148-D155)/D155)</f>
        <v>-0.85253926049616191</v>
      </c>
      <c r="K155" s="23">
        <f>((I155-E155)/E155)</f>
        <v>-5.40540540540541E-3</v>
      </c>
      <c r="L155" s="320">
        <v>3701217416.4699998</v>
      </c>
      <c r="M155" s="321">
        <v>1.84</v>
      </c>
      <c r="N155" s="23">
        <f>((L148-H155)/H155)</f>
        <v>-0.85526503140123156</v>
      </c>
      <c r="O155" s="23">
        <f>((M155-I155)/I155)</f>
        <v>0</v>
      </c>
      <c r="P155" s="320">
        <v>3475846099.6700001</v>
      </c>
      <c r="Q155" s="321">
        <v>1.73</v>
      </c>
      <c r="R155" s="23">
        <f>((P148-L155)/L155)</f>
        <v>-0.85685432115325333</v>
      </c>
      <c r="S155" s="23">
        <f>((Q155-M155)/M155)</f>
        <v>-5.9782608695652224E-2</v>
      </c>
      <c r="T155" s="320">
        <v>3479099974.02</v>
      </c>
      <c r="U155" s="321">
        <v>1.73</v>
      </c>
      <c r="V155" s="23">
        <f>((T148-P155)/P155)</f>
        <v>-0.8480983254724288</v>
      </c>
      <c r="W155" s="23">
        <f>((U155-Q155)/Q155)</f>
        <v>0</v>
      </c>
      <c r="X155" s="320">
        <v>3496297059.2199998</v>
      </c>
      <c r="Y155" s="321">
        <v>1.74</v>
      </c>
      <c r="Z155" s="23">
        <f>((X148-T155)/T155)</f>
        <v>-0.84694957870534049</v>
      </c>
      <c r="AA155" s="23">
        <f>((Y155-U155)/U155)</f>
        <v>5.7803468208092535E-3</v>
      </c>
      <c r="AB155" s="320">
        <v>3519541965.3000002</v>
      </c>
      <c r="AC155" s="321">
        <v>1.75</v>
      </c>
      <c r="AD155" s="23">
        <f>((AB148-X155)/X155)</f>
        <v>-0.84691946390865236</v>
      </c>
      <c r="AE155" s="23">
        <f>((AC155-Y155)/Y155)</f>
        <v>5.7471264367816143E-3</v>
      </c>
      <c r="AF155" s="320">
        <v>3523014717.3200002</v>
      </c>
      <c r="AG155" s="321">
        <v>1.75</v>
      </c>
      <c r="AH155" s="23">
        <f>((AF148-AB155)/AB155)</f>
        <v>-0.84953479393877307</v>
      </c>
      <c r="AI155" s="23">
        <f>((AG155-AC155)/AC155)</f>
        <v>0</v>
      </c>
      <c r="AJ155" s="24">
        <f t="shared" si="141"/>
        <v>-0.85116713134297683</v>
      </c>
      <c r="AK155" s="24">
        <f t="shared" si="142"/>
        <v>-7.3796106161860345E-3</v>
      </c>
      <c r="AL155" s="25">
        <f t="shared" si="143"/>
        <v>-5.4192653084400945E-2</v>
      </c>
      <c r="AM155" s="25">
        <f t="shared" si="144"/>
        <v>-5.4054054054054099E-2</v>
      </c>
      <c r="AN155" s="26">
        <f t="shared" si="145"/>
        <v>3.835340102508441E-3</v>
      </c>
      <c r="AO155" s="78">
        <f t="shared" si="146"/>
        <v>2.1589866785344813E-2</v>
      </c>
    </row>
    <row r="156" spans="1:41">
      <c r="A156" s="206" t="s">
        <v>66</v>
      </c>
      <c r="B156" s="320">
        <v>315651675.77999997</v>
      </c>
      <c r="C156" s="321">
        <v>281.76</v>
      </c>
      <c r="D156" s="320">
        <v>311592445.26999998</v>
      </c>
      <c r="E156" s="321">
        <v>281.85000000000002</v>
      </c>
      <c r="F156" s="23">
        <f>((D149-B156)/B156)</f>
        <v>0.92606207686897801</v>
      </c>
      <c r="G156" s="23">
        <f>((E156-C156)/C156)</f>
        <v>3.1942078364576888E-4</v>
      </c>
      <c r="H156" s="320">
        <v>309021966.91000003</v>
      </c>
      <c r="I156" s="321">
        <v>278.35000000000002</v>
      </c>
      <c r="J156" s="23">
        <f>((H149-D156)/D156)</f>
        <v>0.94771757952641067</v>
      </c>
      <c r="K156" s="23">
        <f>((I156-E156)/E156)</f>
        <v>-1.2417952811779313E-2</v>
      </c>
      <c r="L156" s="320">
        <v>313334241.54000002</v>
      </c>
      <c r="M156" s="321">
        <v>290.57</v>
      </c>
      <c r="N156" s="23">
        <f>((L149-H156)/H156)</f>
        <v>0.96310244846341031</v>
      </c>
      <c r="O156" s="23">
        <f>((M156-I156)/I156)</f>
        <v>4.3901562780671706E-2</v>
      </c>
      <c r="P156" s="320">
        <v>314258086.06999999</v>
      </c>
      <c r="Q156" s="321">
        <v>278.49</v>
      </c>
      <c r="R156" s="23">
        <f>((P149-L156)/L156)</f>
        <v>0.93871091296752363</v>
      </c>
      <c r="S156" s="23">
        <f>((Q156-M156)/M156)</f>
        <v>-4.1573459063220512E-2</v>
      </c>
      <c r="T156" s="320">
        <v>309759533.98000002</v>
      </c>
      <c r="U156" s="321">
        <v>277.58</v>
      </c>
      <c r="V156" s="23">
        <f>((T149-P156)/P156)</f>
        <v>0.95119719794072777</v>
      </c>
      <c r="W156" s="23">
        <f>((U156-Q156)/Q156)</f>
        <v>-3.2676218176596107E-3</v>
      </c>
      <c r="X156" s="320">
        <v>316030577.88999999</v>
      </c>
      <c r="Y156" s="321">
        <v>281.64</v>
      </c>
      <c r="Z156" s="23">
        <f>((X149-T156)/T156)</f>
        <v>0.96174454417030086</v>
      </c>
      <c r="AA156" s="23">
        <f>((Y156-U156)/U156)</f>
        <v>1.4626414006772831E-2</v>
      </c>
      <c r="AB156" s="320">
        <v>325327433.61000001</v>
      </c>
      <c r="AC156" s="321">
        <v>282.93</v>
      </c>
      <c r="AD156" s="23">
        <f>((AB149-X156)/X156)</f>
        <v>0.92281734206589938</v>
      </c>
      <c r="AE156" s="23">
        <f>((AC156-Y156)/Y156)</f>
        <v>4.5803152961227831E-3</v>
      </c>
      <c r="AF156" s="320">
        <v>324172929.52999997</v>
      </c>
      <c r="AG156" s="321">
        <v>282.44</v>
      </c>
      <c r="AH156" s="23">
        <f>((AF149-AB156)/AB156)</f>
        <v>0.88155281095600946</v>
      </c>
      <c r="AI156" s="23">
        <f>((AG156-AC156)/AC156)</f>
        <v>-1.7318771427561909E-3</v>
      </c>
      <c r="AJ156" s="24">
        <f t="shared" si="141"/>
        <v>0.93661311411990755</v>
      </c>
      <c r="AK156" s="24">
        <f t="shared" si="142"/>
        <v>5.5460025397468258E-4</v>
      </c>
      <c r="AL156" s="25">
        <f t="shared" si="143"/>
        <v>4.0374805137200272E-2</v>
      </c>
      <c r="AM156" s="25">
        <f t="shared" si="144"/>
        <v>2.0933120454141385E-3</v>
      </c>
      <c r="AN156" s="26">
        <f t="shared" si="145"/>
        <v>2.6744729043679142E-2</v>
      </c>
      <c r="AO156" s="78">
        <f t="shared" si="146"/>
        <v>2.4071722203495259E-2</v>
      </c>
    </row>
    <row r="157" spans="1:41" ht="8.25" customHeight="1">
      <c r="A157" s="208"/>
      <c r="B157" s="87"/>
      <c r="C157" s="87"/>
      <c r="D157" s="87"/>
      <c r="E157" s="87"/>
      <c r="F157" s="23"/>
      <c r="G157" s="23"/>
      <c r="H157" s="87"/>
      <c r="I157" s="87"/>
      <c r="J157" s="23"/>
      <c r="K157" s="23"/>
      <c r="L157" s="87"/>
      <c r="M157" s="87"/>
      <c r="N157" s="23"/>
      <c r="O157" s="23"/>
      <c r="P157" s="87"/>
      <c r="Q157" s="87"/>
      <c r="R157" s="23"/>
      <c r="S157" s="23"/>
      <c r="T157" s="87"/>
      <c r="U157" s="87"/>
      <c r="V157" s="23"/>
      <c r="W157" s="23"/>
      <c r="X157" s="87"/>
      <c r="Y157" s="87"/>
      <c r="Z157" s="23"/>
      <c r="AA157" s="23"/>
      <c r="AB157" s="87"/>
      <c r="AC157" s="87"/>
      <c r="AD157" s="23"/>
      <c r="AE157" s="23"/>
      <c r="AF157" s="87"/>
      <c r="AG157" s="87"/>
      <c r="AH157" s="23"/>
      <c r="AI157" s="23"/>
      <c r="AJ157" s="24"/>
      <c r="AK157" s="24"/>
      <c r="AL157" s="25"/>
      <c r="AM157" s="25"/>
      <c r="AN157" s="26"/>
      <c r="AO157" s="78"/>
    </row>
    <row r="158" spans="1:41">
      <c r="A158" s="212" t="s">
        <v>204</v>
      </c>
      <c r="B158" s="87"/>
      <c r="C158" s="87"/>
      <c r="D158" s="87"/>
      <c r="E158" s="87"/>
      <c r="F158" s="23"/>
      <c r="G158" s="23"/>
      <c r="H158" s="87"/>
      <c r="I158" s="87"/>
      <c r="J158" s="23"/>
      <c r="K158" s="23"/>
      <c r="L158" s="87"/>
      <c r="M158" s="87"/>
      <c r="N158" s="23"/>
      <c r="O158" s="23"/>
      <c r="P158" s="87"/>
      <c r="Q158" s="87"/>
      <c r="R158" s="23"/>
      <c r="S158" s="23"/>
      <c r="T158" s="87"/>
      <c r="U158" s="87"/>
      <c r="V158" s="23"/>
      <c r="W158" s="23"/>
      <c r="X158" s="87"/>
      <c r="Y158" s="87"/>
      <c r="Z158" s="23"/>
      <c r="AA158" s="23"/>
      <c r="AB158" s="87"/>
      <c r="AC158" s="87"/>
      <c r="AD158" s="23"/>
      <c r="AE158" s="23"/>
      <c r="AF158" s="87"/>
      <c r="AG158" s="87"/>
      <c r="AH158" s="23"/>
      <c r="AI158" s="23"/>
      <c r="AJ158" s="24"/>
      <c r="AK158" s="24"/>
      <c r="AL158" s="25"/>
      <c r="AM158" s="25"/>
      <c r="AN158" s="26"/>
      <c r="AO158" s="78"/>
    </row>
    <row r="159" spans="1:41">
      <c r="A159" s="206" t="s">
        <v>233</v>
      </c>
      <c r="B159" s="330">
        <v>503284232.76999998</v>
      </c>
      <c r="C159" s="330">
        <v>1053.0899999999999</v>
      </c>
      <c r="D159" s="330">
        <v>504384370.08999997</v>
      </c>
      <c r="E159" s="330">
        <v>1057.78</v>
      </c>
      <c r="F159" s="23">
        <f t="shared" ref="F159:G165" si="159">((D159-B159)/B159)</f>
        <v>2.1859165226476582E-3</v>
      </c>
      <c r="G159" s="23">
        <f t="shared" si="159"/>
        <v>4.4535604744134448E-3</v>
      </c>
      <c r="H159" s="330">
        <v>504119730.38999999</v>
      </c>
      <c r="I159" s="330">
        <v>1057.54</v>
      </c>
      <c r="J159" s="23">
        <f t="shared" ref="J159:K167" si="160">((H159-D159)/D159)</f>
        <v>-5.2467862942058856E-4</v>
      </c>
      <c r="K159" s="23">
        <f t="shared" si="160"/>
        <v>-2.2689027964227826E-4</v>
      </c>
      <c r="L159" s="330">
        <v>505216746.68000001</v>
      </c>
      <c r="M159" s="330">
        <v>1059.8399999999999</v>
      </c>
      <c r="N159" s="23">
        <f t="shared" ref="N159:O167" si="161">((L159-H159)/H159)</f>
        <v>2.176102667418594E-3</v>
      </c>
      <c r="O159" s="23">
        <f t="shared" si="161"/>
        <v>2.1748586341887349E-3</v>
      </c>
      <c r="P159" s="330">
        <v>506151844.31</v>
      </c>
      <c r="Q159" s="330">
        <v>1061.8</v>
      </c>
      <c r="R159" s="23">
        <f t="shared" ref="R159:S167" si="162">((P159-L159)/L159)</f>
        <v>1.8508840733109707E-3</v>
      </c>
      <c r="S159" s="23">
        <f t="shared" si="162"/>
        <v>1.849335748792305E-3</v>
      </c>
      <c r="T159" s="330">
        <v>507078326.26999998</v>
      </c>
      <c r="U159" s="330">
        <v>1063.74</v>
      </c>
      <c r="V159" s="23">
        <f t="shared" ref="V159:V167" si="163">((T159-P159)/P159)</f>
        <v>1.8304427227030734E-3</v>
      </c>
      <c r="W159" s="23">
        <f t="shared" ref="W159:W161" si="164">((U159-Q159)/Q159)</f>
        <v>1.8270860802411515E-3</v>
      </c>
      <c r="X159" s="330">
        <v>499448705.5</v>
      </c>
      <c r="Y159" s="330">
        <v>1029.3599999999999</v>
      </c>
      <c r="Z159" s="23">
        <f t="shared" ref="Z159:Z167" si="165">((X159-T159)/T159)</f>
        <v>-1.5046237188093694E-2</v>
      </c>
      <c r="AA159" s="23">
        <f t="shared" ref="AA159:AA161" si="166">((Y159-U159)/U159)</f>
        <v>-3.2319927801906581E-2</v>
      </c>
      <c r="AB159" s="330">
        <v>500931777.48000002</v>
      </c>
      <c r="AC159" s="330">
        <v>1031.5899999999999</v>
      </c>
      <c r="AD159" s="23">
        <f t="shared" ref="AD159:AD167" si="167">((AB159-X159)/X159)</f>
        <v>2.9694180076316546E-3</v>
      </c>
      <c r="AE159" s="23">
        <f t="shared" ref="AE159:AE161" si="168">((AC159-Y159)/Y159)</f>
        <v>2.1663946529882822E-3</v>
      </c>
      <c r="AF159" s="330">
        <v>505422763.86000001</v>
      </c>
      <c r="AG159" s="330">
        <v>1040.8399999999999</v>
      </c>
      <c r="AH159" s="23">
        <f t="shared" ref="AH159:AH167" si="169">((AF159-AB159)/AB159)</f>
        <v>8.965265495019031E-3</v>
      </c>
      <c r="AI159" s="23">
        <f t="shared" ref="AI159:AI161" si="170">((AG159-AC159)/AC159)</f>
        <v>8.9667406624724943E-3</v>
      </c>
      <c r="AJ159" s="24">
        <f t="shared" si="141"/>
        <v>5.508892089020874E-4</v>
      </c>
      <c r="AK159" s="24">
        <f t="shared" si="142"/>
        <v>-1.3886052285565558E-3</v>
      </c>
      <c r="AL159" s="25">
        <f t="shared" si="143"/>
        <v>2.0587350274449512E-3</v>
      </c>
      <c r="AM159" s="25">
        <f t="shared" si="144"/>
        <v>-1.6014672238083585E-2</v>
      </c>
      <c r="AN159" s="26">
        <f t="shared" si="145"/>
        <v>6.8631530113243697E-3</v>
      </c>
      <c r="AO159" s="78">
        <f t="shared" si="146"/>
        <v>1.2792975849538472E-2</v>
      </c>
    </row>
    <row r="160" spans="1:41">
      <c r="A160" s="206" t="s">
        <v>236</v>
      </c>
      <c r="B160" s="330">
        <v>59734399.329999998</v>
      </c>
      <c r="C160" s="330">
        <v>104.56</v>
      </c>
      <c r="D160" s="330">
        <v>59786106.200000003</v>
      </c>
      <c r="E160" s="330">
        <v>104.67</v>
      </c>
      <c r="F160" s="23">
        <f t="shared" si="159"/>
        <v>8.6561295635287957E-4</v>
      </c>
      <c r="G160" s="23">
        <f t="shared" si="159"/>
        <v>1.0520275439938737E-3</v>
      </c>
      <c r="H160" s="330">
        <v>59919011.560000002</v>
      </c>
      <c r="I160" s="330">
        <v>104.75</v>
      </c>
      <c r="J160" s="23">
        <f t="shared" si="160"/>
        <v>2.2230141490632719E-3</v>
      </c>
      <c r="K160" s="23">
        <f t="shared" si="160"/>
        <v>7.6430686920797065E-4</v>
      </c>
      <c r="L160" s="330">
        <v>60554726.810000002</v>
      </c>
      <c r="M160" s="330">
        <v>104.91</v>
      </c>
      <c r="N160" s="23">
        <f t="shared" si="161"/>
        <v>1.0609575048871183E-2</v>
      </c>
      <c r="O160" s="23">
        <f t="shared" si="161"/>
        <v>1.5274463007159578E-3</v>
      </c>
      <c r="P160" s="330">
        <v>60658610.350000001</v>
      </c>
      <c r="Q160" s="330">
        <v>105.01</v>
      </c>
      <c r="R160" s="23">
        <f t="shared" si="162"/>
        <v>1.7155314782601543E-3</v>
      </c>
      <c r="S160" s="23">
        <f t="shared" si="162"/>
        <v>9.5319797922036541E-4</v>
      </c>
      <c r="T160" s="330">
        <v>60693238.189999998</v>
      </c>
      <c r="U160" s="330">
        <v>105.04</v>
      </c>
      <c r="V160" s="23">
        <f t="shared" si="163"/>
        <v>5.7086438017939407E-4</v>
      </c>
      <c r="W160" s="23">
        <f t="shared" si="164"/>
        <v>2.8568707742120878E-4</v>
      </c>
      <c r="X160" s="330">
        <v>61747437.560000002</v>
      </c>
      <c r="Y160" s="330">
        <v>104.43</v>
      </c>
      <c r="Z160" s="23">
        <f t="shared" si="165"/>
        <v>1.7369305073158838E-2</v>
      </c>
      <c r="AA160" s="23">
        <f t="shared" si="166"/>
        <v>-5.8073115003808018E-3</v>
      </c>
      <c r="AB160" s="330">
        <v>62015270.850000001</v>
      </c>
      <c r="AC160" s="330">
        <v>104.58</v>
      </c>
      <c r="AD160" s="23">
        <f t="shared" si="167"/>
        <v>4.3375612103699916E-3</v>
      </c>
      <c r="AE160" s="23">
        <f t="shared" si="168"/>
        <v>1.4363688595230438E-3</v>
      </c>
      <c r="AF160" s="330">
        <v>62140757.649999999</v>
      </c>
      <c r="AG160" s="330">
        <v>104.7</v>
      </c>
      <c r="AH160" s="23">
        <f t="shared" si="169"/>
        <v>2.0234822533230462E-3</v>
      </c>
      <c r="AI160" s="23">
        <f t="shared" si="170"/>
        <v>1.1474469305795042E-3</v>
      </c>
      <c r="AJ160" s="24">
        <f t="shared" si="141"/>
        <v>4.9643683186973439E-3</v>
      </c>
      <c r="AK160" s="24">
        <f t="shared" si="142"/>
        <v>1.6989625753514032E-4</v>
      </c>
      <c r="AL160" s="25">
        <f t="shared" si="143"/>
        <v>3.9384592837056101E-2</v>
      </c>
      <c r="AM160" s="25">
        <f t="shared" si="144"/>
        <v>2.8661507595300598E-4</v>
      </c>
      <c r="AN160" s="26">
        <f t="shared" si="145"/>
        <v>5.9637613824357573E-3</v>
      </c>
      <c r="AO160" s="78">
        <f t="shared" si="146"/>
        <v>2.4462204536202315E-3</v>
      </c>
    </row>
    <row r="161" spans="1:41">
      <c r="A161" s="206" t="s">
        <v>240</v>
      </c>
      <c r="B161" s="325">
        <v>51559080.990000002</v>
      </c>
      <c r="C161" s="326">
        <v>102.13</v>
      </c>
      <c r="D161" s="325">
        <v>51623856.520000003</v>
      </c>
      <c r="E161" s="326">
        <v>102.37</v>
      </c>
      <c r="F161" s="23">
        <f t="shared" si="159"/>
        <v>1.256336008249731E-3</v>
      </c>
      <c r="G161" s="23">
        <f t="shared" si="159"/>
        <v>2.349946147067552E-3</v>
      </c>
      <c r="H161" s="325">
        <v>51689431.939999998</v>
      </c>
      <c r="I161" s="326">
        <v>102.37</v>
      </c>
      <c r="J161" s="23">
        <f t="shared" si="160"/>
        <v>1.2702541890606187E-3</v>
      </c>
      <c r="K161" s="23">
        <f t="shared" si="160"/>
        <v>0</v>
      </c>
      <c r="L161" s="325">
        <v>51756086.100000001</v>
      </c>
      <c r="M161" s="326">
        <v>102.87</v>
      </c>
      <c r="N161" s="23">
        <f t="shared" si="161"/>
        <v>1.2895123335341472E-3</v>
      </c>
      <c r="O161" s="23">
        <f t="shared" si="161"/>
        <v>4.8842434306925857E-3</v>
      </c>
      <c r="P161" s="325">
        <v>51822704.93</v>
      </c>
      <c r="Q161" s="326">
        <v>103.04</v>
      </c>
      <c r="R161" s="23">
        <f t="shared" si="162"/>
        <v>1.2871690079362128E-3</v>
      </c>
      <c r="S161" s="23">
        <f t="shared" si="162"/>
        <v>1.6525712063769971E-3</v>
      </c>
      <c r="T161" s="325">
        <v>51889842.409999996</v>
      </c>
      <c r="U161" s="326">
        <v>103.29</v>
      </c>
      <c r="V161" s="23">
        <f t="shared" si="163"/>
        <v>1.295522495220643E-3</v>
      </c>
      <c r="W161" s="23">
        <f t="shared" si="164"/>
        <v>2.4262422360248445E-3</v>
      </c>
      <c r="X161" s="325">
        <v>51957353.259999998</v>
      </c>
      <c r="Y161" s="326">
        <v>103.54</v>
      </c>
      <c r="Z161" s="23">
        <f t="shared" si="165"/>
        <v>1.3010417234759434E-3</v>
      </c>
      <c r="AA161" s="23">
        <f t="shared" si="166"/>
        <v>2.4203698325104073E-3</v>
      </c>
      <c r="AB161" s="325">
        <v>52024825.420000002</v>
      </c>
      <c r="AC161" s="326">
        <v>103.79</v>
      </c>
      <c r="AD161" s="23">
        <f t="shared" si="167"/>
        <v>1.2986065641636165E-3</v>
      </c>
      <c r="AE161" s="23">
        <f t="shared" si="168"/>
        <v>2.4145257871354066E-3</v>
      </c>
      <c r="AF161" s="325">
        <v>52092258.890000001</v>
      </c>
      <c r="AG161" s="326">
        <v>104.04</v>
      </c>
      <c r="AH161" s="23">
        <f t="shared" si="169"/>
        <v>1.2961786888394868E-3</v>
      </c>
      <c r="AI161" s="23">
        <f t="shared" si="170"/>
        <v>2.4087098949802485E-3</v>
      </c>
      <c r="AJ161" s="24">
        <f t="shared" si="141"/>
        <v>1.28682762631005E-3</v>
      </c>
      <c r="AK161" s="24">
        <f t="shared" si="142"/>
        <v>2.3195760668485049E-3</v>
      </c>
      <c r="AL161" s="25">
        <f t="shared" si="143"/>
        <v>9.0733703674100736E-3</v>
      </c>
      <c r="AM161" s="25">
        <f t="shared" si="144"/>
        <v>1.6313373058513252E-2</v>
      </c>
      <c r="AN161" s="26">
        <f t="shared" si="145"/>
        <v>1.5655071471719339E-5</v>
      </c>
      <c r="AO161" s="78">
        <f t="shared" si="146"/>
        <v>1.333216678685239E-3</v>
      </c>
    </row>
    <row r="162" spans="1:41" s="292" customFormat="1">
      <c r="A162" s="206" t="s">
        <v>190</v>
      </c>
      <c r="B162" s="330">
        <v>9585802507.4300003</v>
      </c>
      <c r="C162" s="330">
        <v>126.06</v>
      </c>
      <c r="D162" s="330">
        <v>9572672977.6900005</v>
      </c>
      <c r="E162" s="330">
        <v>126.29</v>
      </c>
      <c r="F162" s="23">
        <f t="shared" si="159"/>
        <v>-1.36968498253777E-3</v>
      </c>
      <c r="G162" s="23">
        <f t="shared" si="159"/>
        <v>1.8245280025385052E-3</v>
      </c>
      <c r="H162" s="330">
        <v>9707912957.2900009</v>
      </c>
      <c r="I162" s="330">
        <v>126.56</v>
      </c>
      <c r="J162" s="23">
        <f t="shared" si="160"/>
        <v>1.4127713326799072E-2</v>
      </c>
      <c r="K162" s="23">
        <f>((I162-E162)/E162)</f>
        <v>2.1379364953677728E-3</v>
      </c>
      <c r="L162" s="330">
        <v>9723574730.7199993</v>
      </c>
      <c r="M162" s="330">
        <v>126.82</v>
      </c>
      <c r="N162" s="23">
        <f t="shared" si="161"/>
        <v>1.6132997379459857E-3</v>
      </c>
      <c r="O162" s="23">
        <f>((M162-I162)/I162)</f>
        <v>2.0543615676358322E-3</v>
      </c>
      <c r="P162" s="330">
        <v>9747458900.7199993</v>
      </c>
      <c r="Q162" s="330">
        <v>127.17</v>
      </c>
      <c r="R162" s="23">
        <f t="shared" si="162"/>
        <v>2.4563157749528043E-3</v>
      </c>
      <c r="S162" s="23">
        <f>((Q162-M162)/M162)</f>
        <v>2.7598170635547118E-3</v>
      </c>
      <c r="T162" s="330">
        <v>9753077206.25</v>
      </c>
      <c r="U162" s="330">
        <v>127.42</v>
      </c>
      <c r="V162" s="23">
        <f t="shared" si="163"/>
        <v>5.7638668572233614E-4</v>
      </c>
      <c r="W162" s="23">
        <f>((U162-Q162)/Q162)</f>
        <v>1.9658724541951719E-3</v>
      </c>
      <c r="X162" s="330">
        <v>9482030679.6000004</v>
      </c>
      <c r="Y162" s="330">
        <v>127.74</v>
      </c>
      <c r="Z162" s="23">
        <f t="shared" si="165"/>
        <v>-2.7790872656714607E-2</v>
      </c>
      <c r="AA162" s="23">
        <f>((Y162-U162)/U162)</f>
        <v>2.51137968921671E-3</v>
      </c>
      <c r="AB162" s="330">
        <v>9396906448.2999992</v>
      </c>
      <c r="AC162" s="330">
        <v>128.03</v>
      </c>
      <c r="AD162" s="23">
        <f t="shared" si="167"/>
        <v>-8.9774262683140899E-3</v>
      </c>
      <c r="AE162" s="23">
        <f>((AC162-Y162)/Y162)</f>
        <v>2.2702364177235499E-3</v>
      </c>
      <c r="AF162" s="330">
        <v>9350818818.1200008</v>
      </c>
      <c r="AG162" s="330">
        <v>128.31</v>
      </c>
      <c r="AH162" s="23">
        <f t="shared" si="169"/>
        <v>-4.904553475504286E-3</v>
      </c>
      <c r="AI162" s="23">
        <f>((AG162-AC162)/AC162)</f>
        <v>2.1869874248223163E-3</v>
      </c>
      <c r="AJ162" s="24">
        <f t="shared" si="141"/>
        <v>-3.0336027322063197E-3</v>
      </c>
      <c r="AK162" s="24">
        <f t="shared" si="142"/>
        <v>2.2138898893818209E-3</v>
      </c>
      <c r="AL162" s="25">
        <f t="shared" si="143"/>
        <v>-2.3175779647654455E-2</v>
      </c>
      <c r="AM162" s="25">
        <f t="shared" si="144"/>
        <v>1.5994932298677614E-2</v>
      </c>
      <c r="AN162" s="26">
        <f t="shared" si="145"/>
        <v>1.2034451922720213E-2</v>
      </c>
      <c r="AO162" s="78">
        <f t="shared" si="146"/>
        <v>3.0113330340703564E-4</v>
      </c>
    </row>
    <row r="163" spans="1:41" s="306" customFormat="1">
      <c r="A163" s="206" t="s">
        <v>177</v>
      </c>
      <c r="B163" s="330">
        <v>404148927.02999997</v>
      </c>
      <c r="C163" s="331">
        <v>102.63</v>
      </c>
      <c r="D163" s="330">
        <v>407073807.34999996</v>
      </c>
      <c r="E163" s="331">
        <v>102.82</v>
      </c>
      <c r="F163" s="23">
        <f t="shared" si="159"/>
        <v>7.2371349380889955E-3</v>
      </c>
      <c r="G163" s="23">
        <f t="shared" si="159"/>
        <v>1.8513105329825367E-3</v>
      </c>
      <c r="H163" s="330">
        <v>410722600.21999997</v>
      </c>
      <c r="I163" s="331">
        <v>102.98</v>
      </c>
      <c r="J163" s="23">
        <f t="shared" si="160"/>
        <v>8.9634675680884367E-3</v>
      </c>
      <c r="K163" s="23">
        <f>((I163-E163)/E163)</f>
        <v>1.5561174868703638E-3</v>
      </c>
      <c r="L163" s="330">
        <v>409662429.07999998</v>
      </c>
      <c r="M163" s="331">
        <v>101.31</v>
      </c>
      <c r="N163" s="23">
        <f t="shared" si="161"/>
        <v>-2.5812339993760126E-3</v>
      </c>
      <c r="O163" s="23">
        <f>((M163-I163)/I163)</f>
        <v>-1.6216741114779585E-2</v>
      </c>
      <c r="P163" s="330">
        <v>373877591.92000002</v>
      </c>
      <c r="Q163" s="331">
        <v>101.49</v>
      </c>
      <c r="R163" s="23">
        <f t="shared" si="162"/>
        <v>-8.7352011363023493E-2</v>
      </c>
      <c r="S163" s="23">
        <f>((Q163-M163)/M163)</f>
        <v>1.7767249037606615E-3</v>
      </c>
      <c r="T163" s="330">
        <v>440086089.62</v>
      </c>
      <c r="U163" s="331">
        <v>101.68</v>
      </c>
      <c r="V163" s="23">
        <f t="shared" si="163"/>
        <v>0.17708602796972883</v>
      </c>
      <c r="W163" s="23">
        <f>((U163-Q163)/Q163)</f>
        <v>1.8721056261701836E-3</v>
      </c>
      <c r="X163" s="330">
        <v>445518069.19999999</v>
      </c>
      <c r="Y163" s="331">
        <v>101.88</v>
      </c>
      <c r="Z163" s="23">
        <f t="shared" si="165"/>
        <v>1.2342993128208893E-2</v>
      </c>
      <c r="AA163" s="23">
        <f>((Y163-U163)/U163)</f>
        <v>1.9669551534223901E-3</v>
      </c>
      <c r="AB163" s="330">
        <v>447138004.60000002</v>
      </c>
      <c r="AC163" s="331">
        <v>101.98</v>
      </c>
      <c r="AD163" s="23">
        <f t="shared" si="167"/>
        <v>3.636071153991336E-3</v>
      </c>
      <c r="AE163" s="23">
        <f>((AC163-Y163)/Y163)</f>
        <v>9.8154691794276132E-4</v>
      </c>
      <c r="AF163" s="330">
        <v>451241812.82999998</v>
      </c>
      <c r="AG163" s="331">
        <v>102.1</v>
      </c>
      <c r="AH163" s="23">
        <f t="shared" si="169"/>
        <v>9.1779454839029783E-3</v>
      </c>
      <c r="AI163" s="23">
        <f>((AG163-AC163)/AC163)</f>
        <v>1.1767013139830391E-3</v>
      </c>
      <c r="AJ163" s="24">
        <f t="shared" si="141"/>
        <v>1.6063799359951246E-2</v>
      </c>
      <c r="AK163" s="24">
        <f t="shared" si="142"/>
        <v>-6.2940989745595584E-4</v>
      </c>
      <c r="AL163" s="25">
        <f t="shared" si="143"/>
        <v>0.10850122184851013</v>
      </c>
      <c r="AM163" s="25">
        <f t="shared" si="144"/>
        <v>-7.0025286909161533E-3</v>
      </c>
      <c r="AN163" s="26">
        <f t="shared" si="145"/>
        <v>7.3011405968293197E-2</v>
      </c>
      <c r="AO163" s="78">
        <f t="shared" si="146"/>
        <v>6.3080537401839706E-3</v>
      </c>
    </row>
    <row r="164" spans="1:41" s="306" customFormat="1">
      <c r="A164" s="206" t="s">
        <v>133</v>
      </c>
      <c r="B164" s="330">
        <v>8232753582.1499996</v>
      </c>
      <c r="C164" s="331">
        <v>122.54</v>
      </c>
      <c r="D164" s="330">
        <v>8218760838.6300001</v>
      </c>
      <c r="E164" s="331">
        <v>122.69</v>
      </c>
      <c r="F164" s="23">
        <f t="shared" si="159"/>
        <v>-1.6996431850381305E-3</v>
      </c>
      <c r="G164" s="23">
        <f t="shared" si="159"/>
        <v>1.2240900930307775E-3</v>
      </c>
      <c r="H164" s="330">
        <v>8228345540.79</v>
      </c>
      <c r="I164" s="331">
        <v>122.84</v>
      </c>
      <c r="J164" s="23">
        <f t="shared" si="160"/>
        <v>1.1661979644120584E-3</v>
      </c>
      <c r="K164" s="23">
        <f>((I164-E164)/E164)</f>
        <v>1.2225935284049694E-3</v>
      </c>
      <c r="L164" s="330">
        <v>8237761894.7299995</v>
      </c>
      <c r="M164" s="331">
        <v>122.96</v>
      </c>
      <c r="N164" s="23">
        <f t="shared" si="161"/>
        <v>1.1443799842046399E-3</v>
      </c>
      <c r="O164" s="23">
        <f>((M164-I164)/I164)</f>
        <v>9.7688049495270541E-4</v>
      </c>
      <c r="P164" s="330">
        <v>8245991798.1499996</v>
      </c>
      <c r="Q164" s="331">
        <v>123.12</v>
      </c>
      <c r="R164" s="23">
        <f t="shared" si="162"/>
        <v>9.9904604250154998E-4</v>
      </c>
      <c r="S164" s="23">
        <f>((Q164-M164)/M164)</f>
        <v>1.3012361743657353E-3</v>
      </c>
      <c r="T164" s="330">
        <v>8282964062.6800003</v>
      </c>
      <c r="U164" s="331">
        <v>123.25</v>
      </c>
      <c r="V164" s="23">
        <f t="shared" si="163"/>
        <v>4.4836649653587418E-3</v>
      </c>
      <c r="W164" s="23">
        <f>((U164-Q164)/Q164)</f>
        <v>1.0558804418453172E-3</v>
      </c>
      <c r="X164" s="330">
        <v>8288395262.54</v>
      </c>
      <c r="Y164" s="331">
        <v>123.42</v>
      </c>
      <c r="Z164" s="23">
        <f t="shared" si="165"/>
        <v>6.5570728291224306E-4</v>
      </c>
      <c r="AA164" s="23">
        <f>((Y164-U164)/U164)</f>
        <v>1.3793103448276E-3</v>
      </c>
      <c r="AB164" s="330">
        <v>8311811544.6199999</v>
      </c>
      <c r="AC164" s="331">
        <v>123.57</v>
      </c>
      <c r="AD164" s="23">
        <f t="shared" si="167"/>
        <v>2.8251888741155358E-3</v>
      </c>
      <c r="AE164" s="23">
        <f>((AC164-Y164)/Y164)</f>
        <v>1.2153621779289537E-3</v>
      </c>
      <c r="AF164" s="330">
        <v>8315320941.3800001</v>
      </c>
      <c r="AG164" s="331">
        <v>123.67</v>
      </c>
      <c r="AH164" s="23">
        <f t="shared" si="169"/>
        <v>4.2221803768779649E-4</v>
      </c>
      <c r="AI164" s="23">
        <f>((AG164-AC164)/AC164)</f>
        <v>8.0925791049614416E-4</v>
      </c>
      <c r="AJ164" s="24">
        <f t="shared" si="141"/>
        <v>1.2495949957693044E-3</v>
      </c>
      <c r="AK164" s="24">
        <f t="shared" si="142"/>
        <v>1.1480763957315255E-3</v>
      </c>
      <c r="AL164" s="25">
        <f t="shared" si="143"/>
        <v>1.1748742255176241E-2</v>
      </c>
      <c r="AM164" s="25">
        <f t="shared" si="144"/>
        <v>7.9876110522455294E-3</v>
      </c>
      <c r="AN164" s="26">
        <f t="shared" si="145"/>
        <v>1.8030833025896346E-3</v>
      </c>
      <c r="AO164" s="78">
        <f t="shared" si="146"/>
        <v>1.8723225264910101E-4</v>
      </c>
    </row>
    <row r="165" spans="1:41">
      <c r="A165" s="206" t="s">
        <v>167</v>
      </c>
      <c r="B165" s="330">
        <v>2268874287.4099998</v>
      </c>
      <c r="C165" s="331">
        <v>1.1258999999999999</v>
      </c>
      <c r="D165" s="330">
        <v>2272858774.1500001</v>
      </c>
      <c r="E165" s="331">
        <v>1.1278999999999999</v>
      </c>
      <c r="F165" s="23">
        <f t="shared" si="159"/>
        <v>1.7561513928339681E-3</v>
      </c>
      <c r="G165" s="23">
        <f t="shared" si="159"/>
        <v>1.7763566924238405E-3</v>
      </c>
      <c r="H165" s="330">
        <v>2264145288.5300002</v>
      </c>
      <c r="I165" s="331">
        <v>1.1299999999999999</v>
      </c>
      <c r="J165" s="23">
        <f t="shared" si="160"/>
        <v>-3.8337118518322988E-3</v>
      </c>
      <c r="K165" s="23">
        <f>((I165-E165)/E165)</f>
        <v>1.861867186807333E-3</v>
      </c>
      <c r="L165" s="330">
        <v>2305433317.6100001</v>
      </c>
      <c r="M165" s="331">
        <v>1.1335999999999999</v>
      </c>
      <c r="N165" s="23">
        <f t="shared" si="161"/>
        <v>1.823559172159232E-2</v>
      </c>
      <c r="O165" s="23">
        <f>((M165-I165)/I165)</f>
        <v>3.1858407079646441E-3</v>
      </c>
      <c r="P165" s="330">
        <v>2339088601.1599998</v>
      </c>
      <c r="Q165" s="331">
        <v>1.1384000000000001</v>
      </c>
      <c r="R165" s="23">
        <f t="shared" si="162"/>
        <v>1.4598246365628792E-2</v>
      </c>
      <c r="S165" s="23">
        <f>((Q165-M165)/M165)</f>
        <v>4.2342978122795853E-3</v>
      </c>
      <c r="T165" s="330">
        <v>2375175435.9499998</v>
      </c>
      <c r="U165" s="331">
        <v>1.1426000000000001</v>
      </c>
      <c r="V165" s="23">
        <f t="shared" si="163"/>
        <v>1.5427733165859469E-2</v>
      </c>
      <c r="W165" s="23">
        <f>((U165-Q165)/Q165)</f>
        <v>3.6893886156008269E-3</v>
      </c>
      <c r="X165" s="330">
        <v>2437395386.98</v>
      </c>
      <c r="Y165" s="331">
        <v>1.1468</v>
      </c>
      <c r="Z165" s="23">
        <f t="shared" si="165"/>
        <v>2.6195939082333121E-2</v>
      </c>
      <c r="AA165" s="23">
        <f>((Y165-U165)/U165)</f>
        <v>3.6758270610887287E-3</v>
      </c>
      <c r="AB165" s="330">
        <v>2607699840.98</v>
      </c>
      <c r="AC165" s="331">
        <v>1.1508</v>
      </c>
      <c r="AD165" s="23">
        <f t="shared" si="167"/>
        <v>6.9871492704764615E-2</v>
      </c>
      <c r="AE165" s="23">
        <f>((AC165-Y165)/Y165)</f>
        <v>3.487966515521454E-3</v>
      </c>
      <c r="AF165" s="330">
        <v>2705483133.1999998</v>
      </c>
      <c r="AG165" s="331">
        <v>1.1536</v>
      </c>
      <c r="AH165" s="23">
        <f t="shared" si="169"/>
        <v>3.7497909338849306E-2</v>
      </c>
      <c r="AI165" s="23">
        <f>((AG165-AC165)/AC165)</f>
        <v>2.4330900243308253E-3</v>
      </c>
      <c r="AJ165" s="24">
        <f t="shared" si="141"/>
        <v>2.2468668990003663E-2</v>
      </c>
      <c r="AK165" s="24">
        <f t="shared" si="142"/>
        <v>3.0430793270021547E-3</v>
      </c>
      <c r="AL165" s="25">
        <f t="shared" si="143"/>
        <v>0.19034370457609792</v>
      </c>
      <c r="AM165" s="25">
        <f t="shared" si="144"/>
        <v>2.2785707952832749E-2</v>
      </c>
      <c r="AN165" s="26">
        <f t="shared" si="145"/>
        <v>2.3105531804636925E-2</v>
      </c>
      <c r="AO165" s="78">
        <f t="shared" si="146"/>
        <v>9.1240088276248286E-4</v>
      </c>
    </row>
    <row r="166" spans="1:41">
      <c r="A166" s="208" t="s">
        <v>42</v>
      </c>
      <c r="B166" s="76">
        <f>SUM(B155:B165)</f>
        <v>25167427500.149998</v>
      </c>
      <c r="C166" s="87"/>
      <c r="D166" s="76">
        <f>SUM(D155:D165)</f>
        <v>25123628784.880001</v>
      </c>
      <c r="E166" s="87"/>
      <c r="F166" s="23">
        <f>((D166-B166)/B166)</f>
        <v>-1.7402936899186699E-3</v>
      </c>
      <c r="G166" s="23"/>
      <c r="H166" s="76">
        <f>SUM(H155:H165)</f>
        <v>25237093944.099998</v>
      </c>
      <c r="I166" s="87"/>
      <c r="J166" s="23">
        <f t="shared" si="160"/>
        <v>4.5162727164749167E-3</v>
      </c>
      <c r="K166" s="23"/>
      <c r="L166" s="76">
        <f>SUM(L155:L165)</f>
        <v>25308511589.739998</v>
      </c>
      <c r="M166" s="87"/>
      <c r="N166" s="23">
        <f t="shared" si="161"/>
        <v>2.8298680425800616E-3</v>
      </c>
      <c r="O166" s="23"/>
      <c r="P166" s="76">
        <f>SUM(P155:P165)</f>
        <v>25115154237.279999</v>
      </c>
      <c r="Q166" s="87"/>
      <c r="R166" s="23">
        <f t="shared" si="162"/>
        <v>-7.6400127986343391E-3</v>
      </c>
      <c r="S166" s="23"/>
      <c r="T166" s="76">
        <f>SUM(T155:T165)</f>
        <v>25259823709.369999</v>
      </c>
      <c r="U166" s="87"/>
      <c r="V166" s="23">
        <f t="shared" si="163"/>
        <v>5.760246213230822E-3</v>
      </c>
      <c r="W166" s="23"/>
      <c r="X166" s="76">
        <f>SUM(X155:X165)</f>
        <v>25078820531.75</v>
      </c>
      <c r="Y166" s="87"/>
      <c r="Z166" s="23">
        <f t="shared" si="165"/>
        <v>-7.1656548241410233E-3</v>
      </c>
      <c r="AA166" s="23"/>
      <c r="AB166" s="76">
        <f>SUM(AB155:AB165)</f>
        <v>25223397111.16</v>
      </c>
      <c r="AC166" s="87"/>
      <c r="AD166" s="23">
        <f t="shared" si="167"/>
        <v>5.7648875164190705E-3</v>
      </c>
      <c r="AE166" s="23"/>
      <c r="AF166" s="76">
        <f>SUM(AF155:AF165)</f>
        <v>25289708132.780003</v>
      </c>
      <c r="AG166" s="87"/>
      <c r="AH166" s="23">
        <f t="shared" si="169"/>
        <v>2.6289488813806003E-3</v>
      </c>
      <c r="AI166" s="23"/>
      <c r="AJ166" s="24">
        <f t="shared" si="141"/>
        <v>6.1928275717392986E-4</v>
      </c>
      <c r="AK166" s="24"/>
      <c r="AL166" s="25">
        <f t="shared" si="143"/>
        <v>6.610484071471078E-3</v>
      </c>
      <c r="AM166" s="25"/>
      <c r="AN166" s="26">
        <f t="shared" si="145"/>
        <v>5.4955507562994945E-3</v>
      </c>
      <c r="AO166" s="78"/>
    </row>
    <row r="167" spans="1:41">
      <c r="A167" s="208" t="s">
        <v>28</v>
      </c>
      <c r="B167" s="307">
        <f>SUM(B21,B53,B86,B111,B118,B145,B151,B166)</f>
        <v>1587941753781.4907</v>
      </c>
      <c r="C167" s="87"/>
      <c r="D167" s="307">
        <f>SUM(D21,D53,D86,D111,D118,D145,D151,D166)</f>
        <v>1574933447715.4641</v>
      </c>
      <c r="E167" s="87"/>
      <c r="F167" s="23">
        <f>((D167-B167)/B167)</f>
        <v>-8.1919289766447089E-3</v>
      </c>
      <c r="G167" s="23"/>
      <c r="H167" s="307">
        <f>SUM(H21,H53,H86,H111,H118,H145,H151,H166)</f>
        <v>1570379557163.522</v>
      </c>
      <c r="I167" s="87"/>
      <c r="J167" s="23">
        <f t="shared" si="160"/>
        <v>-2.891481261349698E-3</v>
      </c>
      <c r="K167" s="23"/>
      <c r="L167" s="307">
        <f>SUM(L21,L53,L86,L111,L118,L145,L151,L166)</f>
        <v>1585406389332.5886</v>
      </c>
      <c r="M167" s="87"/>
      <c r="N167" s="23">
        <f t="shared" si="161"/>
        <v>9.5689173362703949E-3</v>
      </c>
      <c r="O167" s="23"/>
      <c r="P167" s="307">
        <f>SUM(P21,P53,P86,P111,P118,P145,P151,P166)</f>
        <v>1589874095297.8513</v>
      </c>
      <c r="Q167" s="87"/>
      <c r="R167" s="23">
        <f t="shared" si="162"/>
        <v>2.8180194020433294E-3</v>
      </c>
      <c r="S167" s="23"/>
      <c r="T167" s="307">
        <f>SUM(T21,T53,T86,T111,T118,T145,T151,T166)</f>
        <v>1587789124997.645</v>
      </c>
      <c r="U167" s="87"/>
      <c r="V167" s="23">
        <f t="shared" si="163"/>
        <v>-1.3114059197346032E-3</v>
      </c>
      <c r="W167" s="23"/>
      <c r="X167" s="307">
        <f>SUM(X21,X53,X86,X111,X118,X145,X151,X166)</f>
        <v>1573619276108.0618</v>
      </c>
      <c r="Y167" s="87"/>
      <c r="Z167" s="23">
        <f t="shared" si="165"/>
        <v>-8.9242637240031907E-3</v>
      </c>
      <c r="AA167" s="23"/>
      <c r="AB167" s="307">
        <f>SUM(AB21,AB53,AB86,AB111,AB118,AB145,AB151,AB166)</f>
        <v>1638109066451.2014</v>
      </c>
      <c r="AC167" s="87"/>
      <c r="AD167" s="23">
        <f t="shared" si="167"/>
        <v>4.0981825351452471E-2</v>
      </c>
      <c r="AE167" s="23"/>
      <c r="AF167" s="307">
        <f>SUM(AF21,AF53,AF86,AF111,AF118,AF145,AF151,AF166)</f>
        <v>1642873255320.0364</v>
      </c>
      <c r="AG167" s="87"/>
      <c r="AH167" s="23">
        <f t="shared" si="169"/>
        <v>2.9083465603154846E-3</v>
      </c>
      <c r="AI167" s="23"/>
      <c r="AJ167" s="24">
        <f t="shared" si="141"/>
        <v>4.3697535960436854E-3</v>
      </c>
      <c r="AK167" s="24"/>
      <c r="AL167" s="25">
        <f t="shared" si="143"/>
        <v>4.313820860374961E-2</v>
      </c>
      <c r="AM167" s="25"/>
      <c r="AN167" s="26">
        <f t="shared" si="145"/>
        <v>1.5997975595209483E-2</v>
      </c>
      <c r="AO167" s="78"/>
    </row>
    <row r="168" spans="1:41" s="110" customFormat="1" ht="6" customHeight="1">
      <c r="A168" s="208"/>
      <c r="B168" s="87"/>
      <c r="C168" s="87"/>
      <c r="D168" s="87"/>
      <c r="E168" s="87"/>
      <c r="F168" s="23"/>
      <c r="G168" s="23"/>
      <c r="H168" s="87"/>
      <c r="I168" s="87"/>
      <c r="J168" s="23"/>
      <c r="K168" s="23"/>
      <c r="L168" s="87"/>
      <c r="M168" s="87"/>
      <c r="N168" s="23"/>
      <c r="O168" s="23"/>
      <c r="P168" s="87"/>
      <c r="Q168" s="87"/>
      <c r="R168" s="23"/>
      <c r="S168" s="23"/>
      <c r="T168" s="87"/>
      <c r="U168" s="87"/>
      <c r="V168" s="23"/>
      <c r="W168" s="23"/>
      <c r="X168" s="87"/>
      <c r="Y168" s="87"/>
      <c r="Z168" s="23"/>
      <c r="AA168" s="23"/>
      <c r="AB168" s="87"/>
      <c r="AC168" s="87"/>
      <c r="AD168" s="23"/>
      <c r="AE168" s="23"/>
      <c r="AF168" s="87"/>
      <c r="AG168" s="87"/>
      <c r="AH168" s="23"/>
      <c r="AI168" s="23"/>
      <c r="AJ168" s="24"/>
      <c r="AK168" s="24"/>
      <c r="AL168" s="25"/>
      <c r="AM168" s="25"/>
      <c r="AN168" s="26"/>
      <c r="AO168" s="78"/>
    </row>
    <row r="169" spans="1:41" s="110" customFormat="1">
      <c r="A169" s="212" t="s">
        <v>205</v>
      </c>
      <c r="B169" s="87"/>
      <c r="C169" s="87"/>
      <c r="D169" s="87"/>
      <c r="E169" s="87"/>
      <c r="F169" s="23"/>
      <c r="G169" s="23"/>
      <c r="H169" s="87"/>
      <c r="I169" s="87"/>
      <c r="J169" s="23"/>
      <c r="K169" s="23"/>
      <c r="L169" s="87"/>
      <c r="M169" s="87"/>
      <c r="N169" s="23"/>
      <c r="O169" s="23"/>
      <c r="P169" s="87"/>
      <c r="Q169" s="87"/>
      <c r="R169" s="23"/>
      <c r="S169" s="23"/>
      <c r="T169" s="87"/>
      <c r="U169" s="87"/>
      <c r="V169" s="23"/>
      <c r="W169" s="23"/>
      <c r="X169" s="87"/>
      <c r="Y169" s="87"/>
      <c r="Z169" s="23"/>
      <c r="AA169" s="23"/>
      <c r="AB169" s="87"/>
      <c r="AC169" s="87"/>
      <c r="AD169" s="23"/>
      <c r="AE169" s="23"/>
      <c r="AF169" s="87"/>
      <c r="AG169" s="87"/>
      <c r="AH169" s="23"/>
      <c r="AI169" s="23"/>
      <c r="AJ169" s="24"/>
      <c r="AK169" s="24"/>
      <c r="AL169" s="25"/>
      <c r="AM169" s="25"/>
      <c r="AN169" s="26"/>
      <c r="AO169" s="78"/>
    </row>
    <row r="170" spans="1:41" s="110" customFormat="1">
      <c r="A170" s="213" t="s">
        <v>120</v>
      </c>
      <c r="B170" s="330">
        <v>91117290437</v>
      </c>
      <c r="C170" s="331">
        <v>107.59</v>
      </c>
      <c r="D170" s="330">
        <v>91117290437</v>
      </c>
      <c r="E170" s="331">
        <v>107.59</v>
      </c>
      <c r="F170" s="23">
        <f>((D170-B170)/B170)</f>
        <v>0</v>
      </c>
      <c r="G170" s="23">
        <f>((E170-C170)/C170)</f>
        <v>0</v>
      </c>
      <c r="H170" s="330">
        <v>91117290437</v>
      </c>
      <c r="I170" s="331">
        <v>107.59</v>
      </c>
      <c r="J170" s="23">
        <f t="shared" ref="J170" si="171">((H170-D170)/D170)</f>
        <v>0</v>
      </c>
      <c r="K170" s="23">
        <f t="shared" ref="K170" si="172">((I170-E170)/E170)</f>
        <v>0</v>
      </c>
      <c r="L170" s="330">
        <v>91117290437</v>
      </c>
      <c r="M170" s="331">
        <v>107.59</v>
      </c>
      <c r="N170" s="23">
        <f>((L170-H170)/H170)</f>
        <v>0</v>
      </c>
      <c r="O170" s="23">
        <f>((M170-I170)/I170)</f>
        <v>0</v>
      </c>
      <c r="P170" s="330">
        <v>91117290437</v>
      </c>
      <c r="Q170" s="331">
        <v>107.59</v>
      </c>
      <c r="R170" s="23">
        <f>((P170-L170)/L170)</f>
        <v>0</v>
      </c>
      <c r="S170" s="23">
        <f>((Q170-M170)/M170)</f>
        <v>0</v>
      </c>
      <c r="T170" s="330">
        <v>91842597312</v>
      </c>
      <c r="U170" s="331">
        <v>107.59</v>
      </c>
      <c r="V170" s="23">
        <f>((T170-P170)/P170)</f>
        <v>7.9601453414759864E-3</v>
      </c>
      <c r="W170" s="23">
        <f>((U170-Q170)/Q170)</f>
        <v>0</v>
      </c>
      <c r="X170" s="330">
        <v>91842597312</v>
      </c>
      <c r="Y170" s="331">
        <v>107.58</v>
      </c>
      <c r="Z170" s="23">
        <f>((X170-T170)/T170)</f>
        <v>0</v>
      </c>
      <c r="AA170" s="23">
        <f>((Y170-U170)/U170)</f>
        <v>-9.2945441026165212E-5</v>
      </c>
      <c r="AB170" s="330">
        <v>91842597312</v>
      </c>
      <c r="AC170" s="331">
        <v>107.58</v>
      </c>
      <c r="AD170" s="23">
        <f>((AB170-X170)/X170)</f>
        <v>0</v>
      </c>
      <c r="AE170" s="23">
        <f>((AC170-Y170)/Y170)</f>
        <v>0</v>
      </c>
      <c r="AF170" s="330">
        <v>91842597312</v>
      </c>
      <c r="AG170" s="331">
        <v>107.58</v>
      </c>
      <c r="AH170" s="23">
        <f>((AF170-AB170)/AB170)</f>
        <v>0</v>
      </c>
      <c r="AI170" s="23">
        <f>((AG170-AC170)/AC170)</f>
        <v>0</v>
      </c>
      <c r="AJ170" s="24">
        <f t="shared" si="141"/>
        <v>9.9501816768449831E-4</v>
      </c>
      <c r="AK170" s="24">
        <f t="shared" si="142"/>
        <v>-1.1618180128270651E-5</v>
      </c>
      <c r="AL170" s="25">
        <f t="shared" si="143"/>
        <v>7.9601453414759864E-3</v>
      </c>
      <c r="AM170" s="25">
        <f t="shared" si="144"/>
        <v>-9.2945441026165212E-5</v>
      </c>
      <c r="AN170" s="26">
        <f t="shared" si="145"/>
        <v>2.8143363750940879E-3</v>
      </c>
      <c r="AO170" s="78">
        <f t="shared" si="146"/>
        <v>3.2861175814987876E-5</v>
      </c>
    </row>
    <row r="171" spans="1:41" s="110" customFormat="1">
      <c r="A171" s="213" t="s">
        <v>249</v>
      </c>
      <c r="B171" s="330">
        <v>2191257881</v>
      </c>
      <c r="C171" s="332">
        <v>1000000</v>
      </c>
      <c r="D171" s="330">
        <v>2197210654</v>
      </c>
      <c r="E171" s="332">
        <v>1000000</v>
      </c>
      <c r="F171" s="23">
        <f>((D171-B171)/B171)</f>
        <v>2.7166008399172985E-3</v>
      </c>
      <c r="G171" s="23">
        <f>((E171-C171)/C171)</f>
        <v>0</v>
      </c>
      <c r="H171" s="330">
        <v>2203163427.9299998</v>
      </c>
      <c r="I171" s="332">
        <v>1000000</v>
      </c>
      <c r="J171" s="23">
        <f t="shared" ref="J171" si="173">((H171-D171)/D171)</f>
        <v>2.7092413370392423E-3</v>
      </c>
      <c r="K171" s="23">
        <f t="shared" ref="K171" si="174">((I171-E171)/E171)</f>
        <v>0</v>
      </c>
      <c r="L171" s="330">
        <v>2209966597.8499999</v>
      </c>
      <c r="M171" s="332">
        <v>1000000</v>
      </c>
      <c r="N171" s="23">
        <f>((L171-H171)/H171)</f>
        <v>3.0879097908737755E-3</v>
      </c>
      <c r="O171" s="23">
        <f>((M171-I171)/I171)</f>
        <v>0</v>
      </c>
      <c r="P171" s="330">
        <v>2215068975.3000002</v>
      </c>
      <c r="Q171" s="332">
        <v>1000000</v>
      </c>
      <c r="R171" s="23">
        <f>((P171-L171)/L171)</f>
        <v>2.3088029723907196E-3</v>
      </c>
      <c r="S171" s="23">
        <f>((Q171-M171)/M171)</f>
        <v>0</v>
      </c>
      <c r="T171" s="330">
        <v>2221872145.2199998</v>
      </c>
      <c r="U171" s="332">
        <v>1000000</v>
      </c>
      <c r="V171" s="23">
        <f>((T171-P171)/P171)</f>
        <v>3.0713129007994911E-3</v>
      </c>
      <c r="W171" s="23">
        <f>((U171-Q171)/Q171)</f>
        <v>0</v>
      </c>
      <c r="X171" s="330">
        <v>2227824918.9099998</v>
      </c>
      <c r="Y171" s="332">
        <v>1000000</v>
      </c>
      <c r="Z171" s="23">
        <f>((X171-T171)/T171)</f>
        <v>2.6791702226460199E-3</v>
      </c>
      <c r="AA171" s="23">
        <f>((Y171-U171)/U171)</f>
        <v>0</v>
      </c>
      <c r="AB171" s="330">
        <v>2232927296.3499999</v>
      </c>
      <c r="AC171" s="332">
        <v>1000000</v>
      </c>
      <c r="AD171" s="23">
        <f>((AB171-X171)/X171)</f>
        <v>2.2902955239842097E-3</v>
      </c>
      <c r="AE171" s="23">
        <f>((AC171-Y171)/Y171)</f>
        <v>0</v>
      </c>
      <c r="AF171" s="330">
        <v>2238880070.04</v>
      </c>
      <c r="AG171" s="332">
        <v>1000000</v>
      </c>
      <c r="AH171" s="23">
        <f>((AF171-AB171)/AB171)</f>
        <v>2.6659057371597426E-3</v>
      </c>
      <c r="AI171" s="23">
        <f>((AG171-AC171)/AC171)</f>
        <v>0</v>
      </c>
      <c r="AJ171" s="24">
        <f t="shared" si="141"/>
        <v>2.6911549156013125E-3</v>
      </c>
      <c r="AK171" s="24">
        <f t="shared" si="142"/>
        <v>0</v>
      </c>
      <c r="AL171" s="25">
        <f t="shared" si="143"/>
        <v>1.8964688690245157E-2</v>
      </c>
      <c r="AM171" s="25">
        <f t="shared" si="144"/>
        <v>0</v>
      </c>
      <c r="AN171" s="26">
        <f t="shared" si="145"/>
        <v>2.9533795476390597E-4</v>
      </c>
      <c r="AO171" s="78">
        <f t="shared" si="146"/>
        <v>0</v>
      </c>
    </row>
    <row r="172" spans="1:41" s="110" customFormat="1">
      <c r="A172" s="208" t="s">
        <v>42</v>
      </c>
      <c r="B172" s="77">
        <f>SUM(B170:B171)</f>
        <v>93308548318</v>
      </c>
      <c r="C172" s="87"/>
      <c r="D172" s="77">
        <f>SUM(D170:D171)</f>
        <v>93314501091</v>
      </c>
      <c r="E172" s="87"/>
      <c r="F172" s="23"/>
      <c r="G172" s="23"/>
      <c r="H172" s="77">
        <f>SUM(H170:H171)</f>
        <v>93320453864.929993</v>
      </c>
      <c r="I172" s="87"/>
      <c r="J172" s="23"/>
      <c r="K172" s="23"/>
      <c r="L172" s="77">
        <f>SUM(L170:L171)</f>
        <v>93327257034.850006</v>
      </c>
      <c r="M172" s="87"/>
      <c r="N172" s="23"/>
      <c r="O172" s="23"/>
      <c r="P172" s="77">
        <f>SUM(P170:P171)</f>
        <v>93332359412.300003</v>
      </c>
      <c r="Q172" s="87"/>
      <c r="R172" s="23"/>
      <c r="S172" s="23"/>
      <c r="T172" s="77">
        <f>SUM(T170:T171)</f>
        <v>94064469457.220001</v>
      </c>
      <c r="U172" s="87"/>
      <c r="V172" s="23"/>
      <c r="W172" s="23"/>
      <c r="X172" s="77">
        <f>SUM(X170:X171)</f>
        <v>94070422230.910004</v>
      </c>
      <c r="Y172" s="87"/>
      <c r="Z172" s="23"/>
      <c r="AA172" s="23"/>
      <c r="AB172" s="77">
        <f>SUM(AB170:AB171)</f>
        <v>94075524608.350006</v>
      </c>
      <c r="AC172" s="87"/>
      <c r="AD172" s="23"/>
      <c r="AE172" s="23"/>
      <c r="AF172" s="77">
        <f>SUM(AF170:AF171)</f>
        <v>94081477382.039993</v>
      </c>
      <c r="AG172" s="87"/>
      <c r="AH172" s="23"/>
      <c r="AI172" s="23"/>
      <c r="AJ172" s="24"/>
      <c r="AK172" s="24"/>
      <c r="AL172" s="25"/>
      <c r="AM172" s="25"/>
      <c r="AN172" s="26"/>
      <c r="AO172" s="78"/>
    </row>
    <row r="173" spans="1:41" ht="6" customHeight="1">
      <c r="A173" s="207"/>
      <c r="B173" s="87"/>
      <c r="C173" s="87"/>
      <c r="D173" s="87"/>
      <c r="E173" s="87"/>
      <c r="F173" s="23"/>
      <c r="G173" s="23"/>
      <c r="H173" s="87"/>
      <c r="I173" s="87"/>
      <c r="J173" s="23"/>
      <c r="K173" s="23"/>
      <c r="L173" s="87"/>
      <c r="M173" s="87"/>
      <c r="N173" s="23"/>
      <c r="O173" s="23"/>
      <c r="P173" s="87"/>
      <c r="Q173" s="87"/>
      <c r="R173" s="23"/>
      <c r="S173" s="23"/>
      <c r="T173" s="87"/>
      <c r="U173" s="87"/>
      <c r="V173" s="23"/>
      <c r="W173" s="23"/>
      <c r="X173" s="87"/>
      <c r="Y173" s="87"/>
      <c r="Z173" s="23"/>
      <c r="AA173" s="23"/>
      <c r="AB173" s="87"/>
      <c r="AC173" s="87"/>
      <c r="AD173" s="23"/>
      <c r="AE173" s="23"/>
      <c r="AF173" s="87"/>
      <c r="AG173" s="87"/>
      <c r="AH173" s="23"/>
      <c r="AI173" s="23"/>
      <c r="AJ173" s="24"/>
      <c r="AK173" s="24"/>
      <c r="AL173" s="25"/>
      <c r="AM173" s="25"/>
      <c r="AN173" s="26"/>
      <c r="AO173" s="78"/>
    </row>
    <row r="174" spans="1:41" ht="25.5">
      <c r="A174" s="203" t="s">
        <v>46</v>
      </c>
      <c r="B174" s="81" t="s">
        <v>73</v>
      </c>
      <c r="C174" s="82" t="s">
        <v>74</v>
      </c>
      <c r="D174" s="81" t="s">
        <v>73</v>
      </c>
      <c r="E174" s="82" t="s">
        <v>74</v>
      </c>
      <c r="F174" s="366" t="s">
        <v>59</v>
      </c>
      <c r="G174" s="366" t="s">
        <v>3</v>
      </c>
      <c r="H174" s="462" t="s">
        <v>267</v>
      </c>
      <c r="I174" s="462"/>
      <c r="J174" s="376" t="s">
        <v>59</v>
      </c>
      <c r="K174" s="376" t="s">
        <v>3</v>
      </c>
      <c r="L174" s="462" t="s">
        <v>268</v>
      </c>
      <c r="M174" s="462"/>
      <c r="N174" s="377" t="s">
        <v>59</v>
      </c>
      <c r="O174" s="377" t="s">
        <v>3</v>
      </c>
      <c r="P174" s="462" t="s">
        <v>273</v>
      </c>
      <c r="Q174" s="462"/>
      <c r="R174" s="387" t="s">
        <v>59</v>
      </c>
      <c r="S174" s="387" t="s">
        <v>3</v>
      </c>
      <c r="T174" s="462" t="s">
        <v>278</v>
      </c>
      <c r="U174" s="462"/>
      <c r="V174" s="390" t="s">
        <v>59</v>
      </c>
      <c r="W174" s="390" t="s">
        <v>3</v>
      </c>
      <c r="X174" s="462" t="s">
        <v>279</v>
      </c>
      <c r="Y174" s="462"/>
      <c r="Z174" s="391" t="s">
        <v>59</v>
      </c>
      <c r="AA174" s="391" t="s">
        <v>3</v>
      </c>
      <c r="AB174" s="462" t="s">
        <v>281</v>
      </c>
      <c r="AC174" s="462"/>
      <c r="AD174" s="393" t="s">
        <v>59</v>
      </c>
      <c r="AE174" s="393" t="s">
        <v>3</v>
      </c>
      <c r="AF174" s="462" t="s">
        <v>286</v>
      </c>
      <c r="AG174" s="462"/>
      <c r="AH174" s="406" t="s">
        <v>59</v>
      </c>
      <c r="AI174" s="406" t="s">
        <v>3</v>
      </c>
      <c r="AJ174" s="309" t="s">
        <v>78</v>
      </c>
      <c r="AK174" s="309" t="s">
        <v>78</v>
      </c>
      <c r="AL174" s="309" t="s">
        <v>78</v>
      </c>
      <c r="AM174" s="309" t="s">
        <v>78</v>
      </c>
      <c r="AN174" s="15" t="s">
        <v>78</v>
      </c>
      <c r="AO174" s="16" t="s">
        <v>78</v>
      </c>
    </row>
    <row r="175" spans="1:41">
      <c r="A175" s="207" t="s">
        <v>144</v>
      </c>
      <c r="B175" s="328">
        <v>553404962.46000004</v>
      </c>
      <c r="C175" s="332">
        <v>130.38</v>
      </c>
      <c r="D175" s="328">
        <v>553131704.53999996</v>
      </c>
      <c r="E175" s="332">
        <v>132.32</v>
      </c>
      <c r="F175" s="23">
        <f t="shared" ref="F175:F186" si="175">((D175-B175)/B175)</f>
        <v>-4.9377569508120788E-4</v>
      </c>
      <c r="G175" s="23">
        <f t="shared" ref="G175:G186" si="176">((E175-C175)/C175)</f>
        <v>1.4879582758091715E-2</v>
      </c>
      <c r="H175" s="328">
        <v>534424296.64041394</v>
      </c>
      <c r="I175" s="332">
        <v>126.01</v>
      </c>
      <c r="J175" s="23">
        <f t="shared" ref="J175:J186" si="177">((H175-D175)/D175)</f>
        <v>-3.3820892467452457E-2</v>
      </c>
      <c r="K175" s="23">
        <f t="shared" ref="K175:K186" si="178">((I175-E175)/E175)</f>
        <v>-4.7687424425634735E-2</v>
      </c>
      <c r="L175" s="328">
        <v>522593453.18064034</v>
      </c>
      <c r="M175" s="332">
        <v>123.28</v>
      </c>
      <c r="N175" s="23">
        <f t="shared" ref="N175:N186" si="179">((L175-H175)/H175)</f>
        <v>-2.2137547888721746E-2</v>
      </c>
      <c r="O175" s="23">
        <f t="shared" ref="O175:O186" si="180">((M175-I175)/I175)</f>
        <v>-2.1664947226410634E-2</v>
      </c>
      <c r="P175" s="328">
        <v>513771136.80759794</v>
      </c>
      <c r="Q175" s="332">
        <v>121.25</v>
      </c>
      <c r="R175" s="23">
        <f t="shared" ref="R175:R186" si="181">((P175-L175)/L175)</f>
        <v>-1.6881796584606028E-2</v>
      </c>
      <c r="S175" s="23">
        <f t="shared" ref="S175:S186" si="182">((Q175-M175)/M175)</f>
        <v>-1.6466580142764448E-2</v>
      </c>
      <c r="T175" s="328">
        <v>510722655.90194839</v>
      </c>
      <c r="U175" s="332">
        <v>120.55</v>
      </c>
      <c r="V175" s="23">
        <f t="shared" ref="V175:V186" si="183">((T175-P175)/P175)</f>
        <v>-5.9335386658576888E-3</v>
      </c>
      <c r="W175" s="23">
        <f t="shared" ref="W175:W186" si="184">((U175-Q175)/Q175)</f>
        <v>-5.7731958762886832E-3</v>
      </c>
      <c r="X175" s="328">
        <v>522098857.57276869</v>
      </c>
      <c r="Y175" s="332">
        <v>123.17</v>
      </c>
      <c r="Z175" s="23">
        <f t="shared" ref="Z175:Z186" si="185">((X175-T175)/T175)</f>
        <v>2.2274715130327735E-2</v>
      </c>
      <c r="AA175" s="23">
        <f t="shared" ref="AA175:AA186" si="186">((Y175-U175)/U175)</f>
        <v>2.1733720447946948E-2</v>
      </c>
      <c r="AB175" s="328">
        <v>519525167.3496632</v>
      </c>
      <c r="AC175" s="332">
        <v>122.58</v>
      </c>
      <c r="AD175" s="23">
        <f t="shared" ref="AD175:AD186" si="187">((AB175-X175)/X175)</f>
        <v>-4.9295074788528459E-3</v>
      </c>
      <c r="AE175" s="23">
        <f t="shared" ref="AE175:AE186" si="188">((AC175-Y175)/Y175)</f>
        <v>-4.7901274661037866E-3</v>
      </c>
      <c r="AF175" s="328">
        <v>532510880.30853528</v>
      </c>
      <c r="AG175" s="332">
        <v>122.6</v>
      </c>
      <c r="AH175" s="23">
        <f t="shared" ref="AH175:AH186" si="189">((AF175-AB175)/AB175)</f>
        <v>2.4995349166852057E-2</v>
      </c>
      <c r="AI175" s="23">
        <f t="shared" ref="AI175:AI186" si="190">((AG175-AC175)/AC175)</f>
        <v>1.6315875346709105E-4</v>
      </c>
      <c r="AJ175" s="24">
        <f t="shared" ref="AJ175" si="191">AVERAGE(F175,J175,N175,R175,V175,Z175,AD175,AH175)</f>
        <v>-4.615874310424024E-3</v>
      </c>
      <c r="AK175" s="24">
        <f t="shared" ref="AK175" si="192">AVERAGE(G175,K175,O175,S175,W175,AA175,AE175,AI175)</f>
        <v>-7.4507266472120673E-3</v>
      </c>
      <c r="AL175" s="25">
        <f t="shared" ref="AL175" si="193">((AF175-D175)/D175)</f>
        <v>-3.7280134301130953E-2</v>
      </c>
      <c r="AM175" s="25">
        <f t="shared" ref="AM175" si="194">((AG175-E175)/E175)</f>
        <v>-7.3458282950423212E-2</v>
      </c>
      <c r="AN175" s="26">
        <f t="shared" ref="AN175" si="195">STDEV(F175,J175,N175,R175,V175,Z175,AD175,AH175)</f>
        <v>2.0456049186270541E-2</v>
      </c>
      <c r="AO175" s="78">
        <f t="shared" ref="AO175" si="196">STDEV(G175,K175,O175,S175,W175,AA175,AE175,AI175)</f>
        <v>2.1779939485062256E-2</v>
      </c>
    </row>
    <row r="176" spans="1:41">
      <c r="A176" s="207" t="s">
        <v>47</v>
      </c>
      <c r="B176" s="328">
        <v>572436722.16999996</v>
      </c>
      <c r="C176" s="332">
        <v>17.14</v>
      </c>
      <c r="D176" s="328">
        <v>572316712.51999998</v>
      </c>
      <c r="E176" s="332">
        <v>17.14</v>
      </c>
      <c r="F176" s="23">
        <f t="shared" si="175"/>
        <v>-2.096470148613844E-4</v>
      </c>
      <c r="G176" s="23">
        <f t="shared" si="176"/>
        <v>0</v>
      </c>
      <c r="H176" s="328">
        <v>568512701.44000006</v>
      </c>
      <c r="I176" s="332">
        <v>17.02</v>
      </c>
      <c r="J176" s="23">
        <f t="shared" si="177"/>
        <v>-6.6466887944793152E-3</v>
      </c>
      <c r="K176" s="23">
        <f t="shared" si="178"/>
        <v>-7.0011668611435814E-3</v>
      </c>
      <c r="L176" s="328">
        <v>568512701.44000006</v>
      </c>
      <c r="M176" s="332">
        <v>17.02</v>
      </c>
      <c r="N176" s="23">
        <f t="shared" si="179"/>
        <v>0</v>
      </c>
      <c r="O176" s="23">
        <f t="shared" si="180"/>
        <v>0</v>
      </c>
      <c r="P176" s="328">
        <v>553524771.50999999</v>
      </c>
      <c r="Q176" s="332">
        <v>16.57</v>
      </c>
      <c r="R176" s="23">
        <f t="shared" si="181"/>
        <v>-2.6363403829038057E-2</v>
      </c>
      <c r="S176" s="23">
        <f t="shared" si="182"/>
        <v>-2.643948296122205E-2</v>
      </c>
      <c r="T176" s="328">
        <v>547280767.50999999</v>
      </c>
      <c r="U176" s="332">
        <v>16.39</v>
      </c>
      <c r="V176" s="23">
        <f t="shared" si="183"/>
        <v>-1.1280441854420594E-2</v>
      </c>
      <c r="W176" s="23">
        <f t="shared" si="184"/>
        <v>-1.0863005431502698E-2</v>
      </c>
      <c r="X176" s="328">
        <v>557400845.73000002</v>
      </c>
      <c r="Y176" s="332">
        <v>16.690000000000001</v>
      </c>
      <c r="Z176" s="23">
        <f t="shared" si="185"/>
        <v>1.8491565610909418E-2</v>
      </c>
      <c r="AA176" s="23">
        <f t="shared" si="186"/>
        <v>1.8303843807199554E-2</v>
      </c>
      <c r="AB176" s="328">
        <v>557626122.53999996</v>
      </c>
      <c r="AC176" s="332">
        <v>16.7</v>
      </c>
      <c r="AD176" s="23">
        <f t="shared" si="187"/>
        <v>4.0415584534126244E-4</v>
      </c>
      <c r="AE176" s="23">
        <f t="shared" si="188"/>
        <v>5.9916117435578249E-4</v>
      </c>
      <c r="AF176" s="328">
        <v>567033998.29999995</v>
      </c>
      <c r="AG176" s="332">
        <v>16.98</v>
      </c>
      <c r="AH176" s="23">
        <f t="shared" si="189"/>
        <v>1.6871296698129739E-2</v>
      </c>
      <c r="AI176" s="23">
        <f t="shared" si="190"/>
        <v>1.6766467065868332E-2</v>
      </c>
      <c r="AJ176" s="24">
        <f t="shared" ref="AJ176:AJ188" si="197">AVERAGE(F176,J176,N176,R176,V176,Z176,AD176,AH176)</f>
        <v>-1.0916454173023663E-3</v>
      </c>
      <c r="AK176" s="24">
        <f t="shared" ref="AK176:AK186" si="198">AVERAGE(G176,K176,O176,S176,W176,AA176,AE176,AI176)</f>
        <v>-1.0792729008055821E-3</v>
      </c>
      <c r="AL176" s="25">
        <f t="shared" ref="AL176:AL188" si="199">((AF176-D176)/D176)</f>
        <v>-9.2304035587907462E-3</v>
      </c>
      <c r="AM176" s="25">
        <f t="shared" ref="AM176:AM186" si="200">((AG176-E176)/E176)</f>
        <v>-9.3348891481913731E-3</v>
      </c>
      <c r="AN176" s="26">
        <f t="shared" ref="AN176:AN188" si="201">STDEV(F176,J176,N176,R176,V176,Z176,AD176,AH176)</f>
        <v>1.4558788847362841E-2</v>
      </c>
      <c r="AO176" s="78">
        <f t="shared" ref="AO176:AO186" si="202">STDEV(G176,K176,O176,S176,W176,AA176,AE176,AI176)</f>
        <v>1.4507401824221304E-2</v>
      </c>
    </row>
    <row r="177" spans="1:41">
      <c r="A177" s="207" t="s">
        <v>188</v>
      </c>
      <c r="B177" s="328">
        <v>181643849.27000001</v>
      </c>
      <c r="C177" s="332">
        <v>17.5</v>
      </c>
      <c r="D177" s="328">
        <v>177977078.88999999</v>
      </c>
      <c r="E177" s="332">
        <v>17.5</v>
      </c>
      <c r="F177" s="23">
        <f t="shared" si="175"/>
        <v>-2.0186592580680476E-2</v>
      </c>
      <c r="G177" s="23">
        <f t="shared" si="176"/>
        <v>0</v>
      </c>
      <c r="H177" s="328">
        <v>183042398.15000001</v>
      </c>
      <c r="I177" s="332">
        <v>17.5</v>
      </c>
      <c r="J177" s="23">
        <f t="shared" si="177"/>
        <v>2.8460514643746215E-2</v>
      </c>
      <c r="K177" s="23">
        <f t="shared" si="178"/>
        <v>0</v>
      </c>
      <c r="L177" s="328">
        <v>183188777.75999999</v>
      </c>
      <c r="M177" s="332">
        <v>17.5</v>
      </c>
      <c r="N177" s="23">
        <f t="shared" si="179"/>
        <v>7.9970330087146806E-4</v>
      </c>
      <c r="O177" s="23">
        <f t="shared" si="180"/>
        <v>0</v>
      </c>
      <c r="P177" s="328">
        <v>181486603.66</v>
      </c>
      <c r="Q177" s="332">
        <v>17.5</v>
      </c>
      <c r="R177" s="23">
        <f t="shared" si="181"/>
        <v>-9.2919125331468351E-3</v>
      </c>
      <c r="S177" s="23">
        <f t="shared" si="182"/>
        <v>0</v>
      </c>
      <c r="T177" s="328">
        <v>181486603.66</v>
      </c>
      <c r="U177" s="332">
        <v>17.5</v>
      </c>
      <c r="V177" s="23">
        <f t="shared" si="183"/>
        <v>0</v>
      </c>
      <c r="W177" s="23">
        <f t="shared" si="184"/>
        <v>0</v>
      </c>
      <c r="X177" s="328">
        <v>183224591.63</v>
      </c>
      <c r="Y177" s="332">
        <v>17.5</v>
      </c>
      <c r="Z177" s="23">
        <f t="shared" si="185"/>
        <v>9.5763981194775909E-3</v>
      </c>
      <c r="AA177" s="23">
        <f t="shared" si="186"/>
        <v>0</v>
      </c>
      <c r="AB177" s="328">
        <v>180605396.69</v>
      </c>
      <c r="AC177" s="332">
        <v>17.5</v>
      </c>
      <c r="AD177" s="23">
        <f t="shared" si="187"/>
        <v>-1.4294996739788873E-2</v>
      </c>
      <c r="AE177" s="23">
        <f t="shared" si="188"/>
        <v>0</v>
      </c>
      <c r="AF177" s="328">
        <v>186707605.55000001</v>
      </c>
      <c r="AG177" s="332">
        <v>17.5</v>
      </c>
      <c r="AH177" s="23">
        <f t="shared" si="189"/>
        <v>3.37875222547981E-2</v>
      </c>
      <c r="AI177" s="23">
        <f t="shared" si="190"/>
        <v>0</v>
      </c>
      <c r="AJ177" s="24">
        <f t="shared" si="197"/>
        <v>3.6063295581596488E-3</v>
      </c>
      <c r="AK177" s="24">
        <f t="shared" si="198"/>
        <v>0</v>
      </c>
      <c r="AL177" s="25">
        <f t="shared" si="199"/>
        <v>4.9054219309869619E-2</v>
      </c>
      <c r="AM177" s="25">
        <f t="shared" si="200"/>
        <v>0</v>
      </c>
      <c r="AN177" s="26">
        <f t="shared" si="201"/>
        <v>1.9413120259592079E-2</v>
      </c>
      <c r="AO177" s="78">
        <f t="shared" si="202"/>
        <v>0</v>
      </c>
    </row>
    <row r="178" spans="1:41">
      <c r="A178" s="207" t="s">
        <v>187</v>
      </c>
      <c r="B178" s="328">
        <v>224350840.75</v>
      </c>
      <c r="C178" s="332">
        <v>16.5</v>
      </c>
      <c r="D178" s="328">
        <v>223248121.65000001</v>
      </c>
      <c r="E178" s="332">
        <v>16.5</v>
      </c>
      <c r="F178" s="23">
        <f t="shared" si="175"/>
        <v>-4.9151547474198358E-3</v>
      </c>
      <c r="G178" s="23">
        <f t="shared" si="176"/>
        <v>0</v>
      </c>
      <c r="H178" s="328">
        <v>242419943.75</v>
      </c>
      <c r="I178" s="332">
        <v>16.5</v>
      </c>
      <c r="J178" s="23">
        <f t="shared" si="177"/>
        <v>8.5876745382238218E-2</v>
      </c>
      <c r="K178" s="23">
        <f t="shared" si="178"/>
        <v>0</v>
      </c>
      <c r="L178" s="328">
        <v>240333063.61000001</v>
      </c>
      <c r="M178" s="332">
        <v>16.5</v>
      </c>
      <c r="N178" s="23">
        <f t="shared" si="179"/>
        <v>-8.6085332242800908E-3</v>
      </c>
      <c r="O178" s="23">
        <f t="shared" si="180"/>
        <v>0</v>
      </c>
      <c r="P178" s="328">
        <v>235456652.36000001</v>
      </c>
      <c r="Q178" s="332">
        <v>16.5</v>
      </c>
      <c r="R178" s="23">
        <f t="shared" si="181"/>
        <v>-2.0290222147349591E-2</v>
      </c>
      <c r="S178" s="23">
        <f t="shared" si="182"/>
        <v>0</v>
      </c>
      <c r="T178" s="328">
        <v>235456652.36000001</v>
      </c>
      <c r="U178" s="332">
        <v>16.5</v>
      </c>
      <c r="V178" s="23">
        <f t="shared" si="183"/>
        <v>0</v>
      </c>
      <c r="W178" s="23">
        <f t="shared" si="184"/>
        <v>0</v>
      </c>
      <c r="X178" s="328">
        <v>240711278.88999999</v>
      </c>
      <c r="Y178" s="332">
        <v>16.5</v>
      </c>
      <c r="Z178" s="23">
        <f t="shared" si="185"/>
        <v>2.2316746956743197E-2</v>
      </c>
      <c r="AA178" s="23">
        <f t="shared" si="186"/>
        <v>0</v>
      </c>
      <c r="AB178" s="328">
        <v>264482468.94999999</v>
      </c>
      <c r="AC178" s="332">
        <v>16.5</v>
      </c>
      <c r="AD178" s="23">
        <f t="shared" si="187"/>
        <v>9.8753951911256049E-2</v>
      </c>
      <c r="AE178" s="23">
        <f t="shared" si="188"/>
        <v>0</v>
      </c>
      <c r="AF178" s="328">
        <v>262104061.47</v>
      </c>
      <c r="AG178" s="332">
        <v>16.5</v>
      </c>
      <c r="AH178" s="23">
        <f t="shared" si="189"/>
        <v>-8.9926848060754589E-3</v>
      </c>
      <c r="AI178" s="23">
        <f t="shared" si="190"/>
        <v>0</v>
      </c>
      <c r="AJ178" s="24">
        <f t="shared" si="197"/>
        <v>2.0517606165639059E-2</v>
      </c>
      <c r="AK178" s="24">
        <f t="shared" si="198"/>
        <v>0</v>
      </c>
      <c r="AL178" s="25">
        <f t="shared" si="199"/>
        <v>0.17404822729445793</v>
      </c>
      <c r="AM178" s="25">
        <f t="shared" si="200"/>
        <v>0</v>
      </c>
      <c r="AN178" s="26">
        <f t="shared" si="201"/>
        <v>4.6056247278109259E-2</v>
      </c>
      <c r="AO178" s="78">
        <f t="shared" si="202"/>
        <v>0</v>
      </c>
    </row>
    <row r="179" spans="1:41">
      <c r="A179" s="207" t="s">
        <v>32</v>
      </c>
      <c r="B179" s="328">
        <v>592726343.67999995</v>
      </c>
      <c r="C179" s="332">
        <v>11100.16</v>
      </c>
      <c r="D179" s="328">
        <v>592717800</v>
      </c>
      <c r="E179" s="332">
        <v>11100</v>
      </c>
      <c r="F179" s="23">
        <f t="shared" si="175"/>
        <v>-1.4414206641977929E-5</v>
      </c>
      <c r="G179" s="23">
        <f t="shared" si="176"/>
        <v>-1.4414206642053312E-5</v>
      </c>
      <c r="H179" s="328">
        <v>592717800</v>
      </c>
      <c r="I179" s="332">
        <v>11100</v>
      </c>
      <c r="J179" s="23">
        <f t="shared" si="177"/>
        <v>0</v>
      </c>
      <c r="K179" s="23">
        <f t="shared" si="178"/>
        <v>0</v>
      </c>
      <c r="L179" s="328">
        <v>661601220</v>
      </c>
      <c r="M179" s="332">
        <v>12390</v>
      </c>
      <c r="N179" s="23">
        <f t="shared" si="179"/>
        <v>0.11621621621621622</v>
      </c>
      <c r="O179" s="23">
        <f t="shared" si="180"/>
        <v>0.11621621621621622</v>
      </c>
      <c r="P179" s="328">
        <v>640776000</v>
      </c>
      <c r="Q179" s="332">
        <v>12000</v>
      </c>
      <c r="R179" s="23">
        <f t="shared" si="181"/>
        <v>-3.1476997578692496E-2</v>
      </c>
      <c r="S179" s="23">
        <f t="shared" si="182"/>
        <v>-3.1476997578692496E-2</v>
      </c>
      <c r="T179" s="328">
        <v>592718333.98000002</v>
      </c>
      <c r="U179" s="332">
        <v>11100.01</v>
      </c>
      <c r="V179" s="23">
        <f t="shared" si="183"/>
        <v>-7.4999166666666631E-2</v>
      </c>
      <c r="W179" s="23">
        <f t="shared" si="184"/>
        <v>-7.4999166666666645E-2</v>
      </c>
      <c r="X179" s="328">
        <v>656795400</v>
      </c>
      <c r="Y179" s="332">
        <v>12300</v>
      </c>
      <c r="Z179" s="23">
        <f t="shared" si="185"/>
        <v>0.10810710981341455</v>
      </c>
      <c r="AA179" s="23">
        <f t="shared" si="186"/>
        <v>0.10810710981341456</v>
      </c>
      <c r="AB179" s="328">
        <v>614077000</v>
      </c>
      <c r="AC179" s="332">
        <v>11500</v>
      </c>
      <c r="AD179" s="23">
        <f t="shared" si="187"/>
        <v>-6.5040650406504072E-2</v>
      </c>
      <c r="AE179" s="23">
        <f t="shared" si="188"/>
        <v>-6.5040650406504072E-2</v>
      </c>
      <c r="AF179" s="328">
        <v>1067959466.02</v>
      </c>
      <c r="AG179" s="332">
        <v>19999.990000000002</v>
      </c>
      <c r="AH179" s="23">
        <f t="shared" si="189"/>
        <v>0.73912956521739126</v>
      </c>
      <c r="AI179" s="23">
        <f t="shared" si="190"/>
        <v>0.73912956521739148</v>
      </c>
      <c r="AJ179" s="24">
        <f t="shared" si="197"/>
        <v>9.8990207798564614E-2</v>
      </c>
      <c r="AK179" s="24">
        <f t="shared" si="198"/>
        <v>9.8990207798564628E-2</v>
      </c>
      <c r="AL179" s="25">
        <f t="shared" si="199"/>
        <v>0.80180090090090084</v>
      </c>
      <c r="AM179" s="25">
        <f t="shared" si="200"/>
        <v>0.80180090090090106</v>
      </c>
      <c r="AN179" s="26">
        <f t="shared" si="201"/>
        <v>0.26831733428710963</v>
      </c>
      <c r="AO179" s="78">
        <f t="shared" si="202"/>
        <v>0.26831733428710974</v>
      </c>
    </row>
    <row r="180" spans="1:41">
      <c r="A180" s="207" t="s">
        <v>95</v>
      </c>
      <c r="B180" s="328">
        <v>641171488.98000002</v>
      </c>
      <c r="C180" s="332">
        <v>80</v>
      </c>
      <c r="D180" s="328">
        <v>641981664.67999995</v>
      </c>
      <c r="E180" s="332">
        <v>80</v>
      </c>
      <c r="F180" s="23">
        <f t="shared" si="175"/>
        <v>1.2635865972281249E-3</v>
      </c>
      <c r="G180" s="23">
        <f t="shared" si="176"/>
        <v>0</v>
      </c>
      <c r="H180" s="328">
        <v>646833903.70000005</v>
      </c>
      <c r="I180" s="332">
        <v>80</v>
      </c>
      <c r="J180" s="23">
        <f t="shared" si="177"/>
        <v>7.5582205644747361E-3</v>
      </c>
      <c r="K180" s="23">
        <f t="shared" si="178"/>
        <v>0</v>
      </c>
      <c r="L180" s="328">
        <v>638580769.52999997</v>
      </c>
      <c r="M180" s="332">
        <v>73</v>
      </c>
      <c r="N180" s="23">
        <f t="shared" si="179"/>
        <v>-1.2759278885647063E-2</v>
      </c>
      <c r="O180" s="23">
        <f t="shared" si="180"/>
        <v>-8.7499999999999994E-2</v>
      </c>
      <c r="P180" s="328">
        <v>628465614.61000001</v>
      </c>
      <c r="Q180" s="332">
        <v>73</v>
      </c>
      <c r="R180" s="23">
        <f t="shared" si="181"/>
        <v>-1.584005564001682E-2</v>
      </c>
      <c r="S180" s="23">
        <f t="shared" si="182"/>
        <v>0</v>
      </c>
      <c r="T180" s="328">
        <v>626110565.75</v>
      </c>
      <c r="U180" s="332">
        <v>73</v>
      </c>
      <c r="V180" s="23">
        <f t="shared" si="183"/>
        <v>-3.7472994627740469E-3</v>
      </c>
      <c r="W180" s="23">
        <f t="shared" si="184"/>
        <v>0</v>
      </c>
      <c r="X180" s="328">
        <v>631488101.87</v>
      </c>
      <c r="Y180" s="332">
        <v>73</v>
      </c>
      <c r="Z180" s="23">
        <f t="shared" si="185"/>
        <v>8.5887963151658493E-3</v>
      </c>
      <c r="AA180" s="23">
        <f t="shared" si="186"/>
        <v>0</v>
      </c>
      <c r="AB180" s="328">
        <v>643963752.39999998</v>
      </c>
      <c r="AC180" s="332">
        <v>73</v>
      </c>
      <c r="AD180" s="23">
        <f t="shared" si="187"/>
        <v>1.9755955010167785E-2</v>
      </c>
      <c r="AE180" s="23">
        <f t="shared" si="188"/>
        <v>0</v>
      </c>
      <c r="AF180" s="328">
        <v>645296184.25</v>
      </c>
      <c r="AG180" s="332">
        <v>73</v>
      </c>
      <c r="AH180" s="23">
        <f t="shared" si="189"/>
        <v>2.0691100159506803E-3</v>
      </c>
      <c r="AI180" s="23">
        <f t="shared" si="190"/>
        <v>0</v>
      </c>
      <c r="AJ180" s="24">
        <f t="shared" si="197"/>
        <v>8.611293143186555E-4</v>
      </c>
      <c r="AK180" s="24">
        <f t="shared" si="198"/>
        <v>-1.0937499999999999E-2</v>
      </c>
      <c r="AL180" s="25">
        <f t="shared" si="199"/>
        <v>5.1629505207943854E-3</v>
      </c>
      <c r="AM180" s="25">
        <f t="shared" si="200"/>
        <v>-8.7499999999999994E-2</v>
      </c>
      <c r="AN180" s="26">
        <f t="shared" si="201"/>
        <v>1.1642816362839693E-2</v>
      </c>
      <c r="AO180" s="78">
        <f t="shared" si="202"/>
        <v>3.0935921676911452E-2</v>
      </c>
    </row>
    <row r="181" spans="1:41">
      <c r="A181" s="207" t="s">
        <v>40</v>
      </c>
      <c r="B181" s="328">
        <v>482078162.77999997</v>
      </c>
      <c r="C181" s="332">
        <v>265</v>
      </c>
      <c r="D181" s="328">
        <v>481090507.00999999</v>
      </c>
      <c r="E181" s="332">
        <v>265</v>
      </c>
      <c r="F181" s="23">
        <f t="shared" si="175"/>
        <v>-2.0487461292676415E-3</v>
      </c>
      <c r="G181" s="23">
        <f t="shared" si="176"/>
        <v>0</v>
      </c>
      <c r="H181" s="328">
        <v>478502096.05000001</v>
      </c>
      <c r="I181" s="332">
        <v>289.12</v>
      </c>
      <c r="J181" s="23">
        <f t="shared" si="177"/>
        <v>-5.3802993870884584E-3</v>
      </c>
      <c r="K181" s="23">
        <f t="shared" si="178"/>
        <v>9.1018867924528318E-2</v>
      </c>
      <c r="L181" s="328">
        <v>474765369.13</v>
      </c>
      <c r="M181" s="332">
        <v>286.11</v>
      </c>
      <c r="N181" s="23">
        <f t="shared" si="179"/>
        <v>-7.8092174534791503E-3</v>
      </c>
      <c r="O181" s="23">
        <f t="shared" si="180"/>
        <v>-1.0410902047592664E-2</v>
      </c>
      <c r="P181" s="328">
        <v>468384420.36000001</v>
      </c>
      <c r="Q181" s="332">
        <v>285</v>
      </c>
      <c r="R181" s="23">
        <f t="shared" si="181"/>
        <v>-1.3440215282957493E-2</v>
      </c>
      <c r="S181" s="23">
        <f t="shared" si="182"/>
        <v>-3.8796267169970066E-3</v>
      </c>
      <c r="T181" s="328">
        <v>466421971.91000003</v>
      </c>
      <c r="U181" s="332">
        <v>254</v>
      </c>
      <c r="V181" s="23">
        <f t="shared" si="183"/>
        <v>-4.1898243508860762E-3</v>
      </c>
      <c r="W181" s="23">
        <f t="shared" si="184"/>
        <v>-0.10877192982456141</v>
      </c>
      <c r="X181" s="328">
        <v>477351382.81</v>
      </c>
      <c r="Y181" s="332">
        <v>228.6</v>
      </c>
      <c r="Z181" s="23">
        <f t="shared" si="185"/>
        <v>2.3432452925071241E-2</v>
      </c>
      <c r="AA181" s="23">
        <f t="shared" si="186"/>
        <v>-0.10000000000000002</v>
      </c>
      <c r="AB181" s="328">
        <v>476720425.44</v>
      </c>
      <c r="AC181" s="332">
        <v>248.95</v>
      </c>
      <c r="AD181" s="23">
        <f t="shared" si="187"/>
        <v>-1.3217880846720926E-3</v>
      </c>
      <c r="AE181" s="23">
        <f t="shared" si="188"/>
        <v>8.9020122484689393E-2</v>
      </c>
      <c r="AF181" s="328">
        <v>476224471</v>
      </c>
      <c r="AG181" s="332">
        <v>240</v>
      </c>
      <c r="AH181" s="23">
        <f t="shared" si="189"/>
        <v>-1.0403465291889795E-3</v>
      </c>
      <c r="AI181" s="23">
        <f t="shared" si="190"/>
        <v>-3.595099417553721E-2</v>
      </c>
      <c r="AJ181" s="24">
        <f t="shared" si="197"/>
        <v>-1.4747480365585812E-3</v>
      </c>
      <c r="AK181" s="24">
        <f t="shared" si="198"/>
        <v>-9.8718077944338258E-3</v>
      </c>
      <c r="AL181" s="25">
        <f t="shared" si="199"/>
        <v>-1.0114595775839836E-2</v>
      </c>
      <c r="AM181" s="25">
        <f t="shared" si="200"/>
        <v>-9.4339622641509441E-2</v>
      </c>
      <c r="AN181" s="26">
        <f t="shared" si="201"/>
        <v>1.0868257285276291E-2</v>
      </c>
      <c r="AO181" s="78">
        <f t="shared" si="202"/>
        <v>7.4331920558385098E-2</v>
      </c>
    </row>
    <row r="182" spans="1:41">
      <c r="A182" s="207" t="s">
        <v>50</v>
      </c>
      <c r="B182" s="328">
        <v>180795760.63999999</v>
      </c>
      <c r="C182" s="332">
        <v>7.08</v>
      </c>
      <c r="D182" s="328">
        <v>178998075.52000001</v>
      </c>
      <c r="E182" s="332">
        <v>7.01</v>
      </c>
      <c r="F182" s="23">
        <f t="shared" si="175"/>
        <v>-9.943181818181681E-3</v>
      </c>
      <c r="G182" s="23">
        <f t="shared" si="176"/>
        <v>-9.8870056497175549E-3</v>
      </c>
      <c r="H182" s="328">
        <v>178998075.52000001</v>
      </c>
      <c r="I182" s="332">
        <v>7.08</v>
      </c>
      <c r="J182" s="23">
        <f t="shared" si="177"/>
        <v>0</v>
      </c>
      <c r="K182" s="23">
        <f t="shared" si="178"/>
        <v>9.985734664764663E-3</v>
      </c>
      <c r="L182" s="328">
        <v>154984118.11000001</v>
      </c>
      <c r="M182" s="332">
        <v>7.03</v>
      </c>
      <c r="N182" s="23">
        <f t="shared" si="179"/>
        <v>-0.13415762901493788</v>
      </c>
      <c r="O182" s="23">
        <f t="shared" si="180"/>
        <v>-7.0621468926553421E-3</v>
      </c>
      <c r="P182" s="328">
        <v>154928813.90000001</v>
      </c>
      <c r="Q182" s="332">
        <v>7.04</v>
      </c>
      <c r="R182" s="23">
        <f t="shared" si="181"/>
        <v>-3.5683791781010855E-4</v>
      </c>
      <c r="S182" s="23">
        <f t="shared" si="182"/>
        <v>1.4224751066856027E-3</v>
      </c>
      <c r="T182" s="328">
        <v>155001741.49000001</v>
      </c>
      <c r="U182" s="332">
        <v>7.05</v>
      </c>
      <c r="V182" s="23">
        <f t="shared" si="183"/>
        <v>4.7071676445593425E-4</v>
      </c>
      <c r="W182" s="23">
        <f t="shared" si="184"/>
        <v>1.4204545454545151E-3</v>
      </c>
      <c r="X182" s="328">
        <v>164375317.97</v>
      </c>
      <c r="Y182" s="332">
        <v>7.41</v>
      </c>
      <c r="Z182" s="23">
        <f t="shared" si="185"/>
        <v>6.047400751690734E-2</v>
      </c>
      <c r="AA182" s="23">
        <f t="shared" si="186"/>
        <v>5.1063829787234088E-2</v>
      </c>
      <c r="AB182" s="328">
        <v>164394642.63</v>
      </c>
      <c r="AC182" s="332">
        <v>7.41</v>
      </c>
      <c r="AD182" s="23">
        <f t="shared" si="187"/>
        <v>1.175642440644486E-4</v>
      </c>
      <c r="AE182" s="23">
        <f t="shared" si="188"/>
        <v>0</v>
      </c>
      <c r="AF182" s="328">
        <v>165091749.72999999</v>
      </c>
      <c r="AG182" s="332">
        <v>7.48</v>
      </c>
      <c r="AH182" s="23">
        <f t="shared" si="189"/>
        <v>4.2404490124958649E-3</v>
      </c>
      <c r="AI182" s="23">
        <f t="shared" si="190"/>
        <v>9.4466936572200118E-3</v>
      </c>
      <c r="AJ182" s="24">
        <f t="shared" si="197"/>
        <v>-9.8943639016257617E-3</v>
      </c>
      <c r="AK182" s="24">
        <f t="shared" si="198"/>
        <v>7.0487544023732484E-3</v>
      </c>
      <c r="AL182" s="25">
        <f t="shared" si="199"/>
        <v>-7.7689806159095959E-2</v>
      </c>
      <c r="AM182" s="25">
        <f t="shared" si="200"/>
        <v>6.7047075606276846E-2</v>
      </c>
      <c r="AN182" s="26">
        <f t="shared" si="201"/>
        <v>5.4758428592373821E-2</v>
      </c>
      <c r="AO182" s="78">
        <f t="shared" si="202"/>
        <v>1.9088732829993422E-2</v>
      </c>
    </row>
    <row r="183" spans="1:41">
      <c r="A183" s="207" t="s">
        <v>60</v>
      </c>
      <c r="B183" s="75">
        <v>369786197.62</v>
      </c>
      <c r="C183" s="332">
        <v>4.38</v>
      </c>
      <c r="D183" s="75">
        <v>369786197.62</v>
      </c>
      <c r="E183" s="332">
        <v>4.42</v>
      </c>
      <c r="F183" s="23">
        <f t="shared" si="175"/>
        <v>0</v>
      </c>
      <c r="G183" s="23">
        <f t="shared" si="176"/>
        <v>9.1324200913242091E-3</v>
      </c>
      <c r="H183" s="75">
        <v>369786197.62</v>
      </c>
      <c r="I183" s="332">
        <v>4.58</v>
      </c>
      <c r="J183" s="23">
        <f t="shared" si="177"/>
        <v>0</v>
      </c>
      <c r="K183" s="23">
        <f t="shared" si="178"/>
        <v>3.6199095022624465E-2</v>
      </c>
      <c r="L183" s="75">
        <v>349202483.66000003</v>
      </c>
      <c r="M183" s="332">
        <v>4.53</v>
      </c>
      <c r="N183" s="23">
        <f t="shared" si="179"/>
        <v>-5.5663824373326752E-2</v>
      </c>
      <c r="O183" s="23">
        <f t="shared" si="180"/>
        <v>-1.0917030567685551E-2</v>
      </c>
      <c r="P183" s="75">
        <v>343445367.83999997</v>
      </c>
      <c r="Q183" s="332">
        <v>4.47</v>
      </c>
      <c r="R183" s="23">
        <f t="shared" si="181"/>
        <v>-1.6486468709098447E-2</v>
      </c>
      <c r="S183" s="23">
        <f t="shared" si="182"/>
        <v>-1.3245033112582891E-2</v>
      </c>
      <c r="T183" s="75">
        <v>354042680.63</v>
      </c>
      <c r="U183" s="332">
        <v>4.3600000000000003</v>
      </c>
      <c r="V183" s="23">
        <f t="shared" si="183"/>
        <v>3.0855890870355149E-2</v>
      </c>
      <c r="W183" s="23">
        <f t="shared" si="184"/>
        <v>-2.4608501118568108E-2</v>
      </c>
      <c r="X183" s="75">
        <v>360064239.17000002</v>
      </c>
      <c r="Y183" s="332">
        <v>4.43</v>
      </c>
      <c r="Z183" s="23">
        <f t="shared" si="185"/>
        <v>1.7008001773359586E-2</v>
      </c>
      <c r="AA183" s="23">
        <f t="shared" si="186"/>
        <v>1.6055045871559492E-2</v>
      </c>
      <c r="AB183" s="75">
        <v>379381189.43000001</v>
      </c>
      <c r="AC183" s="332">
        <v>4.66</v>
      </c>
      <c r="AD183" s="23">
        <f t="shared" si="187"/>
        <v>5.3648621991809975E-2</v>
      </c>
      <c r="AE183" s="23">
        <f t="shared" si="188"/>
        <v>5.1918735891647957E-2</v>
      </c>
      <c r="AF183" s="75">
        <v>375890551.91000003</v>
      </c>
      <c r="AG183" s="332">
        <v>4.6100000000000003</v>
      </c>
      <c r="AH183" s="23">
        <f t="shared" si="189"/>
        <v>-9.2008713590794461E-3</v>
      </c>
      <c r="AI183" s="23">
        <f t="shared" si="190"/>
        <v>-1.0729613733905541E-2</v>
      </c>
      <c r="AJ183" s="24">
        <f t="shared" si="197"/>
        <v>2.5201687742525082E-3</v>
      </c>
      <c r="AK183" s="24">
        <f t="shared" si="198"/>
        <v>6.7256397930517539E-3</v>
      </c>
      <c r="AL183" s="25">
        <f t="shared" si="199"/>
        <v>1.6507793771883782E-2</v>
      </c>
      <c r="AM183" s="25">
        <f t="shared" si="200"/>
        <v>4.2986425339366606E-2</v>
      </c>
      <c r="AN183" s="26">
        <f t="shared" si="201"/>
        <v>3.2784237916298441E-2</v>
      </c>
      <c r="AO183" s="78">
        <f t="shared" si="202"/>
        <v>2.6727558713404841E-2</v>
      </c>
    </row>
    <row r="184" spans="1:41">
      <c r="A184" s="207" t="s">
        <v>93</v>
      </c>
      <c r="B184" s="328">
        <v>568291553.37</v>
      </c>
      <c r="C184" s="332">
        <v>143.69999999999999</v>
      </c>
      <c r="D184" s="328">
        <v>563011014.87</v>
      </c>
      <c r="E184" s="332">
        <v>145.47</v>
      </c>
      <c r="F184" s="23">
        <f t="shared" si="175"/>
        <v>-9.2919531685560306E-3</v>
      </c>
      <c r="G184" s="23">
        <f t="shared" si="176"/>
        <v>1.2317327766179612E-2</v>
      </c>
      <c r="H184" s="328">
        <v>559490655.87</v>
      </c>
      <c r="I184" s="332">
        <v>144.26</v>
      </c>
      <c r="J184" s="23">
        <f t="shared" si="177"/>
        <v>-6.2527355718126681E-3</v>
      </c>
      <c r="K184" s="23">
        <f t="shared" si="178"/>
        <v>-8.3178662267134659E-3</v>
      </c>
      <c r="L184" s="328">
        <v>502329033.66000003</v>
      </c>
      <c r="M184" s="332">
        <v>143.69</v>
      </c>
      <c r="N184" s="23">
        <f t="shared" si="179"/>
        <v>-0.1021672508920001</v>
      </c>
      <c r="O184" s="23">
        <f t="shared" si="180"/>
        <v>-3.9511992236239656E-3</v>
      </c>
      <c r="P184" s="328">
        <v>502786320.23000002</v>
      </c>
      <c r="Q184" s="332">
        <v>143.82</v>
      </c>
      <c r="R184" s="23">
        <f t="shared" si="181"/>
        <v>9.1033274877260221E-4</v>
      </c>
      <c r="S184" s="23">
        <f t="shared" si="182"/>
        <v>9.04725450622837E-4</v>
      </c>
      <c r="T184" s="328">
        <v>503980955.83999997</v>
      </c>
      <c r="U184" s="332">
        <v>144.16</v>
      </c>
      <c r="V184" s="23">
        <f t="shared" si="183"/>
        <v>2.3760304565435823E-3</v>
      </c>
      <c r="W184" s="23">
        <f t="shared" si="184"/>
        <v>2.3640661938534517E-3</v>
      </c>
      <c r="X184" s="328">
        <v>507164044.56</v>
      </c>
      <c r="Y184" s="332">
        <v>145.07</v>
      </c>
      <c r="Z184" s="23">
        <f t="shared" si="185"/>
        <v>6.315890874675374E-3</v>
      </c>
      <c r="AA184" s="23">
        <f t="shared" si="186"/>
        <v>6.3124306326303873E-3</v>
      </c>
      <c r="AB184" s="328">
        <v>507266573.44999999</v>
      </c>
      <c r="AC184" s="332">
        <v>145.1</v>
      </c>
      <c r="AD184" s="23">
        <f t="shared" si="187"/>
        <v>2.0216119636189237E-4</v>
      </c>
      <c r="AE184" s="23">
        <f t="shared" si="188"/>
        <v>2.0679671882540247E-4</v>
      </c>
      <c r="AF184" s="328">
        <v>504608337.55000001</v>
      </c>
      <c r="AG184" s="332">
        <v>144.34</v>
      </c>
      <c r="AH184" s="23">
        <f t="shared" si="189"/>
        <v>-5.2403135533273847E-3</v>
      </c>
      <c r="AI184" s="23">
        <f t="shared" si="190"/>
        <v>-5.2377670572018673E-3</v>
      </c>
      <c r="AJ184" s="24">
        <f t="shared" si="197"/>
        <v>-1.4143479738667841E-2</v>
      </c>
      <c r="AK184" s="24">
        <f t="shared" si="198"/>
        <v>5.7481428182154905E-4</v>
      </c>
      <c r="AL184" s="25">
        <f t="shared" si="199"/>
        <v>-0.10373274372524532</v>
      </c>
      <c r="AM184" s="25">
        <f t="shared" si="200"/>
        <v>-7.7679246580050557E-3</v>
      </c>
      <c r="AN184" s="26">
        <f t="shared" si="201"/>
        <v>3.5930779795468042E-2</v>
      </c>
      <c r="AO184" s="78">
        <f t="shared" si="202"/>
        <v>6.6289756990611211E-3</v>
      </c>
    </row>
    <row r="185" spans="1:41">
      <c r="A185" s="207" t="s">
        <v>30</v>
      </c>
      <c r="B185" s="328">
        <v>2980278000</v>
      </c>
      <c r="C185" s="332">
        <v>20.059999999999999</v>
      </c>
      <c r="D185" s="328">
        <v>2896733000</v>
      </c>
      <c r="E185" s="332">
        <v>20.02</v>
      </c>
      <c r="F185" s="23">
        <f t="shared" si="175"/>
        <v>-2.8032619775739041E-2</v>
      </c>
      <c r="G185" s="23">
        <f t="shared" si="176"/>
        <v>-1.9940179461614732E-3</v>
      </c>
      <c r="H185" s="328">
        <v>2831416000</v>
      </c>
      <c r="I185" s="332">
        <v>20.02</v>
      </c>
      <c r="J185" s="23">
        <f t="shared" si="177"/>
        <v>-2.2548505506030415E-2</v>
      </c>
      <c r="K185" s="23">
        <f t="shared" si="178"/>
        <v>0</v>
      </c>
      <c r="L185" s="328">
        <v>2851630995.5500002</v>
      </c>
      <c r="M185" s="332">
        <v>19.350000000000001</v>
      </c>
      <c r="N185" s="23">
        <f t="shared" si="179"/>
        <v>7.1395356775550431E-3</v>
      </c>
      <c r="O185" s="23">
        <f t="shared" si="180"/>
        <v>-3.3466533466533374E-2</v>
      </c>
      <c r="P185" s="328">
        <v>2806952224.9899998</v>
      </c>
      <c r="Q185" s="332">
        <v>19.04</v>
      </c>
      <c r="R185" s="23">
        <f t="shared" si="181"/>
        <v>-1.5667795247604654E-2</v>
      </c>
      <c r="S185" s="23">
        <f t="shared" si="182"/>
        <v>-1.6020671834625438E-2</v>
      </c>
      <c r="T185" s="328">
        <v>2803322645.0599999</v>
      </c>
      <c r="U185" s="332">
        <v>18.93</v>
      </c>
      <c r="V185" s="23">
        <f t="shared" si="183"/>
        <v>-1.2930679395559571E-3</v>
      </c>
      <c r="W185" s="23">
        <f t="shared" si="184"/>
        <v>-5.7773109243697187E-3</v>
      </c>
      <c r="X185" s="328">
        <v>2867818359.6500001</v>
      </c>
      <c r="Y185" s="332">
        <v>19.350000000000001</v>
      </c>
      <c r="Z185" s="23">
        <f t="shared" si="185"/>
        <v>2.3006882459161149E-2</v>
      </c>
      <c r="AA185" s="23">
        <f t="shared" si="186"/>
        <v>2.2187004754358253E-2</v>
      </c>
      <c r="AB185" s="328">
        <v>2866807508.1999998</v>
      </c>
      <c r="AC185" s="332">
        <v>19.29</v>
      </c>
      <c r="AD185" s="23">
        <f t="shared" si="187"/>
        <v>-3.5248098841366451E-4</v>
      </c>
      <c r="AE185" s="23">
        <f t="shared" si="188"/>
        <v>-3.1007751937985671E-3</v>
      </c>
      <c r="AF185" s="328">
        <v>2867092206.77</v>
      </c>
      <c r="AG185" s="332">
        <v>19.27</v>
      </c>
      <c r="AH185" s="23">
        <f t="shared" si="189"/>
        <v>9.9308575544692612E-5</v>
      </c>
      <c r="AI185" s="23">
        <f t="shared" si="190"/>
        <v>-1.0368066355624455E-3</v>
      </c>
      <c r="AJ185" s="24">
        <f t="shared" si="197"/>
        <v>-4.7060928431353569E-3</v>
      </c>
      <c r="AK185" s="24">
        <f t="shared" si="198"/>
        <v>-4.901138905836596E-3</v>
      </c>
      <c r="AL185" s="25">
        <f t="shared" si="199"/>
        <v>-1.023249061270059E-2</v>
      </c>
      <c r="AM185" s="25">
        <f t="shared" si="200"/>
        <v>-3.7462537462537464E-2</v>
      </c>
      <c r="AN185" s="26">
        <f t="shared" si="201"/>
        <v>1.6667590198171333E-2</v>
      </c>
      <c r="AO185" s="78">
        <f t="shared" si="202"/>
        <v>1.5697169315167771E-2</v>
      </c>
    </row>
    <row r="186" spans="1:41">
      <c r="A186" s="207" t="s">
        <v>51</v>
      </c>
      <c r="B186" s="75">
        <v>268636866.95999998</v>
      </c>
      <c r="C186" s="332">
        <v>25.62</v>
      </c>
      <c r="D186" s="75">
        <v>267373684.19999999</v>
      </c>
      <c r="E186" s="332">
        <v>25.49</v>
      </c>
      <c r="F186" s="23">
        <f t="shared" si="175"/>
        <v>-4.7021943573667358E-3</v>
      </c>
      <c r="G186" s="23">
        <f t="shared" si="176"/>
        <v>-5.0741608118658292E-3</v>
      </c>
      <c r="H186" s="75">
        <v>267373684.19999999</v>
      </c>
      <c r="I186" s="332">
        <v>25.59</v>
      </c>
      <c r="J186" s="23">
        <f t="shared" si="177"/>
        <v>0</v>
      </c>
      <c r="K186" s="23">
        <f t="shared" si="178"/>
        <v>3.9231071008239086E-3</v>
      </c>
      <c r="L186" s="75">
        <v>259443510.68000001</v>
      </c>
      <c r="M186" s="332">
        <v>24.65</v>
      </c>
      <c r="N186" s="23">
        <f t="shared" si="179"/>
        <v>-2.9659513963491181E-2</v>
      </c>
      <c r="O186" s="23">
        <f t="shared" si="180"/>
        <v>-3.6733098866744869E-2</v>
      </c>
      <c r="P186" s="75">
        <v>258249284.53</v>
      </c>
      <c r="Q186" s="332">
        <v>24.56</v>
      </c>
      <c r="R186" s="23">
        <f t="shared" si="181"/>
        <v>-4.6030295645859316E-3</v>
      </c>
      <c r="S186" s="23">
        <f t="shared" si="182"/>
        <v>-3.6511156186612519E-3</v>
      </c>
      <c r="T186" s="75">
        <v>257695353.47</v>
      </c>
      <c r="U186" s="332">
        <v>24.51</v>
      </c>
      <c r="V186" s="23">
        <f t="shared" si="183"/>
        <v>-2.1449471235055985E-3</v>
      </c>
      <c r="W186" s="23">
        <f t="shared" si="184"/>
        <v>-2.0358306188923924E-3</v>
      </c>
      <c r="X186" s="75">
        <v>259160288.34</v>
      </c>
      <c r="Y186" s="332">
        <v>24.57</v>
      </c>
      <c r="Z186" s="23">
        <f t="shared" si="185"/>
        <v>5.6847546929888566E-3</v>
      </c>
      <c r="AA186" s="23">
        <f t="shared" si="186"/>
        <v>2.4479804161566185E-3</v>
      </c>
      <c r="AB186" s="75">
        <v>259243253.44999999</v>
      </c>
      <c r="AC186" s="332">
        <v>24.59</v>
      </c>
      <c r="AD186" s="23">
        <f t="shared" si="187"/>
        <v>3.2013048963404507E-4</v>
      </c>
      <c r="AE186" s="23">
        <f t="shared" si="188"/>
        <v>8.1400081400079662E-4</v>
      </c>
      <c r="AF186" s="75">
        <v>249912967.24000001</v>
      </c>
      <c r="AG186" s="332">
        <v>23.77</v>
      </c>
      <c r="AH186" s="23">
        <f t="shared" si="189"/>
        <v>-3.5990468742514457E-2</v>
      </c>
      <c r="AI186" s="23">
        <f t="shared" si="190"/>
        <v>-3.3346888979259873E-2</v>
      </c>
      <c r="AJ186" s="24">
        <f t="shared" si="197"/>
        <v>-8.8869085711051239E-3</v>
      </c>
      <c r="AK186" s="24">
        <f t="shared" si="198"/>
        <v>-9.2070008205553597E-3</v>
      </c>
      <c r="AL186" s="25">
        <f t="shared" si="199"/>
        <v>-6.5304545629625496E-2</v>
      </c>
      <c r="AM186" s="25">
        <f t="shared" si="200"/>
        <v>-6.7477442134170229E-2</v>
      </c>
      <c r="AN186" s="26">
        <f t="shared" si="201"/>
        <v>1.5229209189704105E-2</v>
      </c>
      <c r="AO186" s="78">
        <f t="shared" si="202"/>
        <v>1.6250068036575908E-2</v>
      </c>
    </row>
    <row r="187" spans="1:41" ht="15.75" thickBot="1">
      <c r="A187" s="208" t="s">
        <v>33</v>
      </c>
      <c r="B187" s="77">
        <f>SUM(B175:B186)</f>
        <v>7615600748.6800003</v>
      </c>
      <c r="C187" s="311"/>
      <c r="D187" s="77">
        <f>SUM(D175:D186)</f>
        <v>7518365561.5</v>
      </c>
      <c r="E187" s="311"/>
      <c r="F187" s="23">
        <f>((D187-B187)/B187)</f>
        <v>-1.2767894535024558E-2</v>
      </c>
      <c r="G187" s="214"/>
      <c r="H187" s="77">
        <f>SUM(H175:H186)</f>
        <v>7453517752.9404144</v>
      </c>
      <c r="I187" s="311"/>
      <c r="J187" s="23">
        <f>((H187-D187)/D187)</f>
        <v>-8.6252534582327081E-3</v>
      </c>
      <c r="K187" s="214"/>
      <c r="L187" s="77">
        <f>SUM(L175:L186)</f>
        <v>7407165496.3106413</v>
      </c>
      <c r="M187" s="311"/>
      <c r="N187" s="23">
        <f>((L187-H187)/H187)</f>
        <v>-6.2188429901420929E-3</v>
      </c>
      <c r="O187" s="214"/>
      <c r="P187" s="77">
        <f>SUM(P175:P186)</f>
        <v>7288227210.7975979</v>
      </c>
      <c r="Q187" s="311"/>
      <c r="R187" s="23">
        <f>((P187-L187)/L187)</f>
        <v>-1.60571929400368E-2</v>
      </c>
      <c r="S187" s="214"/>
      <c r="T187" s="77">
        <f>SUM(T175:T186)</f>
        <v>7234240927.5619497</v>
      </c>
      <c r="U187" s="311"/>
      <c r="V187" s="23">
        <f>((T187-P187)/P187)</f>
        <v>-7.407327142006058E-3</v>
      </c>
      <c r="W187" s="214"/>
      <c r="X187" s="77">
        <f>SUM(X175:X186)</f>
        <v>7427652708.1927681</v>
      </c>
      <c r="Y187" s="311"/>
      <c r="Z187" s="23">
        <f>((X187-T187)/T187)</f>
        <v>2.6735601228586828E-2</v>
      </c>
      <c r="AA187" s="214"/>
      <c r="AB187" s="77">
        <f>SUM(AB175:AB186)</f>
        <v>7434093500.5296631</v>
      </c>
      <c r="AC187" s="311"/>
      <c r="AD187" s="23">
        <f>((AB187-X187)/X187)</f>
        <v>8.671369798685844E-4</v>
      </c>
      <c r="AE187" s="214"/>
      <c r="AF187" s="77">
        <f>SUM(AF175:AF186)</f>
        <v>7900432480.0985355</v>
      </c>
      <c r="AG187" s="311"/>
      <c r="AH187" s="23">
        <f>((AF187-AB187)/AB187)</f>
        <v>6.2729770554492872E-2</v>
      </c>
      <c r="AI187" s="214"/>
      <c r="AJ187" s="24">
        <f t="shared" si="197"/>
        <v>4.9069997121882585E-3</v>
      </c>
      <c r="AK187" s="24"/>
      <c r="AL187" s="25">
        <f t="shared" si="199"/>
        <v>5.081781611618108E-2</v>
      </c>
      <c r="AM187" s="25"/>
      <c r="AN187" s="26">
        <f t="shared" si="201"/>
        <v>2.6850723110045809E-2</v>
      </c>
      <c r="AO187" s="78"/>
    </row>
    <row r="188" spans="1:41" ht="15.75" thickBot="1">
      <c r="A188" s="63" t="s">
        <v>43</v>
      </c>
      <c r="B188" s="227">
        <f>SUM(B167,B172,B187)</f>
        <v>1688865902848.1707</v>
      </c>
      <c r="C188" s="312"/>
      <c r="D188" s="227">
        <f>SUM(D167,D172,D187)</f>
        <v>1675766314367.9641</v>
      </c>
      <c r="E188" s="312"/>
      <c r="F188" s="214">
        <f>((D188-B188)/B188)</f>
        <v>-7.7564408507003876E-3</v>
      </c>
      <c r="G188" s="310"/>
      <c r="H188" s="227">
        <f>SUM(H167,H172,H187)</f>
        <v>1671153528781.3923</v>
      </c>
      <c r="I188" s="312"/>
      <c r="J188" s="214">
        <f>((H188-D188)/D188)</f>
        <v>-2.752642505713302E-3</v>
      </c>
      <c r="K188" s="310"/>
      <c r="L188" s="227">
        <f>SUM(L167,L172,L187)</f>
        <v>1686140811863.7493</v>
      </c>
      <c r="M188" s="312"/>
      <c r="N188" s="214">
        <f>((L188-H188)/H188)</f>
        <v>8.9682263324337916E-3</v>
      </c>
      <c r="O188" s="310"/>
      <c r="P188" s="227">
        <f>SUM(P167,P172,P187)</f>
        <v>1690494681920.949</v>
      </c>
      <c r="Q188" s="312"/>
      <c r="R188" s="214">
        <f>((P188-L188)/L188)</f>
        <v>2.5821509250981388E-3</v>
      </c>
      <c r="S188" s="310"/>
      <c r="T188" s="227">
        <f>SUM(T167,T172,T187)</f>
        <v>1689087835382.427</v>
      </c>
      <c r="U188" s="312"/>
      <c r="V188" s="214">
        <f>((T188-P188)/P188)</f>
        <v>-8.3220997591269537E-4</v>
      </c>
      <c r="W188" s="310"/>
      <c r="X188" s="227">
        <f>SUM(X167,X172,X187)</f>
        <v>1675117351047.1646</v>
      </c>
      <c r="Y188" s="312"/>
      <c r="Z188" s="214">
        <f>((X188-T188)/T188)</f>
        <v>-8.2710229998781502E-3</v>
      </c>
      <c r="AA188" s="310"/>
      <c r="AB188" s="227">
        <f>SUM(AB167,AB172,AB187)</f>
        <v>1739618684560.0811</v>
      </c>
      <c r="AC188" s="312"/>
      <c r="AD188" s="214">
        <f>((AB188-X188)/X188)</f>
        <v>3.8505561101492287E-2</v>
      </c>
      <c r="AE188" s="310"/>
      <c r="AF188" s="227">
        <f>SUM(AF167,AF172,AF187)</f>
        <v>1744855165182.175</v>
      </c>
      <c r="AG188" s="312"/>
      <c r="AH188" s="214">
        <f>((AF188-AB188)/AB188)</f>
        <v>3.0101312825449493E-3</v>
      </c>
      <c r="AI188" s="310"/>
      <c r="AJ188" s="24">
        <f t="shared" si="197"/>
        <v>4.1817191636705792E-3</v>
      </c>
      <c r="AK188" s="24"/>
      <c r="AL188" s="25">
        <f t="shared" si="199"/>
        <v>4.1228213159463498E-2</v>
      </c>
      <c r="AM188" s="25"/>
      <c r="AN188" s="26">
        <f t="shared" si="201"/>
        <v>1.5003729641379995E-2</v>
      </c>
      <c r="AO188" s="78"/>
    </row>
    <row r="189" spans="1:41">
      <c r="H189" s="312"/>
      <c r="I189" s="312"/>
    </row>
  </sheetData>
  <protectedRanges>
    <protectedRange password="CADF" sqref="B18" name="Fund Name_1_1_1_3_1_1_8"/>
    <protectedRange password="CADF" sqref="C18" name="Fund Name_1_1_1_1_1_1_7"/>
    <protectedRange password="CADF" sqref="B46" name="Yield_2_1_2_3_1_9"/>
    <protectedRange password="CADF" sqref="B51" name="Yield_2_1_2_4_1_9"/>
    <protectedRange password="CADF" sqref="B76" name="Yield_2_1_2_1_1_8"/>
    <protectedRange password="CADF" sqref="C76" name="Fund Name_2_2_1_1_8"/>
    <protectedRange password="CADF" sqref="C75" name="BidOffer Prices_2_1_1_1_1_1_1_1_1_1_8"/>
    <protectedRange password="CADF" sqref="B93:B94" name="Yield_2_1_2_6_3_7"/>
    <protectedRange password="CADF" sqref="B123 B143:B144" name="Fund Name_1_1_1_2_7"/>
    <protectedRange password="CADF" sqref="C123 C143:C144" name="Fund Name_1_1_1_1_2_8"/>
    <protectedRange password="CADF" sqref="D18" name="Fund Name_1_1_1_3_1_1_3"/>
    <protectedRange password="CADF" sqref="E18" name="Fund Name_1_1_1_1_1_1_3"/>
    <protectedRange password="CADF" sqref="D76" name="Yield_2_1_2_1_1_9"/>
    <protectedRange password="CADF" sqref="E76" name="Fund Name_2_2_1_1_9"/>
    <protectedRange password="CADF" sqref="E75" name="BidOffer Prices_2_1_1_1_1_1_1_1_1_1_9"/>
    <protectedRange password="CADF" sqref="D93:D94" name="Yield_2_1_2_6_3_8"/>
    <protectedRange password="CADF" sqref="D46" name="Yield_2_1_2_3_1_2"/>
    <protectedRange password="CADF" sqref="D51" name="Yield_2_1_2_4_1_2"/>
    <protectedRange password="CADF" sqref="D123 D143:D144" name="Fund Name_1_1_1_2_3"/>
    <protectedRange password="CADF" sqref="E123 E143:E144" name="Fund Name_1_1_1_1_2_3"/>
    <protectedRange password="CADF" sqref="H18" name="Fund Name_1_1_1_3_1_1_4"/>
    <protectedRange password="CADF" sqref="I18" name="Fund Name_1_1_1_1_1_1_4"/>
    <protectedRange password="CADF" sqref="H46" name="Yield_2_1_2_3_1_3"/>
    <protectedRange password="CADF" sqref="H51" name="Yield_2_1_2_4_1_3"/>
    <protectedRange password="CADF" sqref="H76" name="Yield_2_1_2_1_1_2"/>
    <protectedRange password="CADF" sqref="I76" name="Fund Name_2_2_1_1_3"/>
    <protectedRange password="CADF" sqref="I75" name="BidOffer Prices_2_1_1_1_1_1_1_1_1_1_3"/>
    <protectedRange password="CADF" sqref="H93:H94" name="Yield_2_1_2_6_3_9"/>
    <protectedRange password="CADF" sqref="H123 H143:H144" name="Fund Name_1_1_1_2_4"/>
    <protectedRange password="CADF" sqref="I123 I143:I144" name="Fund Name_1_1_1_1_2_4"/>
    <protectedRange password="CADF" sqref="L18" name="Fund Name_1_1_1_3_1_1"/>
    <protectedRange password="CADF" sqref="M18" name="Fund Name_1_1_1_1_1_1"/>
    <protectedRange password="CADF" sqref="L46" name="Yield_2_1_2_3_1_4"/>
    <protectedRange password="CADF" sqref="L51" name="Yield_2_1_2_4_1_4"/>
    <protectedRange password="CADF" sqref="L76" name="Yield_2_1_2_1_1_3"/>
    <protectedRange password="CADF" sqref="M76" name="Fund Name_2_2_1_1_4"/>
    <protectedRange password="CADF" sqref="M75" name="BidOffer Prices_2_1_1_1_1_1_1_1_1_1"/>
    <protectedRange password="CADF" sqref="L93:L94" name="Yield_2_1_2_6_3"/>
    <protectedRange password="CADF" sqref="L123 L143:L144" name="Fund Name_1_1_1_2"/>
    <protectedRange password="CADF" sqref="M123 M143:M144" name="Fund Name_1_1_1_1_2_5"/>
    <protectedRange password="CADF" sqref="P18" name="Fund Name_1_1_1_3_1_1_11"/>
    <protectedRange password="CADF" sqref="Q18" name="Fund Name_1_1_1_1_1_1_11"/>
    <protectedRange password="CADF" sqref="P46" name="Yield_2_1_2_3_1_10"/>
    <protectedRange password="CADF" sqref="P51" name="Yield_2_1_2_4_1_10"/>
    <protectedRange password="CADF" sqref="P76" name="Yield_2_1_2_1_1_10"/>
    <protectedRange password="CADF" sqref="Q76" name="Fund Name_2_2_1_1_5"/>
    <protectedRange password="CADF" sqref="Q75" name="BidOffer Prices_2_1_1_1_1_1_1_1_1_1_4"/>
    <protectedRange password="CADF" sqref="P93:P94" name="Yield_2_1_2_6_3_1"/>
    <protectedRange password="CADF" sqref="P142:P144" name="Fund Name_1_1_1_2_10"/>
    <protectedRange password="CADF" sqref="Q142:Q144" name="Fund Name_1_1_1_1_2_10"/>
    <protectedRange password="CADF" sqref="T18" name="Fund Name_1_1_1_3_1_1_5"/>
    <protectedRange password="CADF" sqref="U18" name="Fund Name_1_1_1_1_1_1_5"/>
    <protectedRange password="CADF" sqref="T46" name="Yield_2_1_2_3_1_5"/>
    <protectedRange password="CADF" sqref="T51" name="Yield_2_1_2_4_1_5"/>
    <protectedRange password="CADF" sqref="T76" name="Yield_2_1_2_1_1_4"/>
    <protectedRange password="CADF" sqref="U76" name="Fund Name_2_2_1_1_6"/>
    <protectedRange password="CADF" sqref="U75" name="BidOffer Prices_2_1_1_1_1_1_1_1_1_1_5"/>
    <protectedRange password="CADF" sqref="T93:T94" name="Yield_2_1_2_6_3_2"/>
    <protectedRange password="CADF" sqref="T142:T144" name="Fund Name_1_1_1_2_5"/>
    <protectedRange password="CADF" sqref="U142:U144" name="Fund Name_1_1_1_1_2_6"/>
    <protectedRange password="CADF" sqref="X18" name="Fund Name_1_1_1_3_1_1_6"/>
    <protectedRange password="CADF" sqref="Y18" name="Fund Name_1_1_1_1_1_1_6"/>
    <protectedRange password="CADF" sqref="X46" name="Yield_2_1_2_3_1_6"/>
    <protectedRange password="CADF" sqref="X51" name="Yield_2_1_2_4_1_6"/>
    <protectedRange password="CADF" sqref="X76" name="Yield_2_1_2_1_1_5"/>
    <protectedRange password="CADF" sqref="Y76" name="Fund Name_2_2_1_1_7"/>
    <protectedRange password="CADF" sqref="Y75" name="BidOffer Prices_2_1_1_1_1_1_1_1_1_1_6"/>
    <protectedRange password="CADF" sqref="X93:X94" name="Yield_2_1_2_6_3_3"/>
    <protectedRange password="CADF" sqref="X142:X144" name="Fund Name_1_1_1_2_6"/>
    <protectedRange password="CADF" sqref="Y142:Y144" name="Fund Name_1_1_1_1_2_7"/>
    <protectedRange password="CADF" sqref="AB18" name="Fund Name_1_1_1_3_1_1_1"/>
    <protectedRange password="CADF" sqref="AC18" name="Fund Name_1_1_1_1_1_1_1"/>
    <protectedRange password="CADF" sqref="AB46" name="Yield_2_1_2_3_1_1"/>
    <protectedRange password="CADF" sqref="AB51" name="Yield_2_1_2_4_1_1"/>
    <protectedRange password="CADF" sqref="AB76" name="Yield_2_1_2_1_1_1"/>
    <protectedRange password="CADF" sqref="AC76" name="Fund Name_2_2_1_1"/>
    <protectedRange password="CADF" sqref="AC75" name="BidOffer Prices_2_1_1_1_1_1_1_1_1_1_1"/>
    <protectedRange password="CADF" sqref="AB93:AB94" name="Yield_2_1_2_6_3_4"/>
    <protectedRange password="CADF" sqref="AB142:AB144" name="Fund Name_1_1_1_2_1"/>
    <protectedRange password="CADF" sqref="AC142:AC144" name="Fund Name_1_1_1_1_2"/>
    <protectedRange password="CADF" sqref="AF18" name="Fund Name_1_1_1_3_1_1_7"/>
    <protectedRange password="CADF" sqref="AG18" name="Fund Name_1_1_1_1_1_1_8"/>
    <protectedRange password="CADF" sqref="AF46" name="Yield_2_1_2_3_1_7"/>
    <protectedRange password="CADF" sqref="AF51" name="Yield_2_1_2_4_1_7"/>
    <protectedRange password="CADF" sqref="AF76" name="Yield_2_1_2_1_1"/>
    <protectedRange password="CADF" sqref="AG76" name="Fund Name_2_2_1_1_1"/>
    <protectedRange password="CADF" sqref="AG75" name="BidOffer Prices_2_1_1_1_1_1_1_1_1_1_2"/>
    <protectedRange password="CADF" sqref="AF93:AF94" name="Yield_2_1_2_6_3_5"/>
    <protectedRange password="CADF" sqref="AF142:AF144" name="Fund Name_1_1_1_2_2"/>
    <protectedRange password="CADF" sqref="AG142:AG144" name="Fund Name_1_1_1_1_2_1"/>
  </protectedRanges>
  <sortState ref="A174:AO185">
    <sortCondition ref="A174:A185"/>
  </sortState>
  <mergeCells count="30">
    <mergeCell ref="T174:U174"/>
    <mergeCell ref="AQ2:AR2"/>
    <mergeCell ref="AQ127:AR127"/>
    <mergeCell ref="B2:C2"/>
    <mergeCell ref="D2:E2"/>
    <mergeCell ref="P2:Q2"/>
    <mergeCell ref="R2:S2"/>
    <mergeCell ref="T2:U2"/>
    <mergeCell ref="V2:W2"/>
    <mergeCell ref="H174:I174"/>
    <mergeCell ref="L174:M174"/>
    <mergeCell ref="P174:Q174"/>
    <mergeCell ref="X174:Y174"/>
    <mergeCell ref="AB174:AC174"/>
    <mergeCell ref="AF174:AG174"/>
    <mergeCell ref="A1:AO1"/>
    <mergeCell ref="AN2:AO2"/>
    <mergeCell ref="AL2:AM2"/>
    <mergeCell ref="AJ2:AK2"/>
    <mergeCell ref="F2:G2"/>
    <mergeCell ref="H2:I2"/>
    <mergeCell ref="J2:K2"/>
    <mergeCell ref="L2:M2"/>
    <mergeCell ref="N2:O2"/>
    <mergeCell ref="X2:Y2"/>
    <mergeCell ref="Z2:AA2"/>
    <mergeCell ref="AB2:AC2"/>
    <mergeCell ref="AD2:AE2"/>
    <mergeCell ref="AF2:AG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2023-05-17T11:40:54Z</dcterms:modified>
</cp:coreProperties>
</file>