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chartsheets/sheet3.xml" ContentType="application/vnd.openxmlformats-officedocument.spreadsheetml.chart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525" windowWidth="28755" windowHeight="16380" tabRatio="599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state="hidden" r:id="rId5"/>
    <sheet name="NAV COMPARISON" sheetId="13" r:id="rId6"/>
    <sheet name="Volatility Measure" sheetId="11" r:id="rId7"/>
  </sheets>
  <definedNames>
    <definedName name="_GoBack" localSheetId="0">Data!#REF!</definedName>
    <definedName name="OLE_LINK6" localSheetId="0">Data!$K$65</definedName>
    <definedName name="_xlnm.Print_Area" localSheetId="0">Data!$A$1:$AQ$193</definedName>
    <definedName name="_xlnm.Print_Area" localSheetId="4">'NAV Trend'!$B$1:$J$10</definedName>
  </definedNames>
  <calcPr calcId="162913"/>
</workbook>
</file>

<file path=xl/calcChain.xml><?xml version="1.0" encoding="utf-8"?>
<calcChain xmlns="http://schemas.openxmlformats.org/spreadsheetml/2006/main">
  <c r="AK14" i="11" l="1"/>
  <c r="AF188" i="11"/>
  <c r="AF187" i="11"/>
  <c r="AF172" i="11"/>
  <c r="AF167" i="11"/>
  <c r="AF166" i="11"/>
  <c r="AF151" i="11"/>
  <c r="AF145" i="11"/>
  <c r="AH145" i="11" s="1"/>
  <c r="AF118" i="11"/>
  <c r="AG106" i="11"/>
  <c r="AM106" i="11" s="1"/>
  <c r="AG103" i="11"/>
  <c r="AI103" i="11" s="1"/>
  <c r="AF103" i="11"/>
  <c r="AF111" i="11" s="1"/>
  <c r="AG98" i="11"/>
  <c r="AG97" i="11"/>
  <c r="AI97" i="11" s="1"/>
  <c r="AG95" i="11"/>
  <c r="AI95" i="11" s="1"/>
  <c r="AG91" i="11"/>
  <c r="AG90" i="11"/>
  <c r="AF98" i="11"/>
  <c r="AF97" i="11"/>
  <c r="AF95" i="11"/>
  <c r="AF91" i="11"/>
  <c r="AF86" i="11"/>
  <c r="AF53" i="11"/>
  <c r="AF21" i="11"/>
  <c r="AL21" i="11" s="1"/>
  <c r="AK176" i="11"/>
  <c r="AL176" i="11"/>
  <c r="AM176" i="11"/>
  <c r="AL177" i="11"/>
  <c r="AM177" i="11"/>
  <c r="AL178" i="11"/>
  <c r="AM178" i="11"/>
  <c r="AL179" i="11"/>
  <c r="AM179" i="11"/>
  <c r="AK180" i="11"/>
  <c r="AL180" i="11"/>
  <c r="AM180" i="11"/>
  <c r="AL181" i="11"/>
  <c r="AM181" i="11"/>
  <c r="AL182" i="11"/>
  <c r="AM182" i="11"/>
  <c r="AL183" i="11"/>
  <c r="AM183" i="11"/>
  <c r="AK184" i="11"/>
  <c r="AL184" i="11"/>
  <c r="AM184" i="11"/>
  <c r="AL185" i="11"/>
  <c r="AM185" i="11"/>
  <c r="AL186" i="11"/>
  <c r="AM186" i="11"/>
  <c r="AO175" i="11"/>
  <c r="AM175" i="11"/>
  <c r="AL175" i="11"/>
  <c r="AK175" i="11"/>
  <c r="AJ6" i="11"/>
  <c r="AK6" i="11"/>
  <c r="AL6" i="11"/>
  <c r="AM6" i="11"/>
  <c r="AO6" i="11"/>
  <c r="AL7" i="11"/>
  <c r="AM7" i="11"/>
  <c r="AL8" i="11"/>
  <c r="AM8" i="11"/>
  <c r="AL9" i="11"/>
  <c r="AM9" i="11"/>
  <c r="AJ10" i="11"/>
  <c r="AL10" i="11"/>
  <c r="AM10" i="11"/>
  <c r="AL11" i="11"/>
  <c r="AM11" i="11"/>
  <c r="AO11" i="11"/>
  <c r="AL12" i="11"/>
  <c r="AM12" i="11"/>
  <c r="AL13" i="11"/>
  <c r="AM13" i="11"/>
  <c r="AJ14" i="11"/>
  <c r="AL14" i="11"/>
  <c r="AM14" i="11"/>
  <c r="AL15" i="11"/>
  <c r="AM15" i="11"/>
  <c r="AL16" i="11"/>
  <c r="AM16" i="11"/>
  <c r="AL17" i="11"/>
  <c r="AM17" i="11"/>
  <c r="AJ18" i="11"/>
  <c r="AK18" i="11"/>
  <c r="AL18" i="11"/>
  <c r="AM18" i="11"/>
  <c r="AL19" i="11"/>
  <c r="AM19" i="11"/>
  <c r="AO19" i="11"/>
  <c r="AK20" i="11"/>
  <c r="AL20" i="11"/>
  <c r="AM20" i="11"/>
  <c r="AL24" i="11"/>
  <c r="AM24" i="11"/>
  <c r="AL25" i="11"/>
  <c r="AM25" i="11"/>
  <c r="AL26" i="11"/>
  <c r="AM26" i="11"/>
  <c r="AL27" i="11"/>
  <c r="AM27" i="11"/>
  <c r="AL28" i="11"/>
  <c r="AM28" i="11"/>
  <c r="AL29" i="11"/>
  <c r="AM29" i="11"/>
  <c r="AL30" i="11"/>
  <c r="AM30" i="11"/>
  <c r="AL31" i="11"/>
  <c r="AM31" i="11"/>
  <c r="AL32" i="11"/>
  <c r="AM32" i="11"/>
  <c r="AL33" i="11"/>
  <c r="AM33" i="11"/>
  <c r="AL34" i="11"/>
  <c r="AM34" i="11"/>
  <c r="AL35" i="11"/>
  <c r="AM35" i="11"/>
  <c r="AL36" i="11"/>
  <c r="AM36" i="11"/>
  <c r="AL37" i="11"/>
  <c r="AM37" i="11"/>
  <c r="AL38" i="11"/>
  <c r="AM38" i="11"/>
  <c r="AL39" i="11"/>
  <c r="AM39" i="11"/>
  <c r="AL40" i="11"/>
  <c r="AM40" i="11"/>
  <c r="AL41" i="11"/>
  <c r="AM41" i="11"/>
  <c r="AL42" i="11"/>
  <c r="AM42" i="11"/>
  <c r="AL43" i="11"/>
  <c r="AM43" i="11"/>
  <c r="AL44" i="11"/>
  <c r="AM44" i="11"/>
  <c r="AL45" i="11"/>
  <c r="AM45" i="11"/>
  <c r="AL46" i="11"/>
  <c r="AM46" i="11"/>
  <c r="AL47" i="11"/>
  <c r="AM47" i="11"/>
  <c r="AL48" i="11"/>
  <c r="AM48" i="11"/>
  <c r="AL49" i="11"/>
  <c r="AM49" i="11"/>
  <c r="AL50" i="11"/>
  <c r="AM50" i="11"/>
  <c r="AL51" i="11"/>
  <c r="AM51" i="11"/>
  <c r="AL52" i="11"/>
  <c r="AM52" i="11"/>
  <c r="AL53" i="11"/>
  <c r="AJ56" i="11"/>
  <c r="AL56" i="11"/>
  <c r="AM56" i="11"/>
  <c r="AK57" i="11"/>
  <c r="AL57" i="11"/>
  <c r="AM57" i="11"/>
  <c r="AL58" i="11"/>
  <c r="AM58" i="11"/>
  <c r="AN58" i="11"/>
  <c r="AL59" i="11"/>
  <c r="AM59" i="11"/>
  <c r="AJ60" i="11"/>
  <c r="AL60" i="11"/>
  <c r="AM60" i="11"/>
  <c r="AL61" i="11"/>
  <c r="AM61" i="11"/>
  <c r="AL62" i="11"/>
  <c r="AM62" i="11"/>
  <c r="AN62" i="11"/>
  <c r="AL63" i="11"/>
  <c r="AM63" i="11"/>
  <c r="AJ64" i="11"/>
  <c r="AK64" i="11"/>
  <c r="AL64" i="11"/>
  <c r="AM64" i="11"/>
  <c r="AL65" i="11"/>
  <c r="AM65" i="11"/>
  <c r="AL66" i="11"/>
  <c r="AM66" i="11"/>
  <c r="AN66" i="11"/>
  <c r="AL67" i="11"/>
  <c r="AM67" i="11"/>
  <c r="AO67" i="11"/>
  <c r="AJ68" i="11"/>
  <c r="AL68" i="11"/>
  <c r="AM68" i="11"/>
  <c r="AL69" i="11"/>
  <c r="AM69" i="11"/>
  <c r="AJ70" i="11"/>
  <c r="AL70" i="11"/>
  <c r="AM70" i="11"/>
  <c r="AN70" i="11"/>
  <c r="AK71" i="11"/>
  <c r="AL71" i="11"/>
  <c r="AM71" i="11"/>
  <c r="AJ72" i="11"/>
  <c r="AL72" i="11"/>
  <c r="AM72" i="11"/>
  <c r="AN72" i="11"/>
  <c r="AL73" i="11"/>
  <c r="AM73" i="11"/>
  <c r="AJ74" i="11"/>
  <c r="AL74" i="11"/>
  <c r="AM74" i="11"/>
  <c r="AN74" i="11"/>
  <c r="AL75" i="11"/>
  <c r="AM75" i="11"/>
  <c r="AJ76" i="11"/>
  <c r="AL76" i="11"/>
  <c r="AM76" i="11"/>
  <c r="AN76" i="11"/>
  <c r="AL77" i="11"/>
  <c r="AM77" i="11"/>
  <c r="AJ78" i="11"/>
  <c r="AL78" i="11"/>
  <c r="AM78" i="11"/>
  <c r="AN78" i="11"/>
  <c r="AK79" i="11"/>
  <c r="AL79" i="11"/>
  <c r="AM79" i="11"/>
  <c r="AJ80" i="11"/>
  <c r="AL80" i="11"/>
  <c r="AM80" i="11"/>
  <c r="AN80" i="11"/>
  <c r="AL81" i="11"/>
  <c r="AM81" i="11"/>
  <c r="AJ82" i="11"/>
  <c r="AL82" i="11"/>
  <c r="AM82" i="11"/>
  <c r="AN82" i="11"/>
  <c r="AL83" i="11"/>
  <c r="AM83" i="11"/>
  <c r="AO83" i="11"/>
  <c r="AJ84" i="11"/>
  <c r="AL84" i="11"/>
  <c r="AM84" i="11"/>
  <c r="AN84" i="11"/>
  <c r="AL85" i="11"/>
  <c r="AM85" i="11"/>
  <c r="AJ86" i="11"/>
  <c r="AL86" i="11"/>
  <c r="AN86" i="11"/>
  <c r="AL90" i="11"/>
  <c r="AM90" i="11"/>
  <c r="AK91" i="11"/>
  <c r="AL91" i="11"/>
  <c r="AM91" i="11"/>
  <c r="AO91" i="11"/>
  <c r="AL92" i="11"/>
  <c r="AM92" i="11"/>
  <c r="AL93" i="11"/>
  <c r="AM93" i="11"/>
  <c r="AO93" i="11"/>
  <c r="AJ94" i="11"/>
  <c r="AK94" i="11"/>
  <c r="AL94" i="11"/>
  <c r="AM94" i="11"/>
  <c r="AN94" i="11"/>
  <c r="AO94" i="11"/>
  <c r="AL95" i="11"/>
  <c r="AL96" i="11"/>
  <c r="AM96" i="11"/>
  <c r="AL97" i="11"/>
  <c r="AJ98" i="11"/>
  <c r="AL98" i="11"/>
  <c r="AM98" i="11"/>
  <c r="AN98" i="11"/>
  <c r="AL99" i="11"/>
  <c r="AM99" i="11"/>
  <c r="AJ102" i="11"/>
  <c r="AK102" i="11"/>
  <c r="AL102" i="11"/>
  <c r="AM102" i="11"/>
  <c r="AN102" i="11"/>
  <c r="AO102" i="11"/>
  <c r="AL103" i="11"/>
  <c r="AJ104" i="11"/>
  <c r="AL104" i="11"/>
  <c r="AM104" i="11"/>
  <c r="AN104" i="11"/>
  <c r="AK105" i="11"/>
  <c r="AL105" i="11"/>
  <c r="AM105" i="11"/>
  <c r="AO105" i="11"/>
  <c r="AJ106" i="11"/>
  <c r="AK106" i="11"/>
  <c r="AL106" i="11"/>
  <c r="AN106" i="11"/>
  <c r="AO106" i="11"/>
  <c r="AL107" i="11"/>
  <c r="AM107" i="11"/>
  <c r="AO107" i="11"/>
  <c r="AJ108" i="11"/>
  <c r="AL108" i="11"/>
  <c r="AM108" i="11"/>
  <c r="AN108" i="11"/>
  <c r="AK109" i="11"/>
  <c r="AL109" i="11"/>
  <c r="AM109" i="11"/>
  <c r="AJ110" i="11"/>
  <c r="AK110" i="11"/>
  <c r="AL110" i="11"/>
  <c r="AM110" i="11"/>
  <c r="AN110" i="11"/>
  <c r="AO110" i="11"/>
  <c r="AJ111" i="11"/>
  <c r="AN111" i="11"/>
  <c r="AK114" i="11"/>
  <c r="AL114" i="11"/>
  <c r="AM114" i="11"/>
  <c r="AO114" i="11"/>
  <c r="AL115" i="11"/>
  <c r="AM115" i="11"/>
  <c r="AK116" i="11"/>
  <c r="AL116" i="11"/>
  <c r="AM116" i="11"/>
  <c r="AO116" i="11"/>
  <c r="AL117" i="11"/>
  <c r="AM117" i="11"/>
  <c r="AL118" i="11"/>
  <c r="AJ121" i="11"/>
  <c r="AL121" i="11"/>
  <c r="AM121" i="11"/>
  <c r="AN121" i="11"/>
  <c r="AK122" i="11"/>
  <c r="AL122" i="11"/>
  <c r="AM122" i="11"/>
  <c r="AO122" i="11"/>
  <c r="AL123" i="11"/>
  <c r="AM123" i="11"/>
  <c r="AJ124" i="11"/>
  <c r="AL124" i="11"/>
  <c r="AM124" i="11"/>
  <c r="AN124" i="11"/>
  <c r="AJ125" i="11"/>
  <c r="AL125" i="11"/>
  <c r="AM125" i="11"/>
  <c r="AN125" i="11"/>
  <c r="AK126" i="11"/>
  <c r="AL126" i="11"/>
  <c r="AM126" i="11"/>
  <c r="AO126" i="11"/>
  <c r="AK127" i="11"/>
  <c r="AL127" i="11"/>
  <c r="AM127" i="11"/>
  <c r="AJ128" i="11"/>
  <c r="AL128" i="11"/>
  <c r="AM128" i="11"/>
  <c r="AN128" i="11"/>
  <c r="AJ129" i="11"/>
  <c r="AL129" i="11"/>
  <c r="AM129" i="11"/>
  <c r="AN129" i="11"/>
  <c r="AK130" i="11"/>
  <c r="AL130" i="11"/>
  <c r="AM130" i="11"/>
  <c r="AO130" i="11"/>
  <c r="AL131" i="11"/>
  <c r="AM131" i="11"/>
  <c r="AJ132" i="11"/>
  <c r="AL132" i="11"/>
  <c r="AM132" i="11"/>
  <c r="AN132" i="11"/>
  <c r="AJ133" i="11"/>
  <c r="AL133" i="11"/>
  <c r="AM133" i="11"/>
  <c r="AN133" i="11"/>
  <c r="AK134" i="11"/>
  <c r="AL134" i="11"/>
  <c r="AM134" i="11"/>
  <c r="AO134" i="11"/>
  <c r="AK135" i="11"/>
  <c r="AL135" i="11"/>
  <c r="AM135" i="11"/>
  <c r="AJ136" i="11"/>
  <c r="AL136" i="11"/>
  <c r="AM136" i="11"/>
  <c r="AN136" i="11"/>
  <c r="AJ137" i="11"/>
  <c r="AL137" i="11"/>
  <c r="AM137" i="11"/>
  <c r="AN137" i="11"/>
  <c r="AK138" i="11"/>
  <c r="AL138" i="11"/>
  <c r="AM138" i="11"/>
  <c r="AO138" i="11"/>
  <c r="AL139" i="11"/>
  <c r="AM139" i="11"/>
  <c r="AJ140" i="11"/>
  <c r="AL140" i="11"/>
  <c r="AM140" i="11"/>
  <c r="AN140" i="11"/>
  <c r="AJ141" i="11"/>
  <c r="AL141" i="11"/>
  <c r="AM141" i="11"/>
  <c r="AN141" i="11"/>
  <c r="AK142" i="11"/>
  <c r="AL142" i="11"/>
  <c r="AM142" i="11"/>
  <c r="AO142" i="11"/>
  <c r="AK143" i="11"/>
  <c r="AL143" i="11"/>
  <c r="AM143" i="11"/>
  <c r="AJ144" i="11"/>
  <c r="AL144" i="11"/>
  <c r="AM144" i="11"/>
  <c r="AN144" i="11"/>
  <c r="AL145" i="11"/>
  <c r="AL148" i="11"/>
  <c r="AM148" i="11"/>
  <c r="AJ149" i="11"/>
  <c r="AL149" i="11"/>
  <c r="AM149" i="11"/>
  <c r="AO149" i="11"/>
  <c r="AK150" i="11"/>
  <c r="AL150" i="11"/>
  <c r="AM150" i="11"/>
  <c r="AO150" i="11"/>
  <c r="AL151" i="11"/>
  <c r="AN151" i="11"/>
  <c r="AJ155" i="11"/>
  <c r="AK155" i="11"/>
  <c r="AL155" i="11"/>
  <c r="AM155" i="11"/>
  <c r="AN155" i="11"/>
  <c r="AO155" i="11"/>
  <c r="AL156" i="11"/>
  <c r="AM156" i="11"/>
  <c r="AO156" i="11"/>
  <c r="AJ159" i="11"/>
  <c r="AL159" i="11"/>
  <c r="AM159" i="11"/>
  <c r="AN159" i="11"/>
  <c r="AJ160" i="11"/>
  <c r="AK160" i="11"/>
  <c r="AL160" i="11"/>
  <c r="AM160" i="11"/>
  <c r="AN160" i="11"/>
  <c r="AO160" i="11"/>
  <c r="AJ161" i="11"/>
  <c r="AL161" i="11"/>
  <c r="AM161" i="11"/>
  <c r="AN161" i="11"/>
  <c r="AJ162" i="11"/>
  <c r="AK162" i="11"/>
  <c r="AL162" i="11"/>
  <c r="AM162" i="11"/>
  <c r="AN162" i="11"/>
  <c r="AO162" i="11"/>
  <c r="AJ163" i="11"/>
  <c r="AL163" i="11"/>
  <c r="AM163" i="11"/>
  <c r="AN163" i="11"/>
  <c r="AJ164" i="11"/>
  <c r="AK164" i="11"/>
  <c r="AL164" i="11"/>
  <c r="AM164" i="11"/>
  <c r="AN164" i="11"/>
  <c r="AO164" i="11"/>
  <c r="AJ165" i="11"/>
  <c r="AL165" i="11"/>
  <c r="AM165" i="11"/>
  <c r="AN165" i="11"/>
  <c r="AO165" i="11"/>
  <c r="AJ166" i="11"/>
  <c r="AL166" i="11"/>
  <c r="AN166" i="11"/>
  <c r="AL167" i="11"/>
  <c r="AJ170" i="11"/>
  <c r="AL170" i="11"/>
  <c r="AM170" i="11"/>
  <c r="AN170" i="11"/>
  <c r="AO170" i="11"/>
  <c r="AJ171" i="11"/>
  <c r="AK171" i="11"/>
  <c r="AL171" i="11"/>
  <c r="AM171" i="11"/>
  <c r="AN171" i="11"/>
  <c r="AO171" i="11"/>
  <c r="AM5" i="11"/>
  <c r="AL5" i="11"/>
  <c r="AH187" i="11"/>
  <c r="AN187" i="11" s="1"/>
  <c r="AI186" i="11"/>
  <c r="AO186" i="11" s="1"/>
  <c r="AH186" i="11"/>
  <c r="AJ186" i="11" s="1"/>
  <c r="AI185" i="11"/>
  <c r="AK185" i="11" s="1"/>
  <c r="AH185" i="11"/>
  <c r="AN185" i="11" s="1"/>
  <c r="AI184" i="11"/>
  <c r="AO184" i="11" s="1"/>
  <c r="AH184" i="11"/>
  <c r="AN184" i="11" s="1"/>
  <c r="AI183" i="11"/>
  <c r="AK183" i="11" s="1"/>
  <c r="AH183" i="11"/>
  <c r="AN183" i="11" s="1"/>
  <c r="AI182" i="11"/>
  <c r="AO182" i="11" s="1"/>
  <c r="AH182" i="11"/>
  <c r="AJ182" i="11" s="1"/>
  <c r="AI181" i="11"/>
  <c r="AK181" i="11" s="1"/>
  <c r="AH181" i="11"/>
  <c r="AN181" i="11" s="1"/>
  <c r="AI180" i="11"/>
  <c r="AO180" i="11" s="1"/>
  <c r="AH180" i="11"/>
  <c r="AN180" i="11" s="1"/>
  <c r="AI179" i="11"/>
  <c r="AK179" i="11" s="1"/>
  <c r="AH179" i="11"/>
  <c r="AJ179" i="11" s="1"/>
  <c r="AI178" i="11"/>
  <c r="AO178" i="11" s="1"/>
  <c r="AH178" i="11"/>
  <c r="AJ178" i="11" s="1"/>
  <c r="AI177" i="11"/>
  <c r="AK177" i="11" s="1"/>
  <c r="AH177" i="11"/>
  <c r="AJ177" i="11" s="1"/>
  <c r="AI176" i="11"/>
  <c r="AO176" i="11" s="1"/>
  <c r="AH176" i="11"/>
  <c r="AN176" i="11" s="1"/>
  <c r="AI175" i="11"/>
  <c r="AH175" i="11"/>
  <c r="AJ175" i="11" s="1"/>
  <c r="AI171" i="11"/>
  <c r="AH171" i="11"/>
  <c r="AI170" i="11"/>
  <c r="AK170" i="11" s="1"/>
  <c r="AH170" i="11"/>
  <c r="AH167" i="11"/>
  <c r="AJ167" i="11" s="1"/>
  <c r="AH166" i="11"/>
  <c r="AI165" i="11"/>
  <c r="AK165" i="11" s="1"/>
  <c r="AH165" i="11"/>
  <c r="AI164" i="11"/>
  <c r="AH164" i="11"/>
  <c r="AI163" i="11"/>
  <c r="AK163" i="11" s="1"/>
  <c r="AH163" i="11"/>
  <c r="AI162" i="11"/>
  <c r="AH162" i="11"/>
  <c r="AI161" i="11"/>
  <c r="AK161" i="11" s="1"/>
  <c r="AH161" i="11"/>
  <c r="AI160" i="11"/>
  <c r="AH160" i="11"/>
  <c r="AI159" i="11"/>
  <c r="AK159" i="11" s="1"/>
  <c r="AH159" i="11"/>
  <c r="AI156" i="11"/>
  <c r="AK156" i="11" s="1"/>
  <c r="AH156" i="11"/>
  <c r="AJ156" i="11" s="1"/>
  <c r="AI155" i="11"/>
  <c r="AH155" i="11"/>
  <c r="AH151" i="11"/>
  <c r="AJ151" i="11" s="1"/>
  <c r="AI150" i="11"/>
  <c r="AH150" i="11"/>
  <c r="AN150" i="11" s="1"/>
  <c r="AI149" i="11"/>
  <c r="AK149" i="11" s="1"/>
  <c r="AH149" i="11"/>
  <c r="AN149" i="11" s="1"/>
  <c r="AI148" i="11"/>
  <c r="AO148" i="11" s="1"/>
  <c r="AH148" i="11"/>
  <c r="AJ148" i="11" s="1"/>
  <c r="AI144" i="11"/>
  <c r="AK144" i="11" s="1"/>
  <c r="AH144" i="11"/>
  <c r="AI143" i="11"/>
  <c r="AO143" i="11" s="1"/>
  <c r="AH143" i="11"/>
  <c r="AN143" i="11" s="1"/>
  <c r="AI142" i="11"/>
  <c r="AH142" i="11"/>
  <c r="AN142" i="11" s="1"/>
  <c r="AI141" i="11"/>
  <c r="AO141" i="11" s="1"/>
  <c r="AH141" i="11"/>
  <c r="AI140" i="11"/>
  <c r="AO140" i="11" s="1"/>
  <c r="AH140" i="11"/>
  <c r="AI139" i="11"/>
  <c r="AK139" i="11" s="1"/>
  <c r="AH139" i="11"/>
  <c r="AJ139" i="11" s="1"/>
  <c r="AI138" i="11"/>
  <c r="AH138" i="11"/>
  <c r="AN138" i="11" s="1"/>
  <c r="AI137" i="11"/>
  <c r="AO137" i="11" s="1"/>
  <c r="AH137" i="11"/>
  <c r="AI136" i="11"/>
  <c r="AK136" i="11" s="1"/>
  <c r="AH136" i="11"/>
  <c r="AI135" i="11"/>
  <c r="AO135" i="11" s="1"/>
  <c r="AH135" i="11"/>
  <c r="AN135" i="11" s="1"/>
  <c r="AI134" i="11"/>
  <c r="AH134" i="11"/>
  <c r="AN134" i="11" s="1"/>
  <c r="AI133" i="11"/>
  <c r="AO133" i="11" s="1"/>
  <c r="AH133" i="11"/>
  <c r="AI132" i="11"/>
  <c r="AO132" i="11" s="1"/>
  <c r="AH132" i="11"/>
  <c r="AI131" i="11"/>
  <c r="AK131" i="11" s="1"/>
  <c r="AH131" i="11"/>
  <c r="AJ131" i="11" s="1"/>
  <c r="AI130" i="11"/>
  <c r="AH130" i="11"/>
  <c r="AN130" i="11" s="1"/>
  <c r="AI129" i="11"/>
  <c r="AK129" i="11" s="1"/>
  <c r="AH129" i="11"/>
  <c r="AI128" i="11"/>
  <c r="AK128" i="11" s="1"/>
  <c r="AH128" i="11"/>
  <c r="AI127" i="11"/>
  <c r="AO127" i="11" s="1"/>
  <c r="AH127" i="11"/>
  <c r="AN127" i="11" s="1"/>
  <c r="AI126" i="11"/>
  <c r="AH126" i="11"/>
  <c r="AN126" i="11" s="1"/>
  <c r="AI125" i="11"/>
  <c r="AO125" i="11" s="1"/>
  <c r="AH125" i="11"/>
  <c r="AI124" i="11"/>
  <c r="AO124" i="11" s="1"/>
  <c r="AH124" i="11"/>
  <c r="AI123" i="11"/>
  <c r="AK123" i="11" s="1"/>
  <c r="AH123" i="11"/>
  <c r="AN123" i="11" s="1"/>
  <c r="AI122" i="11"/>
  <c r="AH122" i="11"/>
  <c r="AN122" i="11" s="1"/>
  <c r="AI121" i="11"/>
  <c r="AK121" i="11" s="1"/>
  <c r="AH121" i="11"/>
  <c r="AH118" i="11"/>
  <c r="AJ118" i="11" s="1"/>
  <c r="AI117" i="11"/>
  <c r="AO117" i="11" s="1"/>
  <c r="AH117" i="11"/>
  <c r="AN117" i="11" s="1"/>
  <c r="AI116" i="11"/>
  <c r="AH116" i="11"/>
  <c r="AN116" i="11" s="1"/>
  <c r="AI115" i="11"/>
  <c r="AO115" i="11" s="1"/>
  <c r="AH115" i="11"/>
  <c r="AJ115" i="11" s="1"/>
  <c r="AI114" i="11"/>
  <c r="AH114" i="11"/>
  <c r="AJ114" i="11" s="1"/>
  <c r="AI110" i="11"/>
  <c r="AH110" i="11"/>
  <c r="AI109" i="11"/>
  <c r="AO109" i="11" s="1"/>
  <c r="AH109" i="11"/>
  <c r="AN109" i="11" s="1"/>
  <c r="AI108" i="11"/>
  <c r="AK108" i="11" s="1"/>
  <c r="AH108" i="11"/>
  <c r="AI107" i="11"/>
  <c r="AK107" i="11" s="1"/>
  <c r="AH107" i="11"/>
  <c r="AJ107" i="11" s="1"/>
  <c r="AI106" i="11"/>
  <c r="AH106" i="11"/>
  <c r="AI105" i="11"/>
  <c r="AH105" i="11"/>
  <c r="AN105" i="11" s="1"/>
  <c r="AI104" i="11"/>
  <c r="AO104" i="11" s="1"/>
  <c r="AH104" i="11"/>
  <c r="AH103" i="11"/>
  <c r="AJ103" i="11" s="1"/>
  <c r="AI102" i="11"/>
  <c r="AH102" i="11"/>
  <c r="AI99" i="11"/>
  <c r="AK99" i="11" s="1"/>
  <c r="AI98" i="11"/>
  <c r="AK98" i="11" s="1"/>
  <c r="AH98" i="11"/>
  <c r="AH97" i="11"/>
  <c r="AJ97" i="11" s="1"/>
  <c r="AI96" i="11"/>
  <c r="AK96" i="11" s="1"/>
  <c r="AH96" i="11"/>
  <c r="AJ96" i="11" s="1"/>
  <c r="AH95" i="11"/>
  <c r="AN95" i="11" s="1"/>
  <c r="AI94" i="11"/>
  <c r="AH94" i="11"/>
  <c r="AI93" i="11"/>
  <c r="AK93" i="11" s="1"/>
  <c r="AH93" i="11"/>
  <c r="AJ93" i="11" s="1"/>
  <c r="AI92" i="11"/>
  <c r="AO92" i="11" s="1"/>
  <c r="AH92" i="11"/>
  <c r="AJ92" i="11" s="1"/>
  <c r="AI91" i="11"/>
  <c r="AH91" i="11"/>
  <c r="AJ91" i="11" s="1"/>
  <c r="AI90" i="11"/>
  <c r="AO90" i="11" s="1"/>
  <c r="AH90" i="11"/>
  <c r="AN90" i="11" s="1"/>
  <c r="AH86" i="11"/>
  <c r="AI85" i="11"/>
  <c r="AK85" i="11" s="1"/>
  <c r="AH85" i="11"/>
  <c r="AN85" i="11" s="1"/>
  <c r="AI84" i="11"/>
  <c r="AO84" i="11" s="1"/>
  <c r="AH84" i="11"/>
  <c r="AI83" i="11"/>
  <c r="AK83" i="11" s="1"/>
  <c r="AH83" i="11"/>
  <c r="AJ83" i="11" s="1"/>
  <c r="AI82" i="11"/>
  <c r="AO82" i="11" s="1"/>
  <c r="AH82" i="11"/>
  <c r="AI81" i="11"/>
  <c r="AK81" i="11" s="1"/>
  <c r="AH81" i="11"/>
  <c r="AN81" i="11" s="1"/>
  <c r="AI80" i="11"/>
  <c r="AK80" i="11" s="1"/>
  <c r="AH80" i="11"/>
  <c r="AI79" i="11"/>
  <c r="AO79" i="11" s="1"/>
  <c r="AH79" i="11"/>
  <c r="AJ79" i="11" s="1"/>
  <c r="AI78" i="11"/>
  <c r="AK78" i="11" s="1"/>
  <c r="AH78" i="11"/>
  <c r="AI77" i="11"/>
  <c r="AK77" i="11" s="1"/>
  <c r="AH77" i="11"/>
  <c r="AN77" i="11" s="1"/>
  <c r="AI76" i="11"/>
  <c r="AO76" i="11" s="1"/>
  <c r="AH76" i="11"/>
  <c r="AI75" i="11"/>
  <c r="AK75" i="11" s="1"/>
  <c r="AH75" i="11"/>
  <c r="AJ75" i="11" s="1"/>
  <c r="AI74" i="11"/>
  <c r="AO74" i="11" s="1"/>
  <c r="AH74" i="11"/>
  <c r="AI73" i="11"/>
  <c r="AK73" i="11" s="1"/>
  <c r="AH73" i="11"/>
  <c r="AN73" i="11" s="1"/>
  <c r="AI72" i="11"/>
  <c r="AK72" i="11" s="1"/>
  <c r="AH72" i="11"/>
  <c r="AI71" i="11"/>
  <c r="AO71" i="11" s="1"/>
  <c r="AH71" i="11"/>
  <c r="AJ71" i="11" s="1"/>
  <c r="AI70" i="11"/>
  <c r="AK70" i="11" s="1"/>
  <c r="AH70" i="11"/>
  <c r="AI69" i="11"/>
  <c r="AK69" i="11" s="1"/>
  <c r="AH69" i="11"/>
  <c r="AN69" i="11" s="1"/>
  <c r="AI68" i="11"/>
  <c r="AK68" i="11" s="1"/>
  <c r="AH68" i="11"/>
  <c r="AN68" i="11" s="1"/>
  <c r="AI67" i="11"/>
  <c r="AK67" i="11" s="1"/>
  <c r="AH67" i="11"/>
  <c r="AJ67" i="11" s="1"/>
  <c r="AI66" i="11"/>
  <c r="AO66" i="11" s="1"/>
  <c r="AH66" i="11"/>
  <c r="AJ66" i="11" s="1"/>
  <c r="AI65" i="11"/>
  <c r="AK65" i="11" s="1"/>
  <c r="AH65" i="11"/>
  <c r="AN65" i="11" s="1"/>
  <c r="AI64" i="11"/>
  <c r="AO64" i="11" s="1"/>
  <c r="AH64" i="11"/>
  <c r="AN64" i="11" s="1"/>
  <c r="AI63" i="11"/>
  <c r="AK63" i="11" s="1"/>
  <c r="AH63" i="11"/>
  <c r="AJ63" i="11" s="1"/>
  <c r="AI62" i="11"/>
  <c r="AO62" i="11" s="1"/>
  <c r="AH62" i="11"/>
  <c r="AJ62" i="11" s="1"/>
  <c r="AI61" i="11"/>
  <c r="AK61" i="11" s="1"/>
  <c r="AH61" i="11"/>
  <c r="AN61" i="11" s="1"/>
  <c r="AI60" i="11"/>
  <c r="AK60" i="11" s="1"/>
  <c r="AH60" i="11"/>
  <c r="AN60" i="11" s="1"/>
  <c r="AI59" i="11"/>
  <c r="AO59" i="11" s="1"/>
  <c r="AH59" i="11"/>
  <c r="AJ59" i="11" s="1"/>
  <c r="AI58" i="11"/>
  <c r="AK58" i="11" s="1"/>
  <c r="AH58" i="11"/>
  <c r="AJ58" i="11" s="1"/>
  <c r="AI57" i="11"/>
  <c r="AO57" i="11" s="1"/>
  <c r="AH57" i="11"/>
  <c r="AN57" i="11" s="1"/>
  <c r="AI56" i="11"/>
  <c r="AK56" i="11" s="1"/>
  <c r="AH56" i="11"/>
  <c r="AN56" i="11" s="1"/>
  <c r="AH53" i="11"/>
  <c r="AJ53" i="11" s="1"/>
  <c r="AI52" i="11"/>
  <c r="AK52" i="11" s="1"/>
  <c r="AH52" i="11"/>
  <c r="AJ52" i="11" s="1"/>
  <c r="AI51" i="11"/>
  <c r="AK51" i="11" s="1"/>
  <c r="AH51" i="11"/>
  <c r="AN51" i="11" s="1"/>
  <c r="AI50" i="11"/>
  <c r="AK50" i="11" s="1"/>
  <c r="AH50" i="11"/>
  <c r="AJ50" i="11" s="1"/>
  <c r="AI49" i="11"/>
  <c r="AO49" i="11" s="1"/>
  <c r="AH49" i="11"/>
  <c r="AJ49" i="11" s="1"/>
  <c r="AI48" i="11"/>
  <c r="AK48" i="11" s="1"/>
  <c r="AH48" i="11"/>
  <c r="AJ48" i="11" s="1"/>
  <c r="AI47" i="11"/>
  <c r="AK47" i="11" s="1"/>
  <c r="AH47" i="11"/>
  <c r="AN47" i="11" s="1"/>
  <c r="AI46" i="11"/>
  <c r="AK46" i="11" s="1"/>
  <c r="AH46" i="11"/>
  <c r="AJ46" i="11" s="1"/>
  <c r="AI45" i="11"/>
  <c r="AO45" i="11" s="1"/>
  <c r="AH45" i="11"/>
  <c r="AJ45" i="11" s="1"/>
  <c r="AI44" i="11"/>
  <c r="AK44" i="11" s="1"/>
  <c r="AH44" i="11"/>
  <c r="AJ44" i="11" s="1"/>
  <c r="AI43" i="11"/>
  <c r="AK43" i="11" s="1"/>
  <c r="AH43" i="11"/>
  <c r="AN43" i="11" s="1"/>
  <c r="AI42" i="11"/>
  <c r="AK42" i="11" s="1"/>
  <c r="AH42" i="11"/>
  <c r="AJ42" i="11" s="1"/>
  <c r="AI41" i="11"/>
  <c r="AO41" i="11" s="1"/>
  <c r="AH41" i="11"/>
  <c r="AJ41" i="11" s="1"/>
  <c r="AI40" i="11"/>
  <c r="AK40" i="11" s="1"/>
  <c r="AH40" i="11"/>
  <c r="AJ40" i="11" s="1"/>
  <c r="AI39" i="11"/>
  <c r="AK39" i="11" s="1"/>
  <c r="AH39" i="11"/>
  <c r="AN39" i="11" s="1"/>
  <c r="AI38" i="11"/>
  <c r="AO38" i="11" s="1"/>
  <c r="AH38" i="11"/>
  <c r="AJ38" i="11" s="1"/>
  <c r="AI37" i="11"/>
  <c r="AO37" i="11" s="1"/>
  <c r="AH37" i="11"/>
  <c r="AJ37" i="11" s="1"/>
  <c r="AI36" i="11"/>
  <c r="AK36" i="11" s="1"/>
  <c r="AH36" i="11"/>
  <c r="AJ36" i="11" s="1"/>
  <c r="AI35" i="11"/>
  <c r="AK35" i="11" s="1"/>
  <c r="AH35" i="11"/>
  <c r="AJ35" i="11" s="1"/>
  <c r="AI34" i="11"/>
  <c r="AO34" i="11" s="1"/>
  <c r="AH34" i="11"/>
  <c r="AJ34" i="11" s="1"/>
  <c r="AI33" i="11"/>
  <c r="AO33" i="11" s="1"/>
  <c r="AH33" i="11"/>
  <c r="AN33" i="11" s="1"/>
  <c r="AI32" i="11"/>
  <c r="AK32" i="11" s="1"/>
  <c r="AH32" i="11"/>
  <c r="AJ32" i="11" s="1"/>
  <c r="AI31" i="11"/>
  <c r="AK31" i="11" s="1"/>
  <c r="AH31" i="11"/>
  <c r="AJ31" i="11" s="1"/>
  <c r="AI30" i="11"/>
  <c r="AK30" i="11" s="1"/>
  <c r="AH30" i="11"/>
  <c r="AJ30" i="11" s="1"/>
  <c r="AI29" i="11"/>
  <c r="AO29" i="11" s="1"/>
  <c r="AH29" i="11"/>
  <c r="AJ29" i="11" s="1"/>
  <c r="AI28" i="11"/>
  <c r="AK28" i="11" s="1"/>
  <c r="AH28" i="11"/>
  <c r="AJ28" i="11" s="1"/>
  <c r="AI27" i="11"/>
  <c r="AK27" i="11" s="1"/>
  <c r="AH27" i="11"/>
  <c r="AJ27" i="11" s="1"/>
  <c r="AI26" i="11"/>
  <c r="AO26" i="11" s="1"/>
  <c r="AH26" i="11"/>
  <c r="AJ26" i="11" s="1"/>
  <c r="AI25" i="11"/>
  <c r="AO25" i="11" s="1"/>
  <c r="AH25" i="11"/>
  <c r="AJ25" i="11" s="1"/>
  <c r="AI24" i="11"/>
  <c r="AK24" i="11" s="1"/>
  <c r="AH24" i="11"/>
  <c r="AN24" i="11" s="1"/>
  <c r="AH21" i="11"/>
  <c r="AN21" i="11" s="1"/>
  <c r="AI20" i="11"/>
  <c r="AO20" i="11" s="1"/>
  <c r="AH20" i="11"/>
  <c r="AJ20" i="11" s="1"/>
  <c r="AI19" i="11"/>
  <c r="AK19" i="11" s="1"/>
  <c r="AH19" i="11"/>
  <c r="AJ19" i="11" s="1"/>
  <c r="AI18" i="11"/>
  <c r="AO18" i="11" s="1"/>
  <c r="AH18" i="11"/>
  <c r="AN18" i="11" s="1"/>
  <c r="AI17" i="11"/>
  <c r="AK17" i="11" s="1"/>
  <c r="AH17" i="11"/>
  <c r="AN17" i="11" s="1"/>
  <c r="AI16" i="11"/>
  <c r="AO16" i="11" s="1"/>
  <c r="AH16" i="11"/>
  <c r="AJ16" i="11" s="1"/>
  <c r="AI15" i="11"/>
  <c r="AK15" i="11" s="1"/>
  <c r="AH15" i="11"/>
  <c r="AJ15" i="11" s="1"/>
  <c r="AI14" i="11"/>
  <c r="AO14" i="11" s="1"/>
  <c r="AH14" i="11"/>
  <c r="AN14" i="11" s="1"/>
  <c r="AI13" i="11"/>
  <c r="AK13" i="11" s="1"/>
  <c r="AH13" i="11"/>
  <c r="AN13" i="11" s="1"/>
  <c r="AI12" i="11"/>
  <c r="AO12" i="11" s="1"/>
  <c r="AH12" i="11"/>
  <c r="AJ12" i="11" s="1"/>
  <c r="AI11" i="11"/>
  <c r="AK11" i="11" s="1"/>
  <c r="AH11" i="11"/>
  <c r="AJ11" i="11" s="1"/>
  <c r="AI10" i="11"/>
  <c r="AO10" i="11" s="1"/>
  <c r="AH10" i="11"/>
  <c r="AN10" i="11" s="1"/>
  <c r="AI9" i="11"/>
  <c r="AK9" i="11" s="1"/>
  <c r="AH9" i="11"/>
  <c r="AN9" i="11" s="1"/>
  <c r="AI8" i="11"/>
  <c r="AO8" i="11" s="1"/>
  <c r="AH8" i="11"/>
  <c r="AJ8" i="11" s="1"/>
  <c r="AI7" i="11"/>
  <c r="AK7" i="11" s="1"/>
  <c r="AH7" i="11"/>
  <c r="AJ7" i="11" s="1"/>
  <c r="AI6" i="11"/>
  <c r="AH6" i="11"/>
  <c r="AN6" i="11" s="1"/>
  <c r="AI5" i="11"/>
  <c r="AO5" i="11" s="1"/>
  <c r="AH5" i="11"/>
  <c r="AN5" i="11" s="1"/>
  <c r="AK186" i="11" l="1"/>
  <c r="AK182" i="11"/>
  <c r="AO185" i="11"/>
  <c r="AO183" i="11"/>
  <c r="AO181" i="11"/>
  <c r="AO179" i="11"/>
  <c r="AO177" i="11"/>
  <c r="AK178" i="11"/>
  <c r="AL188" i="11"/>
  <c r="AH188" i="11"/>
  <c r="AJ187" i="11"/>
  <c r="AJ183" i="11"/>
  <c r="AN177" i="11"/>
  <c r="AN186" i="11"/>
  <c r="AJ184" i="11"/>
  <c r="AN182" i="11"/>
  <c r="AJ180" i="11"/>
  <c r="AN178" i="11"/>
  <c r="AJ176" i="11"/>
  <c r="AJ185" i="11"/>
  <c r="AJ181" i="11"/>
  <c r="AN179" i="11"/>
  <c r="AN175" i="11"/>
  <c r="AL187" i="11"/>
  <c r="AO161" i="11"/>
  <c r="AO163" i="11"/>
  <c r="AO159" i="11"/>
  <c r="AN167" i="11"/>
  <c r="AK148" i="11"/>
  <c r="AN156" i="11"/>
  <c r="AJ150" i="11"/>
  <c r="AN148" i="11"/>
  <c r="AK137" i="11"/>
  <c r="AO144" i="11"/>
  <c r="AK140" i="11"/>
  <c r="AO136" i="11"/>
  <c r="AK132" i="11"/>
  <c r="AO128" i="11"/>
  <c r="AK124" i="11"/>
  <c r="AO139" i="11"/>
  <c r="AO131" i="11"/>
  <c r="AK125" i="11"/>
  <c r="AO121" i="11"/>
  <c r="AK141" i="11"/>
  <c r="AK133" i="11"/>
  <c r="AO129" i="11"/>
  <c r="AO123" i="11"/>
  <c r="AN145" i="11"/>
  <c r="AJ145" i="11"/>
  <c r="AN139" i="11"/>
  <c r="AN131" i="11"/>
  <c r="AJ142" i="11"/>
  <c r="AJ138" i="11"/>
  <c r="AJ134" i="11"/>
  <c r="AJ130" i="11"/>
  <c r="AJ126" i="11"/>
  <c r="AJ122" i="11"/>
  <c r="AJ143" i="11"/>
  <c r="AJ135" i="11"/>
  <c r="AJ127" i="11"/>
  <c r="AJ123" i="11"/>
  <c r="AK117" i="11"/>
  <c r="AK115" i="11"/>
  <c r="AN118" i="11"/>
  <c r="AJ116" i="11"/>
  <c r="AN114" i="11"/>
  <c r="AJ117" i="11"/>
  <c r="AN115" i="11"/>
  <c r="AK103" i="11"/>
  <c r="AO103" i="11"/>
  <c r="AO108" i="11"/>
  <c r="AK104" i="11"/>
  <c r="AM103" i="11"/>
  <c r="AH99" i="11"/>
  <c r="AL111" i="11"/>
  <c r="AN91" i="11"/>
  <c r="AJ90" i="11"/>
  <c r="AJ109" i="11"/>
  <c r="AN107" i="11"/>
  <c r="AJ105" i="11"/>
  <c r="AN103" i="11"/>
  <c r="AO95" i="11"/>
  <c r="AK95" i="11"/>
  <c r="AO97" i="11"/>
  <c r="AK97" i="11"/>
  <c r="AM97" i="11"/>
  <c r="AM95" i="11"/>
  <c r="AK92" i="11"/>
  <c r="AO98" i="11"/>
  <c r="AO99" i="11"/>
  <c r="AO96" i="11"/>
  <c r="AK90" i="11"/>
  <c r="AN96" i="11"/>
  <c r="AN92" i="11"/>
  <c r="AN97" i="11"/>
  <c r="AJ95" i="11"/>
  <c r="AN93" i="11"/>
  <c r="AO85" i="11"/>
  <c r="AK84" i="11"/>
  <c r="AO80" i="11"/>
  <c r="AO77" i="11"/>
  <c r="AK76" i="11"/>
  <c r="AO72" i="11"/>
  <c r="AO69" i="11"/>
  <c r="AO60" i="11"/>
  <c r="AK59" i="11"/>
  <c r="AK66" i="11"/>
  <c r="AK82" i="11"/>
  <c r="AO78" i="11"/>
  <c r="AO75" i="11"/>
  <c r="AK74" i="11"/>
  <c r="AO70" i="11"/>
  <c r="AO65" i="11"/>
  <c r="AO56" i="11"/>
  <c r="AO63" i="11"/>
  <c r="AK62" i="11"/>
  <c r="AO81" i="11"/>
  <c r="AO73" i="11"/>
  <c r="AO68" i="11"/>
  <c r="AO61" i="11"/>
  <c r="AO58" i="11"/>
  <c r="AJ85" i="11"/>
  <c r="AN83" i="11"/>
  <c r="AJ81" i="11"/>
  <c r="AN79" i="11"/>
  <c r="AJ77" i="11"/>
  <c r="AN75" i="11"/>
  <c r="AJ73" i="11"/>
  <c r="AN71" i="11"/>
  <c r="AJ69" i="11"/>
  <c r="AN67" i="11"/>
  <c r="AJ65" i="11"/>
  <c r="AN63" i="11"/>
  <c r="AJ61" i="11"/>
  <c r="AN59" i="11"/>
  <c r="AJ57" i="11"/>
  <c r="AJ51" i="11"/>
  <c r="AJ47" i="11"/>
  <c r="AJ43" i="11"/>
  <c r="AJ39" i="11"/>
  <c r="AJ33" i="11"/>
  <c r="AN52" i="11"/>
  <c r="AN50" i="11"/>
  <c r="AN48" i="11"/>
  <c r="AN46" i="11"/>
  <c r="AN44" i="11"/>
  <c r="AN42" i="11"/>
  <c r="AN40" i="11"/>
  <c r="AN38" i="11"/>
  <c r="AN36" i="11"/>
  <c r="AN34" i="11"/>
  <c r="AN32" i="11"/>
  <c r="AN30" i="11"/>
  <c r="AN28" i="11"/>
  <c r="AN26" i="11"/>
  <c r="AN53" i="11"/>
  <c r="AN49" i="11"/>
  <c r="AN45" i="11"/>
  <c r="AN41" i="11"/>
  <c r="AN37" i="11"/>
  <c r="AN35" i="11"/>
  <c r="AN31" i="11"/>
  <c r="AN29" i="11"/>
  <c r="AN27" i="11"/>
  <c r="AN25" i="11"/>
  <c r="AJ24" i="11"/>
  <c r="AK16" i="11"/>
  <c r="AO17" i="11"/>
  <c r="AO15" i="11"/>
  <c r="AK12" i="11"/>
  <c r="AK10" i="11"/>
  <c r="AK5" i="11"/>
  <c r="AO9" i="11"/>
  <c r="AO7" i="11"/>
  <c r="AO13" i="11"/>
  <c r="AK8" i="11"/>
  <c r="AJ21" i="11"/>
  <c r="AN19" i="11"/>
  <c r="AJ17" i="11"/>
  <c r="AN15" i="11"/>
  <c r="AJ13" i="11"/>
  <c r="AN11" i="11"/>
  <c r="AJ9" i="11"/>
  <c r="AN7" i="11"/>
  <c r="AN20" i="11"/>
  <c r="AN16" i="11"/>
  <c r="AN12" i="11"/>
  <c r="AN8" i="11"/>
  <c r="AJ5" i="11"/>
  <c r="AO50" i="11"/>
  <c r="AO46" i="11"/>
  <c r="AO42" i="11"/>
  <c r="AO30" i="11"/>
  <c r="AO51" i="11"/>
  <c r="AK49" i="11"/>
  <c r="AO47" i="11"/>
  <c r="AK45" i="11"/>
  <c r="AO43" i="11"/>
  <c r="AK41" i="11"/>
  <c r="AO39" i="11"/>
  <c r="AK37" i="11"/>
  <c r="AO35" i="11"/>
  <c r="AK33" i="11"/>
  <c r="AO31" i="11"/>
  <c r="AK29" i="11"/>
  <c r="AO27" i="11"/>
  <c r="AK25" i="11"/>
  <c r="AO52" i="11"/>
  <c r="AO48" i="11"/>
  <c r="AO44" i="11"/>
  <c r="AO40" i="11"/>
  <c r="AO36" i="11"/>
  <c r="AO32" i="11"/>
  <c r="AO28" i="11"/>
  <c r="AO24" i="11"/>
  <c r="AK26" i="11"/>
  <c r="AK34" i="11"/>
  <c r="AK38" i="11"/>
  <c r="M96" i="9"/>
  <c r="L96" i="9"/>
  <c r="J96" i="9"/>
  <c r="AN188" i="11" l="1"/>
  <c r="AJ188" i="11"/>
  <c r="AJ99" i="11"/>
  <c r="AN99" i="11"/>
  <c r="M107" i="9"/>
  <c r="L107" i="9"/>
  <c r="M92" i="9" l="1"/>
  <c r="L92" i="9"/>
  <c r="J92" i="9"/>
  <c r="M104" i="9" l="1"/>
  <c r="L104" i="9"/>
  <c r="J104" i="9"/>
  <c r="M99" i="9" l="1"/>
  <c r="L99" i="9"/>
  <c r="J99" i="9"/>
  <c r="M98" i="9" l="1"/>
  <c r="L98" i="9"/>
  <c r="J98" i="9"/>
  <c r="M91" i="9"/>
  <c r="L91" i="9"/>
  <c r="D193" i="9" l="1"/>
  <c r="D192" i="9"/>
  <c r="D175" i="9"/>
  <c r="D168" i="9"/>
  <c r="D167" i="9"/>
  <c r="D152" i="9"/>
  <c r="D146" i="9"/>
  <c r="D119" i="9"/>
  <c r="G107" i="9"/>
  <c r="F107" i="9"/>
  <c r="G104" i="9"/>
  <c r="F104" i="9"/>
  <c r="D112" i="9"/>
  <c r="D104" i="9"/>
  <c r="G99" i="9"/>
  <c r="F99" i="9"/>
  <c r="G98" i="9"/>
  <c r="F98" i="9"/>
  <c r="G96" i="9"/>
  <c r="F96" i="9"/>
  <c r="G92" i="9"/>
  <c r="F92" i="9"/>
  <c r="G91" i="9"/>
  <c r="F91" i="9"/>
  <c r="D99" i="9"/>
  <c r="D98" i="9"/>
  <c r="D96" i="9"/>
  <c r="D92" i="9"/>
  <c r="D87" i="9"/>
  <c r="D54" i="9"/>
  <c r="D22" i="9"/>
  <c r="AB187" i="11" l="1"/>
  <c r="AB172" i="11"/>
  <c r="AB166" i="11"/>
  <c r="AB151" i="11"/>
  <c r="AB145" i="11"/>
  <c r="AB118" i="11"/>
  <c r="AC106" i="11"/>
  <c r="AC103" i="11"/>
  <c r="AB103" i="11"/>
  <c r="AD90" i="11" s="1"/>
  <c r="AC98" i="11"/>
  <c r="AC97" i="11"/>
  <c r="AC95" i="11"/>
  <c r="AC91" i="11"/>
  <c r="AC90" i="11"/>
  <c r="AB98" i="11"/>
  <c r="AB97" i="11"/>
  <c r="AB95" i="11"/>
  <c r="AB91" i="11"/>
  <c r="AB86" i="11"/>
  <c r="AB53" i="11"/>
  <c r="AB21" i="11"/>
  <c r="AE186" i="11"/>
  <c r="AD186" i="11"/>
  <c r="AE185" i="11"/>
  <c r="AD185" i="11"/>
  <c r="AE184" i="11"/>
  <c r="AD184" i="11"/>
  <c r="AE183" i="11"/>
  <c r="AD183" i="11"/>
  <c r="AE182" i="11"/>
  <c r="AD182" i="11"/>
  <c r="AE181" i="11"/>
  <c r="AD181" i="11"/>
  <c r="AE180" i="11"/>
  <c r="AD180" i="11"/>
  <c r="AE179" i="11"/>
  <c r="AD179" i="11"/>
  <c r="AE178" i="11"/>
  <c r="AD178" i="11"/>
  <c r="AE177" i="11"/>
  <c r="AD177" i="11"/>
  <c r="AE176" i="11"/>
  <c r="AD176" i="11"/>
  <c r="AE175" i="11"/>
  <c r="AD175" i="11"/>
  <c r="AE171" i="11"/>
  <c r="AD171" i="11"/>
  <c r="AE170" i="11"/>
  <c r="AD170" i="11"/>
  <c r="AE165" i="11"/>
  <c r="AD165" i="11"/>
  <c r="AE164" i="11"/>
  <c r="AD164" i="11"/>
  <c r="AE163" i="11"/>
  <c r="AD163" i="11"/>
  <c r="AE162" i="11"/>
  <c r="AD162" i="11"/>
  <c r="AE161" i="11"/>
  <c r="AD161" i="11"/>
  <c r="AE160" i="11"/>
  <c r="AD160" i="11"/>
  <c r="AE159" i="11"/>
  <c r="AD159" i="11"/>
  <c r="AE156" i="11"/>
  <c r="AD156" i="11"/>
  <c r="AE155" i="11"/>
  <c r="AD155" i="11"/>
  <c r="AE150" i="11"/>
  <c r="AD150" i="11"/>
  <c r="AE149" i="11"/>
  <c r="AD149" i="11"/>
  <c r="AE148" i="11"/>
  <c r="AD148" i="11"/>
  <c r="AE144" i="11"/>
  <c r="AD144" i="11"/>
  <c r="AE143" i="11"/>
  <c r="AD143" i="11"/>
  <c r="AE142" i="11"/>
  <c r="AD142" i="11"/>
  <c r="AE141" i="11"/>
  <c r="AD141" i="11"/>
  <c r="AE140" i="11"/>
  <c r="AD140" i="11"/>
  <c r="AE139" i="11"/>
  <c r="AD139" i="11"/>
  <c r="AE138" i="11"/>
  <c r="AD138" i="11"/>
  <c r="AE137" i="11"/>
  <c r="AD137" i="11"/>
  <c r="AE136" i="11"/>
  <c r="AD136" i="11"/>
  <c r="AE135" i="11"/>
  <c r="AD135" i="11"/>
  <c r="AE134" i="11"/>
  <c r="AD134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21" i="11"/>
  <c r="AD121" i="11"/>
  <c r="AE117" i="11"/>
  <c r="AD117" i="11"/>
  <c r="AE116" i="11"/>
  <c r="AD116" i="11"/>
  <c r="AE115" i="11"/>
  <c r="AD115" i="11"/>
  <c r="AE114" i="11"/>
  <c r="AD114" i="11"/>
  <c r="AE110" i="11"/>
  <c r="AD110" i="11"/>
  <c r="AE109" i="11"/>
  <c r="AD109" i="11"/>
  <c r="AE108" i="11"/>
  <c r="AD108" i="11"/>
  <c r="AE107" i="11"/>
  <c r="AD107" i="11"/>
  <c r="AD106" i="11"/>
  <c r="AE105" i="11"/>
  <c r="AD105" i="11"/>
  <c r="AE104" i="11"/>
  <c r="AD104" i="11"/>
  <c r="AE102" i="11"/>
  <c r="AD102" i="11"/>
  <c r="AE99" i="11"/>
  <c r="AE96" i="11"/>
  <c r="AD96" i="11"/>
  <c r="AE94" i="11"/>
  <c r="AD94" i="11"/>
  <c r="AE93" i="11"/>
  <c r="AD93" i="11"/>
  <c r="AE92" i="11"/>
  <c r="AD92" i="11"/>
  <c r="AE85" i="11"/>
  <c r="AD85" i="11"/>
  <c r="AE84" i="11"/>
  <c r="AD84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2" i="11"/>
  <c r="AD52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0" i="11"/>
  <c r="AD20" i="11"/>
  <c r="AE19" i="11"/>
  <c r="AD19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J10" i="1"/>
  <c r="I10" i="1"/>
  <c r="H10" i="1"/>
  <c r="G10" i="1"/>
  <c r="F10" i="1"/>
  <c r="E10" i="1"/>
  <c r="D10" i="1"/>
  <c r="C10" i="1"/>
  <c r="AD97" i="11" l="1"/>
  <c r="AB111" i="11"/>
  <c r="AB167" i="11"/>
  <c r="AA104" i="11"/>
  <c r="Z94" i="11"/>
  <c r="AA94" i="11"/>
  <c r="Z82" i="11"/>
  <c r="V82" i="11"/>
  <c r="R82" i="11"/>
  <c r="N82" i="11"/>
  <c r="J82" i="11"/>
  <c r="F82" i="11"/>
  <c r="X187" i="11"/>
  <c r="AD187" i="11" s="1"/>
  <c r="X172" i="11"/>
  <c r="X166" i="11"/>
  <c r="AD166" i="11" s="1"/>
  <c r="X151" i="11"/>
  <c r="AD151" i="11" s="1"/>
  <c r="X145" i="11"/>
  <c r="AD145" i="11" s="1"/>
  <c r="X118" i="11"/>
  <c r="AD118" i="11" s="1"/>
  <c r="Y106" i="11"/>
  <c r="AE106" i="11" s="1"/>
  <c r="Y103" i="11"/>
  <c r="AE103" i="11" s="1"/>
  <c r="X103" i="11"/>
  <c r="AD103" i="11" s="1"/>
  <c r="Y98" i="11"/>
  <c r="AE98" i="11" s="1"/>
  <c r="Y97" i="11"/>
  <c r="AE97" i="11" s="1"/>
  <c r="Y95" i="11"/>
  <c r="AE95" i="11" s="1"/>
  <c r="Y91" i="11"/>
  <c r="AE91" i="11" s="1"/>
  <c r="Y90" i="11"/>
  <c r="AE90" i="11" s="1"/>
  <c r="X98" i="11"/>
  <c r="AD98" i="11" s="1"/>
  <c r="X97" i="11"/>
  <c r="X95" i="11"/>
  <c r="AD95" i="11" s="1"/>
  <c r="X91" i="11"/>
  <c r="AD91" i="11" s="1"/>
  <c r="X86" i="11"/>
  <c r="AD86" i="11" s="1"/>
  <c r="X53" i="11"/>
  <c r="AD53" i="11" s="1"/>
  <c r="X21" i="11"/>
  <c r="AD21" i="11" s="1"/>
  <c r="J94" i="11"/>
  <c r="K94" i="11"/>
  <c r="N94" i="11"/>
  <c r="O94" i="11"/>
  <c r="R94" i="11"/>
  <c r="S94" i="11"/>
  <c r="V94" i="11"/>
  <c r="W94" i="11"/>
  <c r="F94" i="11"/>
  <c r="G94" i="11"/>
  <c r="AA186" i="11"/>
  <c r="Z186" i="11"/>
  <c r="AA185" i="11"/>
  <c r="Z185" i="11"/>
  <c r="AA184" i="11"/>
  <c r="Z184" i="11"/>
  <c r="AA183" i="11"/>
  <c r="Z183" i="11"/>
  <c r="AA182" i="11"/>
  <c r="Z182" i="11"/>
  <c r="AA181" i="11"/>
  <c r="Z181" i="11"/>
  <c r="AA180" i="11"/>
  <c r="Z180" i="11"/>
  <c r="AA179" i="11"/>
  <c r="Z179" i="11"/>
  <c r="AA178" i="11"/>
  <c r="Z178" i="11"/>
  <c r="AA177" i="11"/>
  <c r="Z177" i="11"/>
  <c r="AA176" i="11"/>
  <c r="Z176" i="11"/>
  <c r="AA175" i="11"/>
  <c r="Z175" i="11"/>
  <c r="AA171" i="11"/>
  <c r="Z171" i="11"/>
  <c r="AA170" i="11"/>
  <c r="Z170" i="11"/>
  <c r="AA165" i="11"/>
  <c r="Z165" i="11"/>
  <c r="AA164" i="11"/>
  <c r="Z164" i="11"/>
  <c r="AA163" i="11"/>
  <c r="Z163" i="11"/>
  <c r="AA162" i="11"/>
  <c r="Z162" i="11"/>
  <c r="AA161" i="11"/>
  <c r="Z161" i="11"/>
  <c r="AA160" i="11"/>
  <c r="Z160" i="11"/>
  <c r="AA159" i="11"/>
  <c r="Z159" i="11"/>
  <c r="AA156" i="11"/>
  <c r="Z156" i="11"/>
  <c r="AA155" i="11"/>
  <c r="Z155" i="11"/>
  <c r="AA150" i="11"/>
  <c r="Z150" i="11"/>
  <c r="AA149" i="11"/>
  <c r="Z149" i="11"/>
  <c r="AA148" i="11"/>
  <c r="Z148" i="11"/>
  <c r="AA144" i="11"/>
  <c r="Z144" i="11"/>
  <c r="AA143" i="11"/>
  <c r="Z143" i="11"/>
  <c r="AA142" i="11"/>
  <c r="Z142" i="11"/>
  <c r="AA141" i="11"/>
  <c r="Z141" i="11"/>
  <c r="AA140" i="11"/>
  <c r="Z140" i="11"/>
  <c r="AA139" i="11"/>
  <c r="Z139" i="11"/>
  <c r="AA138" i="11"/>
  <c r="Z138" i="11"/>
  <c r="AA137" i="11"/>
  <c r="Z137" i="11"/>
  <c r="AA136" i="11"/>
  <c r="Z136" i="11"/>
  <c r="AA135" i="11"/>
  <c r="Z135" i="11"/>
  <c r="AA134" i="11"/>
  <c r="Z134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5" i="11"/>
  <c r="Z125" i="11"/>
  <c r="AA124" i="11"/>
  <c r="Z124" i="11"/>
  <c r="AA123" i="11"/>
  <c r="Z123" i="11"/>
  <c r="AA122" i="11"/>
  <c r="Z122" i="11"/>
  <c r="AA121" i="11"/>
  <c r="Z121" i="11"/>
  <c r="AA117" i="11"/>
  <c r="Z117" i="11"/>
  <c r="AA116" i="11"/>
  <c r="Z116" i="11"/>
  <c r="AA115" i="11"/>
  <c r="Z115" i="11"/>
  <c r="AA114" i="11"/>
  <c r="Z114" i="11"/>
  <c r="AA110" i="11"/>
  <c r="Z110" i="11"/>
  <c r="AA109" i="11"/>
  <c r="Z109" i="11"/>
  <c r="AA108" i="11"/>
  <c r="Z108" i="11"/>
  <c r="AA107" i="11"/>
  <c r="Z107" i="11"/>
  <c r="Z106" i="11"/>
  <c r="AA105" i="11"/>
  <c r="Z105" i="11"/>
  <c r="Z104" i="11"/>
  <c r="AA102" i="11"/>
  <c r="Z102" i="11"/>
  <c r="AA99" i="11"/>
  <c r="AA96" i="11"/>
  <c r="Z96" i="11"/>
  <c r="AA93" i="11"/>
  <c r="Z93" i="11"/>
  <c r="AA92" i="11"/>
  <c r="Z92" i="11"/>
  <c r="AA85" i="11"/>
  <c r="Z85" i="11"/>
  <c r="AA84" i="11"/>
  <c r="Z84" i="11"/>
  <c r="AA83" i="11"/>
  <c r="Z83" i="11"/>
  <c r="AA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2" i="11"/>
  <c r="Z52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0" i="11"/>
  <c r="Z20" i="11"/>
  <c r="AA19" i="11"/>
  <c r="Z19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AB188" i="11" l="1"/>
  <c r="AD99" i="11"/>
  <c r="X111" i="11"/>
  <c r="Z90" i="11"/>
  <c r="Z99" i="11" l="1"/>
  <c r="X167" i="11"/>
  <c r="AD167" i="11" s="1"/>
  <c r="Q95" i="9"/>
  <c r="X188" i="11" l="1"/>
  <c r="AD188" i="11" s="1"/>
  <c r="P95" i="9"/>
  <c r="S95" i="9"/>
  <c r="R95" i="9"/>
  <c r="P94" i="9"/>
  <c r="E95" i="9" l="1"/>
  <c r="V160" i="11" l="1"/>
  <c r="V161" i="11"/>
  <c r="V162" i="11"/>
  <c r="V163" i="11"/>
  <c r="V164" i="11"/>
  <c r="V165" i="11"/>
  <c r="R160" i="11"/>
  <c r="R161" i="11"/>
  <c r="R162" i="11"/>
  <c r="R163" i="11"/>
  <c r="R164" i="11"/>
  <c r="R165" i="11"/>
  <c r="N160" i="11"/>
  <c r="N161" i="11"/>
  <c r="N162" i="11"/>
  <c r="N163" i="11"/>
  <c r="N164" i="11"/>
  <c r="N165" i="11"/>
  <c r="J160" i="11"/>
  <c r="J161" i="11"/>
  <c r="J162" i="11"/>
  <c r="J163" i="11"/>
  <c r="J164" i="11"/>
  <c r="J165" i="11"/>
  <c r="F160" i="11"/>
  <c r="F161" i="11"/>
  <c r="F162" i="11"/>
  <c r="F163" i="11"/>
  <c r="F164" i="11"/>
  <c r="F165" i="11"/>
  <c r="H91" i="11"/>
  <c r="N91" i="11" s="1"/>
  <c r="D91" i="11"/>
  <c r="J91" i="11" s="1"/>
  <c r="I91" i="11"/>
  <c r="V109" i="11"/>
  <c r="W109" i="11"/>
  <c r="R109" i="11"/>
  <c r="S109" i="11"/>
  <c r="N109" i="11"/>
  <c r="O109" i="11"/>
  <c r="J109" i="11"/>
  <c r="K109" i="11"/>
  <c r="F109" i="11"/>
  <c r="G109" i="11"/>
  <c r="T145" i="11"/>
  <c r="Z145" i="11" s="1"/>
  <c r="W123" i="11"/>
  <c r="V123" i="11"/>
  <c r="S123" i="11"/>
  <c r="R123" i="11"/>
  <c r="O123" i="11"/>
  <c r="N123" i="11"/>
  <c r="K123" i="11"/>
  <c r="J123" i="11"/>
  <c r="G123" i="11"/>
  <c r="F123" i="11"/>
  <c r="W133" i="11"/>
  <c r="V133" i="11"/>
  <c r="S133" i="11"/>
  <c r="R133" i="11"/>
  <c r="O133" i="11"/>
  <c r="N133" i="11"/>
  <c r="K133" i="11"/>
  <c r="J133" i="11"/>
  <c r="G133" i="11"/>
  <c r="F133" i="11"/>
  <c r="W132" i="11"/>
  <c r="V132" i="11"/>
  <c r="S132" i="11"/>
  <c r="R132" i="11"/>
  <c r="O132" i="11"/>
  <c r="N132" i="11"/>
  <c r="K132" i="11"/>
  <c r="J132" i="11"/>
  <c r="G132" i="11"/>
  <c r="F132" i="11"/>
  <c r="V96" i="11"/>
  <c r="R96" i="11"/>
  <c r="N96" i="11"/>
  <c r="J96" i="11"/>
  <c r="F96" i="11"/>
  <c r="W16" i="11"/>
  <c r="V16" i="11"/>
  <c r="T187" i="11" l="1"/>
  <c r="Z187" i="11" s="1"/>
  <c r="T172" i="11"/>
  <c r="T166" i="11"/>
  <c r="Z166" i="11" s="1"/>
  <c r="T151" i="11"/>
  <c r="Z151" i="11" s="1"/>
  <c r="T118" i="11"/>
  <c r="Z118" i="11" s="1"/>
  <c r="U106" i="11"/>
  <c r="AA106" i="11" s="1"/>
  <c r="U103" i="11"/>
  <c r="AA103" i="11" s="1"/>
  <c r="T103" i="11"/>
  <c r="Z103" i="11" s="1"/>
  <c r="U98" i="11"/>
  <c r="AA98" i="11" s="1"/>
  <c r="U97" i="11"/>
  <c r="AA97" i="11" s="1"/>
  <c r="U95" i="11"/>
  <c r="AA95" i="11" s="1"/>
  <c r="U91" i="11"/>
  <c r="AA91" i="11" s="1"/>
  <c r="U90" i="11"/>
  <c r="AA90" i="11" s="1"/>
  <c r="T98" i="11"/>
  <c r="Z98" i="11" s="1"/>
  <c r="T97" i="11"/>
  <c r="Z97" i="11" s="1"/>
  <c r="T95" i="11"/>
  <c r="Z95" i="11" s="1"/>
  <c r="T91" i="11"/>
  <c r="Z91" i="11" s="1"/>
  <c r="T86" i="11"/>
  <c r="Z86" i="11" s="1"/>
  <c r="T53" i="11"/>
  <c r="Z53" i="11" s="1"/>
  <c r="T21" i="11"/>
  <c r="Z21" i="11" s="1"/>
  <c r="W177" i="11"/>
  <c r="V177" i="11"/>
  <c r="W178" i="11"/>
  <c r="V178" i="11"/>
  <c r="W175" i="11"/>
  <c r="V175" i="11"/>
  <c r="W180" i="11"/>
  <c r="V180" i="11"/>
  <c r="W181" i="11"/>
  <c r="V181" i="11"/>
  <c r="W176" i="11"/>
  <c r="V176" i="11"/>
  <c r="W179" i="11"/>
  <c r="V179" i="11"/>
  <c r="W184" i="11"/>
  <c r="V184" i="11"/>
  <c r="W186" i="11"/>
  <c r="V186" i="11"/>
  <c r="W182" i="11"/>
  <c r="V182" i="11"/>
  <c r="W183" i="11"/>
  <c r="V183" i="11"/>
  <c r="W185" i="11"/>
  <c r="V185" i="11"/>
  <c r="W171" i="11"/>
  <c r="V171" i="11"/>
  <c r="W170" i="11"/>
  <c r="V170" i="11"/>
  <c r="W165" i="11"/>
  <c r="W164" i="11"/>
  <c r="W163" i="11"/>
  <c r="W162" i="11"/>
  <c r="W161" i="11"/>
  <c r="W160" i="11"/>
  <c r="W159" i="11"/>
  <c r="V159" i="11"/>
  <c r="W156" i="11"/>
  <c r="V156" i="11"/>
  <c r="W155" i="11"/>
  <c r="V155" i="11"/>
  <c r="W150" i="11"/>
  <c r="V150" i="11"/>
  <c r="W149" i="11"/>
  <c r="V149" i="11"/>
  <c r="W148" i="11"/>
  <c r="V148" i="11"/>
  <c r="W144" i="11"/>
  <c r="V144" i="11"/>
  <c r="W143" i="11"/>
  <c r="V143" i="11"/>
  <c r="W142" i="11"/>
  <c r="V142" i="11"/>
  <c r="W141" i="11"/>
  <c r="V141" i="11"/>
  <c r="W140" i="11"/>
  <c r="V140" i="11"/>
  <c r="W139" i="11"/>
  <c r="V139" i="11"/>
  <c r="W138" i="11"/>
  <c r="V138" i="11"/>
  <c r="W137" i="11"/>
  <c r="V137" i="11"/>
  <c r="W136" i="11"/>
  <c r="V136" i="11"/>
  <c r="W135" i="11"/>
  <c r="V135" i="11"/>
  <c r="W134" i="11"/>
  <c r="V134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5" i="11"/>
  <c r="V125" i="11"/>
  <c r="W124" i="11"/>
  <c r="V124" i="11"/>
  <c r="W122" i="11"/>
  <c r="V122" i="11"/>
  <c r="W121" i="11"/>
  <c r="V121" i="11"/>
  <c r="W117" i="11"/>
  <c r="V117" i="11"/>
  <c r="W116" i="11"/>
  <c r="V116" i="11"/>
  <c r="W115" i="11"/>
  <c r="V115" i="11"/>
  <c r="W114" i="11"/>
  <c r="V114" i="11"/>
  <c r="W110" i="11"/>
  <c r="V110" i="11"/>
  <c r="W108" i="11"/>
  <c r="V108" i="11"/>
  <c r="W107" i="11"/>
  <c r="V107" i="11"/>
  <c r="V106" i="11"/>
  <c r="W105" i="11"/>
  <c r="V105" i="11"/>
  <c r="W104" i="11"/>
  <c r="V104" i="11"/>
  <c r="W102" i="11"/>
  <c r="V102" i="11"/>
  <c r="W99" i="11"/>
  <c r="W96" i="11"/>
  <c r="W93" i="11"/>
  <c r="V93" i="11"/>
  <c r="W92" i="11"/>
  <c r="V92" i="11"/>
  <c r="W85" i="11"/>
  <c r="V85" i="11"/>
  <c r="W84" i="11"/>
  <c r="V84" i="11"/>
  <c r="W83" i="11"/>
  <c r="V83" i="11"/>
  <c r="W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2" i="11"/>
  <c r="V52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0" i="11"/>
  <c r="V20" i="11"/>
  <c r="W19" i="11"/>
  <c r="V19" i="11"/>
  <c r="W18" i="11"/>
  <c r="V18" i="11"/>
  <c r="W17" i="11"/>
  <c r="V17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11" i="11" l="1"/>
  <c r="V90" i="11"/>
  <c r="V99" i="11" l="1"/>
  <c r="T167" i="11"/>
  <c r="Z167" i="11" s="1"/>
  <c r="J152" i="9"/>
  <c r="K150" i="9" s="1"/>
  <c r="T188" i="11" l="1"/>
  <c r="Z188" i="11" s="1"/>
  <c r="K149" i="9"/>
  <c r="K151" i="9"/>
  <c r="S171" i="11" l="1"/>
  <c r="R171" i="11"/>
  <c r="O171" i="11"/>
  <c r="N171" i="11"/>
  <c r="K171" i="11"/>
  <c r="J171" i="11"/>
  <c r="G171" i="11"/>
  <c r="F171" i="11"/>
  <c r="P187" i="11"/>
  <c r="V187" i="11" s="1"/>
  <c r="P172" i="11"/>
  <c r="P166" i="11"/>
  <c r="P151" i="11"/>
  <c r="V151" i="11" s="1"/>
  <c r="P145" i="11"/>
  <c r="V145" i="11" s="1"/>
  <c r="P118" i="11"/>
  <c r="V118" i="11" s="1"/>
  <c r="Q103" i="11"/>
  <c r="W103" i="11" s="1"/>
  <c r="Q106" i="11"/>
  <c r="W106" i="11" s="1"/>
  <c r="P103" i="11"/>
  <c r="V103" i="11" s="1"/>
  <c r="Q97" i="11"/>
  <c r="W97" i="11" s="1"/>
  <c r="Q95" i="11"/>
  <c r="W95" i="11" s="1"/>
  <c r="Q91" i="11"/>
  <c r="W91" i="11" s="1"/>
  <c r="Q90" i="11"/>
  <c r="W90" i="11" s="1"/>
  <c r="Q98" i="11"/>
  <c r="W98" i="11" s="1"/>
  <c r="P97" i="11"/>
  <c r="V97" i="11" s="1"/>
  <c r="P95" i="11"/>
  <c r="V95" i="11" s="1"/>
  <c r="P91" i="11"/>
  <c r="V91" i="11" s="1"/>
  <c r="P98" i="11"/>
  <c r="V98" i="11" s="1"/>
  <c r="P86" i="11"/>
  <c r="V86" i="11" s="1"/>
  <c r="P53" i="11"/>
  <c r="V53" i="11" s="1"/>
  <c r="P21" i="11"/>
  <c r="V21" i="11" s="1"/>
  <c r="V166" i="11" l="1"/>
  <c r="P111" i="11"/>
  <c r="R99" i="11" s="1"/>
  <c r="S177" i="11"/>
  <c r="R177" i="11"/>
  <c r="S178" i="11"/>
  <c r="R178" i="11"/>
  <c r="S175" i="11"/>
  <c r="R175" i="11"/>
  <c r="S180" i="11"/>
  <c r="R180" i="11"/>
  <c r="S181" i="11"/>
  <c r="R181" i="11"/>
  <c r="S176" i="11"/>
  <c r="R176" i="11"/>
  <c r="S179" i="11"/>
  <c r="R179" i="11"/>
  <c r="S184" i="11"/>
  <c r="R184" i="11"/>
  <c r="S186" i="11"/>
  <c r="R186" i="11"/>
  <c r="S182" i="11"/>
  <c r="R182" i="11"/>
  <c r="S183" i="11"/>
  <c r="R183" i="11"/>
  <c r="S185" i="11"/>
  <c r="R185" i="11"/>
  <c r="S170" i="11"/>
  <c r="R170" i="11"/>
  <c r="S161" i="11"/>
  <c r="S160" i="11"/>
  <c r="S159" i="11"/>
  <c r="R159" i="11"/>
  <c r="S163" i="11"/>
  <c r="S165" i="11"/>
  <c r="S162" i="11"/>
  <c r="S164" i="11"/>
  <c r="S156" i="11"/>
  <c r="R156" i="11"/>
  <c r="S155" i="11"/>
  <c r="R155" i="11"/>
  <c r="S148" i="11"/>
  <c r="R148" i="11"/>
  <c r="S150" i="11"/>
  <c r="R150" i="11"/>
  <c r="S149" i="11"/>
  <c r="R149" i="11"/>
  <c r="S139" i="11"/>
  <c r="R139" i="11"/>
  <c r="S129" i="11"/>
  <c r="R129" i="11"/>
  <c r="S127" i="11"/>
  <c r="R127" i="11"/>
  <c r="S130" i="11"/>
  <c r="R130" i="11"/>
  <c r="S136" i="11"/>
  <c r="R136" i="11"/>
  <c r="S124" i="11"/>
  <c r="R124" i="11"/>
  <c r="S134" i="11"/>
  <c r="R134" i="11"/>
  <c r="S126" i="11"/>
  <c r="R126" i="11"/>
  <c r="S121" i="11"/>
  <c r="R121" i="11"/>
  <c r="S128" i="11"/>
  <c r="R128" i="11"/>
  <c r="S141" i="11"/>
  <c r="R141" i="11"/>
  <c r="S137" i="11"/>
  <c r="R137" i="11"/>
  <c r="S143" i="11"/>
  <c r="R143" i="11"/>
  <c r="S135" i="11"/>
  <c r="R135" i="11"/>
  <c r="S125" i="11"/>
  <c r="R125" i="11"/>
  <c r="S142" i="11"/>
  <c r="R142" i="11"/>
  <c r="S131" i="11"/>
  <c r="R131" i="11"/>
  <c r="S122" i="11"/>
  <c r="R122" i="11"/>
  <c r="S140" i="11"/>
  <c r="R140" i="11"/>
  <c r="S144" i="11"/>
  <c r="R144" i="11"/>
  <c r="S138" i="11"/>
  <c r="R138" i="11"/>
  <c r="S114" i="11"/>
  <c r="R114" i="11"/>
  <c r="S117" i="11"/>
  <c r="R117" i="11"/>
  <c r="S116" i="11"/>
  <c r="R116" i="11"/>
  <c r="S115" i="11"/>
  <c r="R115" i="11"/>
  <c r="R106" i="11"/>
  <c r="S107" i="11"/>
  <c r="R107" i="11"/>
  <c r="S105" i="11"/>
  <c r="R105" i="11"/>
  <c r="S102" i="11"/>
  <c r="R102" i="11"/>
  <c r="S104" i="11"/>
  <c r="R104" i="11"/>
  <c r="S110" i="11"/>
  <c r="R110" i="11"/>
  <c r="S108" i="11"/>
  <c r="R108" i="11"/>
  <c r="S92" i="11"/>
  <c r="R92" i="11"/>
  <c r="R90" i="11"/>
  <c r="S96" i="11"/>
  <c r="S99" i="11"/>
  <c r="S93" i="11"/>
  <c r="R93" i="11"/>
  <c r="S82" i="11"/>
  <c r="S65" i="11"/>
  <c r="R65" i="11"/>
  <c r="S58" i="11"/>
  <c r="R58" i="11"/>
  <c r="S63" i="11"/>
  <c r="R63" i="11"/>
  <c r="S74" i="11"/>
  <c r="R74" i="11"/>
  <c r="S60" i="11"/>
  <c r="R60" i="11"/>
  <c r="S59" i="11"/>
  <c r="R59" i="11"/>
  <c r="S80" i="11"/>
  <c r="R80" i="11"/>
  <c r="S57" i="11"/>
  <c r="R57" i="11"/>
  <c r="S56" i="11"/>
  <c r="R56" i="11"/>
  <c r="S64" i="11"/>
  <c r="R64" i="11"/>
  <c r="S70" i="11"/>
  <c r="R70" i="11"/>
  <c r="S66" i="11"/>
  <c r="R66" i="11"/>
  <c r="S69" i="11"/>
  <c r="R69" i="11"/>
  <c r="S72" i="11"/>
  <c r="R72" i="11"/>
  <c r="S75" i="11"/>
  <c r="R75" i="11"/>
  <c r="S79" i="11"/>
  <c r="R79" i="11"/>
  <c r="S77" i="11"/>
  <c r="R77" i="11"/>
  <c r="S71" i="11"/>
  <c r="R71" i="11"/>
  <c r="S76" i="11"/>
  <c r="R76" i="11"/>
  <c r="S81" i="11"/>
  <c r="R81" i="11"/>
  <c r="S61" i="11"/>
  <c r="R61" i="11"/>
  <c r="S85" i="11"/>
  <c r="R85" i="11"/>
  <c r="S84" i="11"/>
  <c r="R84" i="11"/>
  <c r="S83" i="11"/>
  <c r="R83" i="11"/>
  <c r="S62" i="11"/>
  <c r="R62" i="11"/>
  <c r="S67" i="11"/>
  <c r="R67" i="11"/>
  <c r="S68" i="11"/>
  <c r="R68" i="11"/>
  <c r="S73" i="11"/>
  <c r="R73" i="11"/>
  <c r="S78" i="11"/>
  <c r="R78" i="11"/>
  <c r="S44" i="11"/>
  <c r="R44" i="11"/>
  <c r="S33" i="11"/>
  <c r="R33" i="11"/>
  <c r="S37" i="11"/>
  <c r="R37" i="11"/>
  <c r="S45" i="11"/>
  <c r="R45" i="11"/>
  <c r="S50" i="11"/>
  <c r="R50" i="11"/>
  <c r="S48" i="11"/>
  <c r="R48" i="11"/>
  <c r="S27" i="11"/>
  <c r="R27" i="11"/>
  <c r="S38" i="11"/>
  <c r="R38" i="11"/>
  <c r="S31" i="11"/>
  <c r="R31" i="11"/>
  <c r="S51" i="11"/>
  <c r="R51" i="11"/>
  <c r="S40" i="11"/>
  <c r="R40" i="11"/>
  <c r="S42" i="11"/>
  <c r="R42" i="11"/>
  <c r="S25" i="11"/>
  <c r="R25" i="11"/>
  <c r="S52" i="11"/>
  <c r="R52" i="11"/>
  <c r="S34" i="11"/>
  <c r="R34" i="11"/>
  <c r="S36" i="11"/>
  <c r="R36" i="11"/>
  <c r="S35" i="11"/>
  <c r="R35" i="11"/>
  <c r="S24" i="11"/>
  <c r="R24" i="11"/>
  <c r="S30" i="11"/>
  <c r="R30" i="11"/>
  <c r="S46" i="11"/>
  <c r="R46" i="11"/>
  <c r="S32" i="11"/>
  <c r="R32" i="11"/>
  <c r="S41" i="11"/>
  <c r="R41" i="11"/>
  <c r="S29" i="11"/>
  <c r="R29" i="11"/>
  <c r="S43" i="11"/>
  <c r="R43" i="11"/>
  <c r="S28" i="11"/>
  <c r="R28" i="11"/>
  <c r="S26" i="11"/>
  <c r="R26" i="11"/>
  <c r="S49" i="11"/>
  <c r="R49" i="11"/>
  <c r="S39" i="11"/>
  <c r="R39" i="11"/>
  <c r="S47" i="11"/>
  <c r="R47" i="11"/>
  <c r="S18" i="11"/>
  <c r="R18" i="11"/>
  <c r="S11" i="11"/>
  <c r="R11" i="11"/>
  <c r="S6" i="11"/>
  <c r="R6" i="11"/>
  <c r="S14" i="11"/>
  <c r="R14" i="11"/>
  <c r="S20" i="11"/>
  <c r="R20" i="11"/>
  <c r="S8" i="11"/>
  <c r="R8" i="11"/>
  <c r="S16" i="11"/>
  <c r="R16" i="11"/>
  <c r="S13" i="11"/>
  <c r="R13" i="11"/>
  <c r="S9" i="11"/>
  <c r="R9" i="11"/>
  <c r="S7" i="11"/>
  <c r="R7" i="11"/>
  <c r="S19" i="11"/>
  <c r="R19" i="11"/>
  <c r="S5" i="11"/>
  <c r="R5" i="11"/>
  <c r="S15" i="11"/>
  <c r="R15" i="11"/>
  <c r="S10" i="11"/>
  <c r="R10" i="11"/>
  <c r="S12" i="11"/>
  <c r="R12" i="11"/>
  <c r="S17" i="11"/>
  <c r="R17" i="11"/>
  <c r="P167" i="11" l="1"/>
  <c r="V167" i="11" l="1"/>
  <c r="P188" i="11"/>
  <c r="V188" i="11" s="1"/>
  <c r="L187" i="11"/>
  <c r="R187" i="11" s="1"/>
  <c r="L172" i="11"/>
  <c r="L166" i="11"/>
  <c r="L151" i="11"/>
  <c r="R151" i="11" s="1"/>
  <c r="L145" i="11"/>
  <c r="R145" i="11" s="1"/>
  <c r="L118" i="11"/>
  <c r="R118" i="11" s="1"/>
  <c r="M103" i="11"/>
  <c r="S103" i="11" s="1"/>
  <c r="M106" i="11"/>
  <c r="S106" i="11" s="1"/>
  <c r="L103" i="11"/>
  <c r="R103" i="11" s="1"/>
  <c r="M97" i="11"/>
  <c r="S97" i="11" s="1"/>
  <c r="M95" i="11"/>
  <c r="S95" i="11" s="1"/>
  <c r="M91" i="11"/>
  <c r="S91" i="11" s="1"/>
  <c r="M90" i="11"/>
  <c r="S90" i="11" s="1"/>
  <c r="M98" i="11"/>
  <c r="S98" i="11" s="1"/>
  <c r="L97" i="11"/>
  <c r="R97" i="11" s="1"/>
  <c r="L95" i="11"/>
  <c r="R95" i="11" s="1"/>
  <c r="L91" i="11"/>
  <c r="R91" i="11" s="1"/>
  <c r="L98" i="11"/>
  <c r="R98" i="11" s="1"/>
  <c r="L86" i="11"/>
  <c r="R86" i="11" s="1"/>
  <c r="L53" i="11"/>
  <c r="R53" i="11" s="1"/>
  <c r="L21" i="11"/>
  <c r="R21" i="11" s="1"/>
  <c r="O177" i="11"/>
  <c r="N177" i="11"/>
  <c r="O178" i="11"/>
  <c r="N178" i="11"/>
  <c r="O175" i="11"/>
  <c r="N175" i="11"/>
  <c r="O180" i="11"/>
  <c r="N180" i="11"/>
  <c r="O181" i="11"/>
  <c r="N181" i="11"/>
  <c r="O176" i="11"/>
  <c r="N176" i="11"/>
  <c r="O179" i="11"/>
  <c r="N179" i="11"/>
  <c r="O184" i="11"/>
  <c r="N184" i="11"/>
  <c r="O186" i="11"/>
  <c r="N186" i="11"/>
  <c r="O182" i="11"/>
  <c r="N182" i="11"/>
  <c r="O183" i="11"/>
  <c r="N183" i="11"/>
  <c r="O185" i="11"/>
  <c r="N185" i="11"/>
  <c r="O170" i="11"/>
  <c r="N170" i="11"/>
  <c r="O161" i="11"/>
  <c r="O160" i="11"/>
  <c r="O159" i="11"/>
  <c r="N159" i="11"/>
  <c r="O163" i="11"/>
  <c r="O165" i="11"/>
  <c r="O162" i="11"/>
  <c r="O164" i="11"/>
  <c r="O156" i="11"/>
  <c r="N156" i="11"/>
  <c r="O155" i="11"/>
  <c r="N155" i="11"/>
  <c r="O148" i="11"/>
  <c r="N148" i="11"/>
  <c r="O150" i="11"/>
  <c r="N150" i="11"/>
  <c r="O149" i="11"/>
  <c r="N149" i="11"/>
  <c r="O139" i="11"/>
  <c r="N139" i="11"/>
  <c r="O129" i="11"/>
  <c r="N129" i="11"/>
  <c r="O127" i="11"/>
  <c r="N127" i="11"/>
  <c r="O130" i="11"/>
  <c r="N130" i="11"/>
  <c r="O136" i="11"/>
  <c r="N136" i="11"/>
  <c r="O124" i="11"/>
  <c r="N124" i="11"/>
  <c r="O134" i="11"/>
  <c r="N134" i="11"/>
  <c r="O126" i="11"/>
  <c r="N126" i="11"/>
  <c r="O121" i="11"/>
  <c r="N121" i="11"/>
  <c r="O128" i="11"/>
  <c r="N128" i="11"/>
  <c r="O141" i="11"/>
  <c r="N141" i="11"/>
  <c r="O137" i="11"/>
  <c r="N137" i="11"/>
  <c r="O143" i="11"/>
  <c r="N143" i="11"/>
  <c r="O135" i="11"/>
  <c r="N135" i="11"/>
  <c r="O125" i="11"/>
  <c r="N125" i="11"/>
  <c r="O142" i="11"/>
  <c r="N142" i="11"/>
  <c r="O131" i="11"/>
  <c r="N131" i="11"/>
  <c r="O122" i="11"/>
  <c r="N122" i="11"/>
  <c r="O140" i="11"/>
  <c r="N140" i="11"/>
  <c r="O144" i="11"/>
  <c r="N144" i="11"/>
  <c r="O138" i="11"/>
  <c r="N138" i="11"/>
  <c r="O114" i="11"/>
  <c r="N114" i="11"/>
  <c r="O117" i="11"/>
  <c r="N117" i="11"/>
  <c r="O116" i="11"/>
  <c r="N116" i="11"/>
  <c r="O115" i="11"/>
  <c r="N115" i="11"/>
  <c r="N106" i="11"/>
  <c r="O107" i="11"/>
  <c r="N107" i="11"/>
  <c r="O105" i="11"/>
  <c r="N105" i="11"/>
  <c r="O102" i="11"/>
  <c r="N102" i="11"/>
  <c r="O104" i="11"/>
  <c r="N104" i="11"/>
  <c r="O110" i="11"/>
  <c r="N110" i="11"/>
  <c r="O108" i="11"/>
  <c r="N108" i="11"/>
  <c r="O92" i="11"/>
  <c r="N92" i="11"/>
  <c r="O96" i="11"/>
  <c r="O99" i="11"/>
  <c r="O93" i="11"/>
  <c r="N93" i="11"/>
  <c r="O82" i="11"/>
  <c r="O65" i="11"/>
  <c r="N65" i="11"/>
  <c r="O58" i="11"/>
  <c r="N58" i="11"/>
  <c r="O63" i="11"/>
  <c r="N63" i="11"/>
  <c r="O74" i="11"/>
  <c r="N74" i="11"/>
  <c r="O60" i="11"/>
  <c r="N60" i="11"/>
  <c r="O59" i="11"/>
  <c r="N59" i="11"/>
  <c r="O80" i="11"/>
  <c r="N80" i="11"/>
  <c r="O57" i="11"/>
  <c r="N57" i="11"/>
  <c r="O56" i="11"/>
  <c r="N56" i="11"/>
  <c r="O64" i="11"/>
  <c r="N64" i="11"/>
  <c r="O70" i="11"/>
  <c r="N70" i="11"/>
  <c r="O66" i="11"/>
  <c r="N66" i="11"/>
  <c r="O69" i="11"/>
  <c r="N69" i="11"/>
  <c r="O72" i="11"/>
  <c r="N72" i="11"/>
  <c r="O75" i="11"/>
  <c r="N75" i="11"/>
  <c r="O79" i="11"/>
  <c r="N79" i="11"/>
  <c r="O77" i="11"/>
  <c r="N77" i="11"/>
  <c r="O71" i="11"/>
  <c r="N71" i="11"/>
  <c r="O76" i="11"/>
  <c r="N76" i="11"/>
  <c r="O81" i="11"/>
  <c r="N81" i="11"/>
  <c r="O61" i="11"/>
  <c r="N61" i="11"/>
  <c r="O85" i="11"/>
  <c r="N85" i="11"/>
  <c r="O84" i="11"/>
  <c r="N84" i="11"/>
  <c r="O83" i="11"/>
  <c r="N83" i="11"/>
  <c r="O62" i="11"/>
  <c r="N62" i="11"/>
  <c r="O67" i="11"/>
  <c r="N67" i="11"/>
  <c r="O68" i="11"/>
  <c r="N68" i="11"/>
  <c r="O73" i="11"/>
  <c r="N73" i="11"/>
  <c r="O78" i="11"/>
  <c r="N78" i="11"/>
  <c r="O44" i="11"/>
  <c r="N44" i="11"/>
  <c r="O33" i="11"/>
  <c r="N33" i="11"/>
  <c r="O37" i="11"/>
  <c r="N37" i="11"/>
  <c r="O45" i="11"/>
  <c r="N45" i="11"/>
  <c r="O50" i="11"/>
  <c r="N50" i="11"/>
  <c r="O48" i="11"/>
  <c r="N48" i="11"/>
  <c r="O27" i="11"/>
  <c r="N27" i="11"/>
  <c r="O38" i="11"/>
  <c r="N38" i="11"/>
  <c r="O31" i="11"/>
  <c r="N31" i="11"/>
  <c r="O51" i="11"/>
  <c r="N51" i="11"/>
  <c r="O40" i="11"/>
  <c r="N40" i="11"/>
  <c r="O42" i="11"/>
  <c r="N42" i="11"/>
  <c r="O25" i="11"/>
  <c r="N25" i="11"/>
  <c r="O52" i="11"/>
  <c r="N52" i="11"/>
  <c r="O34" i="11"/>
  <c r="N34" i="11"/>
  <c r="O36" i="11"/>
  <c r="N36" i="11"/>
  <c r="O35" i="11"/>
  <c r="N35" i="11"/>
  <c r="O24" i="11"/>
  <c r="N24" i="11"/>
  <c r="O30" i="11"/>
  <c r="N30" i="11"/>
  <c r="O46" i="11"/>
  <c r="N46" i="11"/>
  <c r="O32" i="11"/>
  <c r="N32" i="11"/>
  <c r="O41" i="11"/>
  <c r="N41" i="11"/>
  <c r="O29" i="11"/>
  <c r="N29" i="11"/>
  <c r="O43" i="11"/>
  <c r="N43" i="11"/>
  <c r="O28" i="11"/>
  <c r="N28" i="11"/>
  <c r="O26" i="11"/>
  <c r="N26" i="11"/>
  <c r="O49" i="11"/>
  <c r="N49" i="11"/>
  <c r="O39" i="11"/>
  <c r="N39" i="11"/>
  <c r="O47" i="11"/>
  <c r="N47" i="11"/>
  <c r="O18" i="11"/>
  <c r="N18" i="11"/>
  <c r="O11" i="11"/>
  <c r="N11" i="11"/>
  <c r="O6" i="11"/>
  <c r="N6" i="11"/>
  <c r="O14" i="11"/>
  <c r="N14" i="11"/>
  <c r="O20" i="11"/>
  <c r="N20" i="11"/>
  <c r="O8" i="11"/>
  <c r="N8" i="11"/>
  <c r="O16" i="11"/>
  <c r="N16" i="11"/>
  <c r="O13" i="11"/>
  <c r="N13" i="11"/>
  <c r="O9" i="11"/>
  <c r="N9" i="11"/>
  <c r="O7" i="11"/>
  <c r="N7" i="11"/>
  <c r="O19" i="11"/>
  <c r="N19" i="11"/>
  <c r="O5" i="11"/>
  <c r="N5" i="11"/>
  <c r="O15" i="11"/>
  <c r="N15" i="11"/>
  <c r="O10" i="11"/>
  <c r="N10" i="11"/>
  <c r="O12" i="11"/>
  <c r="N12" i="11"/>
  <c r="O17" i="11"/>
  <c r="N17" i="11"/>
  <c r="R166" i="11" l="1"/>
  <c r="N90" i="11"/>
  <c r="L111" i="11"/>
  <c r="L167" i="11" l="1"/>
  <c r="N99" i="11"/>
  <c r="R167" i="11" l="1"/>
  <c r="L188" i="11"/>
  <c r="R188" i="11" s="1"/>
  <c r="P47" i="9"/>
  <c r="S190" i="9" l="1"/>
  <c r="S188" i="9"/>
  <c r="S187" i="9"/>
  <c r="S191" i="9"/>
  <c r="S189" i="9"/>
  <c r="S184" i="9"/>
  <c r="S181" i="9"/>
  <c r="S186" i="9"/>
  <c r="S185" i="9"/>
  <c r="S180" i="9"/>
  <c r="S183" i="9"/>
  <c r="S182" i="9"/>
  <c r="S192" i="9"/>
  <c r="S179" i="9"/>
  <c r="S174" i="9"/>
  <c r="S175" i="9"/>
  <c r="S173" i="9"/>
  <c r="S163" i="9"/>
  <c r="S166" i="9"/>
  <c r="S164" i="9"/>
  <c r="S160" i="9"/>
  <c r="S161" i="9"/>
  <c r="S162" i="9"/>
  <c r="S167" i="9"/>
  <c r="S165" i="9"/>
  <c r="S157" i="9"/>
  <c r="S156" i="9"/>
  <c r="S151" i="9"/>
  <c r="S149" i="9"/>
  <c r="S152" i="9"/>
  <c r="S150" i="9"/>
  <c r="S145" i="9"/>
  <c r="S141" i="9"/>
  <c r="S123" i="9"/>
  <c r="S124" i="9"/>
  <c r="S132" i="9"/>
  <c r="S143" i="9"/>
  <c r="S126" i="9"/>
  <c r="S133" i="9"/>
  <c r="S136" i="9"/>
  <c r="S144" i="9"/>
  <c r="S138" i="9"/>
  <c r="S142" i="9"/>
  <c r="S129" i="9"/>
  <c r="S134" i="9"/>
  <c r="S122" i="9"/>
  <c r="S127" i="9"/>
  <c r="S135" i="9"/>
  <c r="S125" i="9"/>
  <c r="S137" i="9"/>
  <c r="S131" i="9"/>
  <c r="S128" i="9"/>
  <c r="S130" i="9"/>
  <c r="S140" i="9"/>
  <c r="S146" i="9"/>
  <c r="S139" i="9"/>
  <c r="S117" i="9"/>
  <c r="S118" i="9"/>
  <c r="S115" i="9"/>
  <c r="S119" i="9"/>
  <c r="S116" i="9"/>
  <c r="S111" i="9"/>
  <c r="S105" i="9"/>
  <c r="S103" i="9"/>
  <c r="S106" i="9"/>
  <c r="S108" i="9"/>
  <c r="S107" i="9"/>
  <c r="S104" i="9"/>
  <c r="S110" i="9"/>
  <c r="S112" i="9"/>
  <c r="S109" i="9"/>
  <c r="S100" i="9"/>
  <c r="S97" i="9"/>
  <c r="S99" i="9"/>
  <c r="S91" i="9"/>
  <c r="S92" i="9"/>
  <c r="S93" i="9"/>
  <c r="S96" i="9"/>
  <c r="S98" i="9"/>
  <c r="S94" i="9"/>
  <c r="S75" i="9"/>
  <c r="S69" i="9"/>
  <c r="S68" i="9"/>
  <c r="S63" i="9"/>
  <c r="S84" i="9"/>
  <c r="S85" i="9"/>
  <c r="S86" i="9"/>
  <c r="S62" i="9"/>
  <c r="S82" i="9"/>
  <c r="S77" i="9"/>
  <c r="S72" i="9"/>
  <c r="S78" i="9"/>
  <c r="S80" i="9"/>
  <c r="S76" i="9"/>
  <c r="S73" i="9"/>
  <c r="S70" i="9"/>
  <c r="S67" i="9"/>
  <c r="S71" i="9"/>
  <c r="S65" i="9"/>
  <c r="S57" i="9"/>
  <c r="S58" i="9"/>
  <c r="S81" i="9"/>
  <c r="S60" i="9"/>
  <c r="S61" i="9"/>
  <c r="S74" i="9"/>
  <c r="S64" i="9"/>
  <c r="S59" i="9"/>
  <c r="S66" i="9"/>
  <c r="S83" i="9"/>
  <c r="S87" i="9"/>
  <c r="S79" i="9"/>
  <c r="S40" i="9"/>
  <c r="S50" i="9"/>
  <c r="S27" i="9"/>
  <c r="S29" i="9"/>
  <c r="S44" i="9"/>
  <c r="S30" i="9"/>
  <c r="S42" i="9"/>
  <c r="S33" i="9"/>
  <c r="S47" i="9"/>
  <c r="S31" i="9"/>
  <c r="S25" i="9"/>
  <c r="S36" i="9"/>
  <c r="S37" i="9"/>
  <c r="S35" i="9"/>
  <c r="S53" i="9"/>
  <c r="S26" i="9"/>
  <c r="S43" i="9"/>
  <c r="S41" i="9"/>
  <c r="S52" i="9"/>
  <c r="S32" i="9"/>
  <c r="S39" i="9"/>
  <c r="S28" i="9"/>
  <c r="S49" i="9"/>
  <c r="S51" i="9"/>
  <c r="S46" i="9"/>
  <c r="S38" i="9"/>
  <c r="S34" i="9"/>
  <c r="S45" i="9"/>
  <c r="S54" i="9"/>
  <c r="S48" i="9"/>
  <c r="S13" i="9"/>
  <c r="S11" i="9"/>
  <c r="S16" i="9"/>
  <c r="S6" i="9"/>
  <c r="S20" i="9"/>
  <c r="S8" i="9"/>
  <c r="S10" i="9"/>
  <c r="S14" i="9"/>
  <c r="S17" i="9"/>
  <c r="S9" i="9"/>
  <c r="S21" i="9"/>
  <c r="S15" i="9"/>
  <c r="S7" i="9"/>
  <c r="S12" i="9"/>
  <c r="S19" i="9"/>
  <c r="S22" i="9"/>
  <c r="S18" i="9"/>
  <c r="H145" i="11" l="1"/>
  <c r="N145" i="11" s="1"/>
  <c r="H53" i="11"/>
  <c r="N53" i="11" s="1"/>
  <c r="H187" i="11" l="1"/>
  <c r="N187" i="11" s="1"/>
  <c r="H172" i="11"/>
  <c r="H166" i="11"/>
  <c r="H151" i="11"/>
  <c r="N151" i="11" s="1"/>
  <c r="H118" i="11"/>
  <c r="N118" i="11" s="1"/>
  <c r="I103" i="11"/>
  <c r="O103" i="11" s="1"/>
  <c r="I106" i="11"/>
  <c r="O106" i="11" s="1"/>
  <c r="H103" i="11"/>
  <c r="N103" i="11" s="1"/>
  <c r="I97" i="11"/>
  <c r="O97" i="11" s="1"/>
  <c r="I95" i="11"/>
  <c r="O95" i="11" s="1"/>
  <c r="O91" i="11"/>
  <c r="I90" i="11"/>
  <c r="O90" i="11" s="1"/>
  <c r="I98" i="11"/>
  <c r="O98" i="11" s="1"/>
  <c r="H97" i="11"/>
  <c r="N97" i="11" s="1"/>
  <c r="H95" i="11"/>
  <c r="N95" i="11" s="1"/>
  <c r="H98" i="11"/>
  <c r="H86" i="11"/>
  <c r="N86" i="11" s="1"/>
  <c r="H21" i="11"/>
  <c r="N21" i="11" s="1"/>
  <c r="N166" i="11" l="1"/>
  <c r="H111" i="11"/>
  <c r="H167" i="11" s="1"/>
  <c r="N98" i="11"/>
  <c r="K177" i="11"/>
  <c r="J177" i="11"/>
  <c r="K178" i="11"/>
  <c r="J178" i="11"/>
  <c r="K175" i="11"/>
  <c r="J175" i="11"/>
  <c r="K180" i="11"/>
  <c r="J180" i="11"/>
  <c r="K181" i="11"/>
  <c r="J181" i="11"/>
  <c r="K176" i="11"/>
  <c r="J176" i="11"/>
  <c r="K179" i="11"/>
  <c r="J179" i="11"/>
  <c r="K184" i="11"/>
  <c r="J184" i="11"/>
  <c r="K186" i="11"/>
  <c r="J186" i="11"/>
  <c r="K182" i="11"/>
  <c r="J182" i="11"/>
  <c r="K183" i="11"/>
  <c r="J183" i="11"/>
  <c r="K185" i="11"/>
  <c r="J185" i="11"/>
  <c r="K170" i="11"/>
  <c r="J170" i="11"/>
  <c r="K161" i="11"/>
  <c r="K160" i="11"/>
  <c r="K159" i="11"/>
  <c r="J159" i="11"/>
  <c r="K163" i="11"/>
  <c r="K165" i="11"/>
  <c r="K162" i="11"/>
  <c r="K164" i="11"/>
  <c r="K156" i="11"/>
  <c r="J156" i="11"/>
  <c r="K155" i="11"/>
  <c r="J155" i="11"/>
  <c r="K148" i="11"/>
  <c r="J148" i="11"/>
  <c r="K150" i="11"/>
  <c r="J150" i="11"/>
  <c r="K149" i="11"/>
  <c r="J149" i="11"/>
  <c r="K139" i="11"/>
  <c r="J139" i="11"/>
  <c r="K129" i="11"/>
  <c r="J129" i="11"/>
  <c r="K127" i="11"/>
  <c r="J127" i="11"/>
  <c r="K130" i="11"/>
  <c r="J130" i="11"/>
  <c r="K136" i="11"/>
  <c r="J136" i="11"/>
  <c r="K124" i="11"/>
  <c r="J124" i="11"/>
  <c r="K134" i="11"/>
  <c r="J134" i="11"/>
  <c r="K126" i="11"/>
  <c r="J126" i="11"/>
  <c r="K121" i="11"/>
  <c r="J121" i="11"/>
  <c r="K128" i="11"/>
  <c r="J128" i="11"/>
  <c r="K141" i="11"/>
  <c r="J141" i="11"/>
  <c r="K137" i="11"/>
  <c r="J137" i="11"/>
  <c r="K143" i="11"/>
  <c r="J143" i="11"/>
  <c r="K135" i="11"/>
  <c r="J135" i="11"/>
  <c r="K125" i="11"/>
  <c r="J125" i="11"/>
  <c r="K142" i="11"/>
  <c r="J142" i="11"/>
  <c r="K131" i="11"/>
  <c r="J131" i="11"/>
  <c r="K122" i="11"/>
  <c r="J122" i="11"/>
  <c r="K140" i="11"/>
  <c r="J140" i="11"/>
  <c r="K144" i="11"/>
  <c r="J144" i="11"/>
  <c r="K138" i="11"/>
  <c r="J138" i="11"/>
  <c r="K114" i="11"/>
  <c r="J114" i="11"/>
  <c r="K117" i="11"/>
  <c r="J117" i="11"/>
  <c r="K116" i="11"/>
  <c r="J116" i="11"/>
  <c r="K115" i="11"/>
  <c r="J115" i="11"/>
  <c r="J106" i="11"/>
  <c r="K107" i="11"/>
  <c r="J107" i="11"/>
  <c r="K105" i="11"/>
  <c r="J105" i="11"/>
  <c r="K102" i="11"/>
  <c r="J102" i="11"/>
  <c r="K104" i="11"/>
  <c r="J104" i="11"/>
  <c r="K110" i="11"/>
  <c r="J110" i="11"/>
  <c r="K108" i="11"/>
  <c r="J108" i="11"/>
  <c r="K92" i="11"/>
  <c r="J92" i="11"/>
  <c r="J90" i="11"/>
  <c r="K96" i="11"/>
  <c r="K99" i="11"/>
  <c r="K93" i="11"/>
  <c r="J93" i="11"/>
  <c r="K82" i="11"/>
  <c r="K65" i="11"/>
  <c r="J65" i="11"/>
  <c r="K58" i="11"/>
  <c r="J58" i="11"/>
  <c r="K63" i="11"/>
  <c r="J63" i="11"/>
  <c r="K74" i="11"/>
  <c r="J74" i="11"/>
  <c r="K60" i="11"/>
  <c r="J60" i="11"/>
  <c r="K59" i="11"/>
  <c r="J59" i="11"/>
  <c r="K80" i="11"/>
  <c r="J80" i="11"/>
  <c r="K57" i="11"/>
  <c r="J57" i="11"/>
  <c r="K56" i="11"/>
  <c r="J56" i="11"/>
  <c r="K64" i="11"/>
  <c r="J64" i="11"/>
  <c r="K70" i="11"/>
  <c r="J70" i="11"/>
  <c r="K66" i="11"/>
  <c r="J66" i="11"/>
  <c r="K69" i="11"/>
  <c r="J69" i="11"/>
  <c r="K72" i="11"/>
  <c r="J72" i="11"/>
  <c r="K75" i="11"/>
  <c r="J75" i="11"/>
  <c r="K79" i="11"/>
  <c r="J79" i="11"/>
  <c r="K77" i="11"/>
  <c r="J77" i="11"/>
  <c r="K71" i="11"/>
  <c r="J71" i="11"/>
  <c r="K76" i="11"/>
  <c r="J76" i="11"/>
  <c r="K81" i="11"/>
  <c r="J81" i="11"/>
  <c r="K61" i="11"/>
  <c r="J61" i="11"/>
  <c r="K85" i="11"/>
  <c r="J85" i="11"/>
  <c r="K84" i="11"/>
  <c r="J84" i="11"/>
  <c r="K83" i="11"/>
  <c r="J83" i="11"/>
  <c r="K62" i="11"/>
  <c r="J62" i="11"/>
  <c r="K67" i="11"/>
  <c r="J67" i="11"/>
  <c r="K68" i="11"/>
  <c r="J68" i="11"/>
  <c r="K73" i="11"/>
  <c r="J73" i="11"/>
  <c r="K78" i="11"/>
  <c r="J78" i="11"/>
  <c r="K44" i="11"/>
  <c r="J44" i="11"/>
  <c r="K33" i="11"/>
  <c r="J33" i="11"/>
  <c r="K37" i="11"/>
  <c r="J37" i="11"/>
  <c r="K45" i="11"/>
  <c r="J45" i="11"/>
  <c r="K50" i="11"/>
  <c r="J50" i="11"/>
  <c r="K48" i="11"/>
  <c r="J48" i="11"/>
  <c r="K27" i="11"/>
  <c r="J27" i="11"/>
  <c r="K38" i="11"/>
  <c r="J38" i="11"/>
  <c r="K31" i="11"/>
  <c r="J31" i="11"/>
  <c r="K51" i="11"/>
  <c r="J51" i="11"/>
  <c r="K40" i="11"/>
  <c r="J40" i="11"/>
  <c r="K42" i="11"/>
  <c r="J42" i="11"/>
  <c r="K25" i="11"/>
  <c r="J25" i="11"/>
  <c r="K52" i="11"/>
  <c r="J52" i="11"/>
  <c r="K34" i="11"/>
  <c r="J34" i="11"/>
  <c r="K36" i="11"/>
  <c r="J36" i="11"/>
  <c r="K35" i="11"/>
  <c r="J35" i="11"/>
  <c r="K24" i="11"/>
  <c r="J24" i="11"/>
  <c r="K30" i="11"/>
  <c r="J30" i="11"/>
  <c r="K46" i="11"/>
  <c r="J46" i="11"/>
  <c r="K32" i="11"/>
  <c r="J32" i="11"/>
  <c r="K41" i="11"/>
  <c r="J41" i="11"/>
  <c r="K29" i="11"/>
  <c r="J29" i="11"/>
  <c r="K43" i="11"/>
  <c r="J43" i="11"/>
  <c r="K28" i="11"/>
  <c r="J28" i="11"/>
  <c r="K26" i="11"/>
  <c r="J26" i="11"/>
  <c r="K49" i="11"/>
  <c r="J49" i="11"/>
  <c r="K39" i="11"/>
  <c r="J39" i="11"/>
  <c r="K47" i="11"/>
  <c r="J47" i="11"/>
  <c r="K18" i="11"/>
  <c r="J18" i="11"/>
  <c r="K11" i="11"/>
  <c r="J11" i="11"/>
  <c r="K6" i="11"/>
  <c r="J6" i="11"/>
  <c r="K14" i="11"/>
  <c r="J14" i="11"/>
  <c r="K20" i="11"/>
  <c r="J20" i="11"/>
  <c r="K8" i="11"/>
  <c r="J8" i="11"/>
  <c r="K16" i="11"/>
  <c r="J16" i="11"/>
  <c r="K13" i="11"/>
  <c r="J13" i="11"/>
  <c r="K9" i="11"/>
  <c r="J9" i="11"/>
  <c r="K7" i="11"/>
  <c r="J7" i="11"/>
  <c r="K19" i="11"/>
  <c r="J19" i="11"/>
  <c r="K5" i="11"/>
  <c r="J5" i="11"/>
  <c r="K15" i="11"/>
  <c r="J15" i="11"/>
  <c r="K10" i="11"/>
  <c r="J10" i="11"/>
  <c r="K12" i="11"/>
  <c r="J12" i="11"/>
  <c r="K17" i="11"/>
  <c r="J17" i="11"/>
  <c r="N167" i="11" l="1"/>
  <c r="J99" i="11"/>
  <c r="H188" i="11"/>
  <c r="N188" i="11" s="1"/>
  <c r="P15" i="9"/>
  <c r="D187" i="11" l="1"/>
  <c r="J187" i="11" s="1"/>
  <c r="D172" i="11"/>
  <c r="D166" i="11"/>
  <c r="D151" i="11"/>
  <c r="J151" i="11" s="1"/>
  <c r="D145" i="11"/>
  <c r="J145" i="11" s="1"/>
  <c r="D118" i="11"/>
  <c r="J118" i="11" s="1"/>
  <c r="E103" i="11"/>
  <c r="K103" i="11" s="1"/>
  <c r="E106" i="11"/>
  <c r="K106" i="11" s="1"/>
  <c r="D103" i="11"/>
  <c r="J103" i="11" s="1"/>
  <c r="E97" i="11"/>
  <c r="K97" i="11" s="1"/>
  <c r="E95" i="11"/>
  <c r="K95" i="11" s="1"/>
  <c r="E91" i="11"/>
  <c r="K91" i="11" s="1"/>
  <c r="E90" i="11"/>
  <c r="K90" i="11" s="1"/>
  <c r="E98" i="11"/>
  <c r="K98" i="11" s="1"/>
  <c r="D97" i="11"/>
  <c r="J97" i="11" s="1"/>
  <c r="D95" i="11"/>
  <c r="J95" i="11" s="1"/>
  <c r="D98" i="11"/>
  <c r="J98" i="11" s="1"/>
  <c r="D86" i="11"/>
  <c r="J86" i="11" s="1"/>
  <c r="D53" i="11"/>
  <c r="J53" i="11" s="1"/>
  <c r="D21" i="11"/>
  <c r="J21" i="11" s="1"/>
  <c r="G177" i="11"/>
  <c r="F177" i="11"/>
  <c r="G178" i="11"/>
  <c r="F178" i="11"/>
  <c r="G175" i="11"/>
  <c r="F175" i="11"/>
  <c r="G180" i="11"/>
  <c r="F180" i="11"/>
  <c r="G181" i="11"/>
  <c r="F181" i="11"/>
  <c r="G176" i="11"/>
  <c r="F176" i="11"/>
  <c r="G179" i="11"/>
  <c r="F179" i="11"/>
  <c r="G184" i="11"/>
  <c r="F184" i="11"/>
  <c r="G186" i="11"/>
  <c r="F186" i="11"/>
  <c r="G182" i="11"/>
  <c r="F182" i="11"/>
  <c r="G183" i="11"/>
  <c r="F183" i="11"/>
  <c r="G185" i="11"/>
  <c r="F185" i="11"/>
  <c r="G170" i="11"/>
  <c r="F170" i="11"/>
  <c r="G161" i="11"/>
  <c r="G160" i="11"/>
  <c r="G159" i="11"/>
  <c r="F159" i="11"/>
  <c r="G163" i="11"/>
  <c r="G165" i="11"/>
  <c r="G162" i="11"/>
  <c r="G164" i="11"/>
  <c r="G156" i="11"/>
  <c r="F156" i="11"/>
  <c r="G155" i="11"/>
  <c r="F155" i="11"/>
  <c r="G148" i="11"/>
  <c r="F148" i="11"/>
  <c r="G150" i="11"/>
  <c r="F150" i="11"/>
  <c r="G149" i="11"/>
  <c r="F149" i="11"/>
  <c r="G139" i="11"/>
  <c r="F139" i="11"/>
  <c r="G129" i="11"/>
  <c r="F129" i="11"/>
  <c r="G127" i="11"/>
  <c r="F127" i="11"/>
  <c r="G130" i="11"/>
  <c r="F130" i="11"/>
  <c r="G136" i="11"/>
  <c r="F136" i="11"/>
  <c r="G124" i="11"/>
  <c r="F124" i="11"/>
  <c r="G134" i="11"/>
  <c r="F134" i="11"/>
  <c r="G126" i="11"/>
  <c r="F126" i="11"/>
  <c r="G121" i="11"/>
  <c r="F121" i="11"/>
  <c r="G128" i="11"/>
  <c r="F128" i="11"/>
  <c r="G141" i="11"/>
  <c r="F141" i="11"/>
  <c r="G137" i="11"/>
  <c r="F137" i="11"/>
  <c r="G143" i="11"/>
  <c r="F143" i="11"/>
  <c r="G135" i="11"/>
  <c r="F135" i="11"/>
  <c r="G125" i="11"/>
  <c r="F125" i="11"/>
  <c r="G142" i="11"/>
  <c r="F142" i="11"/>
  <c r="G131" i="11"/>
  <c r="F131" i="11"/>
  <c r="G122" i="11"/>
  <c r="F122" i="11"/>
  <c r="G140" i="11"/>
  <c r="F140" i="11"/>
  <c r="G144" i="11"/>
  <c r="F144" i="11"/>
  <c r="G138" i="11"/>
  <c r="F138" i="11"/>
  <c r="G114" i="11"/>
  <c r="F114" i="11"/>
  <c r="G117" i="11"/>
  <c r="F117" i="11"/>
  <c r="G116" i="11"/>
  <c r="F116" i="11"/>
  <c r="G115" i="11"/>
  <c r="F115" i="11"/>
  <c r="F106" i="11"/>
  <c r="G107" i="11"/>
  <c r="F107" i="11"/>
  <c r="G105" i="11"/>
  <c r="F105" i="11"/>
  <c r="G102" i="11"/>
  <c r="F102" i="11"/>
  <c r="G104" i="11"/>
  <c r="F104" i="11"/>
  <c r="G110" i="11"/>
  <c r="F110" i="11"/>
  <c r="G108" i="11"/>
  <c r="F108" i="11"/>
  <c r="G92" i="11"/>
  <c r="F92" i="11"/>
  <c r="G96" i="11"/>
  <c r="G99" i="11"/>
  <c r="G93" i="11"/>
  <c r="F93" i="11"/>
  <c r="G82" i="11"/>
  <c r="G65" i="11"/>
  <c r="F65" i="11"/>
  <c r="G58" i="11"/>
  <c r="F58" i="11"/>
  <c r="G63" i="11"/>
  <c r="F63" i="11"/>
  <c r="G74" i="11"/>
  <c r="F74" i="11"/>
  <c r="G60" i="11"/>
  <c r="F60" i="11"/>
  <c r="G59" i="11"/>
  <c r="F59" i="11"/>
  <c r="G80" i="11"/>
  <c r="F80" i="11"/>
  <c r="G57" i="11"/>
  <c r="F57" i="11"/>
  <c r="G56" i="11"/>
  <c r="F56" i="11"/>
  <c r="G64" i="11"/>
  <c r="F64" i="11"/>
  <c r="G70" i="11"/>
  <c r="F70" i="11"/>
  <c r="G66" i="11"/>
  <c r="F66" i="11"/>
  <c r="G69" i="11"/>
  <c r="F69" i="11"/>
  <c r="G72" i="11"/>
  <c r="F72" i="11"/>
  <c r="G75" i="11"/>
  <c r="F75" i="11"/>
  <c r="G79" i="11"/>
  <c r="F79" i="11"/>
  <c r="G77" i="11"/>
  <c r="F77" i="11"/>
  <c r="G71" i="11"/>
  <c r="F71" i="11"/>
  <c r="G76" i="11"/>
  <c r="F76" i="11"/>
  <c r="G81" i="11"/>
  <c r="F81" i="11"/>
  <c r="G61" i="11"/>
  <c r="F61" i="11"/>
  <c r="G85" i="11"/>
  <c r="F85" i="11"/>
  <c r="G84" i="11"/>
  <c r="F84" i="11"/>
  <c r="G83" i="11"/>
  <c r="F83" i="11"/>
  <c r="G62" i="11"/>
  <c r="F62" i="11"/>
  <c r="G67" i="11"/>
  <c r="F67" i="11"/>
  <c r="G68" i="11"/>
  <c r="F68" i="11"/>
  <c r="G73" i="11"/>
  <c r="F73" i="11"/>
  <c r="G78" i="11"/>
  <c r="F78" i="11"/>
  <c r="G44" i="11"/>
  <c r="F44" i="11"/>
  <c r="G33" i="11"/>
  <c r="F33" i="11"/>
  <c r="G37" i="11"/>
  <c r="F37" i="11"/>
  <c r="G45" i="11"/>
  <c r="F45" i="11"/>
  <c r="G50" i="11"/>
  <c r="F50" i="11"/>
  <c r="G48" i="11"/>
  <c r="F48" i="11"/>
  <c r="G27" i="11"/>
  <c r="F27" i="11"/>
  <c r="G38" i="11"/>
  <c r="F38" i="11"/>
  <c r="G31" i="11"/>
  <c r="F31" i="11"/>
  <c r="G51" i="11"/>
  <c r="F51" i="11"/>
  <c r="G40" i="11"/>
  <c r="F40" i="11"/>
  <c r="G42" i="11"/>
  <c r="F42" i="11"/>
  <c r="G25" i="11"/>
  <c r="F25" i="11"/>
  <c r="G52" i="11"/>
  <c r="F52" i="11"/>
  <c r="G34" i="11"/>
  <c r="F34" i="11"/>
  <c r="G36" i="11"/>
  <c r="F36" i="11"/>
  <c r="G35" i="11"/>
  <c r="F35" i="11"/>
  <c r="G24" i="11"/>
  <c r="F24" i="11"/>
  <c r="G30" i="11"/>
  <c r="F30" i="11"/>
  <c r="G46" i="11"/>
  <c r="F46" i="11"/>
  <c r="G32" i="11"/>
  <c r="F32" i="11"/>
  <c r="G41" i="11"/>
  <c r="F41" i="11"/>
  <c r="G29" i="11"/>
  <c r="F29" i="11"/>
  <c r="G43" i="11"/>
  <c r="F43" i="11"/>
  <c r="G28" i="11"/>
  <c r="F28" i="11"/>
  <c r="G26" i="11"/>
  <c r="F26" i="11"/>
  <c r="G49" i="11"/>
  <c r="F49" i="11"/>
  <c r="G39" i="11"/>
  <c r="F39" i="11"/>
  <c r="G47" i="11"/>
  <c r="F47" i="11"/>
  <c r="G18" i="11"/>
  <c r="F18" i="11"/>
  <c r="G11" i="11"/>
  <c r="F11" i="11"/>
  <c r="G6" i="11"/>
  <c r="F6" i="11"/>
  <c r="G14" i="11"/>
  <c r="F14" i="11"/>
  <c r="G20" i="11"/>
  <c r="F20" i="11"/>
  <c r="G8" i="11"/>
  <c r="F8" i="11"/>
  <c r="G16" i="11"/>
  <c r="F16" i="11"/>
  <c r="G13" i="11"/>
  <c r="F13" i="11"/>
  <c r="G9" i="11"/>
  <c r="F9" i="11"/>
  <c r="G7" i="11"/>
  <c r="F7" i="11"/>
  <c r="G19" i="11"/>
  <c r="F19" i="11"/>
  <c r="G5" i="11"/>
  <c r="F5" i="11"/>
  <c r="G15" i="11"/>
  <c r="F15" i="11"/>
  <c r="G10" i="11"/>
  <c r="F10" i="11"/>
  <c r="G12" i="11"/>
  <c r="F12" i="11"/>
  <c r="G17" i="11"/>
  <c r="F17" i="11"/>
  <c r="J166" i="11" l="1"/>
  <c r="F90" i="11"/>
  <c r="D111" i="11"/>
  <c r="F99" i="11" s="1"/>
  <c r="D167" i="11" l="1"/>
  <c r="J167" i="11" l="1"/>
  <c r="D188" i="11"/>
  <c r="J188" i="11" s="1"/>
  <c r="B145" i="11"/>
  <c r="B53" i="11"/>
  <c r="F53" i="11" l="1"/>
  <c r="F145" i="11"/>
  <c r="B187" i="11"/>
  <c r="B172" i="11"/>
  <c r="B166" i="11"/>
  <c r="B151" i="11"/>
  <c r="B118" i="11"/>
  <c r="C103" i="11"/>
  <c r="C106" i="11"/>
  <c r="B103" i="11"/>
  <c r="C97" i="11"/>
  <c r="C95" i="11"/>
  <c r="C91" i="11"/>
  <c r="C90" i="11"/>
  <c r="C98" i="11"/>
  <c r="B97" i="11"/>
  <c r="B95" i="11"/>
  <c r="B91" i="11"/>
  <c r="B98" i="11"/>
  <c r="B86" i="11"/>
  <c r="B21" i="11"/>
  <c r="F95" i="11" l="1"/>
  <c r="G90" i="11"/>
  <c r="F103" i="11"/>
  <c r="F21" i="11"/>
  <c r="F86" i="11"/>
  <c r="G95" i="11"/>
  <c r="F91" i="11"/>
  <c r="G106" i="11"/>
  <c r="G98" i="11"/>
  <c r="F118" i="11"/>
  <c r="F166" i="11"/>
  <c r="F98" i="11"/>
  <c r="B111" i="11"/>
  <c r="G97" i="11"/>
  <c r="F187" i="11"/>
  <c r="F97" i="11"/>
  <c r="G103" i="11"/>
  <c r="G91" i="11"/>
  <c r="F151" i="11"/>
  <c r="B167" i="11" l="1"/>
  <c r="F167" i="11" l="1"/>
  <c r="B188" i="11"/>
  <c r="F188" i="11" l="1"/>
  <c r="K10" i="1" l="1"/>
  <c r="K12" i="1" l="1"/>
  <c r="R110" i="9" l="1"/>
  <c r="Q110" i="9"/>
  <c r="R104" i="9"/>
  <c r="Q104" i="9"/>
  <c r="P104" i="9"/>
  <c r="R98" i="9"/>
  <c r="Q98" i="9"/>
  <c r="P98" i="9"/>
  <c r="P110" i="9" l="1"/>
  <c r="E139" i="9" l="1"/>
  <c r="E130" i="9" l="1"/>
  <c r="E122" i="9"/>
  <c r="E140" i="9"/>
  <c r="E134" i="9"/>
  <c r="E126" i="9"/>
  <c r="E143" i="9"/>
  <c r="E128" i="9"/>
  <c r="E129" i="9"/>
  <c r="E132" i="9"/>
  <c r="E131" i="9"/>
  <c r="E142" i="9"/>
  <c r="E124" i="9"/>
  <c r="E137" i="9"/>
  <c r="E138" i="9"/>
  <c r="E123" i="9"/>
  <c r="E125" i="9"/>
  <c r="E144" i="9"/>
  <c r="E141" i="9"/>
  <c r="E135" i="9"/>
  <c r="E136" i="9"/>
  <c r="E145" i="9"/>
  <c r="E127" i="9"/>
  <c r="E133" i="9"/>
  <c r="E110" i="9" l="1"/>
  <c r="E98" i="9"/>
  <c r="J22" i="9" l="1"/>
  <c r="R96" i="9" l="1"/>
  <c r="P96" i="9"/>
  <c r="Q96" i="9"/>
  <c r="E96" i="9" l="1"/>
  <c r="R192" i="9" l="1"/>
  <c r="Q99" i="9"/>
  <c r="Q18" i="9"/>
  <c r="R130" i="9" l="1"/>
  <c r="Q130" i="9"/>
  <c r="P130" i="9"/>
  <c r="R66" i="9"/>
  <c r="Q66" i="9"/>
  <c r="P66" i="9"/>
  <c r="R12" i="9"/>
  <c r="Q12" i="9"/>
  <c r="P12" i="9"/>
  <c r="E66" i="9" l="1"/>
  <c r="E12" i="9"/>
  <c r="R59" i="9" l="1"/>
  <c r="Q59" i="9"/>
  <c r="P59" i="9"/>
  <c r="E59" i="9" l="1"/>
  <c r="J146" i="9" l="1"/>
  <c r="J119" i="9"/>
  <c r="J112" i="9"/>
  <c r="K95" i="9" s="1"/>
  <c r="J87" i="9"/>
  <c r="J54" i="9"/>
  <c r="K26" i="9" s="1"/>
  <c r="K137" i="9" l="1"/>
  <c r="K141" i="9"/>
  <c r="K110" i="9"/>
  <c r="K103" i="9"/>
  <c r="K128" i="9"/>
  <c r="K144" i="9"/>
  <c r="K82" i="9"/>
  <c r="K80" i="9"/>
  <c r="K104" i="9"/>
  <c r="E104" i="9"/>
  <c r="K96" i="9"/>
  <c r="K98" i="9"/>
  <c r="K52" i="9"/>
  <c r="K44" i="9"/>
  <c r="K66" i="9"/>
  <c r="K60" i="9"/>
  <c r="K130" i="9"/>
  <c r="K124" i="9"/>
  <c r="K43" i="9"/>
  <c r="K46" i="9"/>
  <c r="K28" i="9"/>
  <c r="K41" i="9"/>
  <c r="K38" i="9"/>
  <c r="K51" i="9"/>
  <c r="K34" i="9"/>
  <c r="K39" i="9"/>
  <c r="K49" i="9"/>
  <c r="K32" i="9"/>
  <c r="K45" i="9"/>
  <c r="K136" i="9"/>
  <c r="K125" i="9"/>
  <c r="K59" i="9"/>
  <c r="K73" i="9"/>
  <c r="R93" i="9"/>
  <c r="Q93" i="9"/>
  <c r="P93" i="9"/>
  <c r="K93" i="9"/>
  <c r="R161" i="9"/>
  <c r="Q161" i="9"/>
  <c r="P161" i="9"/>
  <c r="R128" i="9"/>
  <c r="Q128" i="9"/>
  <c r="P128" i="9"/>
  <c r="E93" i="9"/>
  <c r="E161" i="9" l="1"/>
  <c r="J192" i="9" l="1"/>
  <c r="K183" i="9" s="1"/>
  <c r="J175" i="9"/>
  <c r="J167" i="9"/>
  <c r="K190" i="9" l="1"/>
  <c r="K161" i="9"/>
  <c r="J168" i="9"/>
  <c r="J193" i="9" l="1"/>
  <c r="K167" i="9"/>
  <c r="R182" i="9"/>
  <c r="Q182" i="9"/>
  <c r="P182" i="9"/>
  <c r="E182" i="9"/>
  <c r="R183" i="9"/>
  <c r="Q183" i="9"/>
  <c r="P183" i="9"/>
  <c r="E183" i="9"/>
  <c r="R180" i="9"/>
  <c r="Q180" i="9"/>
  <c r="P180" i="9"/>
  <c r="E180" i="9"/>
  <c r="R185" i="9"/>
  <c r="Q185" i="9"/>
  <c r="P185" i="9"/>
  <c r="E185" i="9"/>
  <c r="R186" i="9"/>
  <c r="Q186" i="9"/>
  <c r="P186" i="9"/>
  <c r="E186" i="9"/>
  <c r="R181" i="9"/>
  <c r="Q181" i="9"/>
  <c r="P181" i="9"/>
  <c r="E181" i="9"/>
  <c r="R184" i="9"/>
  <c r="Q184" i="9"/>
  <c r="P184" i="9"/>
  <c r="E184" i="9"/>
  <c r="R189" i="9"/>
  <c r="Q189" i="9"/>
  <c r="P189" i="9"/>
  <c r="E189" i="9"/>
  <c r="R191" i="9"/>
  <c r="Q191" i="9"/>
  <c r="P191" i="9"/>
  <c r="E191" i="9"/>
  <c r="R187" i="9"/>
  <c r="Q187" i="9"/>
  <c r="P187" i="9"/>
  <c r="E187" i="9"/>
  <c r="R188" i="9"/>
  <c r="Q188" i="9"/>
  <c r="P188" i="9"/>
  <c r="E188" i="9"/>
  <c r="R190" i="9"/>
  <c r="Q190" i="9"/>
  <c r="P190" i="9"/>
  <c r="E190" i="9"/>
  <c r="R175" i="9"/>
  <c r="P175" i="9"/>
  <c r="R174" i="9"/>
  <c r="Q174" i="9"/>
  <c r="P174" i="9"/>
  <c r="K174" i="9"/>
  <c r="E174" i="9"/>
  <c r="R173" i="9"/>
  <c r="Q173" i="9"/>
  <c r="P173" i="9"/>
  <c r="K173" i="9"/>
  <c r="E173" i="9"/>
  <c r="R167" i="9"/>
  <c r="K165" i="9"/>
  <c r="E157" i="9"/>
  <c r="R162" i="9"/>
  <c r="Q162" i="9"/>
  <c r="P162" i="9"/>
  <c r="R160" i="9"/>
  <c r="Q160" i="9"/>
  <c r="P160" i="9"/>
  <c r="R164" i="9"/>
  <c r="Q164" i="9"/>
  <c r="P164" i="9"/>
  <c r="R166" i="9"/>
  <c r="Q166" i="9"/>
  <c r="P166" i="9"/>
  <c r="R163" i="9"/>
  <c r="Q163" i="9"/>
  <c r="P163" i="9"/>
  <c r="E163" i="9"/>
  <c r="R165" i="9"/>
  <c r="Q165" i="9"/>
  <c r="P165" i="9"/>
  <c r="R157" i="9"/>
  <c r="Q157" i="9"/>
  <c r="P157" i="9"/>
  <c r="K157" i="9"/>
  <c r="R156" i="9"/>
  <c r="Q156" i="9"/>
  <c r="P156" i="9"/>
  <c r="R152" i="9"/>
  <c r="P152" i="9"/>
  <c r="R149" i="9"/>
  <c r="Q149" i="9"/>
  <c r="P149" i="9"/>
  <c r="E149" i="9"/>
  <c r="R151" i="9"/>
  <c r="Q151" i="9"/>
  <c r="P151" i="9"/>
  <c r="E151" i="9"/>
  <c r="R150" i="9"/>
  <c r="Q150" i="9"/>
  <c r="P150" i="9"/>
  <c r="E150" i="9"/>
  <c r="R146" i="9"/>
  <c r="R140" i="9"/>
  <c r="Q140" i="9"/>
  <c r="P140" i="9"/>
  <c r="R131" i="9"/>
  <c r="Q131" i="9"/>
  <c r="P131" i="9"/>
  <c r="R137" i="9"/>
  <c r="Q137" i="9"/>
  <c r="P137" i="9"/>
  <c r="R125" i="9"/>
  <c r="Q125" i="9"/>
  <c r="P125" i="9"/>
  <c r="R135" i="9"/>
  <c r="Q135" i="9"/>
  <c r="P135" i="9"/>
  <c r="R127" i="9"/>
  <c r="Q127" i="9"/>
  <c r="P127" i="9"/>
  <c r="R122" i="9"/>
  <c r="Q122" i="9"/>
  <c r="P122" i="9"/>
  <c r="R134" i="9"/>
  <c r="Q134" i="9"/>
  <c r="P134" i="9"/>
  <c r="R129" i="9"/>
  <c r="Q129" i="9"/>
  <c r="P129" i="9"/>
  <c r="R142" i="9"/>
  <c r="Q142" i="9"/>
  <c r="P142" i="9"/>
  <c r="R138" i="9"/>
  <c r="Q138" i="9"/>
  <c r="P138" i="9"/>
  <c r="R144" i="9"/>
  <c r="Q144" i="9"/>
  <c r="P144" i="9"/>
  <c r="R136" i="9"/>
  <c r="Q136" i="9"/>
  <c r="P136" i="9"/>
  <c r="R133" i="9"/>
  <c r="Q133" i="9"/>
  <c r="P133" i="9"/>
  <c r="R126" i="9"/>
  <c r="Q126" i="9"/>
  <c r="P126" i="9"/>
  <c r="R143" i="9"/>
  <c r="Q143" i="9"/>
  <c r="P143" i="9"/>
  <c r="R132" i="9"/>
  <c r="Q132" i="9"/>
  <c r="P132" i="9"/>
  <c r="R124" i="9"/>
  <c r="Q124" i="9"/>
  <c r="P124" i="9"/>
  <c r="R123" i="9"/>
  <c r="Q123" i="9"/>
  <c r="P123" i="9"/>
  <c r="R141" i="9"/>
  <c r="Q141" i="9"/>
  <c r="P141" i="9"/>
  <c r="R145" i="9"/>
  <c r="Q145" i="9"/>
  <c r="P145" i="9"/>
  <c r="R139" i="9"/>
  <c r="Q139" i="9"/>
  <c r="P139" i="9"/>
  <c r="R119" i="9"/>
  <c r="P119" i="9"/>
  <c r="E115" i="9"/>
  <c r="R115" i="9"/>
  <c r="Q115" i="9"/>
  <c r="P115" i="9"/>
  <c r="R118" i="9"/>
  <c r="Q118" i="9"/>
  <c r="P118" i="9"/>
  <c r="E118" i="9"/>
  <c r="R117" i="9"/>
  <c r="Q117" i="9"/>
  <c r="P117" i="9"/>
  <c r="R116" i="9"/>
  <c r="Q116" i="9"/>
  <c r="P116" i="9"/>
  <c r="E116" i="9"/>
  <c r="R112" i="9"/>
  <c r="R107" i="9"/>
  <c r="Q107" i="9"/>
  <c r="P107" i="9"/>
  <c r="R108" i="9"/>
  <c r="Q108" i="9"/>
  <c r="P108" i="9"/>
  <c r="R106" i="9"/>
  <c r="Q106" i="9"/>
  <c r="P106" i="9"/>
  <c r="R103" i="9"/>
  <c r="Q103" i="9"/>
  <c r="P103" i="9"/>
  <c r="R105" i="9"/>
  <c r="Q105" i="9"/>
  <c r="P105" i="9"/>
  <c r="R111" i="9"/>
  <c r="Q111" i="9"/>
  <c r="P111" i="9"/>
  <c r="R109" i="9"/>
  <c r="Q109" i="9"/>
  <c r="P109" i="9"/>
  <c r="R92" i="9"/>
  <c r="Q92" i="9"/>
  <c r="R91" i="9"/>
  <c r="P91" i="9"/>
  <c r="Q91" i="9"/>
  <c r="R99" i="9"/>
  <c r="P99" i="9"/>
  <c r="R97" i="9"/>
  <c r="Q97" i="9"/>
  <c r="P97" i="9"/>
  <c r="R100" i="9"/>
  <c r="Q100" i="9"/>
  <c r="P100" i="9"/>
  <c r="R94" i="9"/>
  <c r="Q94" i="9"/>
  <c r="R87" i="9"/>
  <c r="P87" i="9"/>
  <c r="E83" i="9"/>
  <c r="R83" i="9"/>
  <c r="Q83" i="9"/>
  <c r="P83" i="9"/>
  <c r="R64" i="9"/>
  <c r="Q64" i="9"/>
  <c r="P64" i="9"/>
  <c r="E64" i="9"/>
  <c r="R74" i="9"/>
  <c r="Q74" i="9"/>
  <c r="P74" i="9"/>
  <c r="R61" i="9"/>
  <c r="Q61" i="9"/>
  <c r="P61" i="9"/>
  <c r="R60" i="9"/>
  <c r="Q60" i="9"/>
  <c r="P60" i="9"/>
  <c r="E60" i="9"/>
  <c r="R81" i="9"/>
  <c r="Q81" i="9"/>
  <c r="P81" i="9"/>
  <c r="E81" i="9"/>
  <c r="R58" i="9"/>
  <c r="Q58" i="9"/>
  <c r="P58" i="9"/>
  <c r="E58" i="9"/>
  <c r="R57" i="9"/>
  <c r="Q57" i="9"/>
  <c r="E57" i="9"/>
  <c r="R65" i="9"/>
  <c r="Q65" i="9"/>
  <c r="P65" i="9"/>
  <c r="E65" i="9"/>
  <c r="R71" i="9"/>
  <c r="Q71" i="9"/>
  <c r="P71" i="9"/>
  <c r="E71" i="9"/>
  <c r="R67" i="9"/>
  <c r="Q67" i="9"/>
  <c r="P67" i="9"/>
  <c r="E67" i="9"/>
  <c r="R70" i="9"/>
  <c r="Q70" i="9"/>
  <c r="P70" i="9"/>
  <c r="E70" i="9"/>
  <c r="R73" i="9"/>
  <c r="Q73" i="9"/>
  <c r="P73" i="9"/>
  <c r="E73" i="9"/>
  <c r="R76" i="9"/>
  <c r="Q76" i="9"/>
  <c r="P76" i="9"/>
  <c r="E76" i="9"/>
  <c r="R80" i="9"/>
  <c r="Q80" i="9"/>
  <c r="P80" i="9"/>
  <c r="E80" i="9"/>
  <c r="R78" i="9"/>
  <c r="Q78" i="9"/>
  <c r="P78" i="9"/>
  <c r="E78" i="9"/>
  <c r="R72" i="9"/>
  <c r="Q72" i="9"/>
  <c r="P72" i="9"/>
  <c r="E72" i="9"/>
  <c r="R77" i="9"/>
  <c r="Q77" i="9"/>
  <c r="P77" i="9"/>
  <c r="E77" i="9"/>
  <c r="R82" i="9"/>
  <c r="Q82" i="9"/>
  <c r="P82" i="9"/>
  <c r="E82" i="9"/>
  <c r="R62" i="9"/>
  <c r="Q62" i="9"/>
  <c r="P62" i="9"/>
  <c r="E62" i="9"/>
  <c r="R86" i="9"/>
  <c r="Q86" i="9"/>
  <c r="P86" i="9"/>
  <c r="E86" i="9"/>
  <c r="R85" i="9"/>
  <c r="Q85" i="9"/>
  <c r="P85" i="9"/>
  <c r="E85" i="9"/>
  <c r="R84" i="9"/>
  <c r="Q84" i="9"/>
  <c r="P84" i="9"/>
  <c r="E84" i="9"/>
  <c r="R63" i="9"/>
  <c r="Q63" i="9"/>
  <c r="P63" i="9"/>
  <c r="E63" i="9"/>
  <c r="R68" i="9"/>
  <c r="Q68" i="9"/>
  <c r="P68" i="9"/>
  <c r="E68" i="9"/>
  <c r="R69" i="9"/>
  <c r="Q69" i="9"/>
  <c r="P69" i="9"/>
  <c r="E69" i="9"/>
  <c r="R75" i="9"/>
  <c r="Q75" i="9"/>
  <c r="P75" i="9"/>
  <c r="E75" i="9"/>
  <c r="R79" i="9"/>
  <c r="Q79" i="9"/>
  <c r="P79" i="9"/>
  <c r="E79" i="9"/>
  <c r="R54" i="9"/>
  <c r="E39" i="9"/>
  <c r="R45" i="9"/>
  <c r="Q45" i="9"/>
  <c r="P45" i="9"/>
  <c r="R34" i="9"/>
  <c r="Q34" i="9"/>
  <c r="P34" i="9"/>
  <c r="R38" i="9"/>
  <c r="Q38" i="9"/>
  <c r="P38" i="9"/>
  <c r="R46" i="9"/>
  <c r="Q46" i="9"/>
  <c r="P46" i="9"/>
  <c r="R51" i="9"/>
  <c r="Q51" i="9"/>
  <c r="P51" i="9"/>
  <c r="R49" i="9"/>
  <c r="Q49" i="9"/>
  <c r="P49" i="9"/>
  <c r="R28" i="9"/>
  <c r="Q28" i="9"/>
  <c r="P28" i="9"/>
  <c r="R39" i="9"/>
  <c r="Q39" i="9"/>
  <c r="P39" i="9"/>
  <c r="R32" i="9"/>
  <c r="Q32" i="9"/>
  <c r="P32" i="9"/>
  <c r="R52" i="9"/>
  <c r="Q52" i="9"/>
  <c r="P52" i="9"/>
  <c r="R41" i="9"/>
  <c r="Q41" i="9"/>
  <c r="P41" i="9"/>
  <c r="R43" i="9"/>
  <c r="Q43" i="9"/>
  <c r="P43" i="9"/>
  <c r="R26" i="9"/>
  <c r="Q26" i="9"/>
  <c r="P26" i="9"/>
  <c r="R53" i="9"/>
  <c r="Q53" i="9"/>
  <c r="P53" i="9"/>
  <c r="R35" i="9"/>
  <c r="Q35" i="9"/>
  <c r="P35" i="9"/>
  <c r="R37" i="9"/>
  <c r="Q37" i="9"/>
  <c r="P37" i="9"/>
  <c r="R36" i="9"/>
  <c r="Q36" i="9"/>
  <c r="P36" i="9"/>
  <c r="R25" i="9"/>
  <c r="Q25" i="9"/>
  <c r="P25" i="9"/>
  <c r="R31" i="9"/>
  <c r="Q31" i="9"/>
  <c r="P31" i="9"/>
  <c r="R47" i="9"/>
  <c r="Q47" i="9"/>
  <c r="R33" i="9"/>
  <c r="Q33" i="9"/>
  <c r="P33" i="9"/>
  <c r="R42" i="9"/>
  <c r="Q42" i="9"/>
  <c r="P42" i="9"/>
  <c r="R30" i="9"/>
  <c r="Q30" i="9"/>
  <c r="P30" i="9"/>
  <c r="R44" i="9"/>
  <c r="Q44" i="9"/>
  <c r="P44" i="9"/>
  <c r="R29" i="9"/>
  <c r="Q29" i="9"/>
  <c r="P29" i="9"/>
  <c r="R27" i="9"/>
  <c r="Q27" i="9"/>
  <c r="P27" i="9"/>
  <c r="R50" i="9"/>
  <c r="Q50" i="9"/>
  <c r="P50" i="9"/>
  <c r="R40" i="9"/>
  <c r="Q40" i="9"/>
  <c r="P40" i="9"/>
  <c r="R48" i="9"/>
  <c r="Q48" i="9"/>
  <c r="P48" i="9"/>
  <c r="R22" i="9"/>
  <c r="P22" i="9"/>
  <c r="E8" i="9"/>
  <c r="R19" i="9"/>
  <c r="Q19" i="9"/>
  <c r="P19" i="9"/>
  <c r="R7" i="9"/>
  <c r="Q7" i="9"/>
  <c r="R15" i="9"/>
  <c r="Q15" i="9"/>
  <c r="R21" i="9"/>
  <c r="Q21" i="9"/>
  <c r="P21" i="9"/>
  <c r="E21" i="9"/>
  <c r="R9" i="9"/>
  <c r="Q9" i="9"/>
  <c r="P9" i="9"/>
  <c r="R17" i="9"/>
  <c r="Q17" i="9"/>
  <c r="P17" i="9"/>
  <c r="R14" i="9"/>
  <c r="Q14" i="9"/>
  <c r="P14" i="9"/>
  <c r="E14" i="9"/>
  <c r="R10" i="9"/>
  <c r="Q10" i="9"/>
  <c r="P10" i="9"/>
  <c r="R8" i="9"/>
  <c r="Q8" i="9"/>
  <c r="P8" i="9"/>
  <c r="R20" i="9"/>
  <c r="Q20" i="9"/>
  <c r="P20" i="9"/>
  <c r="E20" i="9"/>
  <c r="R6" i="9"/>
  <c r="Q6" i="9"/>
  <c r="P6" i="9"/>
  <c r="R16" i="9"/>
  <c r="Q16" i="9"/>
  <c r="P16" i="9"/>
  <c r="E16" i="9"/>
  <c r="R11" i="9"/>
  <c r="Q11" i="9"/>
  <c r="P11" i="9"/>
  <c r="R13" i="9"/>
  <c r="Q13" i="9"/>
  <c r="P13" i="9"/>
  <c r="R18" i="9"/>
  <c r="P18" i="9"/>
  <c r="E18" i="9"/>
  <c r="K180" i="9" l="1"/>
  <c r="K187" i="9"/>
  <c r="K189" i="9"/>
  <c r="K181" i="9"/>
  <c r="K188" i="9"/>
  <c r="K185" i="9"/>
  <c r="P192" i="9"/>
  <c r="K186" i="9"/>
  <c r="K182" i="9"/>
  <c r="K184" i="9"/>
  <c r="K166" i="9"/>
  <c r="K156" i="9"/>
  <c r="K163" i="9"/>
  <c r="K164" i="9"/>
  <c r="K160" i="9"/>
  <c r="K162" i="9"/>
  <c r="K123" i="9"/>
  <c r="K67" i="9"/>
  <c r="K75" i="9"/>
  <c r="K85" i="9"/>
  <c r="K78" i="9"/>
  <c r="K64" i="9"/>
  <c r="K84" i="9"/>
  <c r="K76" i="9"/>
  <c r="K63" i="9"/>
  <c r="K65" i="9"/>
  <c r="K58" i="9"/>
  <c r="K61" i="9"/>
  <c r="K35" i="9"/>
  <c r="K30" i="9"/>
  <c r="K29" i="9"/>
  <c r="K50" i="9"/>
  <c r="K36" i="9"/>
  <c r="K33" i="9"/>
  <c r="K48" i="9"/>
  <c r="K31" i="9"/>
  <c r="P54" i="9"/>
  <c r="K13" i="9"/>
  <c r="K16" i="9"/>
  <c r="K20" i="9"/>
  <c r="K15" i="9"/>
  <c r="K18" i="9"/>
  <c r="K14" i="9"/>
  <c r="K17" i="9"/>
  <c r="K10" i="9"/>
  <c r="K21" i="9"/>
  <c r="K11" i="9"/>
  <c r="K143" i="9"/>
  <c r="K138" i="9"/>
  <c r="K134" i="9"/>
  <c r="K117" i="9"/>
  <c r="K118" i="9"/>
  <c r="K116" i="9"/>
  <c r="K7" i="9"/>
  <c r="K6" i="9"/>
  <c r="K8" i="9"/>
  <c r="K9" i="9"/>
  <c r="E156" i="9"/>
  <c r="E160" i="9"/>
  <c r="P167" i="9"/>
  <c r="E7" i="9"/>
  <c r="K68" i="9"/>
  <c r="K72" i="9"/>
  <c r="K71" i="9"/>
  <c r="K132" i="9"/>
  <c r="K129" i="9"/>
  <c r="K140" i="9"/>
  <c r="P146" i="9"/>
  <c r="E164" i="9"/>
  <c r="E11" i="9"/>
  <c r="E9" i="9"/>
  <c r="E10" i="9"/>
  <c r="K40" i="9"/>
  <c r="K27" i="9"/>
  <c r="K42" i="9"/>
  <c r="K47" i="9"/>
  <c r="K25" i="9"/>
  <c r="K37" i="9"/>
  <c r="K53" i="9"/>
  <c r="K79" i="9"/>
  <c r="K62" i="9"/>
  <c r="K70" i="9"/>
  <c r="E74" i="9"/>
  <c r="E117" i="9"/>
  <c r="E165" i="9"/>
  <c r="P92" i="9"/>
  <c r="K133" i="9"/>
  <c r="K127" i="9"/>
  <c r="K57" i="9"/>
  <c r="K74" i="9"/>
  <c r="K126" i="9"/>
  <c r="K122" i="9"/>
  <c r="E162" i="9"/>
  <c r="K139" i="9"/>
  <c r="E13" i="9"/>
  <c r="E17" i="9"/>
  <c r="E19" i="9"/>
  <c r="K69" i="9"/>
  <c r="K77" i="9"/>
  <c r="K81" i="9"/>
  <c r="K142" i="9"/>
  <c r="K131" i="9"/>
  <c r="E166" i="9"/>
  <c r="E92" i="9"/>
  <c r="E6" i="9"/>
  <c r="E15" i="9"/>
  <c r="K86" i="9"/>
  <c r="E61" i="9"/>
  <c r="K83" i="9"/>
  <c r="K115" i="9"/>
  <c r="K145" i="9"/>
  <c r="E109" i="9" l="1"/>
  <c r="E103" i="9"/>
  <c r="E107" i="9"/>
  <c r="E111" i="9"/>
  <c r="E97" i="9"/>
  <c r="E106" i="9"/>
  <c r="E99" i="9"/>
  <c r="E108" i="9"/>
  <c r="E94" i="9"/>
  <c r="E91" i="9"/>
  <c r="E105" i="9"/>
  <c r="E100" i="9"/>
  <c r="E146" i="9" l="1"/>
  <c r="E119" i="9"/>
  <c r="E152" i="9"/>
  <c r="E167" i="9"/>
  <c r="E54" i="9"/>
  <c r="E22" i="9"/>
  <c r="E87" i="9"/>
  <c r="E112" i="9"/>
  <c r="AT142" i="11" l="1"/>
  <c r="AT137" i="11"/>
  <c r="AQ137" i="11"/>
  <c r="AS137" i="11" s="1"/>
  <c r="AT136" i="11"/>
  <c r="AS136" i="11"/>
  <c r="AT135" i="11"/>
  <c r="AS135" i="11"/>
  <c r="AT134" i="11"/>
  <c r="AS134" i="11"/>
  <c r="AT131" i="11"/>
  <c r="AS131" i="11"/>
  <c r="AT130" i="11"/>
  <c r="AS130" i="11"/>
  <c r="AT129" i="11"/>
  <c r="AS129" i="11"/>
  <c r="AT128" i="11"/>
  <c r="AS128" i="11"/>
  <c r="AT127" i="11"/>
  <c r="AS127" i="11"/>
  <c r="AT126" i="11"/>
  <c r="AS126" i="11"/>
  <c r="AT125" i="11"/>
  <c r="AQ125" i="11"/>
  <c r="AQ142" i="11" s="1"/>
  <c r="AS142" i="11" s="1"/>
  <c r="AT124" i="11"/>
  <c r="AQ124" i="11"/>
  <c r="AS124" i="11" s="1"/>
  <c r="AT120" i="11"/>
  <c r="AS120" i="11"/>
  <c r="AT118" i="11"/>
  <c r="AS118" i="11"/>
  <c r="AT117" i="11"/>
  <c r="AS117" i="11"/>
  <c r="AT116" i="11"/>
  <c r="AS116" i="11"/>
  <c r="AT115" i="11"/>
  <c r="AS115" i="11"/>
  <c r="AT114" i="11"/>
  <c r="AS114" i="11"/>
  <c r="AT113" i="11"/>
  <c r="AQ113" i="11"/>
  <c r="AS113" i="11" s="1"/>
  <c r="AT104" i="11"/>
  <c r="AS104" i="11"/>
  <c r="AT103" i="11"/>
  <c r="AS103" i="11"/>
  <c r="AT102" i="11"/>
  <c r="AS102" i="11"/>
  <c r="AT101" i="11"/>
  <c r="AS101" i="11"/>
  <c r="AT100" i="11"/>
  <c r="AS100" i="11"/>
  <c r="AT99" i="11"/>
  <c r="AS99" i="11"/>
  <c r="AT96" i="11"/>
  <c r="AS96" i="11"/>
  <c r="AT95" i="11"/>
  <c r="AS95" i="11"/>
  <c r="AT93" i="11"/>
  <c r="AS93" i="11"/>
  <c r="AT92" i="11"/>
  <c r="AS92" i="11"/>
  <c r="AT91" i="11"/>
  <c r="AQ91" i="11"/>
  <c r="AS91" i="11" s="1"/>
  <c r="AT90" i="11"/>
  <c r="AS90" i="11"/>
  <c r="AT86" i="11"/>
  <c r="AS86" i="11"/>
  <c r="AT70" i="11"/>
  <c r="AS70" i="11"/>
  <c r="AT68" i="11"/>
  <c r="AS68" i="11"/>
  <c r="AT67" i="11"/>
  <c r="AS67" i="11"/>
  <c r="AT66" i="11"/>
  <c r="AS66" i="11"/>
  <c r="AT65" i="11"/>
  <c r="AS65" i="11"/>
  <c r="AT64" i="11"/>
  <c r="AS64" i="11"/>
  <c r="AT63" i="11"/>
  <c r="AS63" i="11"/>
  <c r="AT62" i="11"/>
  <c r="AS62" i="11"/>
  <c r="AT61" i="11"/>
  <c r="AS61" i="11"/>
  <c r="AT60" i="11"/>
  <c r="AS60" i="11"/>
  <c r="AT58" i="11"/>
  <c r="AS58" i="11"/>
  <c r="AT57" i="11"/>
  <c r="AS57" i="11"/>
  <c r="AT56" i="11"/>
  <c r="AS56" i="11"/>
  <c r="AT55" i="11"/>
  <c r="AS55" i="11"/>
  <c r="AT53" i="11"/>
  <c r="AQ53" i="11"/>
  <c r="AS53" i="11" s="1"/>
  <c r="AT52" i="11"/>
  <c r="AS52" i="11"/>
  <c r="AT29" i="11"/>
  <c r="AS29" i="11"/>
  <c r="AT28" i="11"/>
  <c r="AS28" i="11"/>
  <c r="AT27" i="11"/>
  <c r="AS27" i="11"/>
  <c r="AT26" i="11"/>
  <c r="AS26" i="11"/>
  <c r="AT25" i="11"/>
  <c r="AS25" i="11"/>
  <c r="AT24" i="11"/>
  <c r="AS24" i="11"/>
  <c r="AT23" i="11"/>
  <c r="AS23" i="11"/>
  <c r="AT21" i="11"/>
  <c r="AQ21" i="11"/>
  <c r="AS21" i="11" s="1"/>
  <c r="AT20" i="11"/>
  <c r="AS20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I12" i="1"/>
  <c r="H12" i="1"/>
  <c r="G12" i="1"/>
  <c r="F12" i="1"/>
  <c r="E12" i="1"/>
  <c r="D12" i="1"/>
  <c r="J12" i="1"/>
  <c r="F14" i="12"/>
  <c r="F13" i="12"/>
  <c r="F12" i="12"/>
  <c r="F11" i="12"/>
  <c r="F10" i="12"/>
  <c r="F9" i="12"/>
  <c r="F8" i="12"/>
  <c r="F7" i="12"/>
  <c r="AS125" i="11" l="1"/>
  <c r="T175" i="9"/>
  <c r="T193" i="9"/>
  <c r="K106" i="9"/>
  <c r="P168" i="9" l="1"/>
  <c r="K99" i="9"/>
  <c r="K92" i="9"/>
  <c r="K107" i="9"/>
  <c r="K109" i="9"/>
  <c r="K105" i="9"/>
  <c r="K108" i="9"/>
  <c r="K97" i="9"/>
  <c r="P112" i="9"/>
  <c r="K100" i="9"/>
  <c r="K94" i="9"/>
  <c r="K91" i="9"/>
  <c r="K111" i="9"/>
  <c r="K54" i="9" l="1"/>
  <c r="K87" i="9"/>
  <c r="T168" i="9"/>
  <c r="K152" i="9"/>
  <c r="K22" i="9"/>
  <c r="K112" i="9"/>
  <c r="K146" i="9"/>
  <c r="K119" i="9"/>
</calcChain>
</file>

<file path=xl/sharedStrings.xml><?xml version="1.0" encoding="utf-8"?>
<sst xmlns="http://schemas.openxmlformats.org/spreadsheetml/2006/main" count="725" uniqueCount="289">
  <si>
    <t>EQUITY BASED FUNDS</t>
  </si>
  <si>
    <t>S/N</t>
  </si>
  <si>
    <t>FUND</t>
  </si>
  <si>
    <t>Unit Price</t>
  </si>
  <si>
    <t>N</t>
  </si>
  <si>
    <t>Stanbic IBTC Asset Mgt. Limited</t>
  </si>
  <si>
    <t>Asset &amp; Resources Mgt. Co. Ltd</t>
  </si>
  <si>
    <t>FSDH Asset Management Ltd</t>
  </si>
  <si>
    <t>Frontier Fund</t>
  </si>
  <si>
    <t>Chapel Hill Denham Mgt. Limited</t>
  </si>
  <si>
    <t>Paramount Equity Fund</t>
  </si>
  <si>
    <t>ARM Aggressive Growth Fund</t>
  </si>
  <si>
    <t>Zenith Asset Management Ltd</t>
  </si>
  <si>
    <t>Afrinvest Equity Fund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</si>
  <si>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</si>
  <si>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</si>
  <si>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</si>
  <si>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</si>
  <si>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</si>
  <si>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</si>
  <si>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SFS Capital Nigeria Ltd</t>
  </si>
  <si>
    <t>Union Homes REITS</t>
  </si>
  <si>
    <t>Stanbic IBTC Balanced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</si>
  <si>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</si>
  <si>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</si>
  <si>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</si>
  <si>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</si>
  <si>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</si>
  <si>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</si>
  <si>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</si>
  <si>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</si>
  <si>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</si>
  <si>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</si>
  <si>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</si>
  <si>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</si>
  <si>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</si>
  <si>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</si>
  <si>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</si>
  <si>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</si>
  <si>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</si>
  <si>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</si>
  <si>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</si>
  <si>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</si>
  <si>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</si>
  <si>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MONEY MARKET FUNDS</t>
  </si>
  <si>
    <t>Legacy Equity Fund</t>
  </si>
  <si>
    <t>EXCHANGE TRADED FUNDS</t>
  </si>
  <si>
    <t>Lotus Halal ETF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</si>
  <si>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</si>
  <si>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</si>
  <si>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</si>
  <si>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</si>
  <si>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</si>
  <si>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</si>
  <si>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</si>
  <si>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</si>
  <si>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</si>
  <si>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</si>
  <si>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Ltd.</t>
  </si>
  <si>
    <t>NAV</t>
  </si>
  <si>
    <t>VETBANK ETF</t>
  </si>
  <si>
    <t>MIXED FUNDS</t>
  </si>
  <si>
    <t>% on Total</t>
  </si>
  <si>
    <t>% Change (Current from Previous)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</si>
  <si>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</si>
  <si>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</si>
  <si>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</si>
  <si>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</si>
  <si>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</si>
  <si>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</si>
  <si>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</si>
  <si>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</si>
  <si>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</si>
  <si>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</si>
  <si>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</si>
  <si>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</si>
  <si>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</si>
  <si>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</si>
  <si>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</si>
  <si>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</si>
  <si>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</si>
  <si>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</si>
  <si>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</si>
  <si>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</si>
  <si>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</si>
  <si>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</si>
  <si>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</si>
  <si>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</si>
  <si>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</si>
  <si>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</si>
  <si>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</si>
  <si>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</si>
  <si>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</si>
  <si>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</si>
  <si>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</si>
  <si>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</si>
  <si>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</si>
  <si>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</si>
  <si>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</si>
  <si>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</si>
  <si>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</si>
  <si>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EDC Fund Management Limited</t>
  </si>
  <si>
    <t>EDC Money Market Fund Class B</t>
  </si>
  <si>
    <t>EDC Money Market Fund Class A</t>
  </si>
  <si>
    <t>EDC Fixed Income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</si>
  <si>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</si>
  <si>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</si>
  <si>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</si>
  <si>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</si>
  <si>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</si>
  <si>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</si>
  <si>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</si>
  <si>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</si>
  <si>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</si>
  <si>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</si>
  <si>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</si>
  <si>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</si>
  <si>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</si>
  <si>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</si>
  <si>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</si>
  <si>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Chapel Hill Denham Management Limited</t>
  </si>
  <si>
    <t>Chapel Hill Denham Nig. Infra Debt Fund (NIDF)</t>
  </si>
  <si>
    <t>Unit Price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</si>
  <si>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</si>
  <si>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</si>
  <si>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</si>
  <si>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</si>
  <si>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</si>
  <si>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</si>
  <si>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</si>
  <si>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</si>
  <si>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</si>
  <si>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</si>
  <si>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</si>
  <si>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</si>
  <si>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</si>
  <si>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</si>
  <si>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</si>
  <si>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</si>
  <si>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</si>
  <si>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</si>
  <si>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</si>
  <si>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</si>
  <si>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</si>
  <si>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</si>
  <si>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</si>
  <si>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</si>
  <si>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</si>
  <si>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</si>
  <si>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</si>
  <si>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</si>
  <si>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</si>
  <si>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</si>
  <si>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</si>
  <si>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</si>
  <si>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</si>
  <si>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</si>
  <si>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</si>
  <si>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</si>
  <si>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</si>
  <si>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</si>
  <si>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</si>
  <si>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</si>
  <si>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</si>
  <si>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 xml:space="preserve">Novambl Asset Management 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</si>
  <si>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</si>
  <si>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</si>
  <si>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</si>
  <si>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</si>
  <si>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</si>
  <si>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</si>
  <si>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Coral Money Market Fund (FSDH Treasury Bill Fund)</t>
  </si>
  <si>
    <t>Coral Balanced Fund (Coral Growth Fund)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</si>
  <si>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</si>
  <si>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</si>
  <si>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</si>
  <si>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</si>
  <si>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</si>
  <si>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</si>
  <si>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</si>
  <si>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</si>
  <si>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</si>
  <si>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</si>
  <si>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</si>
  <si>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</si>
  <si>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</si>
  <si>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</si>
  <si>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GDL Canary Growth Fund</t>
  </si>
  <si>
    <t>UPDC Real Estate Investment Trust</t>
  </si>
  <si>
    <t>Meristem Value ETF</t>
  </si>
  <si>
    <t>Meristem Growth ETF</t>
  </si>
  <si>
    <t>FBNQuest Asset Management Limited</t>
  </si>
  <si>
    <t>FBN Halal Fund</t>
  </si>
  <si>
    <t>Nova Hybrid Balanced Fund</t>
  </si>
  <si>
    <t>Norrenberger Money Market Fund</t>
  </si>
  <si>
    <t>ESG Impact Fund (Zenith Ethical Fund)</t>
  </si>
  <si>
    <t>Zenith Asset Management Ltd.</t>
  </si>
  <si>
    <t>FBN Balanced Fund</t>
  </si>
  <si>
    <t>Nigeria Dollar Income Fund</t>
  </si>
  <si>
    <t>BONDS/FIXED INCOME FUNDS</t>
  </si>
  <si>
    <t>FUND MANAGER</t>
  </si>
  <si>
    <t>DOLLAR FUNDS</t>
  </si>
  <si>
    <t>DOLLAR FUNDS (EUROBONDS)</t>
  </si>
  <si>
    <t>DOLLAR FUNDS (FIXED INCOME)</t>
  </si>
  <si>
    <t>SHARI'AH COMPLIANT FUNDS</t>
  </si>
  <si>
    <t>SHARI'AH COMPLIANT FUNDS (EQUITIES)</t>
  </si>
  <si>
    <t>SHARI'AH COMPLIANT FUNDS (FIXED INCOME)</t>
  </si>
  <si>
    <t>INFRASTRUCTURE FUNDS</t>
  </si>
  <si>
    <t>Infrastructure Funds Total</t>
  </si>
  <si>
    <t>NAV (N)</t>
  </si>
  <si>
    <t>NAV (%)</t>
  </si>
  <si>
    <t>Net Asset Value (N)</t>
  </si>
  <si>
    <t>NAV/Unit (N)</t>
  </si>
  <si>
    <t>NAV/Unit (%)</t>
  </si>
  <si>
    <t>SHARI'AH COMPLAINT FUNDS</t>
  </si>
  <si>
    <t>% Change in Total NAV of Infra Funds</t>
  </si>
  <si>
    <t>United Capital Wealth for Women Fund (Gender/Diversity)</t>
  </si>
  <si>
    <t>Emerging Africa Balanced-Diversity Fund (Gender/Diversity)</t>
  </si>
  <si>
    <t>FBN Bond Fund (Fixed Income)</t>
  </si>
  <si>
    <t>REAL ESTATE INVESTMENT TRUSTS</t>
  </si>
  <si>
    <t>REAL ESTATE INVESTMENT TRUST</t>
  </si>
  <si>
    <t>Bid Price (N)</t>
  </si>
  <si>
    <t>Offer Price (N)</t>
  </si>
  <si>
    <t>Yield (%)</t>
  </si>
  <si>
    <t>Difference</t>
  </si>
  <si>
    <t>Futureview Equity Fund</t>
  </si>
  <si>
    <t>Futureview Asset Management Limited</t>
  </si>
  <si>
    <t>Nigeria Infrastructure Debt Fund (NIDF)</t>
  </si>
  <si>
    <t>Nigerian Bond Fund</t>
  </si>
  <si>
    <t>BALANCED FUNDS</t>
  </si>
  <si>
    <t>Cordros Fixed Income Fund</t>
  </si>
  <si>
    <t>Greenwich ALPHA ETF</t>
  </si>
  <si>
    <t>Nigeria Real Estate Investment Trust</t>
  </si>
  <si>
    <t>Stanbic IBTC Nigerian Equity Fund</t>
  </si>
  <si>
    <t>ARM Short Term Bond Fund</t>
  </si>
  <si>
    <t>AXA Mansard Dollar Bond Fund</t>
  </si>
  <si>
    <t>CapitalTrust Halal Fixed Income Fund</t>
  </si>
  <si>
    <t>CapitalTrust Investments &amp; Asset Management Ltd.</t>
  </si>
  <si>
    <t>Coral Money Market Fund</t>
  </si>
  <si>
    <t>Cordros Halal Fixed Income Fund</t>
  </si>
  <si>
    <t>Nigeria Bond Fund</t>
  </si>
  <si>
    <t>Women's Balanced Fund</t>
  </si>
  <si>
    <t>EDC Balanced Fund</t>
  </si>
  <si>
    <t>EDC Halal Fund</t>
  </si>
  <si>
    <t>Futureview Dollar Fund</t>
  </si>
  <si>
    <t>DLM Asset Management Limited</t>
  </si>
  <si>
    <t>DLM Fixed Income Fund</t>
  </si>
  <si>
    <t>FBN Dollar Fund (Retail)</t>
  </si>
  <si>
    <t>United Capital Wealth for Women Fund</t>
  </si>
  <si>
    <t>Balanced Strategy Fund</t>
  </si>
  <si>
    <t>ESG Impact Fund</t>
  </si>
  <si>
    <t>Guaranty Trust Fund Managers</t>
  </si>
  <si>
    <t>United Capital Infrastructure Fund</t>
  </si>
  <si>
    <t>UBA Nom-Cowry Equity Fund</t>
  </si>
  <si>
    <t>Cowry Treasurers Limited</t>
  </si>
  <si>
    <t>UBA Nom-Cowry Fixed Income Fund</t>
  </si>
  <si>
    <t>UBA Nom-Cowry Balanced Fund</t>
  </si>
  <si>
    <t>TOTAL</t>
  </si>
  <si>
    <t>Norrenberger Dollar Fund</t>
  </si>
  <si>
    <t>FBN Bond Fund</t>
  </si>
  <si>
    <t>United Capital Nigerian Eurobond Fund</t>
  </si>
  <si>
    <t>United Capital Global Fixed Income Fund</t>
  </si>
  <si>
    <t>NAV and Unit Price as at Week Ended March 10, 2023</t>
  </si>
  <si>
    <t>NAV and Unit Price as at Week Ended March 17, 2023</t>
  </si>
  <si>
    <t>Yield (WTD)</t>
  </si>
  <si>
    <t>Yield  (YTD)</t>
  </si>
  <si>
    <t>Greenwich Balanced Fund</t>
  </si>
  <si>
    <t>NAV and Unit Price as at Week Ended March 24, 2023</t>
  </si>
  <si>
    <t>Yield (%) WYD</t>
  </si>
  <si>
    <t>Yield (%) YTD</t>
  </si>
  <si>
    <t>Coronation Asset Management Ltd</t>
  </si>
  <si>
    <t>NAV and Unit Price as at Week Ended March 31, 2023</t>
  </si>
  <si>
    <t>NAV and Unit Price as at Week Ended April 6, 2023</t>
  </si>
  <si>
    <t>% Change in Total NAV of ETFs</t>
  </si>
  <si>
    <t>% Change in Total NAV of CIS</t>
  </si>
  <si>
    <t>First Ally Money Market Fund</t>
  </si>
  <si>
    <t>BOND/FIXED INCOME FUNDS</t>
  </si>
  <si>
    <t>NAV and Unit Price as at Week Ended April 14, 2023</t>
  </si>
  <si>
    <t>Emerging Africa Balanced-Diversity Fund</t>
  </si>
  <si>
    <t>GDL CanaryGrowth Fund</t>
  </si>
  <si>
    <t>Coral Balanced Fund</t>
  </si>
  <si>
    <t>FBN Specialized Dollar Fund</t>
  </si>
  <si>
    <t>NAV and Unit Price as at Week Ended April 20, 2023</t>
  </si>
  <si>
    <t>NAV, Unit Price and Yield as at Week Ended April 28, 2023</t>
  </si>
  <si>
    <t>NAV and Unit Price as at Week Ended April 28, 2023</t>
  </si>
  <si>
    <t>NET ASSET VALUES AND UNIT PRICES OF COLLECTIVE INVESTMENT SCHEMES AS AT WEEK ENDED MAY 5, 2023</t>
  </si>
  <si>
    <t>NAV, Unit Price and Yield as at Week Ended May 5, 2023</t>
  </si>
  <si>
    <t>NAV and Unit Price as at Week Ended May 5, 2023</t>
  </si>
  <si>
    <t>The chart above shows that Money Market Fund category has 49.21% share of the Net Asset Value (NAV), followed by Dollar Fund (Eurobonds and Fixed Income) with 20.42%, Bond/Fixed Income Fund at 19.92%, Real Estate Investment Trust at 5.75%.  Next is Balanced Fund at 1.93%, Shari'ah Compliant Fund at 1.54%, Equity Fund at 1.04% and Ethical Fund at 0.19%.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</si>
</sst>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%"/>
    <numFmt numFmtId="167" formatCode="_(* #,##0_);_(* \(#,##0\);_(* &quot;-&quot;??_);_(@_)"/>
    <numFmt numFmtId="168" formatCode="[$€-2]\ #,##0.00_);[Red]\([$€-2]\ #,##0.00\)"/>
    <numFmt numFmtId="169" formatCode="_-* #,##0.0000_-;\-* #,##0.0000_-;_-* &quot;-&quot;??_-;_-@_-"/>
    <numFmt numFmtId="170" formatCode="&quot;True&quot;;&quot;True&quot;;&quot;False&quot;"/>
    <numFmt numFmtId="171" formatCode="#,##0_ ;\-#,##0\ "/>
    <numFmt numFmtId="172" formatCode="&quot; &quot;#,##0.00&quot; &quot;;&quot;-&quot;#,##0.00&quot; &quot;;&quot; -&quot;00&quot; &quot;;&quot; &quot;@&quot; &quot;"/>
    <numFmt numFmtId="173" formatCode="_([$€]* #,##0.00_);_([$€]* \(#,##0.00\);_([$€]* &quot;-&quot;??_);_(@_)"/>
  </numFmts>
  <fonts count="98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name val="Calibri"/>
      <family val="2"/>
      <scheme val="minor"/>
    </font>
    <font>
      <sz val="11"/>
      <color rgb="FF1F497D"/>
      <name val="Arial"/>
      <family val="2"/>
    </font>
    <font>
      <sz val="8.5"/>
      <color rgb="FF696C75"/>
      <name val="SpeakOT-Regular"/>
    </font>
    <font>
      <sz val="11"/>
      <color rgb="FF24406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sz val="10"/>
      <color theme="1"/>
      <name val="Arial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8"/>
      <color theme="1"/>
      <name val="Times New Roman"/>
      <family val="1"/>
    </font>
    <font>
      <sz val="8"/>
      <color rgb="FF000000"/>
      <name val="SpeakOT-Bold"/>
    </font>
    <font>
      <sz val="10"/>
      <color theme="1"/>
      <name val="Futura Bk BT"/>
      <family val="2"/>
    </font>
    <font>
      <b/>
      <sz val="10"/>
      <name val="Arial Narrow"/>
      <family val="2"/>
    </font>
    <font>
      <sz val="18"/>
      <color theme="3"/>
      <name val="Cambria"/>
      <family val="2"/>
      <scheme val="major"/>
    </font>
    <font>
      <b/>
      <sz val="10"/>
      <color theme="1"/>
      <name val="Verdana"/>
      <family val="2"/>
    </font>
    <font>
      <i/>
      <sz val="8"/>
      <name val="Arial Narrow"/>
      <family val="2"/>
    </font>
    <font>
      <i/>
      <sz val="8"/>
      <name val="Calibri"/>
      <family val="2"/>
      <scheme val="minor"/>
    </font>
    <font>
      <sz val="10"/>
      <color indexed="8"/>
      <name val="Arial"/>
      <family val="2"/>
    </font>
    <font>
      <sz val="10"/>
      <name val="Calibri"/>
      <family val="1"/>
      <scheme val="minor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  <font>
      <sz val="14"/>
      <color rgb="FF002060"/>
      <name val="Calibri"/>
      <family val="2"/>
      <scheme val="minor"/>
    </font>
    <font>
      <sz val="7"/>
      <color theme="1"/>
      <name val="Arial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sz val="9"/>
      <color rgb="FF000000"/>
      <name val="Calibri"/>
      <family val="2"/>
      <scheme val="minor"/>
    </font>
    <font>
      <u/>
      <sz val="11"/>
      <color theme="10"/>
      <name val="Calibri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2"/>
      <color theme="1"/>
      <name val="Book Antiqua"/>
      <family val="2"/>
    </font>
    <font>
      <sz val="11"/>
      <color theme="1"/>
      <name val="Book Antiqua"/>
      <family val="2"/>
    </font>
    <font>
      <sz val="8"/>
      <name val="Calibri"/>
      <family val="2"/>
    </font>
    <font>
      <b/>
      <sz val="14"/>
      <color rgb="FFFF0000"/>
      <name val="Calibri"/>
      <family val="2"/>
      <scheme val="minor"/>
    </font>
    <font>
      <b/>
      <i/>
      <sz val="10"/>
      <color theme="4"/>
      <name val="Calibri"/>
      <family val="2"/>
      <scheme val="minor"/>
    </font>
    <font>
      <b/>
      <sz val="16"/>
      <color theme="0"/>
      <name val="Arial Narrow"/>
      <family val="2"/>
    </font>
    <font>
      <b/>
      <sz val="10"/>
      <color theme="0"/>
      <name val="Arial Narrow"/>
      <family val="2"/>
    </font>
    <font>
      <b/>
      <sz val="36"/>
      <color rgb="FFFF0000"/>
      <name val="Calibri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0351">
    <xf numFmtId="0" fontId="0" fillId="0" borderId="0"/>
    <xf numFmtId="0" fontId="6" fillId="2" borderId="0" applyNumberFormat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41" fillId="0" borderId="12" applyNumberFormat="0" applyFill="0" applyAlignment="0" applyProtection="0"/>
    <xf numFmtId="0" fontId="42" fillId="0" borderId="13" applyNumberFormat="0" applyFill="0" applyAlignment="0" applyProtection="0"/>
    <xf numFmtId="0" fontId="43" fillId="0" borderId="14" applyNumberFormat="0" applyFill="0" applyAlignment="0" applyProtection="0"/>
    <xf numFmtId="0" fontId="43" fillId="0" borderId="0" applyNumberFormat="0" applyFill="0" applyBorder="0" applyAlignment="0" applyProtection="0"/>
    <xf numFmtId="0" fontId="44" fillId="14" borderId="0" applyNumberFormat="0" applyBorder="0" applyAlignment="0" applyProtection="0"/>
    <xf numFmtId="0" fontId="46" fillId="16" borderId="15" applyNumberFormat="0" applyAlignment="0" applyProtection="0"/>
    <xf numFmtId="0" fontId="47" fillId="17" borderId="16" applyNumberFormat="0" applyAlignment="0" applyProtection="0"/>
    <xf numFmtId="0" fontId="48" fillId="17" borderId="15" applyNumberFormat="0" applyAlignment="0" applyProtection="0"/>
    <xf numFmtId="0" fontId="49" fillId="0" borderId="17" applyNumberFormat="0" applyFill="0" applyAlignment="0" applyProtection="0"/>
    <xf numFmtId="0" fontId="50" fillId="18" borderId="18" applyNumberFormat="0" applyAlignment="0" applyProtection="0"/>
    <xf numFmtId="0" fontId="9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52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2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2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2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2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2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3" fillId="0" borderId="0"/>
    <xf numFmtId="43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55" fillId="0" borderId="0"/>
    <xf numFmtId="0" fontId="56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52" fillId="23" borderId="0" applyNumberFormat="0" applyBorder="0" applyAlignment="0" applyProtection="0"/>
    <xf numFmtId="0" fontId="52" fillId="27" borderId="0" applyNumberFormat="0" applyBorder="0" applyAlignment="0" applyProtection="0"/>
    <xf numFmtId="0" fontId="52" fillId="31" borderId="0" applyNumberFormat="0" applyBorder="0" applyAlignment="0" applyProtection="0"/>
    <xf numFmtId="0" fontId="52" fillId="35" borderId="0" applyNumberFormat="0" applyBorder="0" applyAlignment="0" applyProtection="0"/>
    <xf numFmtId="0" fontId="52" fillId="39" borderId="0" applyNumberFormat="0" applyBorder="0" applyAlignment="0" applyProtection="0"/>
    <xf numFmtId="0" fontId="52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7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53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3" fillId="0" borderId="0"/>
    <xf numFmtId="43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52" fillId="23" borderId="0" applyNumberFormat="0" applyBorder="0" applyAlignment="0" applyProtection="0"/>
    <xf numFmtId="0" fontId="52" fillId="27" borderId="0" applyNumberFormat="0" applyBorder="0" applyAlignment="0" applyProtection="0"/>
    <xf numFmtId="0" fontId="52" fillId="31" borderId="0" applyNumberFormat="0" applyBorder="0" applyAlignment="0" applyProtection="0"/>
    <xf numFmtId="0" fontId="52" fillId="35" borderId="0" applyNumberFormat="0" applyBorder="0" applyAlignment="0" applyProtection="0"/>
    <xf numFmtId="0" fontId="52" fillId="39" borderId="0" applyNumberFormat="0" applyBorder="0" applyAlignment="0" applyProtection="0"/>
    <xf numFmtId="0" fontId="52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3" fillId="0" borderId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5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3" fillId="0" borderId="0"/>
    <xf numFmtId="43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3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8" fillId="0" borderId="0"/>
    <xf numFmtId="0" fontId="70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5" fillId="19" borderId="19" applyNumberFormat="0" applyFont="0" applyAlignment="0" applyProtection="0"/>
    <xf numFmtId="0" fontId="52" fillId="23" borderId="0" applyNumberFormat="0" applyBorder="0" applyAlignment="0" applyProtection="0"/>
    <xf numFmtId="0" fontId="52" fillId="27" borderId="0" applyNumberFormat="0" applyBorder="0" applyAlignment="0" applyProtection="0"/>
    <xf numFmtId="0" fontId="52" fillId="31" borderId="0" applyNumberFormat="0" applyBorder="0" applyAlignment="0" applyProtection="0"/>
    <xf numFmtId="0" fontId="52" fillId="35" borderId="0" applyNumberFormat="0" applyBorder="0" applyAlignment="0" applyProtection="0"/>
    <xf numFmtId="0" fontId="52" fillId="39" borderId="0" applyNumberFormat="0" applyBorder="0" applyAlignment="0" applyProtection="0"/>
    <xf numFmtId="0" fontId="52" fillId="43" borderId="0" applyNumberFormat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68" fontId="53" fillId="0" borderId="0" applyFont="0" applyFill="0" applyBorder="0" applyAlignment="0" applyProtection="0"/>
    <xf numFmtId="168" fontId="53" fillId="0" borderId="0" applyFont="0" applyFill="0" applyBorder="0" applyAlignment="0" applyProtection="0"/>
    <xf numFmtId="0" fontId="55" fillId="0" borderId="0"/>
    <xf numFmtId="0" fontId="55" fillId="0" borderId="0"/>
    <xf numFmtId="0" fontId="53" fillId="0" borderId="0"/>
    <xf numFmtId="0" fontId="55" fillId="0" borderId="0"/>
    <xf numFmtId="0" fontId="55" fillId="0" borderId="0"/>
    <xf numFmtId="0" fontId="55" fillId="0" borderId="0"/>
    <xf numFmtId="0" fontId="74" fillId="0" borderId="0">
      <alignment vertical="top"/>
    </xf>
    <xf numFmtId="0" fontId="74" fillId="0" borderId="0">
      <alignment vertical="top"/>
    </xf>
    <xf numFmtId="0" fontId="53" fillId="0" borderId="0">
      <alignment wrapText="1"/>
    </xf>
    <xf numFmtId="0" fontId="55" fillId="0" borderId="0"/>
    <xf numFmtId="0" fontId="5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5" fillId="0" borderId="0"/>
    <xf numFmtId="164" fontId="53" fillId="0" borderId="0" applyFont="0" applyFill="0" applyBorder="0" applyAlignment="0" applyProtection="0"/>
    <xf numFmtId="0" fontId="76" fillId="48" borderId="0" applyNumberFormat="0" applyBorder="0" applyAlignment="0" applyProtection="0"/>
    <xf numFmtId="0" fontId="77" fillId="16" borderId="15" applyNumberFormat="0" applyAlignment="0" applyProtection="0"/>
    <xf numFmtId="0" fontId="78" fillId="17" borderId="1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8" fillId="0" borderId="0"/>
    <xf numFmtId="0" fontId="5" fillId="0" borderId="0"/>
    <xf numFmtId="0" fontId="53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3" fillId="0" borderId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0" fontId="53" fillId="0" borderId="0"/>
    <xf numFmtId="9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8" fillId="0" borderId="0" applyFont="0" applyFill="0" applyBorder="0" applyAlignment="0" applyProtection="0"/>
    <xf numFmtId="0" fontId="68" fillId="0" borderId="0"/>
    <xf numFmtId="9" fontId="6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43" fontId="5" fillId="0" borderId="0" applyFont="0" applyFill="0" applyBorder="0" applyAlignment="0" applyProtection="0"/>
    <xf numFmtId="0" fontId="86" fillId="0" borderId="0" applyNumberFormat="0" applyFill="0" applyBorder="0" applyAlignment="0" applyProtection="0">
      <alignment vertical="top"/>
      <protection locked="0"/>
    </xf>
    <xf numFmtId="0" fontId="87" fillId="0" borderId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89" fillId="0" borderId="0" applyFont="0" applyFill="0" applyBorder="0" applyAlignment="0" applyProtection="0"/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9" fillId="0" borderId="0"/>
    <xf numFmtId="0" fontId="53" fillId="0" borderId="0">
      <alignment wrapText="1"/>
    </xf>
    <xf numFmtId="0" fontId="53" fillId="0" borderId="0">
      <alignment wrapText="1"/>
    </xf>
    <xf numFmtId="0" fontId="74" fillId="0" borderId="0">
      <alignment vertical="top"/>
    </xf>
    <xf numFmtId="0" fontId="88" fillId="0" borderId="0" applyNumberFormat="0" applyBorder="0" applyProtection="0">
      <alignment vertical="top"/>
    </xf>
    <xf numFmtId="0" fontId="57" fillId="0" borderId="0"/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8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8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8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8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8" fillId="0" borderId="0" applyNumberFormat="0" applyBorder="0" applyProtection="0">
      <alignment vertical="top"/>
    </xf>
    <xf numFmtId="0" fontId="74" fillId="0" borderId="0">
      <alignment vertical="top"/>
    </xf>
    <xf numFmtId="0" fontId="88" fillId="0" borderId="0" applyNumberFormat="0" applyBorder="0" applyProtection="0">
      <alignment vertical="top"/>
    </xf>
    <xf numFmtId="0" fontId="74" fillId="0" borderId="0">
      <alignment vertical="top"/>
    </xf>
    <xf numFmtId="0" fontId="88" fillId="0" borderId="0" applyNumberFormat="0" applyBorder="0" applyProtection="0">
      <alignment vertical="top"/>
    </xf>
    <xf numFmtId="0" fontId="74" fillId="0" borderId="0">
      <alignment vertical="top"/>
    </xf>
    <xf numFmtId="0" fontId="88" fillId="0" borderId="0" applyNumberFormat="0" applyBorder="0" applyProtection="0">
      <alignment vertical="top"/>
    </xf>
    <xf numFmtId="0" fontId="74" fillId="0" borderId="0">
      <alignment vertical="top"/>
    </xf>
    <xf numFmtId="0" fontId="88" fillId="0" borderId="0" applyNumberFormat="0" applyBorder="0" applyProtection="0">
      <alignment vertical="top"/>
    </xf>
    <xf numFmtId="0" fontId="74" fillId="0" borderId="0">
      <alignment vertical="top"/>
    </xf>
    <xf numFmtId="0" fontId="88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8" fillId="0" borderId="0" applyNumberFormat="0" applyBorder="0" applyProtection="0">
      <alignment vertical="top"/>
    </xf>
    <xf numFmtId="0" fontId="88" fillId="0" borderId="0" applyNumberFormat="0" applyBorder="0" applyProtection="0">
      <alignment vertical="top"/>
    </xf>
    <xf numFmtId="0" fontId="88" fillId="0" borderId="0" applyNumberFormat="0" applyBorder="0" applyProtection="0">
      <alignment vertical="top"/>
    </xf>
    <xf numFmtId="0" fontId="88" fillId="0" borderId="0" applyNumberFormat="0" applyBorder="0" applyProtection="0">
      <alignment vertical="top"/>
    </xf>
    <xf numFmtId="0" fontId="88" fillId="0" borderId="0" applyNumberFormat="0" applyBorder="0" applyProtection="0">
      <alignment vertical="top"/>
    </xf>
    <xf numFmtId="0" fontId="88" fillId="0" borderId="0" applyNumberFormat="0" applyBorder="0" applyProtection="0">
      <alignment vertical="top"/>
    </xf>
    <xf numFmtId="0" fontId="88" fillId="0" borderId="0" applyNumberFormat="0" applyBorder="0" applyProtection="0">
      <alignment vertical="top"/>
    </xf>
    <xf numFmtId="0" fontId="88" fillId="0" borderId="0" applyNumberFormat="0" applyBorder="0" applyProtection="0">
      <alignment vertical="top"/>
    </xf>
    <xf numFmtId="0" fontId="88" fillId="0" borderId="0" applyNumberFormat="0" applyBorder="0" applyProtection="0">
      <alignment vertical="top"/>
    </xf>
    <xf numFmtId="0" fontId="88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8" fillId="0" borderId="0" applyNumberFormat="0" applyBorder="0" applyProtection="0">
      <alignment vertical="top"/>
    </xf>
    <xf numFmtId="0" fontId="88" fillId="0" borderId="0" applyNumberFormat="0" applyBorder="0" applyProtection="0">
      <alignment vertical="top"/>
    </xf>
    <xf numFmtId="0" fontId="88" fillId="0" borderId="0" applyNumberFormat="0" applyBorder="0" applyProtection="0">
      <alignment vertical="top"/>
    </xf>
    <xf numFmtId="0" fontId="88" fillId="0" borderId="0" applyNumberFormat="0" applyBorder="0" applyProtection="0">
      <alignment vertical="top"/>
    </xf>
    <xf numFmtId="0" fontId="88" fillId="0" borderId="0" applyNumberFormat="0" applyBorder="0" applyProtection="0">
      <alignment vertical="top"/>
    </xf>
    <xf numFmtId="0" fontId="88" fillId="0" borderId="0" applyNumberFormat="0" applyBorder="0" applyProtection="0">
      <alignment vertical="top"/>
    </xf>
    <xf numFmtId="0" fontId="88" fillId="0" borderId="0" applyNumberFormat="0" applyBorder="0" applyProtection="0">
      <alignment vertical="top"/>
    </xf>
    <xf numFmtId="0" fontId="88" fillId="0" borderId="0" applyNumberFormat="0" applyBorder="0" applyProtection="0">
      <alignment vertical="top"/>
    </xf>
    <xf numFmtId="0" fontId="88" fillId="0" borderId="0" applyNumberFormat="0" applyBorder="0" applyProtection="0">
      <alignment vertical="top"/>
    </xf>
    <xf numFmtId="0" fontId="88" fillId="0" borderId="0" applyNumberFormat="0" applyBorder="0" applyProtection="0">
      <alignment vertical="top"/>
    </xf>
    <xf numFmtId="0" fontId="88" fillId="0" borderId="0" applyNumberFormat="0" applyBorder="0" applyProtection="0">
      <alignment vertical="top"/>
    </xf>
    <xf numFmtId="0" fontId="88" fillId="0" borderId="0" applyNumberFormat="0" applyBorder="0" applyProtection="0">
      <alignment vertical="top"/>
    </xf>
    <xf numFmtId="0" fontId="88" fillId="0" borderId="0" applyNumberFormat="0" applyBorder="0" applyProtection="0">
      <alignment vertical="top"/>
    </xf>
    <xf numFmtId="0" fontId="88" fillId="0" borderId="0" applyNumberFormat="0" applyBorder="0" applyProtection="0">
      <alignment vertical="top"/>
    </xf>
    <xf numFmtId="0" fontId="88" fillId="0" borderId="0" applyNumberFormat="0" applyBorder="0" applyProtection="0">
      <alignment vertical="top"/>
    </xf>
    <xf numFmtId="0" fontId="88" fillId="0" borderId="0" applyNumberFormat="0" applyBorder="0" applyProtection="0">
      <alignment vertical="top"/>
    </xf>
    <xf numFmtId="0" fontId="88" fillId="0" borderId="0" applyNumberFormat="0" applyBorder="0" applyProtection="0">
      <alignment vertical="top"/>
    </xf>
    <xf numFmtId="0" fontId="88" fillId="0" borderId="0" applyNumberFormat="0" applyBorder="0" applyProtection="0">
      <alignment vertical="top"/>
    </xf>
    <xf numFmtId="0" fontId="88" fillId="0" borderId="0" applyNumberFormat="0" applyBorder="0" applyProtection="0">
      <alignment vertical="top"/>
    </xf>
    <xf numFmtId="0" fontId="88" fillId="0" borderId="0" applyNumberFormat="0" applyBorder="0" applyProtection="0">
      <alignment vertical="top"/>
    </xf>
    <xf numFmtId="0" fontId="88" fillId="0" borderId="0" applyNumberFormat="0" applyBorder="0" applyProtection="0">
      <alignment vertical="top"/>
    </xf>
    <xf numFmtId="0" fontId="89" fillId="0" borderId="0" applyNumberFormat="0" applyFont="0" applyBorder="0" applyProtection="0"/>
    <xf numFmtId="0" fontId="88" fillId="0" borderId="0" applyNumberFormat="0" applyBorder="0" applyProtection="0">
      <alignment vertical="top"/>
    </xf>
    <xf numFmtId="0" fontId="88" fillId="0" borderId="0" applyNumberFormat="0" applyBorder="0" applyProtection="0">
      <alignment vertical="top"/>
    </xf>
    <xf numFmtId="0" fontId="88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5" fillId="19" borderId="19" applyNumberFormat="0" applyFont="0" applyAlignment="0" applyProtection="0"/>
    <xf numFmtId="9" fontId="57" fillId="0" borderId="0" applyFont="0" applyFill="0" applyBorder="0" applyAlignment="0" applyProtection="0"/>
    <xf numFmtId="9" fontId="89" fillId="0" borderId="0" applyFont="0" applyFill="0" applyBorder="0" applyAlignment="0" applyProtection="0"/>
    <xf numFmtId="169" fontId="53" fillId="0" borderId="0" applyFont="0" applyFill="0" applyBorder="0" applyAlignment="0" applyProtection="0">
      <alignment wrapText="1"/>
    </xf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3" fillId="0" borderId="0" applyFont="0" applyFill="0" applyBorder="0" applyAlignment="0" applyProtection="0"/>
    <xf numFmtId="43" fontId="90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3" fillId="0" borderId="0" applyFont="0" applyFill="0" applyBorder="0" applyAlignment="0" applyProtection="0">
      <alignment wrapText="1"/>
    </xf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0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0" fontId="53" fillId="0" borderId="0">
      <alignment wrapText="1"/>
    </xf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58" fillId="0" borderId="0" applyFont="0" applyFill="0" applyBorder="0" applyAlignment="0" applyProtection="0"/>
    <xf numFmtId="167" fontId="58" fillId="0" borderId="0" applyFont="0" applyFill="0" applyBorder="0" applyAlignment="0" applyProtection="0"/>
    <xf numFmtId="167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173" fontId="53" fillId="0" borderId="0" applyFont="0" applyFill="0" applyBorder="0" applyAlignment="0" applyProtection="0"/>
    <xf numFmtId="0" fontId="8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38" fillId="0" borderId="0"/>
    <xf numFmtId="0" fontId="53" fillId="0" borderId="0">
      <alignment wrapText="1"/>
    </xf>
    <xf numFmtId="0" fontId="5" fillId="0" borderId="0"/>
    <xf numFmtId="0" fontId="5" fillId="0" borderId="0"/>
    <xf numFmtId="0" fontId="53" fillId="0" borderId="0"/>
    <xf numFmtId="0" fontId="90" fillId="0" borderId="0"/>
    <xf numFmtId="0" fontId="55" fillId="0" borderId="0"/>
    <xf numFmtId="0" fontId="58" fillId="0" borderId="0"/>
    <xf numFmtId="0" fontId="58" fillId="0" borderId="0"/>
    <xf numFmtId="0" fontId="53" fillId="0" borderId="0"/>
    <xf numFmtId="0" fontId="53" fillId="0" borderId="0">
      <alignment wrapText="1"/>
    </xf>
    <xf numFmtId="0" fontId="5" fillId="0" borderId="0"/>
    <xf numFmtId="0" fontId="53" fillId="0" borderId="0"/>
    <xf numFmtId="0" fontId="5" fillId="0" borderId="0"/>
    <xf numFmtId="0" fontId="5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90" fillId="0" borderId="0"/>
    <xf numFmtId="0" fontId="58" fillId="0" borderId="0"/>
    <xf numFmtId="0" fontId="53" fillId="0" borderId="0">
      <alignment wrapText="1"/>
    </xf>
    <xf numFmtId="0" fontId="5" fillId="0" borderId="0"/>
    <xf numFmtId="0" fontId="53" fillId="0" borderId="0">
      <alignment wrapText="1"/>
    </xf>
    <xf numFmtId="0" fontId="53" fillId="0" borderId="0">
      <alignment wrapText="1"/>
    </xf>
    <xf numFmtId="0" fontId="5" fillId="0" borderId="0"/>
    <xf numFmtId="0" fontId="5" fillId="0" borderId="0"/>
    <xf numFmtId="0" fontId="5" fillId="0" borderId="0"/>
    <xf numFmtId="0" fontId="53" fillId="0" borderId="0"/>
    <xf numFmtId="0" fontId="38" fillId="0" borderId="0"/>
    <xf numFmtId="0" fontId="53" fillId="0" borderId="0">
      <alignment wrapText="1"/>
    </xf>
    <xf numFmtId="0" fontId="90" fillId="0" borderId="0"/>
    <xf numFmtId="0" fontId="90" fillId="0" borderId="0"/>
    <xf numFmtId="0" fontId="90" fillId="0" borderId="0"/>
    <xf numFmtId="0" fontId="53" fillId="0" borderId="0"/>
    <xf numFmtId="0" fontId="38" fillId="0" borderId="0"/>
    <xf numFmtId="0" fontId="53" fillId="0" borderId="0"/>
    <xf numFmtId="0" fontId="53" fillId="0" borderId="0"/>
    <xf numFmtId="0" fontId="53" fillId="0" borderId="0"/>
    <xf numFmtId="0" fontId="91" fillId="0" borderId="0"/>
    <xf numFmtId="0" fontId="91" fillId="0" borderId="0"/>
    <xf numFmtId="0" fontId="91" fillId="0" borderId="0"/>
    <xf numFmtId="0" fontId="53" fillId="0" borderId="0"/>
    <xf numFmtId="0" fontId="5" fillId="19" borderId="19" applyNumberFormat="0" applyFont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3" fillId="0" borderId="0" applyFont="0" applyFill="0" applyBorder="0" applyAlignment="0" applyProtection="0">
      <alignment wrapText="1"/>
    </xf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69">
    <xf numFmtId="0" fontId="0" fillId="0" borderId="0" xfId="0"/>
    <xf numFmtId="0" fontId="9" fillId="3" borderId="0" xfId="0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wrapText="1"/>
    </xf>
    <xf numFmtId="165" fontId="5" fillId="0" borderId="0" xfId="2" applyFont="1"/>
    <xf numFmtId="0" fontId="0" fillId="0" borderId="0" xfId="0" applyBorder="1"/>
    <xf numFmtId="165" fontId="5" fillId="0" borderId="0" xfId="2" applyFont="1" applyBorder="1"/>
    <xf numFmtId="165" fontId="13" fillId="6" borderId="0" xfId="2" applyFont="1" applyFill="1" applyBorder="1" applyAlignment="1">
      <alignment horizontal="right" vertical="top" wrapText="1"/>
    </xf>
    <xf numFmtId="0" fontId="2" fillId="6" borderId="1" xfId="0" applyFont="1" applyFill="1" applyBorder="1"/>
    <xf numFmtId="165" fontId="2" fillId="9" borderId="1" xfId="2" applyNumberFormat="1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10" fontId="1" fillId="10" borderId="1" xfId="6" applyNumberFormat="1" applyFont="1" applyFill="1" applyBorder="1" applyAlignment="1">
      <alignment horizontal="center" vertical="center" wrapText="1"/>
    </xf>
    <xf numFmtId="10" fontId="1" fillId="11" borderId="1" xfId="6" applyNumberFormat="1" applyFont="1" applyFill="1" applyBorder="1" applyAlignment="1">
      <alignment horizontal="center" vertical="center" wrapText="1"/>
    </xf>
    <xf numFmtId="10" fontId="1" fillId="12" borderId="1" xfId="6" applyNumberFormat="1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vertical="center"/>
    </xf>
    <xf numFmtId="10" fontId="5" fillId="0" borderId="0" xfId="6" applyNumberFormat="1" applyFont="1" applyAlignment="1">
      <alignment vertical="center"/>
    </xf>
    <xf numFmtId="4" fontId="19" fillId="9" borderId="1" xfId="0" applyNumberFormat="1" applyFont="1" applyFill="1" applyBorder="1" applyAlignment="1">
      <alignment vertical="center"/>
    </xf>
    <xf numFmtId="10" fontId="13" fillId="0" borderId="0" xfId="6" applyNumberFormat="1" applyFont="1" applyAlignment="1">
      <alignment vertical="center"/>
    </xf>
    <xf numFmtId="9" fontId="5" fillId="0" borderId="0" xfId="6" applyFont="1" applyAlignment="1">
      <alignment vertical="center"/>
    </xf>
    <xf numFmtId="165" fontId="19" fillId="9" borderId="1" xfId="2" applyFont="1" applyFill="1" applyBorder="1" applyAlignment="1">
      <alignment horizontal="right" vertical="center"/>
    </xf>
    <xf numFmtId="0" fontId="19" fillId="9" borderId="1" xfId="0" applyFont="1" applyFill="1" applyBorder="1" applyAlignment="1">
      <alignment vertical="center"/>
    </xf>
    <xf numFmtId="4" fontId="19" fillId="9" borderId="1" xfId="0" applyNumberFormat="1" applyFont="1" applyFill="1" applyBorder="1" applyAlignment="1">
      <alignment vertical="center" wrapText="1"/>
    </xf>
    <xf numFmtId="2" fontId="19" fillId="9" borderId="1" xfId="0" applyNumberFormat="1" applyFont="1" applyFill="1" applyBorder="1" applyAlignment="1">
      <alignment vertical="center" wrapText="1"/>
    </xf>
    <xf numFmtId="4" fontId="19" fillId="9" borderId="1" xfId="2" applyNumberFormat="1" applyFont="1" applyFill="1" applyBorder="1" applyAlignment="1">
      <alignment horizontal="right" vertical="center"/>
    </xf>
    <xf numFmtId="165" fontId="20" fillId="9" borderId="1" xfId="1" applyNumberFormat="1" applyFont="1" applyFill="1" applyBorder="1" applyAlignment="1">
      <alignment horizontal="right" vertical="center"/>
    </xf>
    <xf numFmtId="4" fontId="20" fillId="9" borderId="1" xfId="1" applyNumberFormat="1" applyFont="1" applyFill="1" applyBorder="1" applyAlignment="1">
      <alignment horizontal="right" vertical="center"/>
    </xf>
    <xf numFmtId="165" fontId="19" fillId="9" borderId="1" xfId="2" applyFont="1" applyFill="1" applyBorder="1" applyAlignment="1">
      <alignment vertical="center"/>
    </xf>
    <xf numFmtId="165" fontId="19" fillId="9" borderId="1" xfId="2" applyFont="1" applyFill="1" applyBorder="1" applyAlignment="1">
      <alignment vertical="center" wrapText="1"/>
    </xf>
    <xf numFmtId="165" fontId="17" fillId="9" borderId="1" xfId="2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vertical="center" wrapText="1"/>
    </xf>
    <xf numFmtId="4" fontId="19" fillId="9" borderId="1" xfId="0" applyNumberFormat="1" applyFont="1" applyFill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 vertical="center"/>
    </xf>
    <xf numFmtId="4" fontId="17" fillId="9" borderId="1" xfId="2" applyNumberFormat="1" applyFont="1" applyFill="1" applyBorder="1" applyAlignment="1">
      <alignment horizontal="right" vertical="center"/>
    </xf>
    <xf numFmtId="43" fontId="1" fillId="9" borderId="1" xfId="2" applyNumberFormat="1" applyFont="1" applyFill="1" applyBorder="1" applyAlignment="1">
      <alignment vertical="center"/>
    </xf>
    <xf numFmtId="3" fontId="19" fillId="9" borderId="1" xfId="0" applyNumberFormat="1" applyFont="1" applyFill="1" applyBorder="1" applyAlignment="1">
      <alignment vertical="center"/>
    </xf>
    <xf numFmtId="4" fontId="19" fillId="9" borderId="1" xfId="2" applyNumberFormat="1" applyFont="1" applyFill="1" applyBorder="1" applyAlignment="1">
      <alignment horizontal="right" vertical="center" wrapText="1"/>
    </xf>
    <xf numFmtId="0" fontId="1" fillId="9" borderId="1" xfId="0" applyFont="1" applyFill="1" applyBorder="1" applyAlignment="1">
      <alignment vertical="center"/>
    </xf>
    <xf numFmtId="43" fontId="19" fillId="9" borderId="1" xfId="2" applyNumberFormat="1" applyFont="1" applyFill="1" applyBorder="1" applyAlignment="1">
      <alignment vertical="center"/>
    </xf>
    <xf numFmtId="4" fontId="1" fillId="9" borderId="1" xfId="0" applyNumberFormat="1" applyFont="1" applyFill="1" applyBorder="1" applyAlignment="1">
      <alignment vertical="center"/>
    </xf>
    <xf numFmtId="4" fontId="21" fillId="9" borderId="1" xfId="0" applyNumberFormat="1" applyFont="1" applyFill="1" applyBorder="1" applyAlignment="1">
      <alignment vertical="center"/>
    </xf>
    <xf numFmtId="0" fontId="21" fillId="9" borderId="1" xfId="0" applyFont="1" applyFill="1" applyBorder="1" applyAlignment="1">
      <alignment vertical="center"/>
    </xf>
    <xf numFmtId="165" fontId="19" fillId="9" borderId="1" xfId="2" applyFont="1" applyFill="1" applyBorder="1" applyAlignment="1">
      <alignment horizontal="right" vertical="center" wrapText="1"/>
    </xf>
    <xf numFmtId="4" fontId="2" fillId="9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165" fontId="17" fillId="9" borderId="1" xfId="2" applyFont="1" applyFill="1" applyBorder="1" applyAlignment="1">
      <alignment horizontal="right" vertical="center"/>
    </xf>
    <xf numFmtId="165" fontId="17" fillId="0" borderId="1" xfId="2" applyFont="1" applyBorder="1" applyAlignment="1">
      <alignment horizontal="right" vertical="center" wrapText="1"/>
    </xf>
    <xf numFmtId="4" fontId="17" fillId="0" borderId="1" xfId="2" applyNumberFormat="1" applyFont="1" applyBorder="1" applyAlignment="1">
      <alignment horizontal="right" vertical="center" wrapText="1"/>
    </xf>
    <xf numFmtId="0" fontId="17" fillId="13" borderId="1" xfId="0" applyFont="1" applyFill="1" applyBorder="1" applyAlignment="1">
      <alignment horizontal="center" vertical="center"/>
    </xf>
    <xf numFmtId="0" fontId="17" fillId="13" borderId="1" xfId="0" applyFont="1" applyFill="1" applyBorder="1" applyAlignment="1">
      <alignment horizontal="center" vertical="center" wrapText="1"/>
    </xf>
    <xf numFmtId="165" fontId="3" fillId="9" borderId="1" xfId="2" applyFont="1" applyFill="1" applyBorder="1" applyAlignment="1">
      <alignment horizontal="right" vertical="center" wrapText="1"/>
    </xf>
    <xf numFmtId="4" fontId="2" fillId="9" borderId="1" xfId="2" applyNumberFormat="1" applyFont="1" applyFill="1" applyBorder="1" applyAlignment="1">
      <alignment horizontal="right" vertical="center" wrapText="1"/>
    </xf>
    <xf numFmtId="0" fontId="15" fillId="4" borderId="5" xfId="0" applyFont="1" applyFill="1" applyBorder="1" applyAlignment="1">
      <alignment horizontal="right" vertical="center" wrapText="1"/>
    </xf>
    <xf numFmtId="165" fontId="15" fillId="9" borderId="2" xfId="2" applyFont="1" applyFill="1" applyBorder="1" applyAlignment="1">
      <alignment horizontal="right" vertical="center" wrapText="1"/>
    </xf>
    <xf numFmtId="4" fontId="17" fillId="9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4" fillId="6" borderId="1" xfId="0" applyFont="1" applyFill="1" applyBorder="1" applyAlignment="1">
      <alignment horizontal="center" vertical="top" wrapText="1"/>
    </xf>
    <xf numFmtId="0" fontId="1" fillId="6" borderId="1" xfId="0" applyFont="1" applyFill="1" applyBorder="1"/>
    <xf numFmtId="4" fontId="1" fillId="6" borderId="1" xfId="2" applyNumberFormat="1" applyFont="1" applyFill="1" applyBorder="1" applyAlignment="1">
      <alignment horizontal="right"/>
    </xf>
    <xf numFmtId="165" fontId="2" fillId="6" borderId="1" xfId="2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vertical="top" wrapText="1"/>
    </xf>
    <xf numFmtId="4" fontId="2" fillId="6" borderId="1" xfId="2" applyNumberFormat="1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horizontal="right"/>
    </xf>
    <xf numFmtId="165" fontId="1" fillId="6" borderId="1" xfId="2" applyFont="1" applyFill="1" applyBorder="1"/>
    <xf numFmtId="165" fontId="1" fillId="6" borderId="1" xfId="2" applyFont="1" applyFill="1" applyBorder="1" applyAlignment="1">
      <alignment horizontal="right" vertical="top" wrapText="1"/>
    </xf>
    <xf numFmtId="165" fontId="2" fillId="6" borderId="1" xfId="2" applyFont="1" applyFill="1" applyBorder="1" applyAlignment="1">
      <alignment horizontal="right"/>
    </xf>
    <xf numFmtId="165" fontId="3" fillId="6" borderId="1" xfId="2" applyFont="1" applyFill="1" applyBorder="1" applyAlignment="1">
      <alignment horizontal="right" vertical="top" wrapText="1"/>
    </xf>
    <xf numFmtId="10" fontId="2" fillId="8" borderId="3" xfId="6" applyNumberFormat="1" applyFont="1" applyFill="1" applyBorder="1" applyAlignment="1">
      <alignment vertical="center"/>
    </xf>
    <xf numFmtId="165" fontId="3" fillId="9" borderId="7" xfId="2" applyFont="1" applyFill="1" applyBorder="1" applyAlignment="1">
      <alignment horizontal="right" vertical="center" wrapText="1"/>
    </xf>
    <xf numFmtId="4" fontId="2" fillId="9" borderId="7" xfId="2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165" fontId="1" fillId="6" borderId="0" xfId="2" applyFont="1" applyFill="1" applyBorder="1" applyAlignment="1">
      <alignment horizontal="right"/>
    </xf>
    <xf numFmtId="10" fontId="1" fillId="6" borderId="0" xfId="6" applyNumberFormat="1" applyFont="1" applyFill="1" applyBorder="1" applyAlignment="1">
      <alignment horizontal="center"/>
    </xf>
    <xf numFmtId="4" fontId="1" fillId="6" borderId="0" xfId="2" applyNumberFormat="1" applyFont="1" applyFill="1" applyBorder="1" applyAlignment="1">
      <alignment horizontal="right"/>
    </xf>
    <xf numFmtId="0" fontId="0" fillId="0" borderId="0" xfId="0"/>
    <xf numFmtId="10" fontId="1" fillId="6" borderId="1" xfId="6" applyNumberFormat="1" applyFont="1" applyFill="1" applyBorder="1" applyAlignment="1">
      <alignment horizontal="center" vertical="center" wrapText="1"/>
    </xf>
    <xf numFmtId="0" fontId="0" fillId="0" borderId="0" xfId="0"/>
    <xf numFmtId="2" fontId="1" fillId="6" borderId="0" xfId="0" applyNumberFormat="1" applyFont="1" applyFill="1" applyBorder="1"/>
    <xf numFmtId="0" fontId="1" fillId="6" borderId="0" xfId="0" applyFont="1" applyFill="1" applyBorder="1" applyAlignment="1">
      <alignment wrapText="1"/>
    </xf>
    <xf numFmtId="10" fontId="13" fillId="6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165" fontId="0" fillId="0" borderId="0" xfId="2" applyFont="1"/>
    <xf numFmtId="3" fontId="22" fillId="0" borderId="0" xfId="0" applyNumberFormat="1" applyFont="1"/>
    <xf numFmtId="0" fontId="0" fillId="0" borderId="0" xfId="0"/>
    <xf numFmtId="0" fontId="0" fillId="0" borderId="0" xfId="0" applyAlignment="1">
      <alignment wrapText="1"/>
    </xf>
    <xf numFmtId="0" fontId="8" fillId="0" borderId="0" xfId="0" applyFont="1" applyBorder="1" applyAlignment="1">
      <alignment horizontal="center"/>
    </xf>
    <xf numFmtId="16" fontId="8" fillId="6" borderId="0" xfId="0" applyNumberFormat="1" applyFont="1" applyFill="1" applyBorder="1" applyAlignment="1">
      <alignment horizontal="center"/>
    </xf>
    <xf numFmtId="165" fontId="0" fillId="0" borderId="0" xfId="2" applyFont="1" applyBorder="1"/>
    <xf numFmtId="0" fontId="23" fillId="0" borderId="0" xfId="0" applyFont="1" applyAlignment="1"/>
    <xf numFmtId="0" fontId="59" fillId="0" borderId="0" xfId="0" applyFont="1" applyBorder="1"/>
    <xf numFmtId="0" fontId="59" fillId="0" borderId="0" xfId="0" applyFont="1" applyAlignment="1">
      <alignment horizontal="right"/>
    </xf>
    <xf numFmtId="4" fontId="60" fillId="0" borderId="0" xfId="0" applyNumberFormat="1" applyFont="1"/>
    <xf numFmtId="0" fontId="34" fillId="0" borderId="0" xfId="0" applyFont="1"/>
    <xf numFmtId="0" fontId="0" fillId="0" borderId="0" xfId="0"/>
    <xf numFmtId="0" fontId="9" fillId="6" borderId="0" xfId="0" applyFont="1" applyFill="1"/>
    <xf numFmtId="0" fontId="0" fillId="0" borderId="0" xfId="0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0" fillId="0" borderId="0" xfId="0"/>
    <xf numFmtId="10" fontId="1" fillId="8" borderId="1" xfId="6" applyNumberFormat="1" applyFont="1" applyFill="1" applyBorder="1" applyAlignment="1">
      <alignment horizontal="center" vertical="top" wrapText="1"/>
    </xf>
    <xf numFmtId="39" fontId="10" fillId="6" borderId="0" xfId="2" applyNumberFormat="1" applyFont="1" applyFill="1" applyBorder="1" applyAlignment="1">
      <alignment horizontal="center" vertical="top" wrapText="1"/>
    </xf>
    <xf numFmtId="165" fontId="10" fillId="6" borderId="0" xfId="2" applyFont="1" applyFill="1" applyBorder="1"/>
    <xf numFmtId="0" fontId="10" fillId="6" borderId="0" xfId="0" applyFont="1" applyFill="1" applyBorder="1"/>
    <xf numFmtId="39" fontId="10" fillId="6" borderId="0" xfId="0" applyNumberFormat="1" applyFont="1" applyFill="1" applyBorder="1"/>
    <xf numFmtId="0" fontId="30" fillId="6" borderId="0" xfId="0" applyFont="1" applyFill="1" applyBorder="1" applyAlignment="1">
      <alignment vertical="center"/>
    </xf>
    <xf numFmtId="0" fontId="16" fillId="6" borderId="0" xfId="0" applyFont="1" applyFill="1" applyBorder="1" applyAlignment="1">
      <alignment horizontal="center" vertical="center" wrapText="1"/>
    </xf>
    <xf numFmtId="0" fontId="30" fillId="6" borderId="0" xfId="0" applyFont="1" applyFill="1" applyBorder="1" applyAlignment="1">
      <alignment horizontal="center" vertical="center" wrapText="1"/>
    </xf>
    <xf numFmtId="4" fontId="30" fillId="6" borderId="0" xfId="0" applyNumberFormat="1" applyFont="1" applyFill="1" applyBorder="1"/>
    <xf numFmtId="0" fontId="10" fillId="6" borderId="0" xfId="0" applyFont="1" applyFill="1" applyBorder="1" applyAlignment="1">
      <alignment horizontal="left"/>
    </xf>
    <xf numFmtId="165" fontId="8" fillId="6" borderId="0" xfId="2" applyFont="1" applyFill="1" applyBorder="1" applyAlignment="1"/>
    <xf numFmtId="0" fontId="16" fillId="6" borderId="0" xfId="0" applyFont="1" applyFill="1" applyBorder="1" applyAlignment="1">
      <alignment vertical="top" wrapText="1"/>
    </xf>
    <xf numFmtId="3" fontId="10" fillId="6" borderId="0" xfId="0" applyNumberFormat="1" applyFont="1" applyFill="1" applyBorder="1"/>
    <xf numFmtId="39" fontId="23" fillId="6" borderId="0" xfId="0" applyNumberFormat="1" applyFont="1" applyFill="1" applyBorder="1"/>
    <xf numFmtId="4" fontId="0" fillId="6" borderId="0" xfId="0" applyNumberFormat="1" applyFont="1" applyFill="1" applyBorder="1" applyAlignment="1">
      <alignment vertical="center" wrapText="1"/>
    </xf>
    <xf numFmtId="4" fontId="10" fillId="6" borderId="0" xfId="0" applyNumberFormat="1" applyFont="1" applyFill="1" applyBorder="1"/>
    <xf numFmtId="167" fontId="10" fillId="6" borderId="0" xfId="2" applyNumberFormat="1" applyFont="1" applyFill="1" applyBorder="1"/>
    <xf numFmtId="4" fontId="24" fillId="6" borderId="0" xfId="0" applyNumberFormat="1" applyFont="1" applyFill="1" applyBorder="1"/>
    <xf numFmtId="0" fontId="24" fillId="6" borderId="0" xfId="0" applyFont="1" applyFill="1" applyBorder="1" applyAlignment="1">
      <alignment vertical="top" wrapText="1"/>
    </xf>
    <xf numFmtId="0" fontId="13" fillId="6" borderId="0" xfId="0" applyFont="1" applyFill="1" applyBorder="1"/>
    <xf numFmtId="4" fontId="13" fillId="6" borderId="0" xfId="0" applyNumberFormat="1" applyFont="1" applyFill="1" applyBorder="1"/>
    <xf numFmtId="165" fontId="30" fillId="6" borderId="0" xfId="2" applyFont="1" applyFill="1" applyBorder="1" applyAlignment="1">
      <alignment horizontal="center" vertical="center"/>
    </xf>
    <xf numFmtId="0" fontId="0" fillId="6" borderId="0" xfId="0" applyFont="1" applyFill="1" applyBorder="1"/>
    <xf numFmtId="0" fontId="33" fillId="6" borderId="0" xfId="0" applyFont="1" applyFill="1" applyBorder="1" applyAlignment="1">
      <alignment horizontal="center" vertical="center"/>
    </xf>
    <xf numFmtId="4" fontId="1" fillId="6" borderId="0" xfId="0" applyNumberFormat="1" applyFont="1" applyFill="1" applyBorder="1" applyAlignment="1">
      <alignment horizontal="right" wrapText="1"/>
    </xf>
    <xf numFmtId="4" fontId="32" fillId="6" borderId="0" xfId="0" applyNumberFormat="1" applyFont="1" applyFill="1" applyBorder="1" applyAlignment="1">
      <alignment horizontal="justify" vertical="center" wrapText="1"/>
    </xf>
    <xf numFmtId="0" fontId="32" fillId="6" borderId="0" xfId="0" applyFont="1" applyFill="1" applyBorder="1" applyAlignment="1">
      <alignment horizontal="justify" vertical="center" wrapText="1"/>
    </xf>
    <xf numFmtId="0" fontId="11" fillId="6" borderId="0" xfId="0" applyFont="1" applyFill="1" applyBorder="1"/>
    <xf numFmtId="0" fontId="62" fillId="6" borderId="0" xfId="0" quotePrefix="1" applyFont="1" applyFill="1" applyBorder="1" applyAlignment="1">
      <alignment horizontal="center"/>
    </xf>
    <xf numFmtId="10" fontId="61" fillId="6" borderId="0" xfId="6" applyNumberFormat="1" applyFont="1" applyFill="1" applyBorder="1" applyAlignment="1">
      <alignment horizontal="center"/>
    </xf>
    <xf numFmtId="165" fontId="10" fillId="6" borderId="0" xfId="0" applyNumberFormat="1" applyFont="1" applyFill="1" applyBorder="1"/>
    <xf numFmtId="0" fontId="10" fillId="6" borderId="0" xfId="0" applyFont="1" applyFill="1" applyBorder="1" applyAlignment="1">
      <alignment horizontal="right"/>
    </xf>
    <xf numFmtId="165" fontId="65" fillId="6" borderId="0" xfId="2" applyFont="1" applyFill="1" applyBorder="1"/>
    <xf numFmtId="4" fontId="35" fillId="6" borderId="11" xfId="0" applyNumberFormat="1" applyFont="1" applyFill="1" applyBorder="1" applyAlignment="1">
      <alignment vertical="center" wrapText="1"/>
    </xf>
    <xf numFmtId="4" fontId="35" fillId="6" borderId="10" xfId="0" applyNumberFormat="1" applyFont="1" applyFill="1" applyBorder="1" applyAlignment="1">
      <alignment vertical="center" wrapText="1"/>
    </xf>
    <xf numFmtId="0" fontId="2" fillId="6" borderId="0" xfId="0" applyFont="1" applyFill="1" applyBorder="1" applyAlignment="1">
      <alignment wrapText="1"/>
    </xf>
    <xf numFmtId="4" fontId="2" fillId="6" borderId="0" xfId="0" applyNumberFormat="1" applyFont="1" applyFill="1" applyBorder="1" applyAlignment="1">
      <alignment wrapText="1"/>
    </xf>
    <xf numFmtId="0" fontId="30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/>
    <xf numFmtId="0" fontId="30" fillId="6" borderId="0" xfId="0" applyFont="1" applyFill="1" applyBorder="1" applyAlignment="1">
      <alignment vertical="center" wrapText="1"/>
    </xf>
    <xf numFmtId="165" fontId="5" fillId="6" borderId="0" xfId="2" applyFont="1" applyFill="1" applyBorder="1" applyAlignment="1"/>
    <xf numFmtId="165" fontId="5" fillId="6" borderId="0" xfId="2" applyNumberFormat="1" applyFont="1" applyFill="1" applyBorder="1" applyAlignment="1"/>
    <xf numFmtId="165" fontId="8" fillId="6" borderId="0" xfId="2" applyNumberFormat="1" applyFont="1" applyFill="1" applyBorder="1" applyAlignment="1"/>
    <xf numFmtId="165" fontId="64" fillId="6" borderId="0" xfId="2" applyNumberFormat="1" applyFont="1" applyFill="1" applyBorder="1" applyAlignment="1"/>
    <xf numFmtId="0" fontId="31" fillId="6" borderId="0" xfId="0" applyFont="1" applyFill="1" applyBorder="1" applyAlignment="1">
      <alignment vertical="center" wrapText="1"/>
    </xf>
    <xf numFmtId="0" fontId="2" fillId="6" borderId="0" xfId="0" applyFont="1" applyFill="1" applyBorder="1"/>
    <xf numFmtId="4" fontId="16" fillId="6" borderId="0" xfId="0" applyNumberFormat="1" applyFont="1" applyFill="1" applyBorder="1" applyAlignment="1">
      <alignment horizontal="right" wrapText="1"/>
    </xf>
    <xf numFmtId="0" fontId="2" fillId="6" borderId="0" xfId="0" applyFont="1" applyFill="1" applyBorder="1" applyAlignment="1">
      <alignment vertical="top" wrapText="1"/>
    </xf>
    <xf numFmtId="4" fontId="2" fillId="6" borderId="0" xfId="2" applyNumberFormat="1" applyFont="1" applyFill="1" applyBorder="1" applyAlignment="1">
      <alignment horizontal="left"/>
    </xf>
    <xf numFmtId="0" fontId="16" fillId="6" borderId="0" xfId="0" applyFont="1" applyFill="1" applyBorder="1" applyAlignment="1">
      <alignment horizontal="center" vertical="top" wrapText="1"/>
    </xf>
    <xf numFmtId="4" fontId="29" fillId="6" borderId="0" xfId="0" applyNumberFormat="1" applyFont="1" applyFill="1" applyBorder="1" applyAlignment="1">
      <alignment vertical="center" wrapText="1"/>
    </xf>
    <xf numFmtId="165" fontId="2" fillId="6" borderId="0" xfId="2" applyFont="1" applyFill="1" applyBorder="1" applyAlignment="1">
      <alignment horizontal="left"/>
    </xf>
    <xf numFmtId="0" fontId="40" fillId="6" borderId="0" xfId="0" applyFont="1" applyFill="1" applyBorder="1" applyAlignment="1">
      <alignment vertical="center" wrapText="1"/>
    </xf>
    <xf numFmtId="4" fontId="28" fillId="6" borderId="0" xfId="0" applyNumberFormat="1" applyFont="1" applyFill="1" applyBorder="1"/>
    <xf numFmtId="4" fontId="67" fillId="6" borderId="0" xfId="0" applyNumberFormat="1" applyFont="1" applyFill="1" applyBorder="1"/>
    <xf numFmtId="0" fontId="0" fillId="6" borderId="0" xfId="0" applyFill="1" applyBorder="1"/>
    <xf numFmtId="0" fontId="24" fillId="6" borderId="0" xfId="0" applyFont="1" applyFill="1" applyBorder="1"/>
    <xf numFmtId="0" fontId="35" fillId="6" borderId="0" xfId="0" applyFont="1" applyFill="1" applyBorder="1"/>
    <xf numFmtId="0" fontId="35" fillId="6" borderId="0" xfId="0" applyFont="1" applyFill="1" applyBorder="1" applyAlignment="1">
      <alignment vertical="top" wrapText="1"/>
    </xf>
    <xf numFmtId="0" fontId="25" fillId="6" borderId="0" xfId="0" applyFont="1" applyFill="1" applyBorder="1" applyAlignment="1">
      <alignment wrapText="1"/>
    </xf>
    <xf numFmtId="0" fontId="66" fillId="6" borderId="0" xfId="0" applyFont="1" applyFill="1" applyBorder="1" applyAlignment="1">
      <alignment vertical="center"/>
    </xf>
    <xf numFmtId="4" fontId="66" fillId="6" borderId="0" xfId="0" applyNumberFormat="1" applyFont="1" applyFill="1" applyBorder="1" applyAlignment="1">
      <alignment vertical="center" wrapText="1"/>
    </xf>
    <xf numFmtId="0" fontId="0" fillId="6" borderId="0" xfId="0" applyFont="1" applyFill="1" applyBorder="1" applyAlignment="1">
      <alignment vertical="top"/>
    </xf>
    <xf numFmtId="0" fontId="39" fillId="6" borderId="0" xfId="0" applyFont="1" applyFill="1" applyBorder="1" applyAlignment="1">
      <alignment vertical="center" wrapText="1"/>
    </xf>
    <xf numFmtId="0" fontId="26" fillId="6" borderId="0" xfId="0" applyFont="1" applyFill="1" applyBorder="1" applyAlignment="1">
      <alignment vertical="top"/>
    </xf>
    <xf numFmtId="4" fontId="38" fillId="6" borderId="0" xfId="0" applyNumberFormat="1" applyFont="1" applyFill="1" applyBorder="1"/>
    <xf numFmtId="0" fontId="27" fillId="6" borderId="0" xfId="0" applyFont="1" applyFill="1" applyBorder="1"/>
    <xf numFmtId="0" fontId="0" fillId="6" borderId="0" xfId="0" applyFont="1" applyFill="1" applyBorder="1" applyAlignment="1">
      <alignment wrapText="1"/>
    </xf>
    <xf numFmtId="0" fontId="63" fillId="6" borderId="0" xfId="0" applyFont="1" applyFill="1" applyBorder="1"/>
    <xf numFmtId="4" fontId="35" fillId="6" borderId="0" xfId="0" applyNumberFormat="1" applyFont="1" applyFill="1" applyBorder="1"/>
    <xf numFmtId="0" fontId="40" fillId="6" borderId="0" xfId="0" applyFont="1" applyFill="1" applyBorder="1"/>
    <xf numFmtId="4" fontId="40" fillId="6" borderId="0" xfId="0" applyNumberFormat="1" applyFont="1" applyFill="1" applyBorder="1" applyAlignment="1">
      <alignment vertical="center" wrapText="1"/>
    </xf>
    <xf numFmtId="0" fontId="35" fillId="6" borderId="0" xfId="0" applyFont="1" applyFill="1" applyBorder="1" applyAlignment="1">
      <alignment vertical="center"/>
    </xf>
    <xf numFmtId="0" fontId="12" fillId="6" borderId="0" xfId="0" applyFont="1" applyFill="1" applyBorder="1" applyAlignment="1">
      <alignment horizontal="center"/>
    </xf>
    <xf numFmtId="0" fontId="12" fillId="6" borderId="0" xfId="0" applyFont="1" applyFill="1" applyBorder="1" applyAlignment="1">
      <alignment horizontal="center" wrapText="1"/>
    </xf>
    <xf numFmtId="165" fontId="2" fillId="6" borderId="1" xfId="0" applyNumberFormat="1" applyFont="1" applyFill="1" applyBorder="1"/>
    <xf numFmtId="0" fontId="35" fillId="6" borderId="0" xfId="0" applyFont="1" applyFill="1" applyBorder="1" applyAlignment="1">
      <alignment vertical="center" wrapText="1"/>
    </xf>
    <xf numFmtId="0" fontId="36" fillId="6" borderId="0" xfId="0" applyFont="1" applyFill="1" applyBorder="1" applyAlignment="1">
      <alignment wrapText="1"/>
    </xf>
    <xf numFmtId="4" fontId="35" fillId="6" borderId="0" xfId="0" applyNumberFormat="1" applyFont="1" applyFill="1" applyBorder="1" applyAlignment="1">
      <alignment vertical="center" wrapText="1"/>
    </xf>
    <xf numFmtId="4" fontId="35" fillId="6" borderId="0" xfId="0" applyNumberFormat="1" applyFont="1" applyFill="1" applyBorder="1" applyAlignment="1">
      <alignment vertical="center"/>
    </xf>
    <xf numFmtId="0" fontId="10" fillId="6" borderId="0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center"/>
    </xf>
    <xf numFmtId="0" fontId="10" fillId="6" borderId="0" xfId="0" applyFont="1" applyFill="1" applyBorder="1" applyAlignment="1">
      <alignment horizontal="left" vertical="top" wrapText="1"/>
    </xf>
    <xf numFmtId="0" fontId="12" fillId="44" borderId="1" xfId="0" applyFont="1" applyFill="1" applyBorder="1" applyAlignment="1">
      <alignment horizontal="center" vertical="top"/>
    </xf>
    <xf numFmtId="0" fontId="12" fillId="44" borderId="1" xfId="0" applyFont="1" applyFill="1" applyBorder="1" applyAlignment="1">
      <alignment horizontal="center" vertical="top" wrapText="1"/>
    </xf>
    <xf numFmtId="10" fontId="1" fillId="7" borderId="1" xfId="6" applyNumberFormat="1" applyFont="1" applyFill="1" applyBorder="1" applyAlignment="1">
      <alignment horizontal="center" vertical="top" wrapText="1"/>
    </xf>
    <xf numFmtId="0" fontId="52" fillId="0" borderId="0" xfId="0" applyFont="1" applyBorder="1"/>
    <xf numFmtId="4" fontId="52" fillId="0" borderId="0" xfId="0" applyNumberFormat="1" applyFont="1"/>
    <xf numFmtId="0" fontId="2" fillId="44" borderId="1" xfId="0" applyFont="1" applyFill="1" applyBorder="1" applyAlignment="1">
      <alignment horizontal="center" vertical="center"/>
    </xf>
    <xf numFmtId="0" fontId="2" fillId="44" borderId="1" xfId="0" applyFont="1" applyFill="1" applyBorder="1" applyAlignment="1">
      <alignment horizontal="center" vertical="center" wrapText="1"/>
    </xf>
    <xf numFmtId="0" fontId="2" fillId="44" borderId="3" xfId="0" applyFont="1" applyFill="1" applyBorder="1" applyAlignment="1">
      <alignment horizontal="center" vertical="center"/>
    </xf>
    <xf numFmtId="0" fontId="10" fillId="6" borderId="1" xfId="0" applyFont="1" applyFill="1" applyBorder="1"/>
    <xf numFmtId="0" fontId="2" fillId="5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69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right" vertical="center"/>
    </xf>
    <xf numFmtId="0" fontId="69" fillId="4" borderId="6" xfId="0" applyFont="1" applyFill="1" applyBorder="1" applyAlignment="1">
      <alignment vertical="center" wrapText="1"/>
    </xf>
    <xf numFmtId="0" fontId="69" fillId="4" borderId="6" xfId="0" applyFont="1" applyFill="1" applyBorder="1" applyAlignment="1">
      <alignment horizontal="center" vertical="center" wrapText="1"/>
    </xf>
    <xf numFmtId="0" fontId="69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10" fontId="1" fillId="10" borderId="2" xfId="6" applyNumberFormat="1" applyFont="1" applyFill="1" applyBorder="1" applyAlignment="1">
      <alignment horizontal="center" vertical="center" wrapText="1"/>
    </xf>
    <xf numFmtId="10" fontId="1" fillId="10" borderId="2" xfId="6" applyNumberFormat="1" applyFont="1" applyFill="1" applyBorder="1" applyAlignment="1">
      <alignment horizontal="center" vertical="top" wrapText="1"/>
    </xf>
    <xf numFmtId="166" fontId="1" fillId="10" borderId="4" xfId="6" applyNumberFormat="1" applyFont="1" applyFill="1" applyBorder="1" applyAlignment="1">
      <alignment horizontal="center" vertical="top" wrapText="1"/>
    </xf>
    <xf numFmtId="0" fontId="1" fillId="4" borderId="24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horizontal="center" wrapText="1"/>
    </xf>
    <xf numFmtId="166" fontId="1" fillId="10" borderId="2" xfId="6" applyNumberFormat="1" applyFont="1" applyFill="1" applyBorder="1" applyAlignment="1">
      <alignment horizontal="center" vertical="top" wrapText="1"/>
    </xf>
    <xf numFmtId="165" fontId="2" fillId="6" borderId="1" xfId="2" applyFont="1" applyFill="1" applyBorder="1"/>
    <xf numFmtId="165" fontId="10" fillId="6" borderId="1" xfId="2" applyFont="1" applyFill="1" applyBorder="1"/>
    <xf numFmtId="165" fontId="10" fillId="0" borderId="0" xfId="2" applyFont="1" applyBorder="1"/>
    <xf numFmtId="4" fontId="38" fillId="0" borderId="0" xfId="0" applyNumberFormat="1" applyFont="1"/>
    <xf numFmtId="0" fontId="10" fillId="6" borderId="1" xfId="0" applyFont="1" applyFill="1" applyBorder="1" applyAlignment="1">
      <alignment horizontal="center"/>
    </xf>
    <xf numFmtId="9" fontId="10" fillId="6" borderId="1" xfId="6" applyFont="1" applyFill="1" applyBorder="1" applyAlignment="1">
      <alignment horizontal="center"/>
    </xf>
    <xf numFmtId="9" fontId="10" fillId="0" borderId="0" xfId="6" applyFont="1" applyBorder="1" applyAlignment="1">
      <alignment horizontal="center"/>
    </xf>
    <xf numFmtId="165" fontId="15" fillId="6" borderId="1" xfId="2" applyFont="1" applyFill="1" applyBorder="1" applyAlignment="1">
      <alignment horizontal="right" vertical="top" wrapText="1"/>
    </xf>
    <xf numFmtId="2" fontId="71" fillId="6" borderId="0" xfId="0" applyNumberFormat="1" applyFont="1" applyFill="1" applyBorder="1" applyAlignment="1">
      <alignment horizontal="center"/>
    </xf>
    <xf numFmtId="165" fontId="13" fillId="6" borderId="1" xfId="2" applyFont="1" applyFill="1" applyBorder="1" applyAlignment="1">
      <alignment vertical="top"/>
    </xf>
    <xf numFmtId="0" fontId="13" fillId="6" borderId="1" xfId="0" applyFont="1" applyFill="1" applyBorder="1" applyAlignment="1">
      <alignment vertical="top"/>
    </xf>
    <xf numFmtId="0" fontId="13" fillId="6" borderId="1" xfId="0" applyFont="1" applyFill="1" applyBorder="1" applyAlignment="1">
      <alignment horizontal="center" vertical="top" wrapText="1"/>
    </xf>
    <xf numFmtId="165" fontId="1" fillId="10" borderId="2" xfId="2" applyFont="1" applyFill="1" applyBorder="1" applyAlignment="1">
      <alignment horizontal="right" vertical="top" wrapText="1"/>
    </xf>
    <xf numFmtId="4" fontId="1" fillId="10" borderId="2" xfId="0" applyNumberFormat="1" applyFont="1" applyFill="1" applyBorder="1" applyAlignment="1">
      <alignment horizontal="right"/>
    </xf>
    <xf numFmtId="4" fontId="1" fillId="10" borderId="2" xfId="0" applyNumberFormat="1" applyFont="1" applyFill="1" applyBorder="1" applyAlignment="1">
      <alignment horizontal="center"/>
    </xf>
    <xf numFmtId="0" fontId="13" fillId="0" borderId="0" xfId="0" applyFont="1" applyBorder="1" applyAlignment="1">
      <alignment horizontal="center" vertical="top" wrapText="1"/>
    </xf>
    <xf numFmtId="0" fontId="73" fillId="0" borderId="0" xfId="0" applyFont="1" applyBorder="1"/>
    <xf numFmtId="0" fontId="22" fillId="0" borderId="0" xfId="0" applyFont="1"/>
    <xf numFmtId="9" fontId="22" fillId="0" borderId="0" xfId="6" applyFont="1" applyAlignment="1">
      <alignment horizontal="center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9" fontId="13" fillId="0" borderId="0" xfId="6" applyFont="1" applyBorder="1" applyAlignment="1">
      <alignment horizontal="center"/>
    </xf>
    <xf numFmtId="3" fontId="13" fillId="0" borderId="0" xfId="0" applyNumberFormat="1" applyFont="1" applyBorder="1"/>
    <xf numFmtId="165" fontId="13" fillId="0" borderId="0" xfId="2" applyFont="1" applyBorder="1"/>
    <xf numFmtId="0" fontId="13" fillId="0" borderId="0" xfId="0" applyFont="1" applyBorder="1" applyAlignment="1">
      <alignment wrapText="1"/>
    </xf>
    <xf numFmtId="3" fontId="13" fillId="0" borderId="0" xfId="0" applyNumberFormat="1" applyFont="1" applyBorder="1" applyAlignment="1">
      <alignment wrapText="1"/>
    </xf>
    <xf numFmtId="0" fontId="12" fillId="7" borderId="6" xfId="0" applyFont="1" applyFill="1" applyBorder="1" applyAlignment="1"/>
    <xf numFmtId="0" fontId="12" fillId="7" borderId="1" xfId="0" applyFont="1" applyFill="1" applyBorder="1" applyAlignment="1"/>
    <xf numFmtId="0" fontId="2" fillId="6" borderId="1" xfId="0" applyFont="1" applyFill="1" applyBorder="1" applyAlignment="1">
      <alignment horizontal="right"/>
    </xf>
    <xf numFmtId="9" fontId="2" fillId="47" borderId="1" xfId="6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right" vertical="top" wrapText="1"/>
    </xf>
    <xf numFmtId="0" fontId="2" fillId="10" borderId="2" xfId="0" applyFont="1" applyFill="1" applyBorder="1" applyAlignment="1">
      <alignment horizontal="right" vertical="top" wrapText="1"/>
    </xf>
    <xf numFmtId="165" fontId="2" fillId="10" borderId="2" xfId="2" applyFont="1" applyFill="1" applyBorder="1" applyAlignment="1">
      <alignment horizontal="right" vertical="top" wrapText="1"/>
    </xf>
    <xf numFmtId="4" fontId="2" fillId="10" borderId="2" xfId="0" applyNumberFormat="1" applyFont="1" applyFill="1" applyBorder="1" applyAlignment="1">
      <alignment horizontal="right"/>
    </xf>
    <xf numFmtId="9" fontId="2" fillId="10" borderId="2" xfId="6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12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9" fontId="2" fillId="7" borderId="1" xfId="6" applyFont="1" applyFill="1" applyBorder="1" applyAlignment="1">
      <alignment horizontal="center" vertical="top" wrapText="1"/>
    </xf>
    <xf numFmtId="165" fontId="2" fillId="7" borderId="1" xfId="2" applyFont="1" applyFill="1" applyBorder="1" applyAlignment="1">
      <alignment horizontal="center" vertical="top"/>
    </xf>
    <xf numFmtId="0" fontId="12" fillId="7" borderId="1" xfId="0" applyFont="1" applyFill="1" applyBorder="1" applyAlignment="1">
      <alignment horizontal="center" vertical="top"/>
    </xf>
    <xf numFmtId="0" fontId="12" fillId="7" borderId="1" xfId="0" applyFont="1" applyFill="1" applyBorder="1" applyAlignment="1">
      <alignment vertical="top"/>
    </xf>
    <xf numFmtId="9" fontId="12" fillId="7" borderId="1" xfId="6" applyFont="1" applyFill="1" applyBorder="1" applyAlignment="1">
      <alignment horizontal="center" vertical="top" wrapText="1"/>
    </xf>
    <xf numFmtId="165" fontId="12" fillId="7" borderId="1" xfId="2" applyFont="1" applyFill="1" applyBorder="1" applyAlignment="1">
      <alignment horizontal="center" vertical="top"/>
    </xf>
    <xf numFmtId="0" fontId="2" fillId="6" borderId="6" xfId="0" applyFont="1" applyFill="1" applyBorder="1" applyAlignment="1">
      <alignment horizontal="center"/>
    </xf>
    <xf numFmtId="10" fontId="2" fillId="7" borderId="1" xfId="6" applyNumberFormat="1" applyFont="1" applyFill="1" applyBorder="1" applyAlignment="1">
      <alignment horizontal="center" vertical="top" wrapText="1"/>
    </xf>
    <xf numFmtId="2" fontId="2" fillId="6" borderId="1" xfId="0" applyNumberFormat="1" applyFont="1" applyFill="1" applyBorder="1"/>
    <xf numFmtId="10" fontId="2" fillId="6" borderId="1" xfId="6" applyNumberFormat="1" applyFont="1" applyFill="1" applyBorder="1" applyAlignment="1">
      <alignment horizontal="center" vertical="top" wrapText="1"/>
    </xf>
    <xf numFmtId="4" fontId="2" fillId="47" borderId="1" xfId="2" applyNumberFormat="1" applyFont="1" applyFill="1" applyBorder="1" applyAlignment="1">
      <alignment horizontal="center" vertical="top" wrapText="1"/>
    </xf>
    <xf numFmtId="10" fontId="12" fillId="8" borderId="1" xfId="6" applyNumberFormat="1" applyFont="1" applyFill="1" applyBorder="1" applyAlignment="1">
      <alignment horizontal="center" vertical="top" wrapText="1"/>
    </xf>
    <xf numFmtId="0" fontId="2" fillId="46" borderId="6" xfId="0" applyFont="1" applyFill="1" applyBorder="1" applyAlignment="1">
      <alignment horizontal="center" wrapText="1"/>
    </xf>
    <xf numFmtId="0" fontId="2" fillId="46" borderId="1" xfId="0" applyFont="1" applyFill="1" applyBorder="1" applyAlignment="1">
      <alignment horizontal="right" vertical="center"/>
    </xf>
    <xf numFmtId="165" fontId="2" fillId="46" borderId="1" xfId="2" applyFont="1" applyFill="1" applyBorder="1" applyAlignment="1">
      <alignment horizontal="right" vertical="center" wrapText="1"/>
    </xf>
    <xf numFmtId="10" fontId="2" fillId="46" borderId="1" xfId="2" applyNumberFormat="1" applyFont="1" applyFill="1" applyBorder="1" applyAlignment="1">
      <alignment horizontal="right" vertical="center" wrapText="1"/>
    </xf>
    <xf numFmtId="4" fontId="2" fillId="46" borderId="1" xfId="2" applyNumberFormat="1" applyFont="1" applyFill="1" applyBorder="1" applyAlignment="1">
      <alignment horizontal="right" vertical="center" wrapText="1"/>
    </xf>
    <xf numFmtId="9" fontId="2" fillId="46" borderId="1" xfId="6" applyFont="1" applyFill="1" applyBorder="1" applyAlignment="1">
      <alignment horizontal="center" vertical="center" wrapText="1"/>
    </xf>
    <xf numFmtId="4" fontId="2" fillId="46" borderId="1" xfId="2" applyNumberFormat="1" applyFont="1" applyFill="1" applyBorder="1" applyAlignment="1">
      <alignment horizontal="center" vertical="center" wrapText="1"/>
    </xf>
    <xf numFmtId="10" fontId="12" fillId="46" borderId="1" xfId="6" applyNumberFormat="1" applyFont="1" applyFill="1" applyBorder="1" applyAlignment="1">
      <alignment horizontal="center" vertical="top" wrapText="1"/>
    </xf>
    <xf numFmtId="10" fontId="12" fillId="46" borderId="3" xfId="6" applyNumberFormat="1" applyFont="1" applyFill="1" applyBorder="1" applyAlignment="1">
      <alignment horizontal="center" vertical="top" wrapText="1"/>
    </xf>
    <xf numFmtId="9" fontId="2" fillId="47" borderId="1" xfId="6" applyFont="1" applyFill="1" applyBorder="1" applyAlignment="1">
      <alignment horizontal="center"/>
    </xf>
    <xf numFmtId="165" fontId="2" fillId="47" borderId="1" xfId="0" applyNumberFormat="1" applyFont="1" applyFill="1" applyBorder="1" applyAlignment="1">
      <alignment horizontal="center"/>
    </xf>
    <xf numFmtId="4" fontId="2" fillId="47" borderId="1" xfId="2" applyNumberFormat="1" applyFont="1" applyFill="1" applyBorder="1" applyAlignment="1">
      <alignment horizontal="center"/>
    </xf>
    <xf numFmtId="10" fontId="2" fillId="47" borderId="1" xfId="6" applyNumberFormat="1" applyFont="1" applyFill="1" applyBorder="1" applyAlignment="1">
      <alignment horizontal="center" wrapText="1"/>
    </xf>
    <xf numFmtId="10" fontId="2" fillId="47" borderId="1" xfId="2" applyNumberFormat="1" applyFont="1" applyFill="1" applyBorder="1" applyAlignment="1">
      <alignment horizontal="center"/>
    </xf>
    <xf numFmtId="10" fontId="2" fillId="47" borderId="1" xfId="6" applyNumberFormat="1" applyFont="1" applyFill="1" applyBorder="1" applyAlignment="1">
      <alignment horizontal="center" vertical="top" wrapText="1"/>
    </xf>
    <xf numFmtId="0" fontId="12" fillId="6" borderId="6" xfId="0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top" wrapText="1"/>
    </xf>
    <xf numFmtId="0" fontId="12" fillId="6" borderId="1" xfId="0" applyFont="1" applyFill="1" applyBorder="1" applyAlignment="1">
      <alignment vertical="top" wrapText="1"/>
    </xf>
    <xf numFmtId="0" fontId="0" fillId="0" borderId="0" xfId="0"/>
    <xf numFmtId="0" fontId="2" fillId="0" borderId="1" xfId="0" applyFont="1" applyFill="1" applyBorder="1" applyAlignment="1">
      <alignment horizontal="right"/>
    </xf>
    <xf numFmtId="10" fontId="12" fillId="6" borderId="0" xfId="6" applyNumberFormat="1" applyFont="1" applyFill="1" applyBorder="1" applyAlignment="1">
      <alignment horizontal="right" vertical="top" wrapText="1"/>
    </xf>
    <xf numFmtId="0" fontId="0" fillId="0" borderId="0" xfId="0"/>
    <xf numFmtId="10" fontId="2" fillId="6" borderId="0" xfId="6" applyNumberFormat="1" applyFont="1" applyFill="1" applyBorder="1" applyAlignment="1">
      <alignment wrapText="1"/>
    </xf>
    <xf numFmtId="0" fontId="12" fillId="6" borderId="6" xfId="0" applyFont="1" applyFill="1" applyBorder="1" applyAlignment="1">
      <alignment horizontal="center" wrapText="1"/>
    </xf>
    <xf numFmtId="0" fontId="36" fillId="6" borderId="0" xfId="0" applyFont="1" applyFill="1" applyBorder="1" applyAlignment="1">
      <alignment wrapText="1"/>
    </xf>
    <xf numFmtId="0" fontId="35" fillId="6" borderId="0" xfId="0" applyFont="1" applyFill="1" applyBorder="1" applyAlignment="1">
      <alignment vertical="center" wrapText="1"/>
    </xf>
    <xf numFmtId="4" fontId="35" fillId="6" borderId="0" xfId="0" applyNumberFormat="1" applyFont="1" applyFill="1" applyBorder="1" applyAlignment="1">
      <alignment vertical="center" wrapText="1"/>
    </xf>
    <xf numFmtId="0" fontId="2" fillId="8" borderId="6" xfId="0" applyFont="1" applyFill="1" applyBorder="1" applyAlignment="1">
      <alignment vertical="top" wrapText="1"/>
    </xf>
    <xf numFmtId="0" fontId="12" fillId="8" borderId="1" xfId="0" applyFont="1" applyFill="1" applyBorder="1" applyAlignment="1">
      <alignment vertical="top" wrapText="1"/>
    </xf>
    <xf numFmtId="0" fontId="12" fillId="8" borderId="1" xfId="0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 vertical="top" wrapText="1"/>
    </xf>
    <xf numFmtId="165" fontId="12" fillId="8" borderId="1" xfId="2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 wrapText="1"/>
    </xf>
    <xf numFmtId="0" fontId="12" fillId="8" borderId="3" xfId="0" applyFont="1" applyFill="1" applyBorder="1" applyAlignment="1">
      <alignment horizontal="center" vertical="top" wrapText="1"/>
    </xf>
    <xf numFmtId="0" fontId="0" fillId="0" borderId="0" xfId="0"/>
    <xf numFmtId="165" fontId="2" fillId="6" borderId="1" xfId="2" applyFont="1" applyFill="1" applyBorder="1" applyAlignment="1">
      <alignment horizontal="right" vertical="center" wrapText="1"/>
    </xf>
    <xf numFmtId="16" fontId="0" fillId="0" borderId="0" xfId="0" applyNumberFormat="1"/>
    <xf numFmtId="0" fontId="4" fillId="5" borderId="1" xfId="0" applyFont="1" applyFill="1" applyBorder="1" applyAlignment="1">
      <alignment horizontal="center" vertical="center" wrapText="1"/>
    </xf>
    <xf numFmtId="0" fontId="0" fillId="10" borderId="0" xfId="0" applyFill="1"/>
    <xf numFmtId="10" fontId="1" fillId="6" borderId="7" xfId="6" applyNumberFormat="1" applyFont="1" applyFill="1" applyBorder="1" applyAlignment="1">
      <alignment horizontal="center" vertical="center" wrapText="1"/>
    </xf>
    <xf numFmtId="0" fontId="0" fillId="6" borderId="0" xfId="0" applyFill="1"/>
    <xf numFmtId="169" fontId="79" fillId="6" borderId="0" xfId="13398" applyNumberFormat="1" applyFont="1" applyFill="1" applyBorder="1"/>
    <xf numFmtId="4" fontId="1" fillId="6" borderId="1" xfId="0" applyNumberFormat="1" applyFont="1" applyFill="1" applyBorder="1" applyAlignment="1">
      <alignment horizontal="right"/>
    </xf>
    <xf numFmtId="43" fontId="1" fillId="6" borderId="1" xfId="13398" applyFont="1" applyFill="1" applyBorder="1" applyAlignment="1">
      <alignment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right"/>
    </xf>
    <xf numFmtId="10" fontId="1" fillId="7" borderId="1" xfId="6" applyNumberFormat="1" applyFont="1" applyFill="1" applyBorder="1" applyAlignment="1">
      <alignment horizontal="center" wrapText="1"/>
    </xf>
    <xf numFmtId="10" fontId="13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 wrapText="1"/>
    </xf>
    <xf numFmtId="4" fontId="1" fillId="6" borderId="1" xfId="13398" applyNumberFormat="1" applyFont="1" applyFill="1" applyBorder="1" applyAlignment="1">
      <alignment horizontal="right"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left" wrapText="1"/>
    </xf>
    <xf numFmtId="10" fontId="1" fillId="47" borderId="1" xfId="6" applyNumberFormat="1" applyFont="1" applyFill="1" applyBorder="1" applyAlignment="1">
      <alignment horizontal="center" wrapText="1"/>
    </xf>
    <xf numFmtId="43" fontId="1" fillId="6" borderId="1" xfId="13398" applyFont="1" applyFill="1" applyBorder="1" applyAlignment="1">
      <alignment horizontal="right"/>
    </xf>
    <xf numFmtId="4" fontId="1" fillId="6" borderId="1" xfId="13398" applyNumberFormat="1" applyFont="1" applyFill="1" applyBorder="1" applyAlignment="1">
      <alignment horizontal="right"/>
    </xf>
    <xf numFmtId="10" fontId="1" fillId="47" borderId="1" xfId="6" quotePrefix="1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 vertical="top" wrapText="1"/>
    </xf>
    <xf numFmtId="4" fontId="1" fillId="6" borderId="1" xfId="0" applyNumberFormat="1" applyFont="1" applyFill="1" applyBorder="1"/>
    <xf numFmtId="43" fontId="1" fillId="6" borderId="1" xfId="13398" applyFont="1" applyFill="1" applyBorder="1"/>
    <xf numFmtId="2" fontId="1" fillId="6" borderId="1" xfId="0" applyNumberFormat="1" applyFont="1" applyFill="1" applyBorder="1"/>
    <xf numFmtId="4" fontId="1" fillId="6" borderId="1" xfId="13398" applyNumberFormat="1" applyFont="1" applyFill="1" applyBorder="1" applyAlignment="1">
      <alignment horizontal="right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0" fontId="10" fillId="6" borderId="0" xfId="0" applyFont="1" applyFill="1" applyBorder="1"/>
    <xf numFmtId="0" fontId="0" fillId="6" borderId="0" xfId="0" applyFont="1" applyFill="1" applyBorder="1"/>
    <xf numFmtId="0" fontId="27" fillId="6" borderId="0" xfId="0" applyFont="1" applyFill="1" applyBorder="1"/>
    <xf numFmtId="10" fontId="1" fillId="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vertical="top" wrapText="1"/>
    </xf>
    <xf numFmtId="165" fontId="15" fillId="9" borderId="0" xfId="2" applyFont="1" applyFill="1" applyBorder="1" applyAlignment="1">
      <alignment horizontal="right" vertical="center" wrapText="1"/>
    </xf>
    <xf numFmtId="4" fontId="17" fillId="9" borderId="0" xfId="0" applyNumberFormat="1" applyFont="1" applyFill="1" applyBorder="1" applyAlignment="1">
      <alignment horizontal="right" vertical="center"/>
    </xf>
    <xf numFmtId="0" fontId="36" fillId="6" borderId="0" xfId="0" applyFont="1" applyFill="1" applyBorder="1" applyAlignment="1">
      <alignment wrapText="1"/>
    </xf>
    <xf numFmtId="0" fontId="36" fillId="6" borderId="0" xfId="0" applyFont="1" applyFill="1" applyBorder="1" applyAlignment="1">
      <alignment wrapText="1"/>
    </xf>
    <xf numFmtId="16" fontId="81" fillId="6" borderId="1" xfId="0" applyNumberFormat="1" applyFont="1" applyFill="1" applyBorder="1"/>
    <xf numFmtId="4" fontId="64" fillId="6" borderId="1" xfId="0" applyNumberFormat="1" applyFont="1" applyFill="1" applyBorder="1"/>
    <xf numFmtId="4" fontId="64" fillId="6" borderId="1" xfId="0" applyNumberFormat="1" applyFont="1" applyFill="1" applyBorder="1" applyAlignment="1">
      <alignment horizontal="right"/>
    </xf>
    <xf numFmtId="165" fontId="82" fillId="6" borderId="1" xfId="2" applyFont="1" applyFill="1" applyBorder="1" applyAlignment="1">
      <alignment horizontal="right" vertical="top" wrapText="1"/>
    </xf>
    <xf numFmtId="0" fontId="64" fillId="0" borderId="0" xfId="0" applyFont="1"/>
    <xf numFmtId="165" fontId="64" fillId="0" borderId="0" xfId="2" applyFont="1"/>
    <xf numFmtId="0" fontId="83" fillId="0" borderId="1" xfId="0" applyFont="1" applyBorder="1" applyAlignment="1">
      <alignment horizontal="right"/>
    </xf>
    <xf numFmtId="0" fontId="81" fillId="0" borderId="1" xfId="0" applyFont="1" applyBorder="1" applyAlignment="1">
      <alignment horizontal="right"/>
    </xf>
    <xf numFmtId="0" fontId="84" fillId="44" borderId="1" xfId="0" applyFont="1" applyFill="1" applyBorder="1" applyAlignment="1">
      <alignment horizontal="right"/>
    </xf>
    <xf numFmtId="165" fontId="84" fillId="44" borderId="1" xfId="0" applyNumberFormat="1" applyFont="1" applyFill="1" applyBorder="1"/>
    <xf numFmtId="0" fontId="83" fillId="50" borderId="1" xfId="0" applyFont="1" applyFill="1" applyBorder="1" applyAlignment="1">
      <alignment horizontal="right"/>
    </xf>
    <xf numFmtId="165" fontId="83" fillId="50" borderId="1" xfId="0" quotePrefix="1" applyNumberFormat="1" applyFont="1" applyFill="1" applyBorder="1" applyAlignment="1">
      <alignment horizontal="center"/>
    </xf>
    <xf numFmtId="165" fontId="83" fillId="50" borderId="1" xfId="0" applyNumberFormat="1" applyFont="1" applyFill="1" applyBorder="1"/>
    <xf numFmtId="165" fontId="83" fillId="50" borderId="1" xfId="2" applyFont="1" applyFill="1" applyBorder="1"/>
    <xf numFmtId="4" fontId="35" fillId="6" borderId="0" xfId="0" applyNumberFormat="1" applyFont="1" applyFill="1" applyBorder="1" applyAlignment="1">
      <alignment vertical="center" wrapText="1"/>
    </xf>
    <xf numFmtId="0" fontId="35" fillId="6" borderId="0" xfId="0" applyFont="1" applyFill="1" applyBorder="1" applyAlignment="1">
      <alignment vertical="center" wrapText="1"/>
    </xf>
    <xf numFmtId="0" fontId="0" fillId="0" borderId="0" xfId="0"/>
    <xf numFmtId="16" fontId="81" fillId="6" borderId="0" xfId="0" applyNumberFormat="1" applyFont="1" applyFill="1" applyBorder="1"/>
    <xf numFmtId="0" fontId="81" fillId="0" borderId="0" xfId="0" applyFont="1" applyBorder="1" applyAlignment="1">
      <alignment horizontal="right"/>
    </xf>
    <xf numFmtId="4" fontId="64" fillId="6" borderId="0" xfId="0" applyNumberFormat="1" applyFont="1" applyFill="1" applyBorder="1"/>
    <xf numFmtId="4" fontId="64" fillId="6" borderId="0" xfId="0" applyNumberFormat="1" applyFont="1" applyFill="1" applyBorder="1" applyAlignment="1">
      <alignment horizontal="right"/>
    </xf>
    <xf numFmtId="165" fontId="82" fillId="6" borderId="0" xfId="2" applyFont="1" applyFill="1" applyBorder="1" applyAlignment="1">
      <alignment horizontal="right" vertical="top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top" wrapText="1"/>
    </xf>
    <xf numFmtId="0" fontId="12" fillId="7" borderId="3" xfId="0" applyFont="1" applyFill="1" applyBorder="1" applyAlignment="1">
      <alignment horizontal="center" vertical="top" wrapText="1"/>
    </xf>
    <xf numFmtId="10" fontId="10" fillId="8" borderId="3" xfId="2" applyNumberFormat="1" applyFont="1" applyFill="1" applyBorder="1" applyAlignment="1">
      <alignment horizontal="center" vertical="top" wrapText="1"/>
    </xf>
    <xf numFmtId="0" fontId="10" fillId="6" borderId="3" xfId="0" applyFont="1" applyFill="1" applyBorder="1"/>
    <xf numFmtId="0" fontId="10" fillId="8" borderId="3" xfId="0" applyFont="1" applyFill="1" applyBorder="1"/>
    <xf numFmtId="0" fontId="2" fillId="7" borderId="3" xfId="0" applyFont="1" applyFill="1" applyBorder="1" applyAlignment="1">
      <alignment horizontal="center" vertical="top" wrapText="1"/>
    </xf>
    <xf numFmtId="4" fontId="1" fillId="6" borderId="1" xfId="0" applyNumberFormat="1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0" fillId="0" borderId="0" xfId="0"/>
    <xf numFmtId="0" fontId="2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2" fillId="5" borderId="1" xfId="0" applyFont="1" applyFill="1" applyBorder="1" applyAlignment="1">
      <alignment horizontal="center" vertical="center" wrapText="1"/>
    </xf>
    <xf numFmtId="165" fontId="3" fillId="46" borderId="1" xfId="2" applyFont="1" applyFill="1" applyBorder="1" applyAlignment="1">
      <alignment horizontal="right" vertical="top" wrapText="1"/>
    </xf>
    <xf numFmtId="4" fontId="1" fillId="46" borderId="1" xfId="2" applyNumberFormat="1" applyFont="1" applyFill="1" applyBorder="1" applyAlignment="1">
      <alignment horizontal="right" vertical="top" wrapText="1"/>
    </xf>
    <xf numFmtId="4" fontId="1" fillId="46" borderId="1" xfId="2" applyNumberFormat="1" applyFont="1" applyFill="1" applyBorder="1" applyAlignment="1">
      <alignment horizontal="center" vertical="top" wrapText="1"/>
    </xf>
    <xf numFmtId="165" fontId="72" fillId="46" borderId="1" xfId="2" applyFont="1" applyFill="1" applyBorder="1" applyAlignment="1">
      <alignment horizontal="right" vertical="top" wrapText="1"/>
    </xf>
    <xf numFmtId="10" fontId="13" fillId="46" borderId="1" xfId="6" applyNumberFormat="1" applyFont="1" applyFill="1" applyBorder="1" applyAlignment="1">
      <alignment horizontal="center" vertical="top" wrapText="1"/>
    </xf>
    <xf numFmtId="166" fontId="13" fillId="46" borderId="1" xfId="6" applyNumberFormat="1" applyFont="1" applyFill="1" applyBorder="1" applyAlignment="1">
      <alignment horizontal="center" vertical="top" wrapText="1"/>
    </xf>
    <xf numFmtId="10" fontId="10" fillId="46" borderId="3" xfId="2" applyNumberFormat="1" applyFont="1" applyFill="1" applyBorder="1" applyAlignment="1">
      <alignment horizontal="center" vertical="top" wrapText="1"/>
    </xf>
    <xf numFmtId="0" fontId="2" fillId="46" borderId="6" xfId="0" applyFont="1" applyFill="1" applyBorder="1" applyAlignment="1">
      <alignment horizontal="right"/>
    </xf>
    <xf numFmtId="0" fontId="2" fillId="46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vertical="center" wrapText="1"/>
    </xf>
    <xf numFmtId="4" fontId="80" fillId="0" borderId="1" xfId="0" applyNumberFormat="1" applyFont="1" applyBorder="1"/>
    <xf numFmtId="43" fontId="1" fillId="6" borderId="0" xfId="13398" applyFont="1" applyFill="1" applyBorder="1" applyAlignment="1">
      <alignment horizontal="right"/>
    </xf>
    <xf numFmtId="4" fontId="85" fillId="0" borderId="1" xfId="0" applyNumberFormat="1" applyFont="1" applyBorder="1"/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4" fontId="1" fillId="0" borderId="1" xfId="0" applyNumberFormat="1" applyFont="1" applyFill="1" applyBorder="1" applyAlignment="1">
      <alignment wrapText="1"/>
    </xf>
    <xf numFmtId="0" fontId="1" fillId="6" borderId="6" xfId="0" applyFont="1" applyFill="1" applyBorder="1" applyAlignment="1">
      <alignment horizontal="center" wrapText="1"/>
    </xf>
    <xf numFmtId="49" fontId="92" fillId="0" borderId="1" xfId="0" applyNumberFormat="1" applyFont="1" applyFill="1" applyBorder="1" applyAlignment="1">
      <alignment wrapText="1"/>
    </xf>
    <xf numFmtId="0" fontId="1" fillId="6" borderId="6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center" vertical="center" wrapText="1"/>
    </xf>
    <xf numFmtId="0" fontId="69" fillId="44" borderId="6" xfId="0" applyFont="1" applyFill="1" applyBorder="1" applyAlignment="1">
      <alignment horizontal="center" wrapText="1"/>
    </xf>
    <xf numFmtId="0" fontId="69" fillId="44" borderId="26" xfId="0" applyFont="1" applyFill="1" applyBorder="1" applyAlignment="1">
      <alignment horizontal="center" wrapText="1"/>
    </xf>
    <xf numFmtId="0" fontId="69" fillId="44" borderId="1" xfId="0" applyFont="1" applyFill="1" applyBorder="1" applyAlignment="1">
      <alignment horizontal="center" wrapText="1"/>
    </xf>
    <xf numFmtId="0" fontId="69" fillId="44" borderId="3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26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3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4" borderId="26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13" fillId="6" borderId="6" xfId="0" applyFont="1" applyFill="1" applyBorder="1" applyAlignment="1">
      <alignment horizontal="center"/>
    </xf>
    <xf numFmtId="0" fontId="13" fillId="6" borderId="26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center"/>
    </xf>
    <xf numFmtId="0" fontId="13" fillId="6" borderId="3" xfId="0" applyFont="1" applyFill="1" applyBorder="1" applyAlignment="1">
      <alignment horizontal="center"/>
    </xf>
    <xf numFmtId="0" fontId="12" fillId="7" borderId="27" xfId="0" applyFont="1" applyFill="1" applyBorder="1" applyAlignment="1">
      <alignment horizontal="center" vertical="top" wrapText="1"/>
    </xf>
    <xf numFmtId="0" fontId="12" fillId="7" borderId="28" xfId="0" applyFont="1" applyFill="1" applyBorder="1" applyAlignment="1">
      <alignment horizontal="center" vertical="top" wrapText="1"/>
    </xf>
    <xf numFmtId="0" fontId="12" fillId="7" borderId="26" xfId="0" applyFont="1" applyFill="1" applyBorder="1" applyAlignment="1">
      <alignment horizontal="center" vertical="top" wrapText="1"/>
    </xf>
    <xf numFmtId="0" fontId="37" fillId="6" borderId="0" xfId="0" applyFont="1" applyFill="1" applyBorder="1" applyAlignment="1">
      <alignment wrapText="1"/>
    </xf>
    <xf numFmtId="165" fontId="5" fillId="6" borderId="0" xfId="2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 vertical="top" wrapText="1"/>
    </xf>
    <xf numFmtId="0" fontId="12" fillId="7" borderId="3" xfId="0" applyFont="1" applyFill="1" applyBorder="1" applyAlignment="1">
      <alignment horizontal="center" vertical="top" wrapText="1"/>
    </xf>
    <xf numFmtId="165" fontId="8" fillId="6" borderId="0" xfId="2" applyNumberFormat="1" applyFont="1" applyFill="1" applyBorder="1" applyAlignment="1">
      <alignment horizontal="center"/>
    </xf>
    <xf numFmtId="165" fontId="8" fillId="6" borderId="0" xfId="2" applyFont="1" applyFill="1" applyBorder="1" applyAlignment="1">
      <alignment horizontal="center"/>
    </xf>
    <xf numFmtId="0" fontId="35" fillId="6" borderId="0" xfId="0" applyFont="1" applyFill="1" applyBorder="1" applyAlignment="1">
      <alignment vertical="center" wrapText="1"/>
    </xf>
    <xf numFmtId="0" fontId="13" fillId="6" borderId="6" xfId="0" applyFont="1" applyFill="1" applyBorder="1" applyAlignment="1">
      <alignment horizontal="center" vertical="top" wrapText="1"/>
    </xf>
    <xf numFmtId="0" fontId="13" fillId="6" borderId="26" xfId="0" applyFont="1" applyFill="1" applyBorder="1" applyAlignment="1">
      <alignment horizontal="center" vertical="top" wrapText="1"/>
    </xf>
    <xf numFmtId="0" fontId="13" fillId="6" borderId="1" xfId="0" applyFont="1" applyFill="1" applyBorder="1" applyAlignment="1">
      <alignment horizontal="center" vertical="top" wrapText="1"/>
    </xf>
    <xf numFmtId="0" fontId="13" fillId="6" borderId="3" xfId="0" applyFont="1" applyFill="1" applyBorder="1" applyAlignment="1">
      <alignment horizontal="center" vertical="top" wrapText="1"/>
    </xf>
    <xf numFmtId="0" fontId="69" fillId="44" borderId="6" xfId="0" applyFont="1" applyFill="1" applyBorder="1" applyAlignment="1">
      <alignment horizontal="center" vertical="top" wrapText="1"/>
    </xf>
    <xf numFmtId="0" fontId="69" fillId="44" borderId="26" xfId="0" applyFont="1" applyFill="1" applyBorder="1" applyAlignment="1">
      <alignment horizontal="center" vertical="top" wrapText="1"/>
    </xf>
    <xf numFmtId="0" fontId="69" fillId="44" borderId="1" xfId="0" applyFont="1" applyFill="1" applyBorder="1" applyAlignment="1">
      <alignment horizontal="center" vertical="top" wrapText="1"/>
    </xf>
    <xf numFmtId="0" fontId="69" fillId="44" borderId="3" xfId="0" applyFont="1" applyFill="1" applyBorder="1" applyAlignment="1">
      <alignment horizontal="center" vertical="top" wrapText="1"/>
    </xf>
    <xf numFmtId="4" fontId="35" fillId="6" borderId="0" xfId="0" applyNumberFormat="1" applyFont="1" applyFill="1" applyBorder="1" applyAlignment="1">
      <alignment vertical="center"/>
    </xf>
    <xf numFmtId="0" fontId="36" fillId="6" borderId="0" xfId="0" applyFont="1" applyFill="1" applyBorder="1" applyAlignment="1">
      <alignment wrapText="1"/>
    </xf>
    <xf numFmtId="4" fontId="35" fillId="6" borderId="0" xfId="0" applyNumberFormat="1" applyFont="1" applyFill="1" applyBorder="1" applyAlignment="1">
      <alignment vertical="center" wrapText="1"/>
    </xf>
    <xf numFmtId="0" fontId="69" fillId="44" borderId="6" xfId="0" applyFont="1" applyFill="1" applyBorder="1" applyAlignment="1">
      <alignment horizontal="center"/>
    </xf>
    <xf numFmtId="0" fontId="69" fillId="44" borderId="26" xfId="0" applyFont="1" applyFill="1" applyBorder="1" applyAlignment="1">
      <alignment horizontal="center"/>
    </xf>
    <xf numFmtId="0" fontId="69" fillId="44" borderId="1" xfId="0" applyFont="1" applyFill="1" applyBorder="1" applyAlignment="1">
      <alignment horizontal="center"/>
    </xf>
    <xf numFmtId="0" fontId="69" fillId="44" borderId="3" xfId="0" applyFont="1" applyFill="1" applyBorder="1" applyAlignment="1">
      <alignment horizontal="center"/>
    </xf>
    <xf numFmtId="0" fontId="0" fillId="6" borderId="0" xfId="0" applyFill="1" applyBorder="1" applyAlignment="1">
      <alignment wrapText="1"/>
    </xf>
    <xf numFmtId="0" fontId="8" fillId="0" borderId="0" xfId="0" applyFont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165" fontId="17" fillId="13" borderId="1" xfId="2" applyFont="1" applyFill="1" applyBorder="1" applyAlignment="1">
      <alignment horizontal="center" vertical="center" wrapText="1"/>
    </xf>
    <xf numFmtId="0" fontId="93" fillId="0" borderId="0" xfId="0" applyFont="1"/>
    <xf numFmtId="0" fontId="94" fillId="0" borderId="0" xfId="0" applyFont="1" applyAlignment="1">
      <alignment wrapText="1"/>
    </xf>
    <xf numFmtId="0" fontId="95" fillId="49" borderId="21" xfId="0" applyFont="1" applyFill="1" applyBorder="1" applyAlignment="1">
      <alignment horizontal="center"/>
    </xf>
    <xf numFmtId="0" fontId="95" fillId="49" borderId="25" xfId="0" applyFont="1" applyFill="1" applyBorder="1" applyAlignment="1">
      <alignment horizontal="center"/>
    </xf>
    <xf numFmtId="0" fontId="95" fillId="49" borderId="22" xfId="0" applyFont="1" applyFill="1" applyBorder="1" applyAlignment="1">
      <alignment horizontal="center"/>
    </xf>
    <xf numFmtId="0" fontId="95" fillId="49" borderId="23" xfId="0" applyFont="1" applyFill="1" applyBorder="1" applyAlignment="1">
      <alignment horizontal="center"/>
    </xf>
    <xf numFmtId="0" fontId="96" fillId="45" borderId="6" xfId="0" applyFont="1" applyFill="1" applyBorder="1" applyAlignment="1">
      <alignment horizontal="center"/>
    </xf>
    <xf numFmtId="0" fontId="96" fillId="45" borderId="26" xfId="0" applyFont="1" applyFill="1" applyBorder="1" applyAlignment="1">
      <alignment horizontal="center"/>
    </xf>
    <xf numFmtId="0" fontId="96" fillId="45" borderId="1" xfId="0" applyFont="1" applyFill="1" applyBorder="1" applyAlignment="1">
      <alignment horizontal="center"/>
    </xf>
    <xf numFmtId="0" fontId="96" fillId="45" borderId="3" xfId="0" applyFont="1" applyFill="1" applyBorder="1" applyAlignment="1">
      <alignment horizontal="center"/>
    </xf>
    <xf numFmtId="0" fontId="97" fillId="6" borderId="21" xfId="0" applyFont="1" applyFill="1" applyBorder="1" applyAlignment="1">
      <alignment horizontal="center"/>
    </xf>
    <xf numFmtId="0" fontId="97" fillId="6" borderId="22" xfId="0" applyFont="1" applyFill="1" applyBorder="1" applyAlignment="1">
      <alignment horizontal="center"/>
    </xf>
    <xf numFmtId="0" fontId="97" fillId="6" borderId="23" xfId="0" applyFont="1" applyFill="1" applyBorder="1" applyAlignment="1">
      <alignment horizontal="center"/>
    </xf>
  </cellXfs>
  <cellStyles count="20351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12" xfId="13173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" xfId="13147" builtinId="32" customBuiltin="1"/>
    <cellStyle name="60% - Accent1 2" xfId="230"/>
    <cellStyle name="60% - Accent1 3" xfId="45"/>
    <cellStyle name="60% - Accent2" xfId="13148" builtinId="36" customBuiltin="1"/>
    <cellStyle name="60% - Accent2 2" xfId="231"/>
    <cellStyle name="60% - Accent2 3" xfId="46"/>
    <cellStyle name="60% - Accent3" xfId="13149" builtinId="40" customBuiltin="1"/>
    <cellStyle name="60% - Accent3 2" xfId="232"/>
    <cellStyle name="60% - Accent3 3" xfId="47"/>
    <cellStyle name="60% - Accent4" xfId="13150" builtinId="44" customBuiltin="1"/>
    <cellStyle name="60% - Accent4 2" xfId="233"/>
    <cellStyle name="60% - Accent4 3" xfId="48"/>
    <cellStyle name="60% - Accent5" xfId="13151" builtinId="48" customBuiltin="1"/>
    <cellStyle name="60% - Accent5 2" xfId="234"/>
    <cellStyle name="60% - Accent5 3" xfId="49"/>
    <cellStyle name="60% - Accent6" xfId="13152" builtinId="52" customBuiltin="1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alculation 2" xfId="13175"/>
    <cellStyle name="Check Cell" xfId="16" builtinId="23" customBuiltin="1"/>
    <cellStyle name="Comma" xfId="2" builtinId="3"/>
    <cellStyle name="Comma 10" xfId="68"/>
    <cellStyle name="Comma 10 13" xfId="13398"/>
    <cellStyle name="Comma 10 13 2" xfId="19776"/>
    <cellStyle name="Comma 10 13 3" xfId="19789"/>
    <cellStyle name="Comma 10 2" xfId="2902"/>
    <cellStyle name="Comma 10 2 2" xfId="10862"/>
    <cellStyle name="Comma 10 2 2 2" xfId="17401"/>
    <cellStyle name="Comma 10 2 3" xfId="13191"/>
    <cellStyle name="Comma 10 2 3 2" xfId="19700"/>
    <cellStyle name="Comma 10 2 4" xfId="14549"/>
    <cellStyle name="Comma 10 2 5" xfId="19795"/>
    <cellStyle name="Comma 10 2 6" xfId="20220"/>
    <cellStyle name="Comma 10 3" xfId="2337"/>
    <cellStyle name="Comma 10 3 2" xfId="13985"/>
    <cellStyle name="Comma 10 3 3" xfId="20293"/>
    <cellStyle name="Comma 10 4" xfId="10298"/>
    <cellStyle name="Comma 10 4 2" xfId="16837"/>
    <cellStyle name="Comma 10 5" xfId="13190"/>
    <cellStyle name="Comma 10 5 2" xfId="19699"/>
    <cellStyle name="Comma 10 6" xfId="13409"/>
    <cellStyle name="Comma 10 7" xfId="19794"/>
    <cellStyle name="Comma 10 8" xfId="20051"/>
    <cellStyle name="Comma 11" xfId="226"/>
    <cellStyle name="Comma 11 2" xfId="2941"/>
    <cellStyle name="Comma 11 2 2" xfId="10899"/>
    <cellStyle name="Comma 11 2 2 2" xfId="17438"/>
    <cellStyle name="Comma 11 2 3" xfId="13193"/>
    <cellStyle name="Comma 11 2 3 2" xfId="19702"/>
    <cellStyle name="Comma 11 2 4" xfId="14586"/>
    <cellStyle name="Comma 11 2 5" xfId="19797"/>
    <cellStyle name="Comma 11 2 6" xfId="20218"/>
    <cellStyle name="Comma 11 3" xfId="2373"/>
    <cellStyle name="Comma 11 3 2" xfId="13186"/>
    <cellStyle name="Comma 11 3 2 2" xfId="19696"/>
    <cellStyle name="Comma 11 3 3" xfId="14021"/>
    <cellStyle name="Comma 11 3 4" xfId="20291"/>
    <cellStyle name="Comma 11 4" xfId="10334"/>
    <cellStyle name="Comma 11 4 2" xfId="16873"/>
    <cellStyle name="Comma 11 5" xfId="13192"/>
    <cellStyle name="Comma 11 5 2" xfId="19701"/>
    <cellStyle name="Comma 11 6" xfId="13446"/>
    <cellStyle name="Comma 11 7" xfId="19796"/>
    <cellStyle name="Comma 11 8" xfId="20048"/>
    <cellStyle name="Comma 12" xfId="211"/>
    <cellStyle name="Comma 12 10" xfId="13194"/>
    <cellStyle name="Comma 12 10 2" xfId="19703"/>
    <cellStyle name="Comma 12 11" xfId="13445"/>
    <cellStyle name="Comma 12 12" xfId="19798"/>
    <cellStyle name="Comma 12 13" xfId="20044"/>
    <cellStyle name="Comma 12 2" xfId="449"/>
    <cellStyle name="Comma 12 2 10" xfId="19799"/>
    <cellStyle name="Comma 12 2 11" xfId="20215"/>
    <cellStyle name="Comma 12 2 2" xfId="903"/>
    <cellStyle name="Comma 12 2 2 2" xfId="2038"/>
    <cellStyle name="Comma 12 2 2 2 2" xfId="5458"/>
    <cellStyle name="Comma 12 2 2 2 2 2" xfId="11926"/>
    <cellStyle name="Comma 12 2 2 2 2 2 2" xfId="18465"/>
    <cellStyle name="Comma 12 2 2 2 2 3" xfId="15613"/>
    <cellStyle name="Comma 12 2 2 2 3" xfId="7730"/>
    <cellStyle name="Comma 12 2 2 2 3 2" xfId="12497"/>
    <cellStyle name="Comma 12 2 2 2 3 2 2" xfId="19036"/>
    <cellStyle name="Comma 12 2 2 2 3 3" xfId="16184"/>
    <cellStyle name="Comma 12 2 2 2 4" xfId="10002"/>
    <cellStyle name="Comma 12 2 2 2 4 2" xfId="13068"/>
    <cellStyle name="Comma 12 2 2 2 4 2 2" xfId="19607"/>
    <cellStyle name="Comma 12 2 2 2 4 3" xfId="16755"/>
    <cellStyle name="Comma 12 2 2 2 5" xfId="3398"/>
    <cellStyle name="Comma 12 2 2 2 5 2" xfId="11355"/>
    <cellStyle name="Comma 12 2 2 2 5 2 2" xfId="17894"/>
    <cellStyle name="Comma 12 2 2 2 5 3" xfId="15042"/>
    <cellStyle name="Comma 12 2 2 2 6" xfId="13902"/>
    <cellStyle name="Comma 12 2 2 3" xfId="4323"/>
    <cellStyle name="Comma 12 2 2 3 2" xfId="11641"/>
    <cellStyle name="Comma 12 2 2 3 2 2" xfId="18180"/>
    <cellStyle name="Comma 12 2 2 3 3" xfId="15328"/>
    <cellStyle name="Comma 12 2 2 4" xfId="6595"/>
    <cellStyle name="Comma 12 2 2 4 2" xfId="12212"/>
    <cellStyle name="Comma 12 2 2 4 2 2" xfId="18751"/>
    <cellStyle name="Comma 12 2 2 4 3" xfId="15899"/>
    <cellStyle name="Comma 12 2 2 5" xfId="8867"/>
    <cellStyle name="Comma 12 2 2 5 2" xfId="12783"/>
    <cellStyle name="Comma 12 2 2 5 2 2" xfId="19322"/>
    <cellStyle name="Comma 12 2 2 5 3" xfId="16470"/>
    <cellStyle name="Comma 12 2 2 6" xfId="3113"/>
    <cellStyle name="Comma 12 2 2 6 2" xfId="11070"/>
    <cellStyle name="Comma 12 2 2 6 2 2" xfId="17609"/>
    <cellStyle name="Comma 12 2 2 6 3" xfId="14757"/>
    <cellStyle name="Comma 12 2 2 7" xfId="13617"/>
    <cellStyle name="Comma 12 2 3" xfId="1584"/>
    <cellStyle name="Comma 12 2 3 2" xfId="5004"/>
    <cellStyle name="Comma 12 2 3 2 2" xfId="11812"/>
    <cellStyle name="Comma 12 2 3 2 2 2" xfId="18351"/>
    <cellStyle name="Comma 12 2 3 2 3" xfId="15499"/>
    <cellStyle name="Comma 12 2 3 3" xfId="7276"/>
    <cellStyle name="Comma 12 2 3 3 2" xfId="12383"/>
    <cellStyle name="Comma 12 2 3 3 2 2" xfId="18922"/>
    <cellStyle name="Comma 12 2 3 3 3" xfId="16070"/>
    <cellStyle name="Comma 12 2 3 4" xfId="9548"/>
    <cellStyle name="Comma 12 2 3 4 2" xfId="12954"/>
    <cellStyle name="Comma 12 2 3 4 2 2" xfId="19493"/>
    <cellStyle name="Comma 12 2 3 4 3" xfId="16641"/>
    <cellStyle name="Comma 12 2 3 5" xfId="3284"/>
    <cellStyle name="Comma 12 2 3 5 2" xfId="11241"/>
    <cellStyle name="Comma 12 2 3 5 2 2" xfId="17780"/>
    <cellStyle name="Comma 12 2 3 5 3" xfId="14928"/>
    <cellStyle name="Comma 12 2 3 6" xfId="13788"/>
    <cellStyle name="Comma 12 2 4" xfId="3869"/>
    <cellStyle name="Comma 12 2 4 2" xfId="11527"/>
    <cellStyle name="Comma 12 2 4 2 2" xfId="18066"/>
    <cellStyle name="Comma 12 2 4 3" xfId="15214"/>
    <cellStyle name="Comma 12 2 5" xfId="6141"/>
    <cellStyle name="Comma 12 2 5 2" xfId="12098"/>
    <cellStyle name="Comma 12 2 5 2 2" xfId="18637"/>
    <cellStyle name="Comma 12 2 5 3" xfId="15785"/>
    <cellStyle name="Comma 12 2 6" xfId="8413"/>
    <cellStyle name="Comma 12 2 6 2" xfId="12669"/>
    <cellStyle name="Comma 12 2 6 2 2" xfId="19208"/>
    <cellStyle name="Comma 12 2 6 3" xfId="16356"/>
    <cellStyle name="Comma 12 2 7" xfId="2999"/>
    <cellStyle name="Comma 12 2 7 2" xfId="10956"/>
    <cellStyle name="Comma 12 2 7 2 2" xfId="17495"/>
    <cellStyle name="Comma 12 2 7 3" xfId="14643"/>
    <cellStyle name="Comma 12 2 8" xfId="13195"/>
    <cellStyle name="Comma 12 2 8 2" xfId="19704"/>
    <cellStyle name="Comma 12 2 9" xfId="13503"/>
    <cellStyle name="Comma 12 3" xfId="1130"/>
    <cellStyle name="Comma 12 3 2" xfId="2265"/>
    <cellStyle name="Comma 12 3 2 2" xfId="5685"/>
    <cellStyle name="Comma 12 3 2 2 2" xfId="11983"/>
    <cellStyle name="Comma 12 3 2 2 2 2" xfId="18522"/>
    <cellStyle name="Comma 12 3 2 2 3" xfId="15670"/>
    <cellStyle name="Comma 12 3 2 3" xfId="7957"/>
    <cellStyle name="Comma 12 3 2 3 2" xfId="12554"/>
    <cellStyle name="Comma 12 3 2 3 2 2" xfId="19093"/>
    <cellStyle name="Comma 12 3 2 3 3" xfId="16241"/>
    <cellStyle name="Comma 12 3 2 4" xfId="10229"/>
    <cellStyle name="Comma 12 3 2 4 2" xfId="13125"/>
    <cellStyle name="Comma 12 3 2 4 2 2" xfId="19664"/>
    <cellStyle name="Comma 12 3 2 4 3" xfId="16812"/>
    <cellStyle name="Comma 12 3 2 5" xfId="3455"/>
    <cellStyle name="Comma 12 3 2 5 2" xfId="11412"/>
    <cellStyle name="Comma 12 3 2 5 2 2" xfId="17951"/>
    <cellStyle name="Comma 12 3 2 5 3" xfId="15099"/>
    <cellStyle name="Comma 12 3 2 6" xfId="13959"/>
    <cellStyle name="Comma 12 3 3" xfId="4550"/>
    <cellStyle name="Comma 12 3 3 2" xfId="11698"/>
    <cellStyle name="Comma 12 3 3 2 2" xfId="18237"/>
    <cellStyle name="Comma 12 3 3 3" xfId="15385"/>
    <cellStyle name="Comma 12 3 4" xfId="6822"/>
    <cellStyle name="Comma 12 3 4 2" xfId="12269"/>
    <cellStyle name="Comma 12 3 4 2 2" xfId="18808"/>
    <cellStyle name="Comma 12 3 4 3" xfId="15956"/>
    <cellStyle name="Comma 12 3 5" xfId="9094"/>
    <cellStyle name="Comma 12 3 5 2" xfId="12840"/>
    <cellStyle name="Comma 12 3 5 2 2" xfId="19379"/>
    <cellStyle name="Comma 12 3 5 3" xfId="16527"/>
    <cellStyle name="Comma 12 3 6" xfId="3170"/>
    <cellStyle name="Comma 12 3 6 2" xfId="11127"/>
    <cellStyle name="Comma 12 3 6 2 2" xfId="17666"/>
    <cellStyle name="Comma 12 3 6 3" xfId="14814"/>
    <cellStyle name="Comma 12 3 7" xfId="13674"/>
    <cellStyle name="Comma 12 3 8" xfId="20288"/>
    <cellStyle name="Comma 12 4" xfId="676"/>
    <cellStyle name="Comma 12 4 2" xfId="1811"/>
    <cellStyle name="Comma 12 4 2 2" xfId="5231"/>
    <cellStyle name="Comma 12 4 2 2 2" xfId="11869"/>
    <cellStyle name="Comma 12 4 2 2 2 2" xfId="18408"/>
    <cellStyle name="Comma 12 4 2 2 3" xfId="15556"/>
    <cellStyle name="Comma 12 4 2 3" xfId="7503"/>
    <cellStyle name="Comma 12 4 2 3 2" xfId="12440"/>
    <cellStyle name="Comma 12 4 2 3 2 2" xfId="18979"/>
    <cellStyle name="Comma 12 4 2 3 3" xfId="16127"/>
    <cellStyle name="Comma 12 4 2 4" xfId="9775"/>
    <cellStyle name="Comma 12 4 2 4 2" xfId="13011"/>
    <cellStyle name="Comma 12 4 2 4 2 2" xfId="19550"/>
    <cellStyle name="Comma 12 4 2 4 3" xfId="16698"/>
    <cellStyle name="Comma 12 4 2 5" xfId="3341"/>
    <cellStyle name="Comma 12 4 2 5 2" xfId="11298"/>
    <cellStyle name="Comma 12 4 2 5 2 2" xfId="17837"/>
    <cellStyle name="Comma 12 4 2 5 3" xfId="14985"/>
    <cellStyle name="Comma 12 4 2 6" xfId="13845"/>
    <cellStyle name="Comma 12 4 3" xfId="4096"/>
    <cellStyle name="Comma 12 4 3 2" xfId="11584"/>
    <cellStyle name="Comma 12 4 3 2 2" xfId="18123"/>
    <cellStyle name="Comma 12 4 3 3" xfId="15271"/>
    <cellStyle name="Comma 12 4 4" xfId="6368"/>
    <cellStyle name="Comma 12 4 4 2" xfId="12155"/>
    <cellStyle name="Comma 12 4 4 2 2" xfId="18694"/>
    <cellStyle name="Comma 12 4 4 3" xfId="15842"/>
    <cellStyle name="Comma 12 4 5" xfId="8640"/>
    <cellStyle name="Comma 12 4 5 2" xfId="12726"/>
    <cellStyle name="Comma 12 4 5 2 2" xfId="19265"/>
    <cellStyle name="Comma 12 4 5 3" xfId="16413"/>
    <cellStyle name="Comma 12 4 6" xfId="3056"/>
    <cellStyle name="Comma 12 4 6 2" xfId="11013"/>
    <cellStyle name="Comma 12 4 6 2 2" xfId="17552"/>
    <cellStyle name="Comma 12 4 6 3" xfId="14700"/>
    <cellStyle name="Comma 12 4 7" xfId="13560"/>
    <cellStyle name="Comma 12 5" xfId="1357"/>
    <cellStyle name="Comma 12 5 2" xfId="4777"/>
    <cellStyle name="Comma 12 5 2 2" xfId="11755"/>
    <cellStyle name="Comma 12 5 2 2 2" xfId="18294"/>
    <cellStyle name="Comma 12 5 2 3" xfId="15442"/>
    <cellStyle name="Comma 12 5 3" xfId="7049"/>
    <cellStyle name="Comma 12 5 3 2" xfId="12326"/>
    <cellStyle name="Comma 12 5 3 2 2" xfId="18865"/>
    <cellStyle name="Comma 12 5 3 3" xfId="16013"/>
    <cellStyle name="Comma 12 5 4" xfId="9321"/>
    <cellStyle name="Comma 12 5 4 2" xfId="12897"/>
    <cellStyle name="Comma 12 5 4 2 2" xfId="19436"/>
    <cellStyle name="Comma 12 5 4 3" xfId="16584"/>
    <cellStyle name="Comma 12 5 5" xfId="3227"/>
    <cellStyle name="Comma 12 5 5 2" xfId="11184"/>
    <cellStyle name="Comma 12 5 5 2 2" xfId="17723"/>
    <cellStyle name="Comma 12 5 5 3" xfId="14871"/>
    <cellStyle name="Comma 12 5 6" xfId="13731"/>
    <cellStyle name="Comma 12 6" xfId="3642"/>
    <cellStyle name="Comma 12 6 2" xfId="11470"/>
    <cellStyle name="Comma 12 6 2 2" xfId="18009"/>
    <cellStyle name="Comma 12 6 3" xfId="15157"/>
    <cellStyle name="Comma 12 7" xfId="5914"/>
    <cellStyle name="Comma 12 7 2" xfId="12041"/>
    <cellStyle name="Comma 12 7 2 2" xfId="18580"/>
    <cellStyle name="Comma 12 7 3" xfId="15728"/>
    <cellStyle name="Comma 12 8" xfId="8186"/>
    <cellStyle name="Comma 12 8 2" xfId="12612"/>
    <cellStyle name="Comma 12 8 2 2" xfId="19151"/>
    <cellStyle name="Comma 12 8 3" xfId="16299"/>
    <cellStyle name="Comma 12 9" xfId="2939"/>
    <cellStyle name="Comma 12 9 2" xfId="10898"/>
    <cellStyle name="Comma 12 9 2 2" xfId="17437"/>
    <cellStyle name="Comma 12 9 3" xfId="14585"/>
    <cellStyle name="Comma 13" xfId="39"/>
    <cellStyle name="Comma 13 10" xfId="19800"/>
    <cellStyle name="Comma 13 11" xfId="20191"/>
    <cellStyle name="Comma 13 2" xfId="5744"/>
    <cellStyle name="Comma 13 2 2" xfId="11998"/>
    <cellStyle name="Comma 13 2 2 2" xfId="18537"/>
    <cellStyle name="Comma 13 2 3" xfId="15685"/>
    <cellStyle name="Comma 13 2 4" xfId="20270"/>
    <cellStyle name="Comma 13 3" xfId="8016"/>
    <cellStyle name="Comma 13 3 2" xfId="12569"/>
    <cellStyle name="Comma 13 3 2 2" xfId="19108"/>
    <cellStyle name="Comma 13 3 3" xfId="16256"/>
    <cellStyle name="Comma 13 3 4" xfId="20343"/>
    <cellStyle name="Comma 13 4" xfId="10288"/>
    <cellStyle name="Comma 13 4 2" xfId="13140"/>
    <cellStyle name="Comma 13 4 2 2" xfId="19679"/>
    <cellStyle name="Comma 13 4 3" xfId="16827"/>
    <cellStyle name="Comma 13 5" xfId="3471"/>
    <cellStyle name="Comma 13 5 2" xfId="11427"/>
    <cellStyle name="Comma 13 5 2 2" xfId="17966"/>
    <cellStyle name="Comma 13 5 3" xfId="15114"/>
    <cellStyle name="Comma 13 6" xfId="2328"/>
    <cellStyle name="Comma 13 6 2" xfId="13976"/>
    <cellStyle name="Comma 13 7" xfId="10289"/>
    <cellStyle name="Comma 13 7 2" xfId="16828"/>
    <cellStyle name="Comma 13 8" xfId="13196"/>
    <cellStyle name="Comma 13 8 2" xfId="19705"/>
    <cellStyle name="Comma 13 9" xfId="13400"/>
    <cellStyle name="Comma 14" xfId="2892"/>
    <cellStyle name="Comma 14 2" xfId="10853"/>
    <cellStyle name="Comma 14 2 2" xfId="17392"/>
    <cellStyle name="Comma 14 2 3" xfId="20272"/>
    <cellStyle name="Comma 14 3" xfId="13197"/>
    <cellStyle name="Comma 14 3 2" xfId="19706"/>
    <cellStyle name="Comma 14 3 3" xfId="20345"/>
    <cellStyle name="Comma 14 4" xfId="14540"/>
    <cellStyle name="Comma 14 5" xfId="19801"/>
    <cellStyle name="Comma 14 6" xfId="20193"/>
    <cellStyle name="Comma 15" xfId="13153"/>
    <cellStyle name="Comma 15 2" xfId="13198"/>
    <cellStyle name="Comma 15 2 2" xfId="19707"/>
    <cellStyle name="Comma 15 2 3" xfId="20201"/>
    <cellStyle name="Comma 15 3" xfId="19682"/>
    <cellStyle name="Comma 15 3 2" xfId="20346"/>
    <cellStyle name="Comma 15 4" xfId="19802"/>
    <cellStyle name="Comma 15 5" xfId="20195"/>
    <cellStyle name="Comma 16" xfId="13154"/>
    <cellStyle name="Comma 16 2" xfId="13199"/>
    <cellStyle name="Comma 16 2 2" xfId="19708"/>
    <cellStyle name="Comma 16 2 3" xfId="20347"/>
    <cellStyle name="Comma 16 3" xfId="19683"/>
    <cellStyle name="Comma 16 4" xfId="19803"/>
    <cellStyle name="Comma 16 5" xfId="20196"/>
    <cellStyle name="Comma 17" xfId="13180"/>
    <cellStyle name="Comma 17 2" xfId="13200"/>
    <cellStyle name="Comma 17 2 2" xfId="19709"/>
    <cellStyle name="Comma 17 2 3" xfId="20348"/>
    <cellStyle name="Comma 17 3" xfId="19691"/>
    <cellStyle name="Comma 17 4" xfId="19804"/>
    <cellStyle name="Comma 17 5" xfId="20197"/>
    <cellStyle name="Comma 18" xfId="13201"/>
    <cellStyle name="Comma 18 2" xfId="19710"/>
    <cellStyle name="Comma 18 2 2" xfId="20349"/>
    <cellStyle name="Comma 18 3" xfId="19805"/>
    <cellStyle name="Comma 18 4" xfId="20198"/>
    <cellStyle name="Comma 19" xfId="13202"/>
    <cellStyle name="Comma 19 2" xfId="19711"/>
    <cellStyle name="Comma 19 3" xfId="19806"/>
    <cellStyle name="Comma 19 4" xfId="20274"/>
    <cellStyle name="Comma 2" xfId="3"/>
    <cellStyle name="Comma 2 10" xfId="13203"/>
    <cellStyle name="Comma 2 10 2" xfId="19712"/>
    <cellStyle name="Comma 2 10 2 2" xfId="20211"/>
    <cellStyle name="Comma 2 10 3" xfId="20284"/>
    <cellStyle name="Comma 2 10 4" xfId="20037"/>
    <cellStyle name="Comma 2 11" xfId="13399"/>
    <cellStyle name="Comma 2 11 2" xfId="20033"/>
    <cellStyle name="Comma 2 12" xfId="19778"/>
    <cellStyle name="Comma 2 12 2" xfId="20222"/>
    <cellStyle name="Comma 2 12 3" xfId="20295"/>
    <cellStyle name="Comma 2 12 4" xfId="20054"/>
    <cellStyle name="Comma 2 13" xfId="19785"/>
    <cellStyle name="Comma 2 13 2" xfId="20271"/>
    <cellStyle name="Comma 2 13 3" xfId="20344"/>
    <cellStyle name="Comma 2 13 4" xfId="20192"/>
    <cellStyle name="Comma 2 14" xfId="19791"/>
    <cellStyle name="Comma 2 14 2" xfId="20199"/>
    <cellStyle name="Comma 2 15" xfId="19807"/>
    <cellStyle name="Comma 2 15 2" xfId="20273"/>
    <cellStyle name="Comma 2 16" xfId="19871"/>
    <cellStyle name="Comma 2 2" xfId="41"/>
    <cellStyle name="Comma 2 2 2" xfId="2894"/>
    <cellStyle name="Comma 2 2 2 2" xfId="14541"/>
    <cellStyle name="Comma 2 2 2 2 2" xfId="20043"/>
    <cellStyle name="Comma 2 2 2 3" xfId="20040"/>
    <cellStyle name="Comma 2 2 2 4" xfId="20036"/>
    <cellStyle name="Comma 2 2 2 5" xfId="20047"/>
    <cellStyle name="Comma 2 2 2 6" xfId="20203"/>
    <cellStyle name="Comma 2 2 2 7" xfId="20276"/>
    <cellStyle name="Comma 2 2 2 8" xfId="19879"/>
    <cellStyle name="Comma 2 2 3" xfId="10854"/>
    <cellStyle name="Comma 2 2 3 2" xfId="17393"/>
    <cellStyle name="Comma 2 2 3 3" xfId="20053"/>
    <cellStyle name="Comma 2 2 4" xfId="13177"/>
    <cellStyle name="Comma 2 2 4 2" xfId="19688"/>
    <cellStyle name="Comma 2 2 4 3" xfId="20050"/>
    <cellStyle name="Comma 2 2 5" xfId="13204"/>
    <cellStyle name="Comma 2 2 5 2" xfId="19713"/>
    <cellStyle name="Comma 2 2 5 2 2" xfId="20217"/>
    <cellStyle name="Comma 2 2 5 3" xfId="20290"/>
    <cellStyle name="Comma 2 2 5 4" xfId="20046"/>
    <cellStyle name="Comma 2 2 6" xfId="13401"/>
    <cellStyle name="Comma 2 2 6 2" xfId="20214"/>
    <cellStyle name="Comma 2 2 6 3" xfId="20287"/>
    <cellStyle name="Comma 2 2 6 4" xfId="20042"/>
    <cellStyle name="Comma 2 2 7" xfId="19780"/>
    <cellStyle name="Comma 2 2 7 2" xfId="20200"/>
    <cellStyle name="Comma 2 2 8" xfId="19808"/>
    <cellStyle name="Comma 2 2 9" xfId="19872"/>
    <cellStyle name="Comma 2 3" xfId="2323"/>
    <cellStyle name="Comma 2 3 2" xfId="13179"/>
    <cellStyle name="Comma 2 3 2 2" xfId="19690"/>
    <cellStyle name="Comma 2 3 2 2 2" xfId="20213"/>
    <cellStyle name="Comma 2 3 2 3" xfId="20286"/>
    <cellStyle name="Comma 2 3 2 4" xfId="20039"/>
    <cellStyle name="Comma 2 3 3" xfId="13974"/>
    <cellStyle name="Comma 2 3 3 2" xfId="20206"/>
    <cellStyle name="Comma 2 3 4" xfId="19782"/>
    <cellStyle name="Comma 2 3 4 2" xfId="20279"/>
    <cellStyle name="Comma 2 3 5" xfId="19884"/>
    <cellStyle name="Comma 2 4" xfId="2329"/>
    <cellStyle name="Comma 2 4 2" xfId="13977"/>
    <cellStyle name="Comma 2 4 2 2" xfId="20210"/>
    <cellStyle name="Comma 2 4 2 3" xfId="20283"/>
    <cellStyle name="Comma 2 4 2 4" xfId="20035"/>
    <cellStyle name="Comma 2 4 3" xfId="20223"/>
    <cellStyle name="Comma 2 4 4" xfId="20296"/>
    <cellStyle name="Comma 2 4 5" xfId="20055"/>
    <cellStyle name="Comma 2 5" xfId="10290"/>
    <cellStyle name="Comma 2 5 2" xfId="16829"/>
    <cellStyle name="Comma 2 5 2 2" xfId="20221"/>
    <cellStyle name="Comma 2 5 2 3" xfId="20294"/>
    <cellStyle name="Comma 2 5 2 4" xfId="20052"/>
    <cellStyle name="Comma 2 5 3" xfId="20205"/>
    <cellStyle name="Comma 2 5 4" xfId="20278"/>
    <cellStyle name="Comma 2 5 5" xfId="19883"/>
    <cellStyle name="Comma 2 6" xfId="13141"/>
    <cellStyle name="Comma 2 6 2" xfId="19680"/>
    <cellStyle name="Comma 2 6 2 2" xfId="20219"/>
    <cellStyle name="Comma 2 6 3" xfId="20292"/>
    <cellStyle name="Comma 2 6 4" xfId="20049"/>
    <cellStyle name="Comma 2 7" xfId="13170"/>
    <cellStyle name="Comma 2 7 2" xfId="19686"/>
    <cellStyle name="Comma 2 7 2 2" xfId="20216"/>
    <cellStyle name="Comma 2 7 3" xfId="20289"/>
    <cellStyle name="Comma 2 7 4" xfId="20045"/>
    <cellStyle name="Comma 2 8" xfId="13181"/>
    <cellStyle name="Comma 2 8 2" xfId="19692"/>
    <cellStyle name="Comma 2 8 3" xfId="20041"/>
    <cellStyle name="Comma 2 9" xfId="13183"/>
    <cellStyle name="Comma 2 9 2" xfId="19694"/>
    <cellStyle name="Comma 2 9 2 2" xfId="20212"/>
    <cellStyle name="Comma 2 9 3" xfId="20285"/>
    <cellStyle name="Comma 2 9 4" xfId="20038"/>
    <cellStyle name="Comma 20" xfId="13205"/>
    <cellStyle name="Comma 20 2" xfId="19714"/>
    <cellStyle name="Comma 20 3" xfId="19809"/>
    <cellStyle name="Comma 20 4" xfId="20350"/>
    <cellStyle name="Comma 21" xfId="13206"/>
    <cellStyle name="Comma 21 2" xfId="19715"/>
    <cellStyle name="Comma 21 3" xfId="19810"/>
    <cellStyle name="Comma 21 4" xfId="19873"/>
    <cellStyle name="Comma 22" xfId="13207"/>
    <cellStyle name="Comma 22 2" xfId="19716"/>
    <cellStyle name="Comma 22 3" xfId="19811"/>
    <cellStyle name="Comma 23" xfId="13208"/>
    <cellStyle name="Comma 23 2" xfId="19717"/>
    <cellStyle name="Comma 23 2 2" xfId="20204"/>
    <cellStyle name="Comma 23 3" xfId="19812"/>
    <cellStyle name="Comma 23 3 2" xfId="20277"/>
    <cellStyle name="Comma 23 4" xfId="19882"/>
    <cellStyle name="Comma 24" xfId="13209"/>
    <cellStyle name="Comma 24 2" xfId="19718"/>
    <cellStyle name="Comma 24 3" xfId="19813"/>
    <cellStyle name="Comma 25" xfId="13210"/>
    <cellStyle name="Comma 25 2" xfId="19719"/>
    <cellStyle name="Comma 25 3" xfId="19814"/>
    <cellStyle name="Comma 26" xfId="13211"/>
    <cellStyle name="Comma 26 2" xfId="19720"/>
    <cellStyle name="Comma 26 3" xfId="19815"/>
    <cellStyle name="Comma 27" xfId="13212"/>
    <cellStyle name="Comma 27 2" xfId="19721"/>
    <cellStyle name="Comma 27 3" xfId="19816"/>
    <cellStyle name="Comma 28" xfId="13213"/>
    <cellStyle name="Comma 28 2" xfId="19722"/>
    <cellStyle name="Comma 28 3" xfId="19817"/>
    <cellStyle name="Comma 29" xfId="13214"/>
    <cellStyle name="Comma 29 2" xfId="19723"/>
    <cellStyle name="Comma 29 3" xfId="19818"/>
    <cellStyle name="Comma 3" xfId="54"/>
    <cellStyle name="Comma 3 10" xfId="3488"/>
    <cellStyle name="Comma 3 10 2" xfId="11428"/>
    <cellStyle name="Comma 3 10 2 2" xfId="17967"/>
    <cellStyle name="Comma 3 10 2 3" xfId="20224"/>
    <cellStyle name="Comma 3 10 3" xfId="15115"/>
    <cellStyle name="Comma 3 10 3 2" xfId="20297"/>
    <cellStyle name="Comma 3 10 4" xfId="20057"/>
    <cellStyle name="Comma 3 11" xfId="5760"/>
    <cellStyle name="Comma 3 11 2" xfId="11999"/>
    <cellStyle name="Comma 3 11 2 2" xfId="18538"/>
    <cellStyle name="Comma 3 11 2 3" xfId="20225"/>
    <cellStyle name="Comma 3 11 3" xfId="15686"/>
    <cellStyle name="Comma 3 11 3 2" xfId="20298"/>
    <cellStyle name="Comma 3 11 4" xfId="20058"/>
    <cellStyle name="Comma 3 12" xfId="8032"/>
    <cellStyle name="Comma 3 12 2" xfId="12570"/>
    <cellStyle name="Comma 3 12 2 2" xfId="19109"/>
    <cellStyle name="Comma 3 12 2 3" xfId="20226"/>
    <cellStyle name="Comma 3 12 3" xfId="16257"/>
    <cellStyle name="Comma 3 12 3 2" xfId="20299"/>
    <cellStyle name="Comma 3 12 4" xfId="20059"/>
    <cellStyle name="Comma 3 13" xfId="2895"/>
    <cellStyle name="Comma 3 13 2" xfId="10855"/>
    <cellStyle name="Comma 3 13 2 2" xfId="17394"/>
    <cellStyle name="Comma 3 13 2 3" xfId="20227"/>
    <cellStyle name="Comma 3 13 3" xfId="14542"/>
    <cellStyle name="Comma 3 13 3 2" xfId="20300"/>
    <cellStyle name="Comma 3 13 4" xfId="20060"/>
    <cellStyle name="Comma 3 14" xfId="2330"/>
    <cellStyle name="Comma 3 14 2" xfId="13978"/>
    <cellStyle name="Comma 3 14 2 2" xfId="20228"/>
    <cellStyle name="Comma 3 14 3" xfId="20301"/>
    <cellStyle name="Comma 3 14 4" xfId="20061"/>
    <cellStyle name="Comma 3 15" xfId="10291"/>
    <cellStyle name="Comma 3 15 2" xfId="16830"/>
    <cellStyle name="Comma 3 15 2 2" xfId="20229"/>
    <cellStyle name="Comma 3 15 3" xfId="20302"/>
    <cellStyle name="Comma 3 15 4" xfId="20062"/>
    <cellStyle name="Comma 3 16" xfId="13169"/>
    <cellStyle name="Comma 3 16 2" xfId="19685"/>
    <cellStyle name="Comma 3 16 2 2" xfId="20209"/>
    <cellStyle name="Comma 3 16 3" xfId="20282"/>
    <cellStyle name="Comma 3 16 4" xfId="20034"/>
    <cellStyle name="Comma 3 17" xfId="13215"/>
    <cellStyle name="Comma 3 17 2" xfId="19724"/>
    <cellStyle name="Comma 3 17 3" xfId="20207"/>
    <cellStyle name="Comma 3 18" xfId="13402"/>
    <cellStyle name="Comma 3 18 2" xfId="20280"/>
    <cellStyle name="Comma 3 19" xfId="19777"/>
    <cellStyle name="Comma 3 2" xfId="4"/>
    <cellStyle name="Comma 3 2 10" xfId="5788"/>
    <cellStyle name="Comma 3 2 10 2" xfId="12006"/>
    <cellStyle name="Comma 3 2 10 2 2" xfId="18545"/>
    <cellStyle name="Comma 3 2 10 3" xfId="15693"/>
    <cellStyle name="Comma 3 2 11" xfId="8060"/>
    <cellStyle name="Comma 3 2 11 2" xfId="12577"/>
    <cellStyle name="Comma 3 2 11 2 2" xfId="19116"/>
    <cellStyle name="Comma 3 2 11 3" xfId="16264"/>
    <cellStyle name="Comma 3 2 12" xfId="2904"/>
    <cellStyle name="Comma 3 2 12 2" xfId="10863"/>
    <cellStyle name="Comma 3 2 12 2 2" xfId="17402"/>
    <cellStyle name="Comma 3 2 12 3" xfId="14550"/>
    <cellStyle name="Comma 3 2 13" xfId="2338"/>
    <cellStyle name="Comma 3 2 13 2" xfId="13986"/>
    <cellStyle name="Comma 3 2 14" xfId="10299"/>
    <cellStyle name="Comma 3 2 14 2" xfId="16838"/>
    <cellStyle name="Comma 3 2 15" xfId="13216"/>
    <cellStyle name="Comma 3 2 15 2" xfId="19725"/>
    <cellStyle name="Comma 3 2 16" xfId="19820"/>
    <cellStyle name="Comma 3 2 17" xfId="20063"/>
    <cellStyle name="Comma 3 2 2" xfId="197"/>
    <cellStyle name="Comma 3 2 2 10" xfId="2366"/>
    <cellStyle name="Comma 3 2 2 10 2" xfId="14014"/>
    <cellStyle name="Comma 3 2 2 11" xfId="10327"/>
    <cellStyle name="Comma 3 2 2 11 2" xfId="16866"/>
    <cellStyle name="Comma 3 2 2 12" xfId="13142"/>
    <cellStyle name="Comma 3 2 2 12 2" xfId="19681"/>
    <cellStyle name="Comma 3 2 2 13" xfId="13182"/>
    <cellStyle name="Comma 3 2 2 13 2" xfId="19693"/>
    <cellStyle name="Comma 3 2 2 14" xfId="13184"/>
    <cellStyle name="Comma 3 2 2 14 2" xfId="19695"/>
    <cellStyle name="Comma 3 2 2 15" xfId="13438"/>
    <cellStyle name="Comma 3 2 2 16" xfId="20064"/>
    <cellStyle name="Comma 3 2 2 2" xfId="435"/>
    <cellStyle name="Comma 3 2 2 2 10" xfId="13496"/>
    <cellStyle name="Comma 3 2 2 2 11" xfId="20065"/>
    <cellStyle name="Comma 3 2 2 2 2" xfId="889"/>
    <cellStyle name="Comma 3 2 2 2 2 2" xfId="2024"/>
    <cellStyle name="Comma 3 2 2 2 2 2 2" xfId="5444"/>
    <cellStyle name="Comma 3 2 2 2 2 2 2 2" xfId="11919"/>
    <cellStyle name="Comma 3 2 2 2 2 2 2 2 2" xfId="18458"/>
    <cellStyle name="Comma 3 2 2 2 2 2 2 3" xfId="15606"/>
    <cellStyle name="Comma 3 2 2 2 2 2 3" xfId="7716"/>
    <cellStyle name="Comma 3 2 2 2 2 2 3 2" xfId="12490"/>
    <cellStyle name="Comma 3 2 2 2 2 2 3 2 2" xfId="19029"/>
    <cellStyle name="Comma 3 2 2 2 2 2 3 3" xfId="16177"/>
    <cellStyle name="Comma 3 2 2 2 2 2 4" xfId="9988"/>
    <cellStyle name="Comma 3 2 2 2 2 2 4 2" xfId="13061"/>
    <cellStyle name="Comma 3 2 2 2 2 2 4 2 2" xfId="19600"/>
    <cellStyle name="Comma 3 2 2 2 2 2 4 3" xfId="16748"/>
    <cellStyle name="Comma 3 2 2 2 2 2 5" xfId="3391"/>
    <cellStyle name="Comma 3 2 2 2 2 2 5 2" xfId="11348"/>
    <cellStyle name="Comma 3 2 2 2 2 2 5 2 2" xfId="17887"/>
    <cellStyle name="Comma 3 2 2 2 2 2 5 3" xfId="15035"/>
    <cellStyle name="Comma 3 2 2 2 2 2 6" xfId="2815"/>
    <cellStyle name="Comma 3 2 2 2 2 2 6 2" xfId="14463"/>
    <cellStyle name="Comma 3 2 2 2 2 2 7" xfId="10776"/>
    <cellStyle name="Comma 3 2 2 2 2 2 7 2" xfId="17315"/>
    <cellStyle name="Comma 3 2 2 2 2 2 8" xfId="13895"/>
    <cellStyle name="Comma 3 2 2 2 2 3" xfId="4309"/>
    <cellStyle name="Comma 3 2 2 2 2 3 2" xfId="11634"/>
    <cellStyle name="Comma 3 2 2 2 2 3 2 2" xfId="18173"/>
    <cellStyle name="Comma 3 2 2 2 2 3 3" xfId="15321"/>
    <cellStyle name="Comma 3 2 2 2 2 4" xfId="6581"/>
    <cellStyle name="Comma 3 2 2 2 2 4 2" xfId="12205"/>
    <cellStyle name="Comma 3 2 2 2 2 4 2 2" xfId="18744"/>
    <cellStyle name="Comma 3 2 2 2 2 4 3" xfId="15892"/>
    <cellStyle name="Comma 3 2 2 2 2 5" xfId="8853"/>
    <cellStyle name="Comma 3 2 2 2 2 5 2" xfId="12776"/>
    <cellStyle name="Comma 3 2 2 2 2 5 2 2" xfId="19315"/>
    <cellStyle name="Comma 3 2 2 2 2 5 3" xfId="16463"/>
    <cellStyle name="Comma 3 2 2 2 2 6" xfId="3106"/>
    <cellStyle name="Comma 3 2 2 2 2 6 2" xfId="11063"/>
    <cellStyle name="Comma 3 2 2 2 2 6 2 2" xfId="17602"/>
    <cellStyle name="Comma 3 2 2 2 2 6 3" xfId="14750"/>
    <cellStyle name="Comma 3 2 2 2 2 7" xfId="2535"/>
    <cellStyle name="Comma 3 2 2 2 2 7 2" xfId="14183"/>
    <cellStyle name="Comma 3 2 2 2 2 8" xfId="10496"/>
    <cellStyle name="Comma 3 2 2 2 2 8 2" xfId="17035"/>
    <cellStyle name="Comma 3 2 2 2 2 9" xfId="13610"/>
    <cellStyle name="Comma 3 2 2 2 3" xfId="1570"/>
    <cellStyle name="Comma 3 2 2 2 3 2" xfId="4990"/>
    <cellStyle name="Comma 3 2 2 2 3 2 2" xfId="11805"/>
    <cellStyle name="Comma 3 2 2 2 3 2 2 2" xfId="18344"/>
    <cellStyle name="Comma 3 2 2 2 3 2 3" xfId="15492"/>
    <cellStyle name="Comma 3 2 2 2 3 3" xfId="7262"/>
    <cellStyle name="Comma 3 2 2 2 3 3 2" xfId="12376"/>
    <cellStyle name="Comma 3 2 2 2 3 3 2 2" xfId="18915"/>
    <cellStyle name="Comma 3 2 2 2 3 3 3" xfId="16063"/>
    <cellStyle name="Comma 3 2 2 2 3 4" xfId="9534"/>
    <cellStyle name="Comma 3 2 2 2 3 4 2" xfId="12947"/>
    <cellStyle name="Comma 3 2 2 2 3 4 2 2" xfId="19486"/>
    <cellStyle name="Comma 3 2 2 2 3 4 3" xfId="16634"/>
    <cellStyle name="Comma 3 2 2 2 3 5" xfId="3277"/>
    <cellStyle name="Comma 3 2 2 2 3 5 2" xfId="11234"/>
    <cellStyle name="Comma 3 2 2 2 3 5 2 2" xfId="17773"/>
    <cellStyle name="Comma 3 2 2 2 3 5 3" xfId="14921"/>
    <cellStyle name="Comma 3 2 2 2 3 6" xfId="2703"/>
    <cellStyle name="Comma 3 2 2 2 3 6 2" xfId="14351"/>
    <cellStyle name="Comma 3 2 2 2 3 7" xfId="10664"/>
    <cellStyle name="Comma 3 2 2 2 3 7 2" xfId="17203"/>
    <cellStyle name="Comma 3 2 2 2 3 8" xfId="13781"/>
    <cellStyle name="Comma 3 2 2 2 4" xfId="3855"/>
    <cellStyle name="Comma 3 2 2 2 4 2" xfId="11520"/>
    <cellStyle name="Comma 3 2 2 2 4 2 2" xfId="18059"/>
    <cellStyle name="Comma 3 2 2 2 4 3" xfId="15207"/>
    <cellStyle name="Comma 3 2 2 2 5" xfId="6127"/>
    <cellStyle name="Comma 3 2 2 2 5 2" xfId="12091"/>
    <cellStyle name="Comma 3 2 2 2 5 2 2" xfId="18630"/>
    <cellStyle name="Comma 3 2 2 2 5 3" xfId="15778"/>
    <cellStyle name="Comma 3 2 2 2 6" xfId="8399"/>
    <cellStyle name="Comma 3 2 2 2 6 2" xfId="12662"/>
    <cellStyle name="Comma 3 2 2 2 6 2 2" xfId="19201"/>
    <cellStyle name="Comma 3 2 2 2 6 3" xfId="16349"/>
    <cellStyle name="Comma 3 2 2 2 7" xfId="2992"/>
    <cellStyle name="Comma 3 2 2 2 7 2" xfId="10949"/>
    <cellStyle name="Comma 3 2 2 2 7 2 2" xfId="17488"/>
    <cellStyle name="Comma 3 2 2 2 7 3" xfId="14636"/>
    <cellStyle name="Comma 3 2 2 2 8" xfId="2423"/>
    <cellStyle name="Comma 3 2 2 2 8 2" xfId="14071"/>
    <cellStyle name="Comma 3 2 2 2 9" xfId="10384"/>
    <cellStyle name="Comma 3 2 2 2 9 2" xfId="16923"/>
    <cellStyle name="Comma 3 2 2 3" xfId="1116"/>
    <cellStyle name="Comma 3 2 2 3 10" xfId="20066"/>
    <cellStyle name="Comma 3 2 2 3 2" xfId="2251"/>
    <cellStyle name="Comma 3 2 2 3 2 2" xfId="5671"/>
    <cellStyle name="Comma 3 2 2 3 2 2 2" xfId="11976"/>
    <cellStyle name="Comma 3 2 2 3 2 2 2 2" xfId="18515"/>
    <cellStyle name="Comma 3 2 2 3 2 2 3" xfId="15663"/>
    <cellStyle name="Comma 3 2 2 3 2 3" xfId="7943"/>
    <cellStyle name="Comma 3 2 2 3 2 3 2" xfId="12547"/>
    <cellStyle name="Comma 3 2 2 3 2 3 2 2" xfId="19086"/>
    <cellStyle name="Comma 3 2 2 3 2 3 3" xfId="16234"/>
    <cellStyle name="Comma 3 2 2 3 2 4" xfId="10215"/>
    <cellStyle name="Comma 3 2 2 3 2 4 2" xfId="13118"/>
    <cellStyle name="Comma 3 2 2 3 2 4 2 2" xfId="19657"/>
    <cellStyle name="Comma 3 2 2 3 2 4 3" xfId="16805"/>
    <cellStyle name="Comma 3 2 2 3 2 5" xfId="3448"/>
    <cellStyle name="Comma 3 2 2 3 2 5 2" xfId="11405"/>
    <cellStyle name="Comma 3 2 2 3 2 5 2 2" xfId="17944"/>
    <cellStyle name="Comma 3 2 2 3 2 5 3" xfId="15092"/>
    <cellStyle name="Comma 3 2 2 3 2 6" xfId="2871"/>
    <cellStyle name="Comma 3 2 2 3 2 6 2" xfId="14519"/>
    <cellStyle name="Comma 3 2 2 3 2 7" xfId="10832"/>
    <cellStyle name="Comma 3 2 2 3 2 7 2" xfId="17371"/>
    <cellStyle name="Comma 3 2 2 3 2 8" xfId="13952"/>
    <cellStyle name="Comma 3 2 2 3 3" xfId="4536"/>
    <cellStyle name="Comma 3 2 2 3 3 2" xfId="11691"/>
    <cellStyle name="Comma 3 2 2 3 3 2 2" xfId="18230"/>
    <cellStyle name="Comma 3 2 2 3 3 3" xfId="15378"/>
    <cellStyle name="Comma 3 2 2 3 4" xfId="6808"/>
    <cellStyle name="Comma 3 2 2 3 4 2" xfId="12262"/>
    <cellStyle name="Comma 3 2 2 3 4 2 2" xfId="18801"/>
    <cellStyle name="Comma 3 2 2 3 4 3" xfId="15949"/>
    <cellStyle name="Comma 3 2 2 3 5" xfId="9080"/>
    <cellStyle name="Comma 3 2 2 3 5 2" xfId="12833"/>
    <cellStyle name="Comma 3 2 2 3 5 2 2" xfId="19372"/>
    <cellStyle name="Comma 3 2 2 3 5 3" xfId="16520"/>
    <cellStyle name="Comma 3 2 2 3 6" xfId="3163"/>
    <cellStyle name="Comma 3 2 2 3 6 2" xfId="11120"/>
    <cellStyle name="Comma 3 2 2 3 6 2 2" xfId="17659"/>
    <cellStyle name="Comma 3 2 2 3 6 3" xfId="14807"/>
    <cellStyle name="Comma 3 2 2 3 7" xfId="2591"/>
    <cellStyle name="Comma 3 2 2 3 7 2" xfId="14239"/>
    <cellStyle name="Comma 3 2 2 3 8" xfId="10552"/>
    <cellStyle name="Comma 3 2 2 3 8 2" xfId="17091"/>
    <cellStyle name="Comma 3 2 2 3 9" xfId="13667"/>
    <cellStyle name="Comma 3 2 2 4" xfId="662"/>
    <cellStyle name="Comma 3 2 2 4 2" xfId="1797"/>
    <cellStyle name="Comma 3 2 2 4 2 2" xfId="5217"/>
    <cellStyle name="Comma 3 2 2 4 2 2 2" xfId="11862"/>
    <cellStyle name="Comma 3 2 2 4 2 2 2 2" xfId="18401"/>
    <cellStyle name="Comma 3 2 2 4 2 2 3" xfId="15549"/>
    <cellStyle name="Comma 3 2 2 4 2 3" xfId="7489"/>
    <cellStyle name="Comma 3 2 2 4 2 3 2" xfId="12433"/>
    <cellStyle name="Comma 3 2 2 4 2 3 2 2" xfId="18972"/>
    <cellStyle name="Comma 3 2 2 4 2 3 3" xfId="16120"/>
    <cellStyle name="Comma 3 2 2 4 2 4" xfId="9761"/>
    <cellStyle name="Comma 3 2 2 4 2 4 2" xfId="13004"/>
    <cellStyle name="Comma 3 2 2 4 2 4 2 2" xfId="19543"/>
    <cellStyle name="Comma 3 2 2 4 2 4 3" xfId="16691"/>
    <cellStyle name="Comma 3 2 2 4 2 5" xfId="3334"/>
    <cellStyle name="Comma 3 2 2 4 2 5 2" xfId="11291"/>
    <cellStyle name="Comma 3 2 2 4 2 5 2 2" xfId="17830"/>
    <cellStyle name="Comma 3 2 2 4 2 5 3" xfId="14978"/>
    <cellStyle name="Comma 3 2 2 4 2 6" xfId="2759"/>
    <cellStyle name="Comma 3 2 2 4 2 6 2" xfId="14407"/>
    <cellStyle name="Comma 3 2 2 4 2 7" xfId="10720"/>
    <cellStyle name="Comma 3 2 2 4 2 7 2" xfId="17259"/>
    <cellStyle name="Comma 3 2 2 4 2 8" xfId="13838"/>
    <cellStyle name="Comma 3 2 2 4 3" xfId="4082"/>
    <cellStyle name="Comma 3 2 2 4 3 2" xfId="11577"/>
    <cellStyle name="Comma 3 2 2 4 3 2 2" xfId="18116"/>
    <cellStyle name="Comma 3 2 2 4 3 3" xfId="15264"/>
    <cellStyle name="Comma 3 2 2 4 4" xfId="6354"/>
    <cellStyle name="Comma 3 2 2 4 4 2" xfId="12148"/>
    <cellStyle name="Comma 3 2 2 4 4 2 2" xfId="18687"/>
    <cellStyle name="Comma 3 2 2 4 4 3" xfId="15835"/>
    <cellStyle name="Comma 3 2 2 4 5" xfId="8626"/>
    <cellStyle name="Comma 3 2 2 4 5 2" xfId="12719"/>
    <cellStyle name="Comma 3 2 2 4 5 2 2" xfId="19258"/>
    <cellStyle name="Comma 3 2 2 4 5 3" xfId="16406"/>
    <cellStyle name="Comma 3 2 2 4 6" xfId="3049"/>
    <cellStyle name="Comma 3 2 2 4 6 2" xfId="11006"/>
    <cellStyle name="Comma 3 2 2 4 6 2 2" xfId="17545"/>
    <cellStyle name="Comma 3 2 2 4 6 3" xfId="14693"/>
    <cellStyle name="Comma 3 2 2 4 7" xfId="2479"/>
    <cellStyle name="Comma 3 2 2 4 7 2" xfId="14127"/>
    <cellStyle name="Comma 3 2 2 4 8" xfId="10440"/>
    <cellStyle name="Comma 3 2 2 4 8 2" xfId="16979"/>
    <cellStyle name="Comma 3 2 2 4 9" xfId="13553"/>
    <cellStyle name="Comma 3 2 2 5" xfId="1343"/>
    <cellStyle name="Comma 3 2 2 5 2" xfId="4763"/>
    <cellStyle name="Comma 3 2 2 5 2 2" xfId="11748"/>
    <cellStyle name="Comma 3 2 2 5 2 2 2" xfId="18287"/>
    <cellStyle name="Comma 3 2 2 5 2 3" xfId="15435"/>
    <cellStyle name="Comma 3 2 2 5 3" xfId="7035"/>
    <cellStyle name="Comma 3 2 2 5 3 2" xfId="12319"/>
    <cellStyle name="Comma 3 2 2 5 3 2 2" xfId="18858"/>
    <cellStyle name="Comma 3 2 2 5 3 3" xfId="16006"/>
    <cellStyle name="Comma 3 2 2 5 4" xfId="9307"/>
    <cellStyle name="Comma 3 2 2 5 4 2" xfId="12890"/>
    <cellStyle name="Comma 3 2 2 5 4 2 2" xfId="19429"/>
    <cellStyle name="Comma 3 2 2 5 4 3" xfId="16577"/>
    <cellStyle name="Comma 3 2 2 5 5" xfId="3220"/>
    <cellStyle name="Comma 3 2 2 5 5 2" xfId="11177"/>
    <cellStyle name="Comma 3 2 2 5 5 2 2" xfId="17716"/>
    <cellStyle name="Comma 3 2 2 5 5 3" xfId="14864"/>
    <cellStyle name="Comma 3 2 2 5 6" xfId="2647"/>
    <cellStyle name="Comma 3 2 2 5 6 2" xfId="14295"/>
    <cellStyle name="Comma 3 2 2 5 7" xfId="10608"/>
    <cellStyle name="Comma 3 2 2 5 7 2" xfId="17147"/>
    <cellStyle name="Comma 3 2 2 5 8" xfId="13724"/>
    <cellStyle name="Comma 3 2 2 6" xfId="2324"/>
    <cellStyle name="Comma 3 2 2 6 2" xfId="3628"/>
    <cellStyle name="Comma 3 2 2 6 2 2" xfId="15150"/>
    <cellStyle name="Comma 3 2 2 6 3" xfId="11463"/>
    <cellStyle name="Comma 3 2 2 6 3 2" xfId="18002"/>
    <cellStyle name="Comma 3 2 2 6 4" xfId="13975"/>
    <cellStyle name="Comma 3 2 2 7" xfId="5900"/>
    <cellStyle name="Comma 3 2 2 7 2" xfId="12034"/>
    <cellStyle name="Comma 3 2 2 7 2 2" xfId="18573"/>
    <cellStyle name="Comma 3 2 2 7 3" xfId="15721"/>
    <cellStyle name="Comma 3 2 2 8" xfId="8172"/>
    <cellStyle name="Comma 3 2 2 8 2" xfId="12605"/>
    <cellStyle name="Comma 3 2 2 8 2 2" xfId="19144"/>
    <cellStyle name="Comma 3 2 2 8 3" xfId="16292"/>
    <cellStyle name="Comma 3 2 2 9" xfId="2932"/>
    <cellStyle name="Comma 3 2 2 9 2" xfId="10891"/>
    <cellStyle name="Comma 3 2 2 9 2 2" xfId="17430"/>
    <cellStyle name="Comma 3 2 2 9 3" xfId="14578"/>
    <cellStyle name="Comma 3 2 3" xfId="141"/>
    <cellStyle name="Comma 3 2 3 10" xfId="2352"/>
    <cellStyle name="Comma 3 2 3 10 2" xfId="14000"/>
    <cellStyle name="Comma 3 2 3 11" xfId="10313"/>
    <cellStyle name="Comma 3 2 3 11 2" xfId="16852"/>
    <cellStyle name="Comma 3 2 3 12" xfId="13424"/>
    <cellStyle name="Comma 3 2 3 13" xfId="20067"/>
    <cellStyle name="Comma 3 2 3 2" xfId="379"/>
    <cellStyle name="Comma 3 2 3 2 10" xfId="13482"/>
    <cellStyle name="Comma 3 2 3 2 11" xfId="20068"/>
    <cellStyle name="Comma 3 2 3 2 2" xfId="833"/>
    <cellStyle name="Comma 3 2 3 2 2 10" xfId="20232"/>
    <cellStyle name="Comma 3 2 3 2 2 2" xfId="1968"/>
    <cellStyle name="Comma 3 2 3 2 2 2 2" xfId="5388"/>
    <cellStyle name="Comma 3 2 3 2 2 2 2 2" xfId="11905"/>
    <cellStyle name="Comma 3 2 3 2 2 2 2 2 2" xfId="18444"/>
    <cellStyle name="Comma 3 2 3 2 2 2 2 3" xfId="15592"/>
    <cellStyle name="Comma 3 2 3 2 2 2 3" xfId="7660"/>
    <cellStyle name="Comma 3 2 3 2 2 2 3 2" xfId="12476"/>
    <cellStyle name="Comma 3 2 3 2 2 2 3 2 2" xfId="19015"/>
    <cellStyle name="Comma 3 2 3 2 2 2 3 3" xfId="16163"/>
    <cellStyle name="Comma 3 2 3 2 2 2 4" xfId="9932"/>
    <cellStyle name="Comma 3 2 3 2 2 2 4 2" xfId="13047"/>
    <cellStyle name="Comma 3 2 3 2 2 2 4 2 2" xfId="19586"/>
    <cellStyle name="Comma 3 2 3 2 2 2 4 3" xfId="16734"/>
    <cellStyle name="Comma 3 2 3 2 2 2 5" xfId="3377"/>
    <cellStyle name="Comma 3 2 3 2 2 2 5 2" xfId="11334"/>
    <cellStyle name="Comma 3 2 3 2 2 2 5 2 2" xfId="17873"/>
    <cellStyle name="Comma 3 2 3 2 2 2 5 3" xfId="15021"/>
    <cellStyle name="Comma 3 2 3 2 2 2 6" xfId="2801"/>
    <cellStyle name="Comma 3 2 3 2 2 2 6 2" xfId="14449"/>
    <cellStyle name="Comma 3 2 3 2 2 2 7" xfId="10762"/>
    <cellStyle name="Comma 3 2 3 2 2 2 7 2" xfId="17301"/>
    <cellStyle name="Comma 3 2 3 2 2 2 8" xfId="13881"/>
    <cellStyle name="Comma 3 2 3 2 2 3" xfId="4253"/>
    <cellStyle name="Comma 3 2 3 2 2 3 2" xfId="11620"/>
    <cellStyle name="Comma 3 2 3 2 2 3 2 2" xfId="18159"/>
    <cellStyle name="Comma 3 2 3 2 2 3 3" xfId="15307"/>
    <cellStyle name="Comma 3 2 3 2 2 4" xfId="6525"/>
    <cellStyle name="Comma 3 2 3 2 2 4 2" xfId="12191"/>
    <cellStyle name="Comma 3 2 3 2 2 4 2 2" xfId="18730"/>
    <cellStyle name="Comma 3 2 3 2 2 4 3" xfId="15878"/>
    <cellStyle name="Comma 3 2 3 2 2 5" xfId="8797"/>
    <cellStyle name="Comma 3 2 3 2 2 5 2" xfId="12762"/>
    <cellStyle name="Comma 3 2 3 2 2 5 2 2" xfId="19301"/>
    <cellStyle name="Comma 3 2 3 2 2 5 3" xfId="16449"/>
    <cellStyle name="Comma 3 2 3 2 2 6" xfId="3092"/>
    <cellStyle name="Comma 3 2 3 2 2 6 2" xfId="11049"/>
    <cellStyle name="Comma 3 2 3 2 2 6 2 2" xfId="17588"/>
    <cellStyle name="Comma 3 2 3 2 2 6 3" xfId="14736"/>
    <cellStyle name="Comma 3 2 3 2 2 7" xfId="2521"/>
    <cellStyle name="Comma 3 2 3 2 2 7 2" xfId="14169"/>
    <cellStyle name="Comma 3 2 3 2 2 8" xfId="10482"/>
    <cellStyle name="Comma 3 2 3 2 2 8 2" xfId="17021"/>
    <cellStyle name="Comma 3 2 3 2 2 9" xfId="13596"/>
    <cellStyle name="Comma 3 2 3 2 3" xfId="1514"/>
    <cellStyle name="Comma 3 2 3 2 3 2" xfId="4934"/>
    <cellStyle name="Comma 3 2 3 2 3 2 2" xfId="11791"/>
    <cellStyle name="Comma 3 2 3 2 3 2 2 2" xfId="18330"/>
    <cellStyle name="Comma 3 2 3 2 3 2 3" xfId="15478"/>
    <cellStyle name="Comma 3 2 3 2 3 3" xfId="7206"/>
    <cellStyle name="Comma 3 2 3 2 3 3 2" xfId="12362"/>
    <cellStyle name="Comma 3 2 3 2 3 3 2 2" xfId="18901"/>
    <cellStyle name="Comma 3 2 3 2 3 3 3" xfId="16049"/>
    <cellStyle name="Comma 3 2 3 2 3 4" xfId="9478"/>
    <cellStyle name="Comma 3 2 3 2 3 4 2" xfId="12933"/>
    <cellStyle name="Comma 3 2 3 2 3 4 2 2" xfId="19472"/>
    <cellStyle name="Comma 3 2 3 2 3 4 3" xfId="16620"/>
    <cellStyle name="Comma 3 2 3 2 3 5" xfId="3263"/>
    <cellStyle name="Comma 3 2 3 2 3 5 2" xfId="11220"/>
    <cellStyle name="Comma 3 2 3 2 3 5 2 2" xfId="17759"/>
    <cellStyle name="Comma 3 2 3 2 3 5 3" xfId="14907"/>
    <cellStyle name="Comma 3 2 3 2 3 6" xfId="2689"/>
    <cellStyle name="Comma 3 2 3 2 3 6 2" xfId="14337"/>
    <cellStyle name="Comma 3 2 3 2 3 7" xfId="10650"/>
    <cellStyle name="Comma 3 2 3 2 3 7 2" xfId="17189"/>
    <cellStyle name="Comma 3 2 3 2 3 8" xfId="13767"/>
    <cellStyle name="Comma 3 2 3 2 3 9" xfId="20305"/>
    <cellStyle name="Comma 3 2 3 2 4" xfId="3799"/>
    <cellStyle name="Comma 3 2 3 2 4 2" xfId="11506"/>
    <cellStyle name="Comma 3 2 3 2 4 2 2" xfId="18045"/>
    <cellStyle name="Comma 3 2 3 2 4 3" xfId="15193"/>
    <cellStyle name="Comma 3 2 3 2 5" xfId="6071"/>
    <cellStyle name="Comma 3 2 3 2 5 2" xfId="12077"/>
    <cellStyle name="Comma 3 2 3 2 5 2 2" xfId="18616"/>
    <cellStyle name="Comma 3 2 3 2 5 3" xfId="15764"/>
    <cellStyle name="Comma 3 2 3 2 6" xfId="8343"/>
    <cellStyle name="Comma 3 2 3 2 6 2" xfId="12648"/>
    <cellStyle name="Comma 3 2 3 2 6 2 2" xfId="19187"/>
    <cellStyle name="Comma 3 2 3 2 6 3" xfId="16335"/>
    <cellStyle name="Comma 3 2 3 2 7" xfId="2978"/>
    <cellStyle name="Comma 3 2 3 2 7 2" xfId="10935"/>
    <cellStyle name="Comma 3 2 3 2 7 2 2" xfId="17474"/>
    <cellStyle name="Comma 3 2 3 2 7 3" xfId="14622"/>
    <cellStyle name="Comma 3 2 3 2 8" xfId="2409"/>
    <cellStyle name="Comma 3 2 3 2 8 2" xfId="14057"/>
    <cellStyle name="Comma 3 2 3 2 9" xfId="10370"/>
    <cellStyle name="Comma 3 2 3 2 9 2" xfId="16909"/>
    <cellStyle name="Comma 3 2 3 3" xfId="1060"/>
    <cellStyle name="Comma 3 2 3 3 10" xfId="20069"/>
    <cellStyle name="Comma 3 2 3 3 2" xfId="2195"/>
    <cellStyle name="Comma 3 2 3 3 2 2" xfId="5615"/>
    <cellStyle name="Comma 3 2 3 3 2 2 2" xfId="11962"/>
    <cellStyle name="Comma 3 2 3 3 2 2 2 2" xfId="18501"/>
    <cellStyle name="Comma 3 2 3 3 2 2 3" xfId="15649"/>
    <cellStyle name="Comma 3 2 3 3 2 3" xfId="7887"/>
    <cellStyle name="Comma 3 2 3 3 2 3 2" xfId="12533"/>
    <cellStyle name="Comma 3 2 3 3 2 3 2 2" xfId="19072"/>
    <cellStyle name="Comma 3 2 3 3 2 3 3" xfId="16220"/>
    <cellStyle name="Comma 3 2 3 3 2 4" xfId="10159"/>
    <cellStyle name="Comma 3 2 3 3 2 4 2" xfId="13104"/>
    <cellStyle name="Comma 3 2 3 3 2 4 2 2" xfId="19643"/>
    <cellStyle name="Comma 3 2 3 3 2 4 3" xfId="16791"/>
    <cellStyle name="Comma 3 2 3 3 2 5" xfId="3434"/>
    <cellStyle name="Comma 3 2 3 3 2 5 2" xfId="11391"/>
    <cellStyle name="Comma 3 2 3 3 2 5 2 2" xfId="17930"/>
    <cellStyle name="Comma 3 2 3 3 2 5 3" xfId="15078"/>
    <cellStyle name="Comma 3 2 3 3 2 6" xfId="2857"/>
    <cellStyle name="Comma 3 2 3 3 2 6 2" xfId="14505"/>
    <cellStyle name="Comma 3 2 3 3 2 7" xfId="10818"/>
    <cellStyle name="Comma 3 2 3 3 2 7 2" xfId="17357"/>
    <cellStyle name="Comma 3 2 3 3 2 8" xfId="13938"/>
    <cellStyle name="Comma 3 2 3 3 2 9" xfId="20233"/>
    <cellStyle name="Comma 3 2 3 3 3" xfId="4480"/>
    <cellStyle name="Comma 3 2 3 3 3 2" xfId="11677"/>
    <cellStyle name="Comma 3 2 3 3 3 2 2" xfId="18216"/>
    <cellStyle name="Comma 3 2 3 3 3 3" xfId="15364"/>
    <cellStyle name="Comma 3 2 3 3 3 4" xfId="20306"/>
    <cellStyle name="Comma 3 2 3 3 4" xfId="6752"/>
    <cellStyle name="Comma 3 2 3 3 4 2" xfId="12248"/>
    <cellStyle name="Comma 3 2 3 3 4 2 2" xfId="18787"/>
    <cellStyle name="Comma 3 2 3 3 4 3" xfId="15935"/>
    <cellStyle name="Comma 3 2 3 3 5" xfId="9024"/>
    <cellStyle name="Comma 3 2 3 3 5 2" xfId="12819"/>
    <cellStyle name="Comma 3 2 3 3 5 2 2" xfId="19358"/>
    <cellStyle name="Comma 3 2 3 3 5 3" xfId="16506"/>
    <cellStyle name="Comma 3 2 3 3 6" xfId="3149"/>
    <cellStyle name="Comma 3 2 3 3 6 2" xfId="11106"/>
    <cellStyle name="Comma 3 2 3 3 6 2 2" xfId="17645"/>
    <cellStyle name="Comma 3 2 3 3 6 3" xfId="14793"/>
    <cellStyle name="Comma 3 2 3 3 7" xfId="2577"/>
    <cellStyle name="Comma 3 2 3 3 7 2" xfId="14225"/>
    <cellStyle name="Comma 3 2 3 3 8" xfId="10538"/>
    <cellStyle name="Comma 3 2 3 3 8 2" xfId="17077"/>
    <cellStyle name="Comma 3 2 3 3 9" xfId="13653"/>
    <cellStyle name="Comma 3 2 3 4" xfId="606"/>
    <cellStyle name="Comma 3 2 3 4 10" xfId="20231"/>
    <cellStyle name="Comma 3 2 3 4 2" xfId="1741"/>
    <cellStyle name="Comma 3 2 3 4 2 2" xfId="5161"/>
    <cellStyle name="Comma 3 2 3 4 2 2 2" xfId="11848"/>
    <cellStyle name="Comma 3 2 3 4 2 2 2 2" xfId="18387"/>
    <cellStyle name="Comma 3 2 3 4 2 2 3" xfId="15535"/>
    <cellStyle name="Comma 3 2 3 4 2 3" xfId="7433"/>
    <cellStyle name="Comma 3 2 3 4 2 3 2" xfId="12419"/>
    <cellStyle name="Comma 3 2 3 4 2 3 2 2" xfId="18958"/>
    <cellStyle name="Comma 3 2 3 4 2 3 3" xfId="16106"/>
    <cellStyle name="Comma 3 2 3 4 2 4" xfId="9705"/>
    <cellStyle name="Comma 3 2 3 4 2 4 2" xfId="12990"/>
    <cellStyle name="Comma 3 2 3 4 2 4 2 2" xfId="19529"/>
    <cellStyle name="Comma 3 2 3 4 2 4 3" xfId="16677"/>
    <cellStyle name="Comma 3 2 3 4 2 5" xfId="3320"/>
    <cellStyle name="Comma 3 2 3 4 2 5 2" xfId="11277"/>
    <cellStyle name="Comma 3 2 3 4 2 5 2 2" xfId="17816"/>
    <cellStyle name="Comma 3 2 3 4 2 5 3" xfId="14964"/>
    <cellStyle name="Comma 3 2 3 4 2 6" xfId="2745"/>
    <cellStyle name="Comma 3 2 3 4 2 6 2" xfId="14393"/>
    <cellStyle name="Comma 3 2 3 4 2 7" xfId="10706"/>
    <cellStyle name="Comma 3 2 3 4 2 7 2" xfId="17245"/>
    <cellStyle name="Comma 3 2 3 4 2 8" xfId="13824"/>
    <cellStyle name="Comma 3 2 3 4 3" xfId="4026"/>
    <cellStyle name="Comma 3 2 3 4 3 2" xfId="11563"/>
    <cellStyle name="Comma 3 2 3 4 3 2 2" xfId="18102"/>
    <cellStyle name="Comma 3 2 3 4 3 3" xfId="15250"/>
    <cellStyle name="Comma 3 2 3 4 4" xfId="6298"/>
    <cellStyle name="Comma 3 2 3 4 4 2" xfId="12134"/>
    <cellStyle name="Comma 3 2 3 4 4 2 2" xfId="18673"/>
    <cellStyle name="Comma 3 2 3 4 4 3" xfId="15821"/>
    <cellStyle name="Comma 3 2 3 4 5" xfId="8570"/>
    <cellStyle name="Comma 3 2 3 4 5 2" xfId="12705"/>
    <cellStyle name="Comma 3 2 3 4 5 2 2" xfId="19244"/>
    <cellStyle name="Comma 3 2 3 4 5 3" xfId="16392"/>
    <cellStyle name="Comma 3 2 3 4 6" xfId="3035"/>
    <cellStyle name="Comma 3 2 3 4 6 2" xfId="10992"/>
    <cellStyle name="Comma 3 2 3 4 6 2 2" xfId="17531"/>
    <cellStyle name="Comma 3 2 3 4 6 3" xfId="14679"/>
    <cellStyle name="Comma 3 2 3 4 7" xfId="2465"/>
    <cellStyle name="Comma 3 2 3 4 7 2" xfId="14113"/>
    <cellStyle name="Comma 3 2 3 4 8" xfId="10426"/>
    <cellStyle name="Comma 3 2 3 4 8 2" xfId="16965"/>
    <cellStyle name="Comma 3 2 3 4 9" xfId="13539"/>
    <cellStyle name="Comma 3 2 3 5" xfId="1287"/>
    <cellStyle name="Comma 3 2 3 5 2" xfId="4707"/>
    <cellStyle name="Comma 3 2 3 5 2 2" xfId="11734"/>
    <cellStyle name="Comma 3 2 3 5 2 2 2" xfId="18273"/>
    <cellStyle name="Comma 3 2 3 5 2 3" xfId="15421"/>
    <cellStyle name="Comma 3 2 3 5 3" xfId="6979"/>
    <cellStyle name="Comma 3 2 3 5 3 2" xfId="12305"/>
    <cellStyle name="Comma 3 2 3 5 3 2 2" xfId="18844"/>
    <cellStyle name="Comma 3 2 3 5 3 3" xfId="15992"/>
    <cellStyle name="Comma 3 2 3 5 4" xfId="9251"/>
    <cellStyle name="Comma 3 2 3 5 4 2" xfId="12876"/>
    <cellStyle name="Comma 3 2 3 5 4 2 2" xfId="19415"/>
    <cellStyle name="Comma 3 2 3 5 4 3" xfId="16563"/>
    <cellStyle name="Comma 3 2 3 5 5" xfId="3206"/>
    <cellStyle name="Comma 3 2 3 5 5 2" xfId="11163"/>
    <cellStyle name="Comma 3 2 3 5 5 2 2" xfId="17702"/>
    <cellStyle name="Comma 3 2 3 5 5 3" xfId="14850"/>
    <cellStyle name="Comma 3 2 3 5 6" xfId="2633"/>
    <cellStyle name="Comma 3 2 3 5 6 2" xfId="14281"/>
    <cellStyle name="Comma 3 2 3 5 7" xfId="10594"/>
    <cellStyle name="Comma 3 2 3 5 7 2" xfId="17133"/>
    <cellStyle name="Comma 3 2 3 5 8" xfId="13710"/>
    <cellStyle name="Comma 3 2 3 5 9" xfId="20304"/>
    <cellStyle name="Comma 3 2 3 6" xfId="3572"/>
    <cellStyle name="Comma 3 2 3 6 2" xfId="11449"/>
    <cellStyle name="Comma 3 2 3 6 2 2" xfId="17988"/>
    <cellStyle name="Comma 3 2 3 6 3" xfId="15136"/>
    <cellStyle name="Comma 3 2 3 7" xfId="5844"/>
    <cellStyle name="Comma 3 2 3 7 2" xfId="12020"/>
    <cellStyle name="Comma 3 2 3 7 2 2" xfId="18559"/>
    <cellStyle name="Comma 3 2 3 7 3" xfId="15707"/>
    <cellStyle name="Comma 3 2 3 8" xfId="8116"/>
    <cellStyle name="Comma 3 2 3 8 2" xfId="12591"/>
    <cellStyle name="Comma 3 2 3 8 2 2" xfId="19130"/>
    <cellStyle name="Comma 3 2 3 8 3" xfId="16278"/>
    <cellStyle name="Comma 3 2 3 9" xfId="2918"/>
    <cellStyle name="Comma 3 2 3 9 2" xfId="10877"/>
    <cellStyle name="Comma 3 2 3 9 2 2" xfId="17416"/>
    <cellStyle name="Comma 3 2 3 9 3" xfId="14564"/>
    <cellStyle name="Comma 3 2 4" xfId="267"/>
    <cellStyle name="Comma 3 2 4 10" xfId="2381"/>
    <cellStyle name="Comma 3 2 4 10 2" xfId="14029"/>
    <cellStyle name="Comma 3 2 4 11" xfId="10342"/>
    <cellStyle name="Comma 3 2 4 11 2" xfId="16881"/>
    <cellStyle name="Comma 3 2 4 12" xfId="13454"/>
    <cellStyle name="Comma 3 2 4 13" xfId="20070"/>
    <cellStyle name="Comma 3 2 4 2" xfId="494"/>
    <cellStyle name="Comma 3 2 4 2 10" xfId="13511"/>
    <cellStyle name="Comma 3 2 4 2 11" xfId="20071"/>
    <cellStyle name="Comma 3 2 4 2 2" xfId="948"/>
    <cellStyle name="Comma 3 2 4 2 2 10" xfId="20235"/>
    <cellStyle name="Comma 3 2 4 2 2 2" xfId="2083"/>
    <cellStyle name="Comma 3 2 4 2 2 2 2" xfId="5503"/>
    <cellStyle name="Comma 3 2 4 2 2 2 2 2" xfId="11934"/>
    <cellStyle name="Comma 3 2 4 2 2 2 2 2 2" xfId="18473"/>
    <cellStyle name="Comma 3 2 4 2 2 2 2 3" xfId="15621"/>
    <cellStyle name="Comma 3 2 4 2 2 2 3" xfId="7775"/>
    <cellStyle name="Comma 3 2 4 2 2 2 3 2" xfId="12505"/>
    <cellStyle name="Comma 3 2 4 2 2 2 3 2 2" xfId="19044"/>
    <cellStyle name="Comma 3 2 4 2 2 2 3 3" xfId="16192"/>
    <cellStyle name="Comma 3 2 4 2 2 2 4" xfId="10047"/>
    <cellStyle name="Comma 3 2 4 2 2 2 4 2" xfId="13076"/>
    <cellStyle name="Comma 3 2 4 2 2 2 4 2 2" xfId="19615"/>
    <cellStyle name="Comma 3 2 4 2 2 2 4 3" xfId="16763"/>
    <cellStyle name="Comma 3 2 4 2 2 2 5" xfId="3406"/>
    <cellStyle name="Comma 3 2 4 2 2 2 5 2" xfId="11363"/>
    <cellStyle name="Comma 3 2 4 2 2 2 5 2 2" xfId="17902"/>
    <cellStyle name="Comma 3 2 4 2 2 2 5 3" xfId="15050"/>
    <cellStyle name="Comma 3 2 4 2 2 2 6" xfId="2829"/>
    <cellStyle name="Comma 3 2 4 2 2 2 6 2" xfId="14477"/>
    <cellStyle name="Comma 3 2 4 2 2 2 7" xfId="10790"/>
    <cellStyle name="Comma 3 2 4 2 2 2 7 2" xfId="17329"/>
    <cellStyle name="Comma 3 2 4 2 2 2 8" xfId="13910"/>
    <cellStyle name="Comma 3 2 4 2 2 3" xfId="4368"/>
    <cellStyle name="Comma 3 2 4 2 2 3 2" xfId="11649"/>
    <cellStyle name="Comma 3 2 4 2 2 3 2 2" xfId="18188"/>
    <cellStyle name="Comma 3 2 4 2 2 3 3" xfId="15336"/>
    <cellStyle name="Comma 3 2 4 2 2 4" xfId="6640"/>
    <cellStyle name="Comma 3 2 4 2 2 4 2" xfId="12220"/>
    <cellStyle name="Comma 3 2 4 2 2 4 2 2" xfId="18759"/>
    <cellStyle name="Comma 3 2 4 2 2 4 3" xfId="15907"/>
    <cellStyle name="Comma 3 2 4 2 2 5" xfId="8912"/>
    <cellStyle name="Comma 3 2 4 2 2 5 2" xfId="12791"/>
    <cellStyle name="Comma 3 2 4 2 2 5 2 2" xfId="19330"/>
    <cellStyle name="Comma 3 2 4 2 2 5 3" xfId="16478"/>
    <cellStyle name="Comma 3 2 4 2 2 6" xfId="3121"/>
    <cellStyle name="Comma 3 2 4 2 2 6 2" xfId="11078"/>
    <cellStyle name="Comma 3 2 4 2 2 6 2 2" xfId="17617"/>
    <cellStyle name="Comma 3 2 4 2 2 6 3" xfId="14765"/>
    <cellStyle name="Comma 3 2 4 2 2 7" xfId="2549"/>
    <cellStyle name="Comma 3 2 4 2 2 7 2" xfId="14197"/>
    <cellStyle name="Comma 3 2 4 2 2 8" xfId="10510"/>
    <cellStyle name="Comma 3 2 4 2 2 8 2" xfId="17049"/>
    <cellStyle name="Comma 3 2 4 2 2 9" xfId="13625"/>
    <cellStyle name="Comma 3 2 4 2 3" xfId="1629"/>
    <cellStyle name="Comma 3 2 4 2 3 2" xfId="5049"/>
    <cellStyle name="Comma 3 2 4 2 3 2 2" xfId="11820"/>
    <cellStyle name="Comma 3 2 4 2 3 2 2 2" xfId="18359"/>
    <cellStyle name="Comma 3 2 4 2 3 2 3" xfId="15507"/>
    <cellStyle name="Comma 3 2 4 2 3 3" xfId="7321"/>
    <cellStyle name="Comma 3 2 4 2 3 3 2" xfId="12391"/>
    <cellStyle name="Comma 3 2 4 2 3 3 2 2" xfId="18930"/>
    <cellStyle name="Comma 3 2 4 2 3 3 3" xfId="16078"/>
    <cellStyle name="Comma 3 2 4 2 3 4" xfId="9593"/>
    <cellStyle name="Comma 3 2 4 2 3 4 2" xfId="12962"/>
    <cellStyle name="Comma 3 2 4 2 3 4 2 2" xfId="19501"/>
    <cellStyle name="Comma 3 2 4 2 3 4 3" xfId="16649"/>
    <cellStyle name="Comma 3 2 4 2 3 5" xfId="3292"/>
    <cellStyle name="Comma 3 2 4 2 3 5 2" xfId="11249"/>
    <cellStyle name="Comma 3 2 4 2 3 5 2 2" xfId="17788"/>
    <cellStyle name="Comma 3 2 4 2 3 5 3" xfId="14936"/>
    <cellStyle name="Comma 3 2 4 2 3 6" xfId="2717"/>
    <cellStyle name="Comma 3 2 4 2 3 6 2" xfId="14365"/>
    <cellStyle name="Comma 3 2 4 2 3 7" xfId="10678"/>
    <cellStyle name="Comma 3 2 4 2 3 7 2" xfId="17217"/>
    <cellStyle name="Comma 3 2 4 2 3 8" xfId="13796"/>
    <cellStyle name="Comma 3 2 4 2 3 9" xfId="20308"/>
    <cellStyle name="Comma 3 2 4 2 4" xfId="3914"/>
    <cellStyle name="Comma 3 2 4 2 4 2" xfId="11535"/>
    <cellStyle name="Comma 3 2 4 2 4 2 2" xfId="18074"/>
    <cellStyle name="Comma 3 2 4 2 4 3" xfId="15222"/>
    <cellStyle name="Comma 3 2 4 2 5" xfId="6186"/>
    <cellStyle name="Comma 3 2 4 2 5 2" xfId="12106"/>
    <cellStyle name="Comma 3 2 4 2 5 2 2" xfId="18645"/>
    <cellStyle name="Comma 3 2 4 2 5 3" xfId="15793"/>
    <cellStyle name="Comma 3 2 4 2 6" xfId="8458"/>
    <cellStyle name="Comma 3 2 4 2 6 2" xfId="12677"/>
    <cellStyle name="Comma 3 2 4 2 6 2 2" xfId="19216"/>
    <cellStyle name="Comma 3 2 4 2 6 3" xfId="16364"/>
    <cellStyle name="Comma 3 2 4 2 7" xfId="3007"/>
    <cellStyle name="Comma 3 2 4 2 7 2" xfId="10964"/>
    <cellStyle name="Comma 3 2 4 2 7 2 2" xfId="17503"/>
    <cellStyle name="Comma 3 2 4 2 7 3" xfId="14651"/>
    <cellStyle name="Comma 3 2 4 2 8" xfId="2437"/>
    <cellStyle name="Comma 3 2 4 2 8 2" xfId="14085"/>
    <cellStyle name="Comma 3 2 4 2 9" xfId="10398"/>
    <cellStyle name="Comma 3 2 4 2 9 2" xfId="16937"/>
    <cellStyle name="Comma 3 2 4 3" xfId="1175"/>
    <cellStyle name="Comma 3 2 4 3 10" xfId="20072"/>
    <cellStyle name="Comma 3 2 4 3 2" xfId="2310"/>
    <cellStyle name="Comma 3 2 4 3 2 2" xfId="5730"/>
    <cellStyle name="Comma 3 2 4 3 2 2 2" xfId="11991"/>
    <cellStyle name="Comma 3 2 4 3 2 2 2 2" xfId="18530"/>
    <cellStyle name="Comma 3 2 4 3 2 2 3" xfId="15678"/>
    <cellStyle name="Comma 3 2 4 3 2 3" xfId="8002"/>
    <cellStyle name="Comma 3 2 4 3 2 3 2" xfId="12562"/>
    <cellStyle name="Comma 3 2 4 3 2 3 2 2" xfId="19101"/>
    <cellStyle name="Comma 3 2 4 3 2 3 3" xfId="16249"/>
    <cellStyle name="Comma 3 2 4 3 2 4" xfId="10274"/>
    <cellStyle name="Comma 3 2 4 3 2 4 2" xfId="13133"/>
    <cellStyle name="Comma 3 2 4 3 2 4 2 2" xfId="19672"/>
    <cellStyle name="Comma 3 2 4 3 2 4 3" xfId="16820"/>
    <cellStyle name="Comma 3 2 4 3 2 5" xfId="3463"/>
    <cellStyle name="Comma 3 2 4 3 2 5 2" xfId="11420"/>
    <cellStyle name="Comma 3 2 4 3 2 5 2 2" xfId="17959"/>
    <cellStyle name="Comma 3 2 4 3 2 5 3" xfId="15107"/>
    <cellStyle name="Comma 3 2 4 3 2 6" xfId="2885"/>
    <cellStyle name="Comma 3 2 4 3 2 6 2" xfId="14533"/>
    <cellStyle name="Comma 3 2 4 3 2 7" xfId="10846"/>
    <cellStyle name="Comma 3 2 4 3 2 7 2" xfId="17385"/>
    <cellStyle name="Comma 3 2 4 3 2 8" xfId="13967"/>
    <cellStyle name="Comma 3 2 4 3 2 9" xfId="20236"/>
    <cellStyle name="Comma 3 2 4 3 3" xfId="4595"/>
    <cellStyle name="Comma 3 2 4 3 3 2" xfId="11706"/>
    <cellStyle name="Comma 3 2 4 3 3 2 2" xfId="18245"/>
    <cellStyle name="Comma 3 2 4 3 3 3" xfId="15393"/>
    <cellStyle name="Comma 3 2 4 3 3 4" xfId="20309"/>
    <cellStyle name="Comma 3 2 4 3 4" xfId="6867"/>
    <cellStyle name="Comma 3 2 4 3 4 2" xfId="12277"/>
    <cellStyle name="Comma 3 2 4 3 4 2 2" xfId="18816"/>
    <cellStyle name="Comma 3 2 4 3 4 3" xfId="15964"/>
    <cellStyle name="Comma 3 2 4 3 5" xfId="9139"/>
    <cellStyle name="Comma 3 2 4 3 5 2" xfId="12848"/>
    <cellStyle name="Comma 3 2 4 3 5 2 2" xfId="19387"/>
    <cellStyle name="Comma 3 2 4 3 5 3" xfId="16535"/>
    <cellStyle name="Comma 3 2 4 3 6" xfId="3178"/>
    <cellStyle name="Comma 3 2 4 3 6 2" xfId="11135"/>
    <cellStyle name="Comma 3 2 4 3 6 2 2" xfId="17674"/>
    <cellStyle name="Comma 3 2 4 3 6 3" xfId="14822"/>
    <cellStyle name="Comma 3 2 4 3 7" xfId="2605"/>
    <cellStyle name="Comma 3 2 4 3 7 2" xfId="14253"/>
    <cellStyle name="Comma 3 2 4 3 8" xfId="10566"/>
    <cellStyle name="Comma 3 2 4 3 8 2" xfId="17105"/>
    <cellStyle name="Comma 3 2 4 3 9" xfId="13682"/>
    <cellStyle name="Comma 3 2 4 4" xfId="721"/>
    <cellStyle name="Comma 3 2 4 4 10" xfId="20234"/>
    <cellStyle name="Comma 3 2 4 4 2" xfId="1856"/>
    <cellStyle name="Comma 3 2 4 4 2 2" xfId="5276"/>
    <cellStyle name="Comma 3 2 4 4 2 2 2" xfId="11877"/>
    <cellStyle name="Comma 3 2 4 4 2 2 2 2" xfId="18416"/>
    <cellStyle name="Comma 3 2 4 4 2 2 3" xfId="15564"/>
    <cellStyle name="Comma 3 2 4 4 2 3" xfId="7548"/>
    <cellStyle name="Comma 3 2 4 4 2 3 2" xfId="12448"/>
    <cellStyle name="Comma 3 2 4 4 2 3 2 2" xfId="18987"/>
    <cellStyle name="Comma 3 2 4 4 2 3 3" xfId="16135"/>
    <cellStyle name="Comma 3 2 4 4 2 4" xfId="9820"/>
    <cellStyle name="Comma 3 2 4 4 2 4 2" xfId="13019"/>
    <cellStyle name="Comma 3 2 4 4 2 4 2 2" xfId="19558"/>
    <cellStyle name="Comma 3 2 4 4 2 4 3" xfId="16706"/>
    <cellStyle name="Comma 3 2 4 4 2 5" xfId="3349"/>
    <cellStyle name="Comma 3 2 4 4 2 5 2" xfId="11306"/>
    <cellStyle name="Comma 3 2 4 4 2 5 2 2" xfId="17845"/>
    <cellStyle name="Comma 3 2 4 4 2 5 3" xfId="14993"/>
    <cellStyle name="Comma 3 2 4 4 2 6" xfId="2773"/>
    <cellStyle name="Comma 3 2 4 4 2 6 2" xfId="14421"/>
    <cellStyle name="Comma 3 2 4 4 2 7" xfId="10734"/>
    <cellStyle name="Comma 3 2 4 4 2 7 2" xfId="17273"/>
    <cellStyle name="Comma 3 2 4 4 2 8" xfId="13853"/>
    <cellStyle name="Comma 3 2 4 4 3" xfId="4141"/>
    <cellStyle name="Comma 3 2 4 4 3 2" xfId="11592"/>
    <cellStyle name="Comma 3 2 4 4 3 2 2" xfId="18131"/>
    <cellStyle name="Comma 3 2 4 4 3 3" xfId="15279"/>
    <cellStyle name="Comma 3 2 4 4 4" xfId="6413"/>
    <cellStyle name="Comma 3 2 4 4 4 2" xfId="12163"/>
    <cellStyle name="Comma 3 2 4 4 4 2 2" xfId="18702"/>
    <cellStyle name="Comma 3 2 4 4 4 3" xfId="15850"/>
    <cellStyle name="Comma 3 2 4 4 5" xfId="8685"/>
    <cellStyle name="Comma 3 2 4 4 5 2" xfId="12734"/>
    <cellStyle name="Comma 3 2 4 4 5 2 2" xfId="19273"/>
    <cellStyle name="Comma 3 2 4 4 5 3" xfId="16421"/>
    <cellStyle name="Comma 3 2 4 4 6" xfId="3064"/>
    <cellStyle name="Comma 3 2 4 4 6 2" xfId="11021"/>
    <cellStyle name="Comma 3 2 4 4 6 2 2" xfId="17560"/>
    <cellStyle name="Comma 3 2 4 4 6 3" xfId="14708"/>
    <cellStyle name="Comma 3 2 4 4 7" xfId="2493"/>
    <cellStyle name="Comma 3 2 4 4 7 2" xfId="14141"/>
    <cellStyle name="Comma 3 2 4 4 8" xfId="10454"/>
    <cellStyle name="Comma 3 2 4 4 8 2" xfId="16993"/>
    <cellStyle name="Comma 3 2 4 4 9" xfId="13568"/>
    <cellStyle name="Comma 3 2 4 5" xfId="1402"/>
    <cellStyle name="Comma 3 2 4 5 2" xfId="4822"/>
    <cellStyle name="Comma 3 2 4 5 2 2" xfId="11763"/>
    <cellStyle name="Comma 3 2 4 5 2 2 2" xfId="18302"/>
    <cellStyle name="Comma 3 2 4 5 2 3" xfId="15450"/>
    <cellStyle name="Comma 3 2 4 5 3" xfId="7094"/>
    <cellStyle name="Comma 3 2 4 5 3 2" xfId="12334"/>
    <cellStyle name="Comma 3 2 4 5 3 2 2" xfId="18873"/>
    <cellStyle name="Comma 3 2 4 5 3 3" xfId="16021"/>
    <cellStyle name="Comma 3 2 4 5 4" xfId="9366"/>
    <cellStyle name="Comma 3 2 4 5 4 2" xfId="12905"/>
    <cellStyle name="Comma 3 2 4 5 4 2 2" xfId="19444"/>
    <cellStyle name="Comma 3 2 4 5 4 3" xfId="16592"/>
    <cellStyle name="Comma 3 2 4 5 5" xfId="3235"/>
    <cellStyle name="Comma 3 2 4 5 5 2" xfId="11192"/>
    <cellStyle name="Comma 3 2 4 5 5 2 2" xfId="17731"/>
    <cellStyle name="Comma 3 2 4 5 5 3" xfId="14879"/>
    <cellStyle name="Comma 3 2 4 5 6" xfId="2661"/>
    <cellStyle name="Comma 3 2 4 5 6 2" xfId="14309"/>
    <cellStyle name="Comma 3 2 4 5 7" xfId="10622"/>
    <cellStyle name="Comma 3 2 4 5 7 2" xfId="17161"/>
    <cellStyle name="Comma 3 2 4 5 8" xfId="13739"/>
    <cellStyle name="Comma 3 2 4 5 9" xfId="20307"/>
    <cellStyle name="Comma 3 2 4 6" xfId="3687"/>
    <cellStyle name="Comma 3 2 4 6 2" xfId="11478"/>
    <cellStyle name="Comma 3 2 4 6 2 2" xfId="18017"/>
    <cellStyle name="Comma 3 2 4 6 3" xfId="15165"/>
    <cellStyle name="Comma 3 2 4 7" xfId="5959"/>
    <cellStyle name="Comma 3 2 4 7 2" xfId="12049"/>
    <cellStyle name="Comma 3 2 4 7 2 2" xfId="18588"/>
    <cellStyle name="Comma 3 2 4 7 3" xfId="15736"/>
    <cellStyle name="Comma 3 2 4 8" xfId="8231"/>
    <cellStyle name="Comma 3 2 4 8 2" xfId="12620"/>
    <cellStyle name="Comma 3 2 4 8 2 2" xfId="19159"/>
    <cellStyle name="Comma 3 2 4 8 3" xfId="16307"/>
    <cellStyle name="Comma 3 2 4 9" xfId="2950"/>
    <cellStyle name="Comma 3 2 4 9 2" xfId="10907"/>
    <cellStyle name="Comma 3 2 4 9 2 2" xfId="17446"/>
    <cellStyle name="Comma 3 2 4 9 3" xfId="14594"/>
    <cellStyle name="Comma 3 2 5" xfId="323"/>
    <cellStyle name="Comma 3 2 5 10" xfId="13468"/>
    <cellStyle name="Comma 3 2 5 11" xfId="20230"/>
    <cellStyle name="Comma 3 2 5 2" xfId="777"/>
    <cellStyle name="Comma 3 2 5 2 2" xfId="1912"/>
    <cellStyle name="Comma 3 2 5 2 2 2" xfId="5332"/>
    <cellStyle name="Comma 3 2 5 2 2 2 2" xfId="11891"/>
    <cellStyle name="Comma 3 2 5 2 2 2 2 2" xfId="18430"/>
    <cellStyle name="Comma 3 2 5 2 2 2 3" xfId="15578"/>
    <cellStyle name="Comma 3 2 5 2 2 3" xfId="7604"/>
    <cellStyle name="Comma 3 2 5 2 2 3 2" xfId="12462"/>
    <cellStyle name="Comma 3 2 5 2 2 3 2 2" xfId="19001"/>
    <cellStyle name="Comma 3 2 5 2 2 3 3" xfId="16149"/>
    <cellStyle name="Comma 3 2 5 2 2 4" xfId="9876"/>
    <cellStyle name="Comma 3 2 5 2 2 4 2" xfId="13033"/>
    <cellStyle name="Comma 3 2 5 2 2 4 2 2" xfId="19572"/>
    <cellStyle name="Comma 3 2 5 2 2 4 3" xfId="16720"/>
    <cellStyle name="Comma 3 2 5 2 2 5" xfId="3363"/>
    <cellStyle name="Comma 3 2 5 2 2 5 2" xfId="11320"/>
    <cellStyle name="Comma 3 2 5 2 2 5 2 2" xfId="17859"/>
    <cellStyle name="Comma 3 2 5 2 2 5 3" xfId="15007"/>
    <cellStyle name="Comma 3 2 5 2 2 6" xfId="2787"/>
    <cellStyle name="Comma 3 2 5 2 2 6 2" xfId="14435"/>
    <cellStyle name="Comma 3 2 5 2 2 7" xfId="10748"/>
    <cellStyle name="Comma 3 2 5 2 2 7 2" xfId="17287"/>
    <cellStyle name="Comma 3 2 5 2 2 8" xfId="13867"/>
    <cellStyle name="Comma 3 2 5 2 3" xfId="4197"/>
    <cellStyle name="Comma 3 2 5 2 3 2" xfId="11606"/>
    <cellStyle name="Comma 3 2 5 2 3 2 2" xfId="18145"/>
    <cellStyle name="Comma 3 2 5 2 3 3" xfId="15293"/>
    <cellStyle name="Comma 3 2 5 2 4" xfId="6469"/>
    <cellStyle name="Comma 3 2 5 2 4 2" xfId="12177"/>
    <cellStyle name="Comma 3 2 5 2 4 2 2" xfId="18716"/>
    <cellStyle name="Comma 3 2 5 2 4 3" xfId="15864"/>
    <cellStyle name="Comma 3 2 5 2 5" xfId="8741"/>
    <cellStyle name="Comma 3 2 5 2 5 2" xfId="12748"/>
    <cellStyle name="Comma 3 2 5 2 5 2 2" xfId="19287"/>
    <cellStyle name="Comma 3 2 5 2 5 3" xfId="16435"/>
    <cellStyle name="Comma 3 2 5 2 6" xfId="3078"/>
    <cellStyle name="Comma 3 2 5 2 6 2" xfId="11035"/>
    <cellStyle name="Comma 3 2 5 2 6 2 2" xfId="17574"/>
    <cellStyle name="Comma 3 2 5 2 6 3" xfId="14722"/>
    <cellStyle name="Comma 3 2 5 2 7" xfId="2507"/>
    <cellStyle name="Comma 3 2 5 2 7 2" xfId="14155"/>
    <cellStyle name="Comma 3 2 5 2 8" xfId="10468"/>
    <cellStyle name="Comma 3 2 5 2 8 2" xfId="17007"/>
    <cellStyle name="Comma 3 2 5 2 9" xfId="13582"/>
    <cellStyle name="Comma 3 2 5 3" xfId="1458"/>
    <cellStyle name="Comma 3 2 5 3 2" xfId="4878"/>
    <cellStyle name="Comma 3 2 5 3 2 2" xfId="11777"/>
    <cellStyle name="Comma 3 2 5 3 2 2 2" xfId="18316"/>
    <cellStyle name="Comma 3 2 5 3 2 3" xfId="15464"/>
    <cellStyle name="Comma 3 2 5 3 3" xfId="7150"/>
    <cellStyle name="Comma 3 2 5 3 3 2" xfId="12348"/>
    <cellStyle name="Comma 3 2 5 3 3 2 2" xfId="18887"/>
    <cellStyle name="Comma 3 2 5 3 3 3" xfId="16035"/>
    <cellStyle name="Comma 3 2 5 3 4" xfId="9422"/>
    <cellStyle name="Comma 3 2 5 3 4 2" xfId="12919"/>
    <cellStyle name="Comma 3 2 5 3 4 2 2" xfId="19458"/>
    <cellStyle name="Comma 3 2 5 3 4 3" xfId="16606"/>
    <cellStyle name="Comma 3 2 5 3 5" xfId="3249"/>
    <cellStyle name="Comma 3 2 5 3 5 2" xfId="11206"/>
    <cellStyle name="Comma 3 2 5 3 5 2 2" xfId="17745"/>
    <cellStyle name="Comma 3 2 5 3 5 3" xfId="14893"/>
    <cellStyle name="Comma 3 2 5 3 6" xfId="2675"/>
    <cellStyle name="Comma 3 2 5 3 6 2" xfId="14323"/>
    <cellStyle name="Comma 3 2 5 3 7" xfId="10636"/>
    <cellStyle name="Comma 3 2 5 3 7 2" xfId="17175"/>
    <cellStyle name="Comma 3 2 5 3 8" xfId="13753"/>
    <cellStyle name="Comma 3 2 5 4" xfId="3743"/>
    <cellStyle name="Comma 3 2 5 4 2" xfId="11492"/>
    <cellStyle name="Comma 3 2 5 4 2 2" xfId="18031"/>
    <cellStyle name="Comma 3 2 5 4 3" xfId="15179"/>
    <cellStyle name="Comma 3 2 5 5" xfId="6015"/>
    <cellStyle name="Comma 3 2 5 5 2" xfId="12063"/>
    <cellStyle name="Comma 3 2 5 5 2 2" xfId="18602"/>
    <cellStyle name="Comma 3 2 5 5 3" xfId="15750"/>
    <cellStyle name="Comma 3 2 5 6" xfId="8287"/>
    <cellStyle name="Comma 3 2 5 6 2" xfId="12634"/>
    <cellStyle name="Comma 3 2 5 6 2 2" xfId="19173"/>
    <cellStyle name="Comma 3 2 5 6 3" xfId="16321"/>
    <cellStyle name="Comma 3 2 5 7" xfId="2964"/>
    <cellStyle name="Comma 3 2 5 7 2" xfId="10921"/>
    <cellStyle name="Comma 3 2 5 7 2 2" xfId="17460"/>
    <cellStyle name="Comma 3 2 5 7 3" xfId="14608"/>
    <cellStyle name="Comma 3 2 5 8" xfId="2395"/>
    <cellStyle name="Comma 3 2 5 8 2" xfId="14043"/>
    <cellStyle name="Comma 3 2 5 9" xfId="10356"/>
    <cellStyle name="Comma 3 2 5 9 2" xfId="16895"/>
    <cellStyle name="Comma 3 2 6" xfId="1004"/>
    <cellStyle name="Comma 3 2 6 10" xfId="20303"/>
    <cellStyle name="Comma 3 2 6 2" xfId="2139"/>
    <cellStyle name="Comma 3 2 6 2 2" xfId="5559"/>
    <cellStyle name="Comma 3 2 6 2 2 2" xfId="11948"/>
    <cellStyle name="Comma 3 2 6 2 2 2 2" xfId="18487"/>
    <cellStyle name="Comma 3 2 6 2 2 3" xfId="15635"/>
    <cellStyle name="Comma 3 2 6 2 3" xfId="7831"/>
    <cellStyle name="Comma 3 2 6 2 3 2" xfId="12519"/>
    <cellStyle name="Comma 3 2 6 2 3 2 2" xfId="19058"/>
    <cellStyle name="Comma 3 2 6 2 3 3" xfId="16206"/>
    <cellStyle name="Comma 3 2 6 2 4" xfId="10103"/>
    <cellStyle name="Comma 3 2 6 2 4 2" xfId="13090"/>
    <cellStyle name="Comma 3 2 6 2 4 2 2" xfId="19629"/>
    <cellStyle name="Comma 3 2 6 2 4 3" xfId="16777"/>
    <cellStyle name="Comma 3 2 6 2 5" xfId="3420"/>
    <cellStyle name="Comma 3 2 6 2 5 2" xfId="11377"/>
    <cellStyle name="Comma 3 2 6 2 5 2 2" xfId="17916"/>
    <cellStyle name="Comma 3 2 6 2 5 3" xfId="15064"/>
    <cellStyle name="Comma 3 2 6 2 6" xfId="2843"/>
    <cellStyle name="Comma 3 2 6 2 6 2" xfId="14491"/>
    <cellStyle name="Comma 3 2 6 2 7" xfId="10804"/>
    <cellStyle name="Comma 3 2 6 2 7 2" xfId="17343"/>
    <cellStyle name="Comma 3 2 6 2 8" xfId="13924"/>
    <cellStyle name="Comma 3 2 6 3" xfId="4424"/>
    <cellStyle name="Comma 3 2 6 3 2" xfId="11663"/>
    <cellStyle name="Comma 3 2 6 3 2 2" xfId="18202"/>
    <cellStyle name="Comma 3 2 6 3 3" xfId="15350"/>
    <cellStyle name="Comma 3 2 6 4" xfId="6696"/>
    <cellStyle name="Comma 3 2 6 4 2" xfId="12234"/>
    <cellStyle name="Comma 3 2 6 4 2 2" xfId="18773"/>
    <cellStyle name="Comma 3 2 6 4 3" xfId="15921"/>
    <cellStyle name="Comma 3 2 6 5" xfId="8968"/>
    <cellStyle name="Comma 3 2 6 5 2" xfId="12805"/>
    <cellStyle name="Comma 3 2 6 5 2 2" xfId="19344"/>
    <cellStyle name="Comma 3 2 6 5 3" xfId="16492"/>
    <cellStyle name="Comma 3 2 6 6" xfId="3135"/>
    <cellStyle name="Comma 3 2 6 6 2" xfId="11092"/>
    <cellStyle name="Comma 3 2 6 6 2 2" xfId="17631"/>
    <cellStyle name="Comma 3 2 6 6 3" xfId="14779"/>
    <cellStyle name="Comma 3 2 6 7" xfId="2563"/>
    <cellStyle name="Comma 3 2 6 7 2" xfId="14211"/>
    <cellStyle name="Comma 3 2 6 8" xfId="10524"/>
    <cellStyle name="Comma 3 2 6 8 2" xfId="17063"/>
    <cellStyle name="Comma 3 2 6 9" xfId="13639"/>
    <cellStyle name="Comma 3 2 7" xfId="550"/>
    <cellStyle name="Comma 3 2 7 2" xfId="1685"/>
    <cellStyle name="Comma 3 2 7 2 2" xfId="5105"/>
    <cellStyle name="Comma 3 2 7 2 2 2" xfId="11834"/>
    <cellStyle name="Comma 3 2 7 2 2 2 2" xfId="18373"/>
    <cellStyle name="Comma 3 2 7 2 2 3" xfId="15521"/>
    <cellStyle name="Comma 3 2 7 2 3" xfId="7377"/>
    <cellStyle name="Comma 3 2 7 2 3 2" xfId="12405"/>
    <cellStyle name="Comma 3 2 7 2 3 2 2" xfId="18944"/>
    <cellStyle name="Comma 3 2 7 2 3 3" xfId="16092"/>
    <cellStyle name="Comma 3 2 7 2 4" xfId="9649"/>
    <cellStyle name="Comma 3 2 7 2 4 2" xfId="12976"/>
    <cellStyle name="Comma 3 2 7 2 4 2 2" xfId="19515"/>
    <cellStyle name="Comma 3 2 7 2 4 3" xfId="16663"/>
    <cellStyle name="Comma 3 2 7 2 5" xfId="3306"/>
    <cellStyle name="Comma 3 2 7 2 5 2" xfId="11263"/>
    <cellStyle name="Comma 3 2 7 2 5 2 2" xfId="17802"/>
    <cellStyle name="Comma 3 2 7 2 5 3" xfId="14950"/>
    <cellStyle name="Comma 3 2 7 2 6" xfId="2731"/>
    <cellStyle name="Comma 3 2 7 2 6 2" xfId="14379"/>
    <cellStyle name="Comma 3 2 7 2 7" xfId="10692"/>
    <cellStyle name="Comma 3 2 7 2 7 2" xfId="17231"/>
    <cellStyle name="Comma 3 2 7 2 8" xfId="13810"/>
    <cellStyle name="Comma 3 2 7 3" xfId="3970"/>
    <cellStyle name="Comma 3 2 7 3 2" xfId="11549"/>
    <cellStyle name="Comma 3 2 7 3 2 2" xfId="18088"/>
    <cellStyle name="Comma 3 2 7 3 3" xfId="15236"/>
    <cellStyle name="Comma 3 2 7 4" xfId="6242"/>
    <cellStyle name="Comma 3 2 7 4 2" xfId="12120"/>
    <cellStyle name="Comma 3 2 7 4 2 2" xfId="18659"/>
    <cellStyle name="Comma 3 2 7 4 3" xfId="15807"/>
    <cellStyle name="Comma 3 2 7 5" xfId="8514"/>
    <cellStyle name="Comma 3 2 7 5 2" xfId="12691"/>
    <cellStyle name="Comma 3 2 7 5 2 2" xfId="19230"/>
    <cellStyle name="Comma 3 2 7 5 3" xfId="16378"/>
    <cellStyle name="Comma 3 2 7 6" xfId="3021"/>
    <cellStyle name="Comma 3 2 7 6 2" xfId="10978"/>
    <cellStyle name="Comma 3 2 7 6 2 2" xfId="17517"/>
    <cellStyle name="Comma 3 2 7 6 3" xfId="14665"/>
    <cellStyle name="Comma 3 2 7 7" xfId="2451"/>
    <cellStyle name="Comma 3 2 7 7 2" xfId="14099"/>
    <cellStyle name="Comma 3 2 7 8" xfId="10412"/>
    <cellStyle name="Comma 3 2 7 8 2" xfId="16951"/>
    <cellStyle name="Comma 3 2 7 9" xfId="13525"/>
    <cellStyle name="Comma 3 2 8" xfId="1231"/>
    <cellStyle name="Comma 3 2 8 2" xfId="4651"/>
    <cellStyle name="Comma 3 2 8 2 2" xfId="11720"/>
    <cellStyle name="Comma 3 2 8 2 2 2" xfId="18259"/>
    <cellStyle name="Comma 3 2 8 2 3" xfId="15407"/>
    <cellStyle name="Comma 3 2 8 3" xfId="6923"/>
    <cellStyle name="Comma 3 2 8 3 2" xfId="12291"/>
    <cellStyle name="Comma 3 2 8 3 2 2" xfId="18830"/>
    <cellStyle name="Comma 3 2 8 3 3" xfId="15978"/>
    <cellStyle name="Comma 3 2 8 4" xfId="9195"/>
    <cellStyle name="Comma 3 2 8 4 2" xfId="12862"/>
    <cellStyle name="Comma 3 2 8 4 2 2" xfId="19401"/>
    <cellStyle name="Comma 3 2 8 4 3" xfId="16549"/>
    <cellStyle name="Comma 3 2 8 5" xfId="3192"/>
    <cellStyle name="Comma 3 2 8 5 2" xfId="11149"/>
    <cellStyle name="Comma 3 2 8 5 2 2" xfId="17688"/>
    <cellStyle name="Comma 3 2 8 5 3" xfId="14836"/>
    <cellStyle name="Comma 3 2 8 6" xfId="2619"/>
    <cellStyle name="Comma 3 2 8 6 2" xfId="14267"/>
    <cellStyle name="Comma 3 2 8 7" xfId="10580"/>
    <cellStyle name="Comma 3 2 8 7 2" xfId="17119"/>
    <cellStyle name="Comma 3 2 8 8" xfId="13696"/>
    <cellStyle name="Comma 3 2 9" xfId="85"/>
    <cellStyle name="Comma 3 2 9 2" xfId="3516"/>
    <cellStyle name="Comma 3 2 9 2 2" xfId="15122"/>
    <cellStyle name="Comma 3 2 9 3" xfId="11435"/>
    <cellStyle name="Comma 3 2 9 3 2" xfId="17974"/>
    <cellStyle name="Comma 3 2 9 4" xfId="13410"/>
    <cellStyle name="Comma 3 20" xfId="19786"/>
    <cellStyle name="Comma 3 21" xfId="19819"/>
    <cellStyle name="Comma 3 22" xfId="19885"/>
    <cellStyle name="Comma 3 3" xfId="169"/>
    <cellStyle name="Comma 3 3 10" xfId="2359"/>
    <cellStyle name="Comma 3 3 10 2" xfId="14007"/>
    <cellStyle name="Comma 3 3 11" xfId="10320"/>
    <cellStyle name="Comma 3 3 11 2" xfId="16859"/>
    <cellStyle name="Comma 3 3 12" xfId="13431"/>
    <cellStyle name="Comma 3 3 13" xfId="20073"/>
    <cellStyle name="Comma 3 3 2" xfId="407"/>
    <cellStyle name="Comma 3 3 2 10" xfId="13489"/>
    <cellStyle name="Comma 3 3 2 11" xfId="20074"/>
    <cellStyle name="Comma 3 3 2 2" xfId="861"/>
    <cellStyle name="Comma 3 3 2 2 10" xfId="20238"/>
    <cellStyle name="Comma 3 3 2 2 2" xfId="1996"/>
    <cellStyle name="Comma 3 3 2 2 2 2" xfId="5416"/>
    <cellStyle name="Comma 3 3 2 2 2 2 2" xfId="11912"/>
    <cellStyle name="Comma 3 3 2 2 2 2 2 2" xfId="18451"/>
    <cellStyle name="Comma 3 3 2 2 2 2 3" xfId="15599"/>
    <cellStyle name="Comma 3 3 2 2 2 3" xfId="7688"/>
    <cellStyle name="Comma 3 3 2 2 2 3 2" xfId="12483"/>
    <cellStyle name="Comma 3 3 2 2 2 3 2 2" xfId="19022"/>
    <cellStyle name="Comma 3 3 2 2 2 3 3" xfId="16170"/>
    <cellStyle name="Comma 3 3 2 2 2 4" xfId="9960"/>
    <cellStyle name="Comma 3 3 2 2 2 4 2" xfId="13054"/>
    <cellStyle name="Comma 3 3 2 2 2 4 2 2" xfId="19593"/>
    <cellStyle name="Comma 3 3 2 2 2 4 3" xfId="16741"/>
    <cellStyle name="Comma 3 3 2 2 2 5" xfId="3384"/>
    <cellStyle name="Comma 3 3 2 2 2 5 2" xfId="11341"/>
    <cellStyle name="Comma 3 3 2 2 2 5 2 2" xfId="17880"/>
    <cellStyle name="Comma 3 3 2 2 2 5 3" xfId="15028"/>
    <cellStyle name="Comma 3 3 2 2 2 6" xfId="2808"/>
    <cellStyle name="Comma 3 3 2 2 2 6 2" xfId="14456"/>
    <cellStyle name="Comma 3 3 2 2 2 7" xfId="10769"/>
    <cellStyle name="Comma 3 3 2 2 2 7 2" xfId="17308"/>
    <cellStyle name="Comma 3 3 2 2 2 8" xfId="13888"/>
    <cellStyle name="Comma 3 3 2 2 3" xfId="4281"/>
    <cellStyle name="Comma 3 3 2 2 3 2" xfId="11627"/>
    <cellStyle name="Comma 3 3 2 2 3 2 2" xfId="18166"/>
    <cellStyle name="Comma 3 3 2 2 3 3" xfId="15314"/>
    <cellStyle name="Comma 3 3 2 2 4" xfId="6553"/>
    <cellStyle name="Comma 3 3 2 2 4 2" xfId="12198"/>
    <cellStyle name="Comma 3 3 2 2 4 2 2" xfId="18737"/>
    <cellStyle name="Comma 3 3 2 2 4 3" xfId="15885"/>
    <cellStyle name="Comma 3 3 2 2 5" xfId="8825"/>
    <cellStyle name="Comma 3 3 2 2 5 2" xfId="12769"/>
    <cellStyle name="Comma 3 3 2 2 5 2 2" xfId="19308"/>
    <cellStyle name="Comma 3 3 2 2 5 3" xfId="16456"/>
    <cellStyle name="Comma 3 3 2 2 6" xfId="3099"/>
    <cellStyle name="Comma 3 3 2 2 6 2" xfId="11056"/>
    <cellStyle name="Comma 3 3 2 2 6 2 2" xfId="17595"/>
    <cellStyle name="Comma 3 3 2 2 6 3" xfId="14743"/>
    <cellStyle name="Comma 3 3 2 2 7" xfId="2528"/>
    <cellStyle name="Comma 3 3 2 2 7 2" xfId="14176"/>
    <cellStyle name="Comma 3 3 2 2 8" xfId="10489"/>
    <cellStyle name="Comma 3 3 2 2 8 2" xfId="17028"/>
    <cellStyle name="Comma 3 3 2 2 9" xfId="13603"/>
    <cellStyle name="Comma 3 3 2 3" xfId="1542"/>
    <cellStyle name="Comma 3 3 2 3 2" xfId="4962"/>
    <cellStyle name="Comma 3 3 2 3 2 2" xfId="11798"/>
    <cellStyle name="Comma 3 3 2 3 2 2 2" xfId="18337"/>
    <cellStyle name="Comma 3 3 2 3 2 3" xfId="15485"/>
    <cellStyle name="Comma 3 3 2 3 3" xfId="7234"/>
    <cellStyle name="Comma 3 3 2 3 3 2" xfId="12369"/>
    <cellStyle name="Comma 3 3 2 3 3 2 2" xfId="18908"/>
    <cellStyle name="Comma 3 3 2 3 3 3" xfId="16056"/>
    <cellStyle name="Comma 3 3 2 3 4" xfId="9506"/>
    <cellStyle name="Comma 3 3 2 3 4 2" xfId="12940"/>
    <cellStyle name="Comma 3 3 2 3 4 2 2" xfId="19479"/>
    <cellStyle name="Comma 3 3 2 3 4 3" xfId="16627"/>
    <cellStyle name="Comma 3 3 2 3 5" xfId="3270"/>
    <cellStyle name="Comma 3 3 2 3 5 2" xfId="11227"/>
    <cellStyle name="Comma 3 3 2 3 5 2 2" xfId="17766"/>
    <cellStyle name="Comma 3 3 2 3 5 3" xfId="14914"/>
    <cellStyle name="Comma 3 3 2 3 6" xfId="2696"/>
    <cellStyle name="Comma 3 3 2 3 6 2" xfId="14344"/>
    <cellStyle name="Comma 3 3 2 3 7" xfId="10657"/>
    <cellStyle name="Comma 3 3 2 3 7 2" xfId="17196"/>
    <cellStyle name="Comma 3 3 2 3 8" xfId="13774"/>
    <cellStyle name="Comma 3 3 2 3 9" xfId="20311"/>
    <cellStyle name="Comma 3 3 2 4" xfId="3827"/>
    <cellStyle name="Comma 3 3 2 4 2" xfId="11513"/>
    <cellStyle name="Comma 3 3 2 4 2 2" xfId="18052"/>
    <cellStyle name="Comma 3 3 2 4 3" xfId="15200"/>
    <cellStyle name="Comma 3 3 2 5" xfId="6099"/>
    <cellStyle name="Comma 3 3 2 5 2" xfId="12084"/>
    <cellStyle name="Comma 3 3 2 5 2 2" xfId="18623"/>
    <cellStyle name="Comma 3 3 2 5 3" xfId="15771"/>
    <cellStyle name="Comma 3 3 2 6" xfId="8371"/>
    <cellStyle name="Comma 3 3 2 6 2" xfId="12655"/>
    <cellStyle name="Comma 3 3 2 6 2 2" xfId="19194"/>
    <cellStyle name="Comma 3 3 2 6 3" xfId="16342"/>
    <cellStyle name="Comma 3 3 2 7" xfId="2985"/>
    <cellStyle name="Comma 3 3 2 7 2" xfId="10942"/>
    <cellStyle name="Comma 3 3 2 7 2 2" xfId="17481"/>
    <cellStyle name="Comma 3 3 2 7 3" xfId="14629"/>
    <cellStyle name="Comma 3 3 2 8" xfId="2416"/>
    <cellStyle name="Comma 3 3 2 8 2" xfId="14064"/>
    <cellStyle name="Comma 3 3 2 9" xfId="10377"/>
    <cellStyle name="Comma 3 3 2 9 2" xfId="16916"/>
    <cellStyle name="Comma 3 3 3" xfId="1088"/>
    <cellStyle name="Comma 3 3 3 10" xfId="20075"/>
    <cellStyle name="Comma 3 3 3 2" xfId="2223"/>
    <cellStyle name="Comma 3 3 3 2 2" xfId="5643"/>
    <cellStyle name="Comma 3 3 3 2 2 2" xfId="11969"/>
    <cellStyle name="Comma 3 3 3 2 2 2 2" xfId="18508"/>
    <cellStyle name="Comma 3 3 3 2 2 3" xfId="15656"/>
    <cellStyle name="Comma 3 3 3 2 3" xfId="7915"/>
    <cellStyle name="Comma 3 3 3 2 3 2" xfId="12540"/>
    <cellStyle name="Comma 3 3 3 2 3 2 2" xfId="19079"/>
    <cellStyle name="Comma 3 3 3 2 3 3" xfId="16227"/>
    <cellStyle name="Comma 3 3 3 2 4" xfId="10187"/>
    <cellStyle name="Comma 3 3 3 2 4 2" xfId="13111"/>
    <cellStyle name="Comma 3 3 3 2 4 2 2" xfId="19650"/>
    <cellStyle name="Comma 3 3 3 2 4 3" xfId="16798"/>
    <cellStyle name="Comma 3 3 3 2 5" xfId="3441"/>
    <cellStyle name="Comma 3 3 3 2 5 2" xfId="11398"/>
    <cellStyle name="Comma 3 3 3 2 5 2 2" xfId="17937"/>
    <cellStyle name="Comma 3 3 3 2 5 3" xfId="15085"/>
    <cellStyle name="Comma 3 3 3 2 6" xfId="2864"/>
    <cellStyle name="Comma 3 3 3 2 6 2" xfId="14512"/>
    <cellStyle name="Comma 3 3 3 2 7" xfId="10825"/>
    <cellStyle name="Comma 3 3 3 2 7 2" xfId="17364"/>
    <cellStyle name="Comma 3 3 3 2 8" xfId="13945"/>
    <cellStyle name="Comma 3 3 3 2 9" xfId="20239"/>
    <cellStyle name="Comma 3 3 3 3" xfId="4508"/>
    <cellStyle name="Comma 3 3 3 3 2" xfId="11684"/>
    <cellStyle name="Comma 3 3 3 3 2 2" xfId="18223"/>
    <cellStyle name="Comma 3 3 3 3 3" xfId="15371"/>
    <cellStyle name="Comma 3 3 3 3 4" xfId="20312"/>
    <cellStyle name="Comma 3 3 3 4" xfId="6780"/>
    <cellStyle name="Comma 3 3 3 4 2" xfId="12255"/>
    <cellStyle name="Comma 3 3 3 4 2 2" xfId="18794"/>
    <cellStyle name="Comma 3 3 3 4 3" xfId="15942"/>
    <cellStyle name="Comma 3 3 3 5" xfId="9052"/>
    <cellStyle name="Comma 3 3 3 5 2" xfId="12826"/>
    <cellStyle name="Comma 3 3 3 5 2 2" xfId="19365"/>
    <cellStyle name="Comma 3 3 3 5 3" xfId="16513"/>
    <cellStyle name="Comma 3 3 3 6" xfId="3156"/>
    <cellStyle name="Comma 3 3 3 6 2" xfId="11113"/>
    <cellStyle name="Comma 3 3 3 6 2 2" xfId="17652"/>
    <cellStyle name="Comma 3 3 3 6 3" xfId="14800"/>
    <cellStyle name="Comma 3 3 3 7" xfId="2584"/>
    <cellStyle name="Comma 3 3 3 7 2" xfId="14232"/>
    <cellStyle name="Comma 3 3 3 8" xfId="10545"/>
    <cellStyle name="Comma 3 3 3 8 2" xfId="17084"/>
    <cellStyle name="Comma 3 3 3 9" xfId="13660"/>
    <cellStyle name="Comma 3 3 4" xfId="634"/>
    <cellStyle name="Comma 3 3 4 10" xfId="20237"/>
    <cellStyle name="Comma 3 3 4 2" xfId="1769"/>
    <cellStyle name="Comma 3 3 4 2 2" xfId="5189"/>
    <cellStyle name="Comma 3 3 4 2 2 2" xfId="11855"/>
    <cellStyle name="Comma 3 3 4 2 2 2 2" xfId="18394"/>
    <cellStyle name="Comma 3 3 4 2 2 3" xfId="15542"/>
    <cellStyle name="Comma 3 3 4 2 3" xfId="7461"/>
    <cellStyle name="Comma 3 3 4 2 3 2" xfId="12426"/>
    <cellStyle name="Comma 3 3 4 2 3 2 2" xfId="18965"/>
    <cellStyle name="Comma 3 3 4 2 3 3" xfId="16113"/>
    <cellStyle name="Comma 3 3 4 2 4" xfId="9733"/>
    <cellStyle name="Comma 3 3 4 2 4 2" xfId="12997"/>
    <cellStyle name="Comma 3 3 4 2 4 2 2" xfId="19536"/>
    <cellStyle name="Comma 3 3 4 2 4 3" xfId="16684"/>
    <cellStyle name="Comma 3 3 4 2 5" xfId="3327"/>
    <cellStyle name="Comma 3 3 4 2 5 2" xfId="11284"/>
    <cellStyle name="Comma 3 3 4 2 5 2 2" xfId="17823"/>
    <cellStyle name="Comma 3 3 4 2 5 3" xfId="14971"/>
    <cellStyle name="Comma 3 3 4 2 6" xfId="2752"/>
    <cellStyle name="Comma 3 3 4 2 6 2" xfId="14400"/>
    <cellStyle name="Comma 3 3 4 2 7" xfId="10713"/>
    <cellStyle name="Comma 3 3 4 2 7 2" xfId="17252"/>
    <cellStyle name="Comma 3 3 4 2 8" xfId="13831"/>
    <cellStyle name="Comma 3 3 4 3" xfId="4054"/>
    <cellStyle name="Comma 3 3 4 3 2" xfId="11570"/>
    <cellStyle name="Comma 3 3 4 3 2 2" xfId="18109"/>
    <cellStyle name="Comma 3 3 4 3 3" xfId="15257"/>
    <cellStyle name="Comma 3 3 4 4" xfId="6326"/>
    <cellStyle name="Comma 3 3 4 4 2" xfId="12141"/>
    <cellStyle name="Comma 3 3 4 4 2 2" xfId="18680"/>
    <cellStyle name="Comma 3 3 4 4 3" xfId="15828"/>
    <cellStyle name="Comma 3 3 4 5" xfId="8598"/>
    <cellStyle name="Comma 3 3 4 5 2" xfId="12712"/>
    <cellStyle name="Comma 3 3 4 5 2 2" xfId="19251"/>
    <cellStyle name="Comma 3 3 4 5 3" xfId="16399"/>
    <cellStyle name="Comma 3 3 4 6" xfId="3042"/>
    <cellStyle name="Comma 3 3 4 6 2" xfId="10999"/>
    <cellStyle name="Comma 3 3 4 6 2 2" xfId="17538"/>
    <cellStyle name="Comma 3 3 4 6 3" xfId="14686"/>
    <cellStyle name="Comma 3 3 4 7" xfId="2472"/>
    <cellStyle name="Comma 3 3 4 7 2" xfId="14120"/>
    <cellStyle name="Comma 3 3 4 8" xfId="10433"/>
    <cellStyle name="Comma 3 3 4 8 2" xfId="16972"/>
    <cellStyle name="Comma 3 3 4 9" xfId="13546"/>
    <cellStyle name="Comma 3 3 5" xfId="1315"/>
    <cellStyle name="Comma 3 3 5 2" xfId="4735"/>
    <cellStyle name="Comma 3 3 5 2 2" xfId="11741"/>
    <cellStyle name="Comma 3 3 5 2 2 2" xfId="18280"/>
    <cellStyle name="Comma 3 3 5 2 3" xfId="15428"/>
    <cellStyle name="Comma 3 3 5 3" xfId="7007"/>
    <cellStyle name="Comma 3 3 5 3 2" xfId="12312"/>
    <cellStyle name="Comma 3 3 5 3 2 2" xfId="18851"/>
    <cellStyle name="Comma 3 3 5 3 3" xfId="15999"/>
    <cellStyle name="Comma 3 3 5 4" xfId="9279"/>
    <cellStyle name="Comma 3 3 5 4 2" xfId="12883"/>
    <cellStyle name="Comma 3 3 5 4 2 2" xfId="19422"/>
    <cellStyle name="Comma 3 3 5 4 3" xfId="16570"/>
    <cellStyle name="Comma 3 3 5 5" xfId="3213"/>
    <cellStyle name="Comma 3 3 5 5 2" xfId="11170"/>
    <cellStyle name="Comma 3 3 5 5 2 2" xfId="17709"/>
    <cellStyle name="Comma 3 3 5 5 3" xfId="14857"/>
    <cellStyle name="Comma 3 3 5 6" xfId="2640"/>
    <cellStyle name="Comma 3 3 5 6 2" xfId="14288"/>
    <cellStyle name="Comma 3 3 5 7" xfId="10601"/>
    <cellStyle name="Comma 3 3 5 7 2" xfId="17140"/>
    <cellStyle name="Comma 3 3 5 8" xfId="13717"/>
    <cellStyle name="Comma 3 3 5 9" xfId="20310"/>
    <cellStyle name="Comma 3 3 6" xfId="3600"/>
    <cellStyle name="Comma 3 3 6 2" xfId="11456"/>
    <cellStyle name="Comma 3 3 6 2 2" xfId="17995"/>
    <cellStyle name="Comma 3 3 6 3" xfId="15143"/>
    <cellStyle name="Comma 3 3 7" xfId="5872"/>
    <cellStyle name="Comma 3 3 7 2" xfId="12027"/>
    <cellStyle name="Comma 3 3 7 2 2" xfId="18566"/>
    <cellStyle name="Comma 3 3 7 3" xfId="15714"/>
    <cellStyle name="Comma 3 3 8" xfId="8144"/>
    <cellStyle name="Comma 3 3 8 2" xfId="12598"/>
    <cellStyle name="Comma 3 3 8 2 2" xfId="19137"/>
    <cellStyle name="Comma 3 3 8 3" xfId="16285"/>
    <cellStyle name="Comma 3 3 9" xfId="2925"/>
    <cellStyle name="Comma 3 3 9 2" xfId="10884"/>
    <cellStyle name="Comma 3 3 9 2 2" xfId="17423"/>
    <cellStyle name="Comma 3 3 9 3" xfId="14571"/>
    <cellStyle name="Comma 3 4" xfId="113"/>
    <cellStyle name="Comma 3 4 10" xfId="2345"/>
    <cellStyle name="Comma 3 4 10 2" xfId="13993"/>
    <cellStyle name="Comma 3 4 11" xfId="10306"/>
    <cellStyle name="Comma 3 4 11 2" xfId="16845"/>
    <cellStyle name="Comma 3 4 12" xfId="13417"/>
    <cellStyle name="Comma 3 4 13" xfId="20076"/>
    <cellStyle name="Comma 3 4 2" xfId="351"/>
    <cellStyle name="Comma 3 4 2 10" xfId="13475"/>
    <cellStyle name="Comma 3 4 2 11" xfId="20077"/>
    <cellStyle name="Comma 3 4 2 2" xfId="805"/>
    <cellStyle name="Comma 3 4 2 2 10" xfId="20241"/>
    <cellStyle name="Comma 3 4 2 2 2" xfId="1940"/>
    <cellStyle name="Comma 3 4 2 2 2 2" xfId="5360"/>
    <cellStyle name="Comma 3 4 2 2 2 2 2" xfId="11898"/>
    <cellStyle name="Comma 3 4 2 2 2 2 2 2" xfId="18437"/>
    <cellStyle name="Comma 3 4 2 2 2 2 3" xfId="15585"/>
    <cellStyle name="Comma 3 4 2 2 2 3" xfId="7632"/>
    <cellStyle name="Comma 3 4 2 2 2 3 2" xfId="12469"/>
    <cellStyle name="Comma 3 4 2 2 2 3 2 2" xfId="19008"/>
    <cellStyle name="Comma 3 4 2 2 2 3 3" xfId="16156"/>
    <cellStyle name="Comma 3 4 2 2 2 4" xfId="9904"/>
    <cellStyle name="Comma 3 4 2 2 2 4 2" xfId="13040"/>
    <cellStyle name="Comma 3 4 2 2 2 4 2 2" xfId="19579"/>
    <cellStyle name="Comma 3 4 2 2 2 4 3" xfId="16727"/>
    <cellStyle name="Comma 3 4 2 2 2 5" xfId="3370"/>
    <cellStyle name="Comma 3 4 2 2 2 5 2" xfId="11327"/>
    <cellStyle name="Comma 3 4 2 2 2 5 2 2" xfId="17866"/>
    <cellStyle name="Comma 3 4 2 2 2 5 3" xfId="15014"/>
    <cellStyle name="Comma 3 4 2 2 2 6" xfId="2794"/>
    <cellStyle name="Comma 3 4 2 2 2 6 2" xfId="14442"/>
    <cellStyle name="Comma 3 4 2 2 2 7" xfId="10755"/>
    <cellStyle name="Comma 3 4 2 2 2 7 2" xfId="17294"/>
    <cellStyle name="Comma 3 4 2 2 2 8" xfId="13874"/>
    <cellStyle name="Comma 3 4 2 2 3" xfId="4225"/>
    <cellStyle name="Comma 3 4 2 2 3 2" xfId="11613"/>
    <cellStyle name="Comma 3 4 2 2 3 2 2" xfId="18152"/>
    <cellStyle name="Comma 3 4 2 2 3 3" xfId="15300"/>
    <cellStyle name="Comma 3 4 2 2 4" xfId="6497"/>
    <cellStyle name="Comma 3 4 2 2 4 2" xfId="12184"/>
    <cellStyle name="Comma 3 4 2 2 4 2 2" xfId="18723"/>
    <cellStyle name="Comma 3 4 2 2 4 3" xfId="15871"/>
    <cellStyle name="Comma 3 4 2 2 5" xfId="8769"/>
    <cellStyle name="Comma 3 4 2 2 5 2" xfId="12755"/>
    <cellStyle name="Comma 3 4 2 2 5 2 2" xfId="19294"/>
    <cellStyle name="Comma 3 4 2 2 5 3" xfId="16442"/>
    <cellStyle name="Comma 3 4 2 2 6" xfId="3085"/>
    <cellStyle name="Comma 3 4 2 2 6 2" xfId="11042"/>
    <cellStyle name="Comma 3 4 2 2 6 2 2" xfId="17581"/>
    <cellStyle name="Comma 3 4 2 2 6 3" xfId="14729"/>
    <cellStyle name="Comma 3 4 2 2 7" xfId="2514"/>
    <cellStyle name="Comma 3 4 2 2 7 2" xfId="14162"/>
    <cellStyle name="Comma 3 4 2 2 8" xfId="10475"/>
    <cellStyle name="Comma 3 4 2 2 8 2" xfId="17014"/>
    <cellStyle name="Comma 3 4 2 2 9" xfId="13589"/>
    <cellStyle name="Comma 3 4 2 3" xfId="1486"/>
    <cellStyle name="Comma 3 4 2 3 2" xfId="4906"/>
    <cellStyle name="Comma 3 4 2 3 2 2" xfId="11784"/>
    <cellStyle name="Comma 3 4 2 3 2 2 2" xfId="18323"/>
    <cellStyle name="Comma 3 4 2 3 2 3" xfId="15471"/>
    <cellStyle name="Comma 3 4 2 3 3" xfId="7178"/>
    <cellStyle name="Comma 3 4 2 3 3 2" xfId="12355"/>
    <cellStyle name="Comma 3 4 2 3 3 2 2" xfId="18894"/>
    <cellStyle name="Comma 3 4 2 3 3 3" xfId="16042"/>
    <cellStyle name="Comma 3 4 2 3 4" xfId="9450"/>
    <cellStyle name="Comma 3 4 2 3 4 2" xfId="12926"/>
    <cellStyle name="Comma 3 4 2 3 4 2 2" xfId="19465"/>
    <cellStyle name="Comma 3 4 2 3 4 3" xfId="16613"/>
    <cellStyle name="Comma 3 4 2 3 5" xfId="3256"/>
    <cellStyle name="Comma 3 4 2 3 5 2" xfId="11213"/>
    <cellStyle name="Comma 3 4 2 3 5 2 2" xfId="17752"/>
    <cellStyle name="Comma 3 4 2 3 5 3" xfId="14900"/>
    <cellStyle name="Comma 3 4 2 3 6" xfId="2682"/>
    <cellStyle name="Comma 3 4 2 3 6 2" xfId="14330"/>
    <cellStyle name="Comma 3 4 2 3 7" xfId="10643"/>
    <cellStyle name="Comma 3 4 2 3 7 2" xfId="17182"/>
    <cellStyle name="Comma 3 4 2 3 8" xfId="13760"/>
    <cellStyle name="Comma 3 4 2 3 9" xfId="20314"/>
    <cellStyle name="Comma 3 4 2 4" xfId="3771"/>
    <cellStyle name="Comma 3 4 2 4 2" xfId="11499"/>
    <cellStyle name="Comma 3 4 2 4 2 2" xfId="18038"/>
    <cellStyle name="Comma 3 4 2 4 3" xfId="15186"/>
    <cellStyle name="Comma 3 4 2 5" xfId="6043"/>
    <cellStyle name="Comma 3 4 2 5 2" xfId="12070"/>
    <cellStyle name="Comma 3 4 2 5 2 2" xfId="18609"/>
    <cellStyle name="Comma 3 4 2 5 3" xfId="15757"/>
    <cellStyle name="Comma 3 4 2 6" xfId="8315"/>
    <cellStyle name="Comma 3 4 2 6 2" xfId="12641"/>
    <cellStyle name="Comma 3 4 2 6 2 2" xfId="19180"/>
    <cellStyle name="Comma 3 4 2 6 3" xfId="16328"/>
    <cellStyle name="Comma 3 4 2 7" xfId="2971"/>
    <cellStyle name="Comma 3 4 2 7 2" xfId="10928"/>
    <cellStyle name="Comma 3 4 2 7 2 2" xfId="17467"/>
    <cellStyle name="Comma 3 4 2 7 3" xfId="14615"/>
    <cellStyle name="Comma 3 4 2 8" xfId="2402"/>
    <cellStyle name="Comma 3 4 2 8 2" xfId="14050"/>
    <cellStyle name="Comma 3 4 2 9" xfId="10363"/>
    <cellStyle name="Comma 3 4 2 9 2" xfId="16902"/>
    <cellStyle name="Comma 3 4 3" xfId="1032"/>
    <cellStyle name="Comma 3 4 3 10" xfId="20078"/>
    <cellStyle name="Comma 3 4 3 2" xfId="2167"/>
    <cellStyle name="Comma 3 4 3 2 2" xfId="5587"/>
    <cellStyle name="Comma 3 4 3 2 2 2" xfId="11955"/>
    <cellStyle name="Comma 3 4 3 2 2 2 2" xfId="18494"/>
    <cellStyle name="Comma 3 4 3 2 2 3" xfId="15642"/>
    <cellStyle name="Comma 3 4 3 2 3" xfId="7859"/>
    <cellStyle name="Comma 3 4 3 2 3 2" xfId="12526"/>
    <cellStyle name="Comma 3 4 3 2 3 2 2" xfId="19065"/>
    <cellStyle name="Comma 3 4 3 2 3 3" xfId="16213"/>
    <cellStyle name="Comma 3 4 3 2 4" xfId="10131"/>
    <cellStyle name="Comma 3 4 3 2 4 2" xfId="13097"/>
    <cellStyle name="Comma 3 4 3 2 4 2 2" xfId="19636"/>
    <cellStyle name="Comma 3 4 3 2 4 3" xfId="16784"/>
    <cellStyle name="Comma 3 4 3 2 5" xfId="3427"/>
    <cellStyle name="Comma 3 4 3 2 5 2" xfId="11384"/>
    <cellStyle name="Comma 3 4 3 2 5 2 2" xfId="17923"/>
    <cellStyle name="Comma 3 4 3 2 5 3" xfId="15071"/>
    <cellStyle name="Comma 3 4 3 2 6" xfId="2850"/>
    <cellStyle name="Comma 3 4 3 2 6 2" xfId="14498"/>
    <cellStyle name="Comma 3 4 3 2 7" xfId="10811"/>
    <cellStyle name="Comma 3 4 3 2 7 2" xfId="17350"/>
    <cellStyle name="Comma 3 4 3 2 8" xfId="13931"/>
    <cellStyle name="Comma 3 4 3 2 9" xfId="20242"/>
    <cellStyle name="Comma 3 4 3 3" xfId="4452"/>
    <cellStyle name="Comma 3 4 3 3 2" xfId="11670"/>
    <cellStyle name="Comma 3 4 3 3 2 2" xfId="18209"/>
    <cellStyle name="Comma 3 4 3 3 3" xfId="15357"/>
    <cellStyle name="Comma 3 4 3 3 4" xfId="20315"/>
    <cellStyle name="Comma 3 4 3 4" xfId="6724"/>
    <cellStyle name="Comma 3 4 3 4 2" xfId="12241"/>
    <cellStyle name="Comma 3 4 3 4 2 2" xfId="18780"/>
    <cellStyle name="Comma 3 4 3 4 3" xfId="15928"/>
    <cellStyle name="Comma 3 4 3 5" xfId="8996"/>
    <cellStyle name="Comma 3 4 3 5 2" xfId="12812"/>
    <cellStyle name="Comma 3 4 3 5 2 2" xfId="19351"/>
    <cellStyle name="Comma 3 4 3 5 3" xfId="16499"/>
    <cellStyle name="Comma 3 4 3 6" xfId="3142"/>
    <cellStyle name="Comma 3 4 3 6 2" xfId="11099"/>
    <cellStyle name="Comma 3 4 3 6 2 2" xfId="17638"/>
    <cellStyle name="Comma 3 4 3 6 3" xfId="14786"/>
    <cellStyle name="Comma 3 4 3 7" xfId="2570"/>
    <cellStyle name="Comma 3 4 3 7 2" xfId="14218"/>
    <cellStyle name="Comma 3 4 3 8" xfId="10531"/>
    <cellStyle name="Comma 3 4 3 8 2" xfId="17070"/>
    <cellStyle name="Comma 3 4 3 9" xfId="13646"/>
    <cellStyle name="Comma 3 4 4" xfId="578"/>
    <cellStyle name="Comma 3 4 4 10" xfId="20240"/>
    <cellStyle name="Comma 3 4 4 2" xfId="1713"/>
    <cellStyle name="Comma 3 4 4 2 2" xfId="5133"/>
    <cellStyle name="Comma 3 4 4 2 2 2" xfId="11841"/>
    <cellStyle name="Comma 3 4 4 2 2 2 2" xfId="18380"/>
    <cellStyle name="Comma 3 4 4 2 2 3" xfId="15528"/>
    <cellStyle name="Comma 3 4 4 2 3" xfId="7405"/>
    <cellStyle name="Comma 3 4 4 2 3 2" xfId="12412"/>
    <cellStyle name="Comma 3 4 4 2 3 2 2" xfId="18951"/>
    <cellStyle name="Comma 3 4 4 2 3 3" xfId="16099"/>
    <cellStyle name="Comma 3 4 4 2 4" xfId="9677"/>
    <cellStyle name="Comma 3 4 4 2 4 2" xfId="12983"/>
    <cellStyle name="Comma 3 4 4 2 4 2 2" xfId="19522"/>
    <cellStyle name="Comma 3 4 4 2 4 3" xfId="16670"/>
    <cellStyle name="Comma 3 4 4 2 5" xfId="3313"/>
    <cellStyle name="Comma 3 4 4 2 5 2" xfId="11270"/>
    <cellStyle name="Comma 3 4 4 2 5 2 2" xfId="17809"/>
    <cellStyle name="Comma 3 4 4 2 5 3" xfId="14957"/>
    <cellStyle name="Comma 3 4 4 2 6" xfId="2738"/>
    <cellStyle name="Comma 3 4 4 2 6 2" xfId="14386"/>
    <cellStyle name="Comma 3 4 4 2 7" xfId="10699"/>
    <cellStyle name="Comma 3 4 4 2 7 2" xfId="17238"/>
    <cellStyle name="Comma 3 4 4 2 8" xfId="13817"/>
    <cellStyle name="Comma 3 4 4 3" xfId="3998"/>
    <cellStyle name="Comma 3 4 4 3 2" xfId="11556"/>
    <cellStyle name="Comma 3 4 4 3 2 2" xfId="18095"/>
    <cellStyle name="Comma 3 4 4 3 3" xfId="15243"/>
    <cellStyle name="Comma 3 4 4 4" xfId="6270"/>
    <cellStyle name="Comma 3 4 4 4 2" xfId="12127"/>
    <cellStyle name="Comma 3 4 4 4 2 2" xfId="18666"/>
    <cellStyle name="Comma 3 4 4 4 3" xfId="15814"/>
    <cellStyle name="Comma 3 4 4 5" xfId="8542"/>
    <cellStyle name="Comma 3 4 4 5 2" xfId="12698"/>
    <cellStyle name="Comma 3 4 4 5 2 2" xfId="19237"/>
    <cellStyle name="Comma 3 4 4 5 3" xfId="16385"/>
    <cellStyle name="Comma 3 4 4 6" xfId="3028"/>
    <cellStyle name="Comma 3 4 4 6 2" xfId="10985"/>
    <cellStyle name="Comma 3 4 4 6 2 2" xfId="17524"/>
    <cellStyle name="Comma 3 4 4 6 3" xfId="14672"/>
    <cellStyle name="Comma 3 4 4 7" xfId="2458"/>
    <cellStyle name="Comma 3 4 4 7 2" xfId="14106"/>
    <cellStyle name="Comma 3 4 4 8" xfId="10419"/>
    <cellStyle name="Comma 3 4 4 8 2" xfId="16958"/>
    <cellStyle name="Comma 3 4 4 9" xfId="13532"/>
    <cellStyle name="Comma 3 4 5" xfId="1259"/>
    <cellStyle name="Comma 3 4 5 2" xfId="4679"/>
    <cellStyle name="Comma 3 4 5 2 2" xfId="11727"/>
    <cellStyle name="Comma 3 4 5 2 2 2" xfId="18266"/>
    <cellStyle name="Comma 3 4 5 2 3" xfId="15414"/>
    <cellStyle name="Comma 3 4 5 3" xfId="6951"/>
    <cellStyle name="Comma 3 4 5 3 2" xfId="12298"/>
    <cellStyle name="Comma 3 4 5 3 2 2" xfId="18837"/>
    <cellStyle name="Comma 3 4 5 3 3" xfId="15985"/>
    <cellStyle name="Comma 3 4 5 4" xfId="9223"/>
    <cellStyle name="Comma 3 4 5 4 2" xfId="12869"/>
    <cellStyle name="Comma 3 4 5 4 2 2" xfId="19408"/>
    <cellStyle name="Comma 3 4 5 4 3" xfId="16556"/>
    <cellStyle name="Comma 3 4 5 5" xfId="3199"/>
    <cellStyle name="Comma 3 4 5 5 2" xfId="11156"/>
    <cellStyle name="Comma 3 4 5 5 2 2" xfId="17695"/>
    <cellStyle name="Comma 3 4 5 5 3" xfId="14843"/>
    <cellStyle name="Comma 3 4 5 6" xfId="2626"/>
    <cellStyle name="Comma 3 4 5 6 2" xfId="14274"/>
    <cellStyle name="Comma 3 4 5 7" xfId="10587"/>
    <cellStyle name="Comma 3 4 5 7 2" xfId="17126"/>
    <cellStyle name="Comma 3 4 5 8" xfId="13703"/>
    <cellStyle name="Comma 3 4 5 9" xfId="20313"/>
    <cellStyle name="Comma 3 4 6" xfId="3544"/>
    <cellStyle name="Comma 3 4 6 2" xfId="11442"/>
    <cellStyle name="Comma 3 4 6 2 2" xfId="17981"/>
    <cellStyle name="Comma 3 4 6 3" xfId="15129"/>
    <cellStyle name="Comma 3 4 7" xfId="5816"/>
    <cellStyle name="Comma 3 4 7 2" xfId="12013"/>
    <cellStyle name="Comma 3 4 7 2 2" xfId="18552"/>
    <cellStyle name="Comma 3 4 7 3" xfId="15700"/>
    <cellStyle name="Comma 3 4 8" xfId="8088"/>
    <cellStyle name="Comma 3 4 8 2" xfId="12584"/>
    <cellStyle name="Comma 3 4 8 2 2" xfId="19123"/>
    <cellStyle name="Comma 3 4 8 3" xfId="16271"/>
    <cellStyle name="Comma 3 4 9" xfId="2911"/>
    <cellStyle name="Comma 3 4 9 2" xfId="10870"/>
    <cellStyle name="Comma 3 4 9 2 2" xfId="17409"/>
    <cellStyle name="Comma 3 4 9 3" xfId="14557"/>
    <cellStyle name="Comma 3 5" xfId="239"/>
    <cellStyle name="Comma 3 5 10" xfId="2374"/>
    <cellStyle name="Comma 3 5 10 2" xfId="14022"/>
    <cellStyle name="Comma 3 5 11" xfId="10335"/>
    <cellStyle name="Comma 3 5 11 2" xfId="16874"/>
    <cellStyle name="Comma 3 5 12" xfId="13447"/>
    <cellStyle name="Comma 3 5 13" xfId="20079"/>
    <cellStyle name="Comma 3 5 2" xfId="466"/>
    <cellStyle name="Comma 3 5 2 10" xfId="13504"/>
    <cellStyle name="Comma 3 5 2 11" xfId="20080"/>
    <cellStyle name="Comma 3 5 2 2" xfId="920"/>
    <cellStyle name="Comma 3 5 2 2 10" xfId="20244"/>
    <cellStyle name="Comma 3 5 2 2 2" xfId="2055"/>
    <cellStyle name="Comma 3 5 2 2 2 2" xfId="5475"/>
    <cellStyle name="Comma 3 5 2 2 2 2 2" xfId="11927"/>
    <cellStyle name="Comma 3 5 2 2 2 2 2 2" xfId="18466"/>
    <cellStyle name="Comma 3 5 2 2 2 2 3" xfId="15614"/>
    <cellStyle name="Comma 3 5 2 2 2 3" xfId="7747"/>
    <cellStyle name="Comma 3 5 2 2 2 3 2" xfId="12498"/>
    <cellStyle name="Comma 3 5 2 2 2 3 2 2" xfId="19037"/>
    <cellStyle name="Comma 3 5 2 2 2 3 3" xfId="16185"/>
    <cellStyle name="Comma 3 5 2 2 2 4" xfId="10019"/>
    <cellStyle name="Comma 3 5 2 2 2 4 2" xfId="13069"/>
    <cellStyle name="Comma 3 5 2 2 2 4 2 2" xfId="19608"/>
    <cellStyle name="Comma 3 5 2 2 2 4 3" xfId="16756"/>
    <cellStyle name="Comma 3 5 2 2 2 5" xfId="3399"/>
    <cellStyle name="Comma 3 5 2 2 2 5 2" xfId="11356"/>
    <cellStyle name="Comma 3 5 2 2 2 5 2 2" xfId="17895"/>
    <cellStyle name="Comma 3 5 2 2 2 5 3" xfId="15043"/>
    <cellStyle name="Comma 3 5 2 2 2 6" xfId="2822"/>
    <cellStyle name="Comma 3 5 2 2 2 6 2" xfId="14470"/>
    <cellStyle name="Comma 3 5 2 2 2 7" xfId="10783"/>
    <cellStyle name="Comma 3 5 2 2 2 7 2" xfId="17322"/>
    <cellStyle name="Comma 3 5 2 2 2 8" xfId="13903"/>
    <cellStyle name="Comma 3 5 2 2 3" xfId="4340"/>
    <cellStyle name="Comma 3 5 2 2 3 2" xfId="11642"/>
    <cellStyle name="Comma 3 5 2 2 3 2 2" xfId="18181"/>
    <cellStyle name="Comma 3 5 2 2 3 3" xfId="15329"/>
    <cellStyle name="Comma 3 5 2 2 4" xfId="6612"/>
    <cellStyle name="Comma 3 5 2 2 4 2" xfId="12213"/>
    <cellStyle name="Comma 3 5 2 2 4 2 2" xfId="18752"/>
    <cellStyle name="Comma 3 5 2 2 4 3" xfId="15900"/>
    <cellStyle name="Comma 3 5 2 2 5" xfId="8884"/>
    <cellStyle name="Comma 3 5 2 2 5 2" xfId="12784"/>
    <cellStyle name="Comma 3 5 2 2 5 2 2" xfId="19323"/>
    <cellStyle name="Comma 3 5 2 2 5 3" xfId="16471"/>
    <cellStyle name="Comma 3 5 2 2 6" xfId="3114"/>
    <cellStyle name="Comma 3 5 2 2 6 2" xfId="11071"/>
    <cellStyle name="Comma 3 5 2 2 6 2 2" xfId="17610"/>
    <cellStyle name="Comma 3 5 2 2 6 3" xfId="14758"/>
    <cellStyle name="Comma 3 5 2 2 7" xfId="2542"/>
    <cellStyle name="Comma 3 5 2 2 7 2" xfId="14190"/>
    <cellStyle name="Comma 3 5 2 2 8" xfId="10503"/>
    <cellStyle name="Comma 3 5 2 2 8 2" xfId="17042"/>
    <cellStyle name="Comma 3 5 2 2 9" xfId="13618"/>
    <cellStyle name="Comma 3 5 2 3" xfId="1601"/>
    <cellStyle name="Comma 3 5 2 3 2" xfId="5021"/>
    <cellStyle name="Comma 3 5 2 3 2 2" xfId="11813"/>
    <cellStyle name="Comma 3 5 2 3 2 2 2" xfId="18352"/>
    <cellStyle name="Comma 3 5 2 3 2 3" xfId="15500"/>
    <cellStyle name="Comma 3 5 2 3 3" xfId="7293"/>
    <cellStyle name="Comma 3 5 2 3 3 2" xfId="12384"/>
    <cellStyle name="Comma 3 5 2 3 3 2 2" xfId="18923"/>
    <cellStyle name="Comma 3 5 2 3 3 3" xfId="16071"/>
    <cellStyle name="Comma 3 5 2 3 4" xfId="9565"/>
    <cellStyle name="Comma 3 5 2 3 4 2" xfId="12955"/>
    <cellStyle name="Comma 3 5 2 3 4 2 2" xfId="19494"/>
    <cellStyle name="Comma 3 5 2 3 4 3" xfId="16642"/>
    <cellStyle name="Comma 3 5 2 3 5" xfId="3285"/>
    <cellStyle name="Comma 3 5 2 3 5 2" xfId="11242"/>
    <cellStyle name="Comma 3 5 2 3 5 2 2" xfId="17781"/>
    <cellStyle name="Comma 3 5 2 3 5 3" xfId="14929"/>
    <cellStyle name="Comma 3 5 2 3 6" xfId="2710"/>
    <cellStyle name="Comma 3 5 2 3 6 2" xfId="14358"/>
    <cellStyle name="Comma 3 5 2 3 7" xfId="10671"/>
    <cellStyle name="Comma 3 5 2 3 7 2" xfId="17210"/>
    <cellStyle name="Comma 3 5 2 3 8" xfId="13789"/>
    <cellStyle name="Comma 3 5 2 3 9" xfId="20317"/>
    <cellStyle name="Comma 3 5 2 4" xfId="3886"/>
    <cellStyle name="Comma 3 5 2 4 2" xfId="11528"/>
    <cellStyle name="Comma 3 5 2 4 2 2" xfId="18067"/>
    <cellStyle name="Comma 3 5 2 4 3" xfId="15215"/>
    <cellStyle name="Comma 3 5 2 5" xfId="6158"/>
    <cellStyle name="Comma 3 5 2 5 2" xfId="12099"/>
    <cellStyle name="Comma 3 5 2 5 2 2" xfId="18638"/>
    <cellStyle name="Comma 3 5 2 5 3" xfId="15786"/>
    <cellStyle name="Comma 3 5 2 6" xfId="8430"/>
    <cellStyle name="Comma 3 5 2 6 2" xfId="12670"/>
    <cellStyle name="Comma 3 5 2 6 2 2" xfId="19209"/>
    <cellStyle name="Comma 3 5 2 6 3" xfId="16357"/>
    <cellStyle name="Comma 3 5 2 7" xfId="3000"/>
    <cellStyle name="Comma 3 5 2 7 2" xfId="10957"/>
    <cellStyle name="Comma 3 5 2 7 2 2" xfId="17496"/>
    <cellStyle name="Comma 3 5 2 7 3" xfId="14644"/>
    <cellStyle name="Comma 3 5 2 8" xfId="2430"/>
    <cellStyle name="Comma 3 5 2 8 2" xfId="14078"/>
    <cellStyle name="Comma 3 5 2 9" xfId="10391"/>
    <cellStyle name="Comma 3 5 2 9 2" xfId="16930"/>
    <cellStyle name="Comma 3 5 3" xfId="1147"/>
    <cellStyle name="Comma 3 5 3 10" xfId="20081"/>
    <cellStyle name="Comma 3 5 3 2" xfId="2282"/>
    <cellStyle name="Comma 3 5 3 2 2" xfId="5702"/>
    <cellStyle name="Comma 3 5 3 2 2 2" xfId="11984"/>
    <cellStyle name="Comma 3 5 3 2 2 2 2" xfId="18523"/>
    <cellStyle name="Comma 3 5 3 2 2 3" xfId="15671"/>
    <cellStyle name="Comma 3 5 3 2 3" xfId="7974"/>
    <cellStyle name="Comma 3 5 3 2 3 2" xfId="12555"/>
    <cellStyle name="Comma 3 5 3 2 3 2 2" xfId="19094"/>
    <cellStyle name="Comma 3 5 3 2 3 3" xfId="16242"/>
    <cellStyle name="Comma 3 5 3 2 4" xfId="10246"/>
    <cellStyle name="Comma 3 5 3 2 4 2" xfId="13126"/>
    <cellStyle name="Comma 3 5 3 2 4 2 2" xfId="19665"/>
    <cellStyle name="Comma 3 5 3 2 4 3" xfId="16813"/>
    <cellStyle name="Comma 3 5 3 2 5" xfId="3456"/>
    <cellStyle name="Comma 3 5 3 2 5 2" xfId="11413"/>
    <cellStyle name="Comma 3 5 3 2 5 2 2" xfId="17952"/>
    <cellStyle name="Comma 3 5 3 2 5 3" xfId="15100"/>
    <cellStyle name="Comma 3 5 3 2 6" xfId="2878"/>
    <cellStyle name="Comma 3 5 3 2 6 2" xfId="14526"/>
    <cellStyle name="Comma 3 5 3 2 7" xfId="10839"/>
    <cellStyle name="Comma 3 5 3 2 7 2" xfId="17378"/>
    <cellStyle name="Comma 3 5 3 2 8" xfId="13960"/>
    <cellStyle name="Comma 3 5 3 2 9" xfId="20245"/>
    <cellStyle name="Comma 3 5 3 3" xfId="4567"/>
    <cellStyle name="Comma 3 5 3 3 2" xfId="11699"/>
    <cellStyle name="Comma 3 5 3 3 2 2" xfId="18238"/>
    <cellStyle name="Comma 3 5 3 3 3" xfId="15386"/>
    <cellStyle name="Comma 3 5 3 3 4" xfId="20318"/>
    <cellStyle name="Comma 3 5 3 4" xfId="6839"/>
    <cellStyle name="Comma 3 5 3 4 2" xfId="12270"/>
    <cellStyle name="Comma 3 5 3 4 2 2" xfId="18809"/>
    <cellStyle name="Comma 3 5 3 4 3" xfId="15957"/>
    <cellStyle name="Comma 3 5 3 5" xfId="9111"/>
    <cellStyle name="Comma 3 5 3 5 2" xfId="12841"/>
    <cellStyle name="Comma 3 5 3 5 2 2" xfId="19380"/>
    <cellStyle name="Comma 3 5 3 5 3" xfId="16528"/>
    <cellStyle name="Comma 3 5 3 6" xfId="3171"/>
    <cellStyle name="Comma 3 5 3 6 2" xfId="11128"/>
    <cellStyle name="Comma 3 5 3 6 2 2" xfId="17667"/>
    <cellStyle name="Comma 3 5 3 6 3" xfId="14815"/>
    <cellStyle name="Comma 3 5 3 7" xfId="2598"/>
    <cellStyle name="Comma 3 5 3 7 2" xfId="14246"/>
    <cellStyle name="Comma 3 5 3 8" xfId="10559"/>
    <cellStyle name="Comma 3 5 3 8 2" xfId="17098"/>
    <cellStyle name="Comma 3 5 3 9" xfId="13675"/>
    <cellStyle name="Comma 3 5 4" xfId="693"/>
    <cellStyle name="Comma 3 5 4 10" xfId="20243"/>
    <cellStyle name="Comma 3 5 4 2" xfId="1828"/>
    <cellStyle name="Comma 3 5 4 2 2" xfId="5248"/>
    <cellStyle name="Comma 3 5 4 2 2 2" xfId="11870"/>
    <cellStyle name="Comma 3 5 4 2 2 2 2" xfId="18409"/>
    <cellStyle name="Comma 3 5 4 2 2 3" xfId="15557"/>
    <cellStyle name="Comma 3 5 4 2 3" xfId="7520"/>
    <cellStyle name="Comma 3 5 4 2 3 2" xfId="12441"/>
    <cellStyle name="Comma 3 5 4 2 3 2 2" xfId="18980"/>
    <cellStyle name="Comma 3 5 4 2 3 3" xfId="16128"/>
    <cellStyle name="Comma 3 5 4 2 4" xfId="9792"/>
    <cellStyle name="Comma 3 5 4 2 4 2" xfId="13012"/>
    <cellStyle name="Comma 3 5 4 2 4 2 2" xfId="19551"/>
    <cellStyle name="Comma 3 5 4 2 4 3" xfId="16699"/>
    <cellStyle name="Comma 3 5 4 2 5" xfId="3342"/>
    <cellStyle name="Comma 3 5 4 2 5 2" xfId="11299"/>
    <cellStyle name="Comma 3 5 4 2 5 2 2" xfId="17838"/>
    <cellStyle name="Comma 3 5 4 2 5 3" xfId="14986"/>
    <cellStyle name="Comma 3 5 4 2 6" xfId="2766"/>
    <cellStyle name="Comma 3 5 4 2 6 2" xfId="14414"/>
    <cellStyle name="Comma 3 5 4 2 7" xfId="10727"/>
    <cellStyle name="Comma 3 5 4 2 7 2" xfId="17266"/>
    <cellStyle name="Comma 3 5 4 2 8" xfId="13846"/>
    <cellStyle name="Comma 3 5 4 3" xfId="4113"/>
    <cellStyle name="Comma 3 5 4 3 2" xfId="11585"/>
    <cellStyle name="Comma 3 5 4 3 2 2" xfId="18124"/>
    <cellStyle name="Comma 3 5 4 3 3" xfId="15272"/>
    <cellStyle name="Comma 3 5 4 4" xfId="6385"/>
    <cellStyle name="Comma 3 5 4 4 2" xfId="12156"/>
    <cellStyle name="Comma 3 5 4 4 2 2" xfId="18695"/>
    <cellStyle name="Comma 3 5 4 4 3" xfId="15843"/>
    <cellStyle name="Comma 3 5 4 5" xfId="8657"/>
    <cellStyle name="Comma 3 5 4 5 2" xfId="12727"/>
    <cellStyle name="Comma 3 5 4 5 2 2" xfId="19266"/>
    <cellStyle name="Comma 3 5 4 5 3" xfId="16414"/>
    <cellStyle name="Comma 3 5 4 6" xfId="3057"/>
    <cellStyle name="Comma 3 5 4 6 2" xfId="11014"/>
    <cellStyle name="Comma 3 5 4 6 2 2" xfId="17553"/>
    <cellStyle name="Comma 3 5 4 6 3" xfId="14701"/>
    <cellStyle name="Comma 3 5 4 7" xfId="2486"/>
    <cellStyle name="Comma 3 5 4 7 2" xfId="14134"/>
    <cellStyle name="Comma 3 5 4 8" xfId="10447"/>
    <cellStyle name="Comma 3 5 4 8 2" xfId="16986"/>
    <cellStyle name="Comma 3 5 4 9" xfId="13561"/>
    <cellStyle name="Comma 3 5 5" xfId="1374"/>
    <cellStyle name="Comma 3 5 5 2" xfId="4794"/>
    <cellStyle name="Comma 3 5 5 2 2" xfId="11756"/>
    <cellStyle name="Comma 3 5 5 2 2 2" xfId="18295"/>
    <cellStyle name="Comma 3 5 5 2 3" xfId="15443"/>
    <cellStyle name="Comma 3 5 5 3" xfId="7066"/>
    <cellStyle name="Comma 3 5 5 3 2" xfId="12327"/>
    <cellStyle name="Comma 3 5 5 3 2 2" xfId="18866"/>
    <cellStyle name="Comma 3 5 5 3 3" xfId="16014"/>
    <cellStyle name="Comma 3 5 5 4" xfId="9338"/>
    <cellStyle name="Comma 3 5 5 4 2" xfId="12898"/>
    <cellStyle name="Comma 3 5 5 4 2 2" xfId="19437"/>
    <cellStyle name="Comma 3 5 5 4 3" xfId="16585"/>
    <cellStyle name="Comma 3 5 5 5" xfId="3228"/>
    <cellStyle name="Comma 3 5 5 5 2" xfId="11185"/>
    <cellStyle name="Comma 3 5 5 5 2 2" xfId="17724"/>
    <cellStyle name="Comma 3 5 5 5 3" xfId="14872"/>
    <cellStyle name="Comma 3 5 5 6" xfId="2654"/>
    <cellStyle name="Comma 3 5 5 6 2" xfId="14302"/>
    <cellStyle name="Comma 3 5 5 7" xfId="10615"/>
    <cellStyle name="Comma 3 5 5 7 2" xfId="17154"/>
    <cellStyle name="Comma 3 5 5 8" xfId="13732"/>
    <cellStyle name="Comma 3 5 5 9" xfId="20316"/>
    <cellStyle name="Comma 3 5 6" xfId="3659"/>
    <cellStyle name="Comma 3 5 6 2" xfId="11471"/>
    <cellStyle name="Comma 3 5 6 2 2" xfId="18010"/>
    <cellStyle name="Comma 3 5 6 3" xfId="15158"/>
    <cellStyle name="Comma 3 5 7" xfId="5931"/>
    <cellStyle name="Comma 3 5 7 2" xfId="12042"/>
    <cellStyle name="Comma 3 5 7 2 2" xfId="18581"/>
    <cellStyle name="Comma 3 5 7 3" xfId="15729"/>
    <cellStyle name="Comma 3 5 8" xfId="8203"/>
    <cellStyle name="Comma 3 5 8 2" xfId="12613"/>
    <cellStyle name="Comma 3 5 8 2 2" xfId="19152"/>
    <cellStyle name="Comma 3 5 8 3" xfId="16300"/>
    <cellStyle name="Comma 3 5 9" xfId="2943"/>
    <cellStyle name="Comma 3 5 9 2" xfId="10900"/>
    <cellStyle name="Comma 3 5 9 2 2" xfId="17439"/>
    <cellStyle name="Comma 3 5 9 3" xfId="14587"/>
    <cellStyle name="Comma 3 6" xfId="295"/>
    <cellStyle name="Comma 3 6 10" xfId="13461"/>
    <cellStyle name="Comma 3 6 11" xfId="20082"/>
    <cellStyle name="Comma 3 6 2" xfId="749"/>
    <cellStyle name="Comma 3 6 2 10" xfId="20083"/>
    <cellStyle name="Comma 3 6 2 2" xfId="1884"/>
    <cellStyle name="Comma 3 6 2 2 2" xfId="5304"/>
    <cellStyle name="Comma 3 6 2 2 2 2" xfId="11884"/>
    <cellStyle name="Comma 3 6 2 2 2 2 2" xfId="18423"/>
    <cellStyle name="Comma 3 6 2 2 2 3" xfId="15571"/>
    <cellStyle name="Comma 3 6 2 2 3" xfId="7576"/>
    <cellStyle name="Comma 3 6 2 2 3 2" xfId="12455"/>
    <cellStyle name="Comma 3 6 2 2 3 2 2" xfId="18994"/>
    <cellStyle name="Comma 3 6 2 2 3 3" xfId="16142"/>
    <cellStyle name="Comma 3 6 2 2 4" xfId="9848"/>
    <cellStyle name="Comma 3 6 2 2 4 2" xfId="13026"/>
    <cellStyle name="Comma 3 6 2 2 4 2 2" xfId="19565"/>
    <cellStyle name="Comma 3 6 2 2 4 3" xfId="16713"/>
    <cellStyle name="Comma 3 6 2 2 5" xfId="3356"/>
    <cellStyle name="Comma 3 6 2 2 5 2" xfId="11313"/>
    <cellStyle name="Comma 3 6 2 2 5 2 2" xfId="17852"/>
    <cellStyle name="Comma 3 6 2 2 5 3" xfId="15000"/>
    <cellStyle name="Comma 3 6 2 2 6" xfId="2780"/>
    <cellStyle name="Comma 3 6 2 2 6 2" xfId="14428"/>
    <cellStyle name="Comma 3 6 2 2 7" xfId="10741"/>
    <cellStyle name="Comma 3 6 2 2 7 2" xfId="17280"/>
    <cellStyle name="Comma 3 6 2 2 8" xfId="13860"/>
    <cellStyle name="Comma 3 6 2 2 9" xfId="20247"/>
    <cellStyle name="Comma 3 6 2 3" xfId="4169"/>
    <cellStyle name="Comma 3 6 2 3 2" xfId="11599"/>
    <cellStyle name="Comma 3 6 2 3 2 2" xfId="18138"/>
    <cellStyle name="Comma 3 6 2 3 3" xfId="15286"/>
    <cellStyle name="Comma 3 6 2 3 4" xfId="20320"/>
    <cellStyle name="Comma 3 6 2 4" xfId="6441"/>
    <cellStyle name="Comma 3 6 2 4 2" xfId="12170"/>
    <cellStyle name="Comma 3 6 2 4 2 2" xfId="18709"/>
    <cellStyle name="Comma 3 6 2 4 3" xfId="15857"/>
    <cellStyle name="Comma 3 6 2 5" xfId="8713"/>
    <cellStyle name="Comma 3 6 2 5 2" xfId="12741"/>
    <cellStyle name="Comma 3 6 2 5 2 2" xfId="19280"/>
    <cellStyle name="Comma 3 6 2 5 3" xfId="16428"/>
    <cellStyle name="Comma 3 6 2 6" xfId="3071"/>
    <cellStyle name="Comma 3 6 2 6 2" xfId="11028"/>
    <cellStyle name="Comma 3 6 2 6 2 2" xfId="17567"/>
    <cellStyle name="Comma 3 6 2 6 3" xfId="14715"/>
    <cellStyle name="Comma 3 6 2 7" xfId="2500"/>
    <cellStyle name="Comma 3 6 2 7 2" xfId="14148"/>
    <cellStyle name="Comma 3 6 2 8" xfId="10461"/>
    <cellStyle name="Comma 3 6 2 8 2" xfId="17000"/>
    <cellStyle name="Comma 3 6 2 9" xfId="13575"/>
    <cellStyle name="Comma 3 6 3" xfId="1430"/>
    <cellStyle name="Comma 3 6 3 2" xfId="4850"/>
    <cellStyle name="Comma 3 6 3 2 2" xfId="11770"/>
    <cellStyle name="Comma 3 6 3 2 2 2" xfId="18309"/>
    <cellStyle name="Comma 3 6 3 2 3" xfId="15457"/>
    <cellStyle name="Comma 3 6 3 2 4" xfId="20248"/>
    <cellStyle name="Comma 3 6 3 3" xfId="7122"/>
    <cellStyle name="Comma 3 6 3 3 2" xfId="12341"/>
    <cellStyle name="Comma 3 6 3 3 2 2" xfId="18880"/>
    <cellStyle name="Comma 3 6 3 3 3" xfId="16028"/>
    <cellStyle name="Comma 3 6 3 3 4" xfId="20321"/>
    <cellStyle name="Comma 3 6 3 4" xfId="9394"/>
    <cellStyle name="Comma 3 6 3 4 2" xfId="12912"/>
    <cellStyle name="Comma 3 6 3 4 2 2" xfId="19451"/>
    <cellStyle name="Comma 3 6 3 4 3" xfId="16599"/>
    <cellStyle name="Comma 3 6 3 5" xfId="3242"/>
    <cellStyle name="Comma 3 6 3 5 2" xfId="11199"/>
    <cellStyle name="Comma 3 6 3 5 2 2" xfId="17738"/>
    <cellStyle name="Comma 3 6 3 5 3" xfId="14886"/>
    <cellStyle name="Comma 3 6 3 6" xfId="2668"/>
    <cellStyle name="Comma 3 6 3 6 2" xfId="14316"/>
    <cellStyle name="Comma 3 6 3 7" xfId="10629"/>
    <cellStyle name="Comma 3 6 3 7 2" xfId="17168"/>
    <cellStyle name="Comma 3 6 3 8" xfId="13746"/>
    <cellStyle name="Comma 3 6 3 9" xfId="20084"/>
    <cellStyle name="Comma 3 6 4" xfId="3715"/>
    <cellStyle name="Comma 3 6 4 2" xfId="11485"/>
    <cellStyle name="Comma 3 6 4 2 2" xfId="18024"/>
    <cellStyle name="Comma 3 6 4 3" xfId="15172"/>
    <cellStyle name="Comma 3 6 4 4" xfId="20246"/>
    <cellStyle name="Comma 3 6 5" xfId="5987"/>
    <cellStyle name="Comma 3 6 5 2" xfId="12056"/>
    <cellStyle name="Comma 3 6 5 2 2" xfId="18595"/>
    <cellStyle name="Comma 3 6 5 3" xfId="15743"/>
    <cellStyle name="Comma 3 6 5 4" xfId="20319"/>
    <cellStyle name="Comma 3 6 6" xfId="8259"/>
    <cellStyle name="Comma 3 6 6 2" xfId="12627"/>
    <cellStyle name="Comma 3 6 6 2 2" xfId="19166"/>
    <cellStyle name="Comma 3 6 6 3" xfId="16314"/>
    <cellStyle name="Comma 3 6 7" xfId="2957"/>
    <cellStyle name="Comma 3 6 7 2" xfId="10914"/>
    <cellStyle name="Comma 3 6 7 2 2" xfId="17453"/>
    <cellStyle name="Comma 3 6 7 3" xfId="14601"/>
    <cellStyle name="Comma 3 6 8" xfId="2388"/>
    <cellStyle name="Comma 3 6 8 2" xfId="14036"/>
    <cellStyle name="Comma 3 6 9" xfId="10349"/>
    <cellStyle name="Comma 3 6 9 2" xfId="16888"/>
    <cellStyle name="Comma 3 7" xfId="976"/>
    <cellStyle name="Comma 3 7 10" xfId="20085"/>
    <cellStyle name="Comma 3 7 2" xfId="2111"/>
    <cellStyle name="Comma 3 7 2 2" xfId="5531"/>
    <cellStyle name="Comma 3 7 2 2 2" xfId="11941"/>
    <cellStyle name="Comma 3 7 2 2 2 2" xfId="18480"/>
    <cellStyle name="Comma 3 7 2 2 3" xfId="15628"/>
    <cellStyle name="Comma 3 7 2 2 4" xfId="20250"/>
    <cellStyle name="Comma 3 7 2 3" xfId="7803"/>
    <cellStyle name="Comma 3 7 2 3 2" xfId="12512"/>
    <cellStyle name="Comma 3 7 2 3 2 2" xfId="19051"/>
    <cellStyle name="Comma 3 7 2 3 3" xfId="16199"/>
    <cellStyle name="Comma 3 7 2 3 4" xfId="20323"/>
    <cellStyle name="Comma 3 7 2 4" xfId="10075"/>
    <cellStyle name="Comma 3 7 2 4 2" xfId="13083"/>
    <cellStyle name="Comma 3 7 2 4 2 2" xfId="19622"/>
    <cellStyle name="Comma 3 7 2 4 3" xfId="16770"/>
    <cellStyle name="Comma 3 7 2 5" xfId="3413"/>
    <cellStyle name="Comma 3 7 2 5 2" xfId="11370"/>
    <cellStyle name="Comma 3 7 2 5 2 2" xfId="17909"/>
    <cellStyle name="Comma 3 7 2 5 3" xfId="15057"/>
    <cellStyle name="Comma 3 7 2 6" xfId="2836"/>
    <cellStyle name="Comma 3 7 2 6 2" xfId="14484"/>
    <cellStyle name="Comma 3 7 2 7" xfId="10797"/>
    <cellStyle name="Comma 3 7 2 7 2" xfId="17336"/>
    <cellStyle name="Comma 3 7 2 8" xfId="13917"/>
    <cellStyle name="Comma 3 7 2 9" xfId="20086"/>
    <cellStyle name="Comma 3 7 3" xfId="4396"/>
    <cellStyle name="Comma 3 7 3 2" xfId="11656"/>
    <cellStyle name="Comma 3 7 3 2 2" xfId="18195"/>
    <cellStyle name="Comma 3 7 3 2 3" xfId="20251"/>
    <cellStyle name="Comma 3 7 3 3" xfId="15343"/>
    <cellStyle name="Comma 3 7 3 3 2" xfId="20324"/>
    <cellStyle name="Comma 3 7 3 4" xfId="20087"/>
    <cellStyle name="Comma 3 7 4" xfId="6668"/>
    <cellStyle name="Comma 3 7 4 2" xfId="12227"/>
    <cellStyle name="Comma 3 7 4 2 2" xfId="18766"/>
    <cellStyle name="Comma 3 7 4 3" xfId="15914"/>
    <cellStyle name="Comma 3 7 4 4" xfId="20249"/>
    <cellStyle name="Comma 3 7 5" xfId="8940"/>
    <cellStyle name="Comma 3 7 5 2" xfId="12798"/>
    <cellStyle name="Comma 3 7 5 2 2" xfId="19337"/>
    <cellStyle name="Comma 3 7 5 3" xfId="16485"/>
    <cellStyle name="Comma 3 7 5 4" xfId="20322"/>
    <cellStyle name="Comma 3 7 6" xfId="3128"/>
    <cellStyle name="Comma 3 7 6 2" xfId="11085"/>
    <cellStyle name="Comma 3 7 6 2 2" xfId="17624"/>
    <cellStyle name="Comma 3 7 6 3" xfId="14772"/>
    <cellStyle name="Comma 3 7 7" xfId="2556"/>
    <cellStyle name="Comma 3 7 7 2" xfId="14204"/>
    <cellStyle name="Comma 3 7 8" xfId="10517"/>
    <cellStyle name="Comma 3 7 8 2" xfId="17056"/>
    <cellStyle name="Comma 3 7 9" xfId="13632"/>
    <cellStyle name="Comma 3 8" xfId="522"/>
    <cellStyle name="Comma 3 8 10" xfId="20088"/>
    <cellStyle name="Comma 3 8 2" xfId="1657"/>
    <cellStyle name="Comma 3 8 2 2" xfId="5077"/>
    <cellStyle name="Comma 3 8 2 2 2" xfId="11827"/>
    <cellStyle name="Comma 3 8 2 2 2 2" xfId="18366"/>
    <cellStyle name="Comma 3 8 2 2 3" xfId="15514"/>
    <cellStyle name="Comma 3 8 2 3" xfId="7349"/>
    <cellStyle name="Comma 3 8 2 3 2" xfId="12398"/>
    <cellStyle name="Comma 3 8 2 3 2 2" xfId="18937"/>
    <cellStyle name="Comma 3 8 2 3 3" xfId="16085"/>
    <cellStyle name="Comma 3 8 2 4" xfId="9621"/>
    <cellStyle name="Comma 3 8 2 4 2" xfId="12969"/>
    <cellStyle name="Comma 3 8 2 4 2 2" xfId="19508"/>
    <cellStyle name="Comma 3 8 2 4 3" xfId="16656"/>
    <cellStyle name="Comma 3 8 2 5" xfId="3299"/>
    <cellStyle name="Comma 3 8 2 5 2" xfId="11256"/>
    <cellStyle name="Comma 3 8 2 5 2 2" xfId="17795"/>
    <cellStyle name="Comma 3 8 2 5 3" xfId="14943"/>
    <cellStyle name="Comma 3 8 2 6" xfId="2724"/>
    <cellStyle name="Comma 3 8 2 6 2" xfId="14372"/>
    <cellStyle name="Comma 3 8 2 7" xfId="10685"/>
    <cellStyle name="Comma 3 8 2 7 2" xfId="17224"/>
    <cellStyle name="Comma 3 8 2 8" xfId="13803"/>
    <cellStyle name="Comma 3 8 2 9" xfId="20252"/>
    <cellStyle name="Comma 3 8 3" xfId="3942"/>
    <cellStyle name="Comma 3 8 3 2" xfId="11542"/>
    <cellStyle name="Comma 3 8 3 2 2" xfId="18081"/>
    <cellStyle name="Comma 3 8 3 3" xfId="15229"/>
    <cellStyle name="Comma 3 8 3 4" xfId="20325"/>
    <cellStyle name="Comma 3 8 4" xfId="6214"/>
    <cellStyle name="Comma 3 8 4 2" xfId="12113"/>
    <cellStyle name="Comma 3 8 4 2 2" xfId="18652"/>
    <cellStyle name="Comma 3 8 4 3" xfId="15800"/>
    <cellStyle name="Comma 3 8 5" xfId="8486"/>
    <cellStyle name="Comma 3 8 5 2" xfId="12684"/>
    <cellStyle name="Comma 3 8 5 2 2" xfId="19223"/>
    <cellStyle name="Comma 3 8 5 3" xfId="16371"/>
    <cellStyle name="Comma 3 8 6" xfId="3014"/>
    <cellStyle name="Comma 3 8 6 2" xfId="10971"/>
    <cellStyle name="Comma 3 8 6 2 2" xfId="17510"/>
    <cellStyle name="Comma 3 8 6 3" xfId="14658"/>
    <cellStyle name="Comma 3 8 7" xfId="2444"/>
    <cellStyle name="Comma 3 8 7 2" xfId="14092"/>
    <cellStyle name="Comma 3 8 8" xfId="10405"/>
    <cellStyle name="Comma 3 8 8 2" xfId="16944"/>
    <cellStyle name="Comma 3 8 9" xfId="13518"/>
    <cellStyle name="Comma 3 9" xfId="1203"/>
    <cellStyle name="Comma 3 9 2" xfId="4623"/>
    <cellStyle name="Comma 3 9 2 2" xfId="11713"/>
    <cellStyle name="Comma 3 9 2 2 2" xfId="18252"/>
    <cellStyle name="Comma 3 9 2 3" xfId="15400"/>
    <cellStyle name="Comma 3 9 2 4" xfId="20253"/>
    <cellStyle name="Comma 3 9 3" xfId="6895"/>
    <cellStyle name="Comma 3 9 3 2" xfId="12284"/>
    <cellStyle name="Comma 3 9 3 2 2" xfId="18823"/>
    <cellStyle name="Comma 3 9 3 3" xfId="15971"/>
    <cellStyle name="Comma 3 9 3 4" xfId="20326"/>
    <cellStyle name="Comma 3 9 4" xfId="9167"/>
    <cellStyle name="Comma 3 9 4 2" xfId="12855"/>
    <cellStyle name="Comma 3 9 4 2 2" xfId="19394"/>
    <cellStyle name="Comma 3 9 4 3" xfId="16542"/>
    <cellStyle name="Comma 3 9 5" xfId="3185"/>
    <cellStyle name="Comma 3 9 5 2" xfId="11142"/>
    <cellStyle name="Comma 3 9 5 2 2" xfId="17681"/>
    <cellStyle name="Comma 3 9 5 3" xfId="14829"/>
    <cellStyle name="Comma 3 9 6" xfId="2612"/>
    <cellStyle name="Comma 3 9 6 2" xfId="14260"/>
    <cellStyle name="Comma 3 9 7" xfId="10573"/>
    <cellStyle name="Comma 3 9 7 2" xfId="17112"/>
    <cellStyle name="Comma 3 9 8" xfId="13689"/>
    <cellStyle name="Comma 3 9 9" xfId="20089"/>
    <cellStyle name="Comma 30" xfId="13217"/>
    <cellStyle name="Comma 30 2" xfId="19726"/>
    <cellStyle name="Comma 30 3" xfId="19821"/>
    <cellStyle name="Comma 31" xfId="13218"/>
    <cellStyle name="Comma 31 2" xfId="19727"/>
    <cellStyle name="Comma 32" xfId="13219"/>
    <cellStyle name="Comma 32 2" xfId="19728"/>
    <cellStyle name="Comma 32 3" xfId="19822"/>
    <cellStyle name="Comma 33" xfId="13220"/>
    <cellStyle name="Comma 33 2" xfId="19729"/>
    <cellStyle name="Comma 33 3" xfId="19823"/>
    <cellStyle name="Comma 34" xfId="13221"/>
    <cellStyle name="Comma 34 2" xfId="19730"/>
    <cellStyle name="Comma 34 3" xfId="19824"/>
    <cellStyle name="Comma 35" xfId="13222"/>
    <cellStyle name="Comma 35 2" xfId="19731"/>
    <cellStyle name="Comma 35 3" xfId="19825"/>
    <cellStyle name="Comma 36" xfId="13223"/>
    <cellStyle name="Comma 36 2" xfId="19732"/>
    <cellStyle name="Comma 36 3" xfId="19826"/>
    <cellStyle name="Comma 37" xfId="13224"/>
    <cellStyle name="Comma 37 2" xfId="19733"/>
    <cellStyle name="Comma 37 3" xfId="19827"/>
    <cellStyle name="Comma 38" xfId="13225"/>
    <cellStyle name="Comma 38 2" xfId="19734"/>
    <cellStyle name="Comma 38 3" xfId="19828"/>
    <cellStyle name="Comma 39" xfId="13226"/>
    <cellStyle name="Comma 39 2" xfId="19735"/>
    <cellStyle name="Comma 39 3" xfId="19829"/>
    <cellStyle name="Comma 4" xfId="57"/>
    <cellStyle name="Comma 4 10" xfId="3490"/>
    <cellStyle name="Comma 4 10 2" xfId="11429"/>
    <cellStyle name="Comma 4 10 2 2" xfId="17968"/>
    <cellStyle name="Comma 4 10 3" xfId="15116"/>
    <cellStyle name="Comma 4 11" xfId="5762"/>
    <cellStyle name="Comma 4 11 2" xfId="12000"/>
    <cellStyle name="Comma 4 11 2 2" xfId="18539"/>
    <cellStyle name="Comma 4 11 3" xfId="15687"/>
    <cellStyle name="Comma 4 12" xfId="8034"/>
    <cellStyle name="Comma 4 12 2" xfId="12571"/>
    <cellStyle name="Comma 4 12 2 2" xfId="19110"/>
    <cellStyle name="Comma 4 12 3" xfId="16258"/>
    <cellStyle name="Comma 4 13" xfId="2896"/>
    <cellStyle name="Comma 4 13 2" xfId="10856"/>
    <cellStyle name="Comma 4 13 2 2" xfId="17395"/>
    <cellStyle name="Comma 4 13 3" xfId="14543"/>
    <cellStyle name="Comma 4 14" xfId="2331"/>
    <cellStyle name="Comma 4 14 2" xfId="13979"/>
    <cellStyle name="Comma 4 15" xfId="10292"/>
    <cellStyle name="Comma 4 15 2" xfId="16831"/>
    <cellStyle name="Comma 4 16" xfId="13155"/>
    <cellStyle name="Comma 4 16 2" xfId="19684"/>
    <cellStyle name="Comma 4 17" xfId="13176"/>
    <cellStyle name="Comma 4 17 2" xfId="19687"/>
    <cellStyle name="Comma 4 18" xfId="13227"/>
    <cellStyle name="Comma 4 18 2" xfId="19736"/>
    <cellStyle name="Comma 4 19" xfId="13403"/>
    <cellStyle name="Comma 4 2" xfId="87"/>
    <cellStyle name="Comma 4 2 10" xfId="5790"/>
    <cellStyle name="Comma 4 2 10 2" xfId="12007"/>
    <cellStyle name="Comma 4 2 10 2 2" xfId="18546"/>
    <cellStyle name="Comma 4 2 10 3" xfId="15694"/>
    <cellStyle name="Comma 4 2 11" xfId="8062"/>
    <cellStyle name="Comma 4 2 11 2" xfId="12578"/>
    <cellStyle name="Comma 4 2 11 2 2" xfId="19117"/>
    <cellStyle name="Comma 4 2 11 3" xfId="16265"/>
    <cellStyle name="Comma 4 2 12" xfId="2905"/>
    <cellStyle name="Comma 4 2 12 2" xfId="10864"/>
    <cellStyle name="Comma 4 2 12 2 2" xfId="17403"/>
    <cellStyle name="Comma 4 2 12 3" xfId="14551"/>
    <cellStyle name="Comma 4 2 13" xfId="2339"/>
    <cellStyle name="Comma 4 2 13 2" xfId="13987"/>
    <cellStyle name="Comma 4 2 14" xfId="10300"/>
    <cellStyle name="Comma 4 2 14 2" xfId="16839"/>
    <cellStyle name="Comma 4 2 15" xfId="13228"/>
    <cellStyle name="Comma 4 2 15 2" xfId="19737"/>
    <cellStyle name="Comma 4 2 16" xfId="13411"/>
    <cellStyle name="Comma 4 2 17" xfId="19831"/>
    <cellStyle name="Comma 4 2 18" xfId="20091"/>
    <cellStyle name="Comma 4 2 2" xfId="199"/>
    <cellStyle name="Comma 4 2 2 10" xfId="2367"/>
    <cellStyle name="Comma 4 2 2 10 2" xfId="14015"/>
    <cellStyle name="Comma 4 2 2 11" xfId="10328"/>
    <cellStyle name="Comma 4 2 2 11 2" xfId="16867"/>
    <cellStyle name="Comma 4 2 2 12" xfId="13439"/>
    <cellStyle name="Comma 4 2 2 13" xfId="20255"/>
    <cellStyle name="Comma 4 2 2 2" xfId="437"/>
    <cellStyle name="Comma 4 2 2 2 10" xfId="13497"/>
    <cellStyle name="Comma 4 2 2 2 2" xfId="891"/>
    <cellStyle name="Comma 4 2 2 2 2 2" xfId="2026"/>
    <cellStyle name="Comma 4 2 2 2 2 2 2" xfId="5446"/>
    <cellStyle name="Comma 4 2 2 2 2 2 2 2" xfId="11920"/>
    <cellStyle name="Comma 4 2 2 2 2 2 2 2 2" xfId="18459"/>
    <cellStyle name="Comma 4 2 2 2 2 2 2 3" xfId="15607"/>
    <cellStyle name="Comma 4 2 2 2 2 2 3" xfId="7718"/>
    <cellStyle name="Comma 4 2 2 2 2 2 3 2" xfId="12491"/>
    <cellStyle name="Comma 4 2 2 2 2 2 3 2 2" xfId="19030"/>
    <cellStyle name="Comma 4 2 2 2 2 2 3 3" xfId="16178"/>
    <cellStyle name="Comma 4 2 2 2 2 2 4" xfId="9990"/>
    <cellStyle name="Comma 4 2 2 2 2 2 4 2" xfId="13062"/>
    <cellStyle name="Comma 4 2 2 2 2 2 4 2 2" xfId="19601"/>
    <cellStyle name="Comma 4 2 2 2 2 2 4 3" xfId="16749"/>
    <cellStyle name="Comma 4 2 2 2 2 2 5" xfId="3392"/>
    <cellStyle name="Comma 4 2 2 2 2 2 5 2" xfId="11349"/>
    <cellStyle name="Comma 4 2 2 2 2 2 5 2 2" xfId="17888"/>
    <cellStyle name="Comma 4 2 2 2 2 2 5 3" xfId="15036"/>
    <cellStyle name="Comma 4 2 2 2 2 2 6" xfId="2816"/>
    <cellStyle name="Comma 4 2 2 2 2 2 6 2" xfId="14464"/>
    <cellStyle name="Comma 4 2 2 2 2 2 7" xfId="10777"/>
    <cellStyle name="Comma 4 2 2 2 2 2 7 2" xfId="17316"/>
    <cellStyle name="Comma 4 2 2 2 2 2 8" xfId="13896"/>
    <cellStyle name="Comma 4 2 2 2 2 3" xfId="4311"/>
    <cellStyle name="Comma 4 2 2 2 2 3 2" xfId="11635"/>
    <cellStyle name="Comma 4 2 2 2 2 3 2 2" xfId="18174"/>
    <cellStyle name="Comma 4 2 2 2 2 3 3" xfId="15322"/>
    <cellStyle name="Comma 4 2 2 2 2 4" xfId="6583"/>
    <cellStyle name="Comma 4 2 2 2 2 4 2" xfId="12206"/>
    <cellStyle name="Comma 4 2 2 2 2 4 2 2" xfId="18745"/>
    <cellStyle name="Comma 4 2 2 2 2 4 3" xfId="15893"/>
    <cellStyle name="Comma 4 2 2 2 2 5" xfId="8855"/>
    <cellStyle name="Comma 4 2 2 2 2 5 2" xfId="12777"/>
    <cellStyle name="Comma 4 2 2 2 2 5 2 2" xfId="19316"/>
    <cellStyle name="Comma 4 2 2 2 2 5 3" xfId="16464"/>
    <cellStyle name="Comma 4 2 2 2 2 6" xfId="3107"/>
    <cellStyle name="Comma 4 2 2 2 2 6 2" xfId="11064"/>
    <cellStyle name="Comma 4 2 2 2 2 6 2 2" xfId="17603"/>
    <cellStyle name="Comma 4 2 2 2 2 6 3" xfId="14751"/>
    <cellStyle name="Comma 4 2 2 2 2 7" xfId="2536"/>
    <cellStyle name="Comma 4 2 2 2 2 7 2" xfId="14184"/>
    <cellStyle name="Comma 4 2 2 2 2 8" xfId="10497"/>
    <cellStyle name="Comma 4 2 2 2 2 8 2" xfId="17036"/>
    <cellStyle name="Comma 4 2 2 2 2 9" xfId="13611"/>
    <cellStyle name="Comma 4 2 2 2 3" xfId="1572"/>
    <cellStyle name="Comma 4 2 2 2 3 2" xfId="4992"/>
    <cellStyle name="Comma 4 2 2 2 3 2 2" xfId="11806"/>
    <cellStyle name="Comma 4 2 2 2 3 2 2 2" xfId="18345"/>
    <cellStyle name="Comma 4 2 2 2 3 2 3" xfId="15493"/>
    <cellStyle name="Comma 4 2 2 2 3 3" xfId="7264"/>
    <cellStyle name="Comma 4 2 2 2 3 3 2" xfId="12377"/>
    <cellStyle name="Comma 4 2 2 2 3 3 2 2" xfId="18916"/>
    <cellStyle name="Comma 4 2 2 2 3 3 3" xfId="16064"/>
    <cellStyle name="Comma 4 2 2 2 3 4" xfId="9536"/>
    <cellStyle name="Comma 4 2 2 2 3 4 2" xfId="12948"/>
    <cellStyle name="Comma 4 2 2 2 3 4 2 2" xfId="19487"/>
    <cellStyle name="Comma 4 2 2 2 3 4 3" xfId="16635"/>
    <cellStyle name="Comma 4 2 2 2 3 5" xfId="3278"/>
    <cellStyle name="Comma 4 2 2 2 3 5 2" xfId="11235"/>
    <cellStyle name="Comma 4 2 2 2 3 5 2 2" xfId="17774"/>
    <cellStyle name="Comma 4 2 2 2 3 5 3" xfId="14922"/>
    <cellStyle name="Comma 4 2 2 2 3 6" xfId="2704"/>
    <cellStyle name="Comma 4 2 2 2 3 6 2" xfId="14352"/>
    <cellStyle name="Comma 4 2 2 2 3 7" xfId="10665"/>
    <cellStyle name="Comma 4 2 2 2 3 7 2" xfId="17204"/>
    <cellStyle name="Comma 4 2 2 2 3 8" xfId="13782"/>
    <cellStyle name="Comma 4 2 2 2 4" xfId="3857"/>
    <cellStyle name="Comma 4 2 2 2 4 2" xfId="11521"/>
    <cellStyle name="Comma 4 2 2 2 4 2 2" xfId="18060"/>
    <cellStyle name="Comma 4 2 2 2 4 3" xfId="15208"/>
    <cellStyle name="Comma 4 2 2 2 5" xfId="6129"/>
    <cellStyle name="Comma 4 2 2 2 5 2" xfId="12092"/>
    <cellStyle name="Comma 4 2 2 2 5 2 2" xfId="18631"/>
    <cellStyle name="Comma 4 2 2 2 5 3" xfId="15779"/>
    <cellStyle name="Comma 4 2 2 2 6" xfId="8401"/>
    <cellStyle name="Comma 4 2 2 2 6 2" xfId="12663"/>
    <cellStyle name="Comma 4 2 2 2 6 2 2" xfId="19202"/>
    <cellStyle name="Comma 4 2 2 2 6 3" xfId="16350"/>
    <cellStyle name="Comma 4 2 2 2 7" xfId="2993"/>
    <cellStyle name="Comma 4 2 2 2 7 2" xfId="10950"/>
    <cellStyle name="Comma 4 2 2 2 7 2 2" xfId="17489"/>
    <cellStyle name="Comma 4 2 2 2 7 3" xfId="14637"/>
    <cellStyle name="Comma 4 2 2 2 8" xfId="2424"/>
    <cellStyle name="Comma 4 2 2 2 8 2" xfId="14072"/>
    <cellStyle name="Comma 4 2 2 2 9" xfId="10385"/>
    <cellStyle name="Comma 4 2 2 2 9 2" xfId="16924"/>
    <cellStyle name="Comma 4 2 2 3" xfId="1118"/>
    <cellStyle name="Comma 4 2 2 3 2" xfId="2253"/>
    <cellStyle name="Comma 4 2 2 3 2 2" xfId="5673"/>
    <cellStyle name="Comma 4 2 2 3 2 2 2" xfId="11977"/>
    <cellStyle name="Comma 4 2 2 3 2 2 2 2" xfId="18516"/>
    <cellStyle name="Comma 4 2 2 3 2 2 3" xfId="15664"/>
    <cellStyle name="Comma 4 2 2 3 2 3" xfId="7945"/>
    <cellStyle name="Comma 4 2 2 3 2 3 2" xfId="12548"/>
    <cellStyle name="Comma 4 2 2 3 2 3 2 2" xfId="19087"/>
    <cellStyle name="Comma 4 2 2 3 2 3 3" xfId="16235"/>
    <cellStyle name="Comma 4 2 2 3 2 4" xfId="10217"/>
    <cellStyle name="Comma 4 2 2 3 2 4 2" xfId="13119"/>
    <cellStyle name="Comma 4 2 2 3 2 4 2 2" xfId="19658"/>
    <cellStyle name="Comma 4 2 2 3 2 4 3" xfId="16806"/>
    <cellStyle name="Comma 4 2 2 3 2 5" xfId="3449"/>
    <cellStyle name="Comma 4 2 2 3 2 5 2" xfId="11406"/>
    <cellStyle name="Comma 4 2 2 3 2 5 2 2" xfId="17945"/>
    <cellStyle name="Comma 4 2 2 3 2 5 3" xfId="15093"/>
    <cellStyle name="Comma 4 2 2 3 2 6" xfId="2872"/>
    <cellStyle name="Comma 4 2 2 3 2 6 2" xfId="14520"/>
    <cellStyle name="Comma 4 2 2 3 2 7" xfId="10833"/>
    <cellStyle name="Comma 4 2 2 3 2 7 2" xfId="17372"/>
    <cellStyle name="Comma 4 2 2 3 2 8" xfId="13953"/>
    <cellStyle name="Comma 4 2 2 3 3" xfId="4538"/>
    <cellStyle name="Comma 4 2 2 3 3 2" xfId="11692"/>
    <cellStyle name="Comma 4 2 2 3 3 2 2" xfId="18231"/>
    <cellStyle name="Comma 4 2 2 3 3 3" xfId="15379"/>
    <cellStyle name="Comma 4 2 2 3 4" xfId="6810"/>
    <cellStyle name="Comma 4 2 2 3 4 2" xfId="12263"/>
    <cellStyle name="Comma 4 2 2 3 4 2 2" xfId="18802"/>
    <cellStyle name="Comma 4 2 2 3 4 3" xfId="15950"/>
    <cellStyle name="Comma 4 2 2 3 5" xfId="9082"/>
    <cellStyle name="Comma 4 2 2 3 5 2" xfId="12834"/>
    <cellStyle name="Comma 4 2 2 3 5 2 2" xfId="19373"/>
    <cellStyle name="Comma 4 2 2 3 5 3" xfId="16521"/>
    <cellStyle name="Comma 4 2 2 3 6" xfId="3164"/>
    <cellStyle name="Comma 4 2 2 3 6 2" xfId="11121"/>
    <cellStyle name="Comma 4 2 2 3 6 2 2" xfId="17660"/>
    <cellStyle name="Comma 4 2 2 3 6 3" xfId="14808"/>
    <cellStyle name="Comma 4 2 2 3 7" xfId="2592"/>
    <cellStyle name="Comma 4 2 2 3 7 2" xfId="14240"/>
    <cellStyle name="Comma 4 2 2 3 8" xfId="10553"/>
    <cellStyle name="Comma 4 2 2 3 8 2" xfId="17092"/>
    <cellStyle name="Comma 4 2 2 3 9" xfId="13668"/>
    <cellStyle name="Comma 4 2 2 4" xfId="664"/>
    <cellStyle name="Comma 4 2 2 4 2" xfId="1799"/>
    <cellStyle name="Comma 4 2 2 4 2 2" xfId="5219"/>
    <cellStyle name="Comma 4 2 2 4 2 2 2" xfId="11863"/>
    <cellStyle name="Comma 4 2 2 4 2 2 2 2" xfId="18402"/>
    <cellStyle name="Comma 4 2 2 4 2 2 3" xfId="15550"/>
    <cellStyle name="Comma 4 2 2 4 2 3" xfId="7491"/>
    <cellStyle name="Comma 4 2 2 4 2 3 2" xfId="12434"/>
    <cellStyle name="Comma 4 2 2 4 2 3 2 2" xfId="18973"/>
    <cellStyle name="Comma 4 2 2 4 2 3 3" xfId="16121"/>
    <cellStyle name="Comma 4 2 2 4 2 4" xfId="9763"/>
    <cellStyle name="Comma 4 2 2 4 2 4 2" xfId="13005"/>
    <cellStyle name="Comma 4 2 2 4 2 4 2 2" xfId="19544"/>
    <cellStyle name="Comma 4 2 2 4 2 4 3" xfId="16692"/>
    <cellStyle name="Comma 4 2 2 4 2 5" xfId="3335"/>
    <cellStyle name="Comma 4 2 2 4 2 5 2" xfId="11292"/>
    <cellStyle name="Comma 4 2 2 4 2 5 2 2" xfId="17831"/>
    <cellStyle name="Comma 4 2 2 4 2 5 3" xfId="14979"/>
    <cellStyle name="Comma 4 2 2 4 2 6" xfId="2760"/>
    <cellStyle name="Comma 4 2 2 4 2 6 2" xfId="14408"/>
    <cellStyle name="Comma 4 2 2 4 2 7" xfId="10721"/>
    <cellStyle name="Comma 4 2 2 4 2 7 2" xfId="17260"/>
    <cellStyle name="Comma 4 2 2 4 2 8" xfId="13839"/>
    <cellStyle name="Comma 4 2 2 4 3" xfId="4084"/>
    <cellStyle name="Comma 4 2 2 4 3 2" xfId="11578"/>
    <cellStyle name="Comma 4 2 2 4 3 2 2" xfId="18117"/>
    <cellStyle name="Comma 4 2 2 4 3 3" xfId="15265"/>
    <cellStyle name="Comma 4 2 2 4 4" xfId="6356"/>
    <cellStyle name="Comma 4 2 2 4 4 2" xfId="12149"/>
    <cellStyle name="Comma 4 2 2 4 4 2 2" xfId="18688"/>
    <cellStyle name="Comma 4 2 2 4 4 3" xfId="15836"/>
    <cellStyle name="Comma 4 2 2 4 5" xfId="8628"/>
    <cellStyle name="Comma 4 2 2 4 5 2" xfId="12720"/>
    <cellStyle name="Comma 4 2 2 4 5 2 2" xfId="19259"/>
    <cellStyle name="Comma 4 2 2 4 5 3" xfId="16407"/>
    <cellStyle name="Comma 4 2 2 4 6" xfId="3050"/>
    <cellStyle name="Comma 4 2 2 4 6 2" xfId="11007"/>
    <cellStyle name="Comma 4 2 2 4 6 2 2" xfId="17546"/>
    <cellStyle name="Comma 4 2 2 4 6 3" xfId="14694"/>
    <cellStyle name="Comma 4 2 2 4 7" xfId="2480"/>
    <cellStyle name="Comma 4 2 2 4 7 2" xfId="14128"/>
    <cellStyle name="Comma 4 2 2 4 8" xfId="10441"/>
    <cellStyle name="Comma 4 2 2 4 8 2" xfId="16980"/>
    <cellStyle name="Comma 4 2 2 4 9" xfId="13554"/>
    <cellStyle name="Comma 4 2 2 5" xfId="1345"/>
    <cellStyle name="Comma 4 2 2 5 2" xfId="4765"/>
    <cellStyle name="Comma 4 2 2 5 2 2" xfId="11749"/>
    <cellStyle name="Comma 4 2 2 5 2 2 2" xfId="18288"/>
    <cellStyle name="Comma 4 2 2 5 2 3" xfId="15436"/>
    <cellStyle name="Comma 4 2 2 5 3" xfId="7037"/>
    <cellStyle name="Comma 4 2 2 5 3 2" xfId="12320"/>
    <cellStyle name="Comma 4 2 2 5 3 2 2" xfId="18859"/>
    <cellStyle name="Comma 4 2 2 5 3 3" xfId="16007"/>
    <cellStyle name="Comma 4 2 2 5 4" xfId="9309"/>
    <cellStyle name="Comma 4 2 2 5 4 2" xfId="12891"/>
    <cellStyle name="Comma 4 2 2 5 4 2 2" xfId="19430"/>
    <cellStyle name="Comma 4 2 2 5 4 3" xfId="16578"/>
    <cellStyle name="Comma 4 2 2 5 5" xfId="3221"/>
    <cellStyle name="Comma 4 2 2 5 5 2" xfId="11178"/>
    <cellStyle name="Comma 4 2 2 5 5 2 2" xfId="17717"/>
    <cellStyle name="Comma 4 2 2 5 5 3" xfId="14865"/>
    <cellStyle name="Comma 4 2 2 5 6" xfId="2648"/>
    <cellStyle name="Comma 4 2 2 5 6 2" xfId="14296"/>
    <cellStyle name="Comma 4 2 2 5 7" xfId="10609"/>
    <cellStyle name="Comma 4 2 2 5 7 2" xfId="17148"/>
    <cellStyle name="Comma 4 2 2 5 8" xfId="13725"/>
    <cellStyle name="Comma 4 2 2 6" xfId="3630"/>
    <cellStyle name="Comma 4 2 2 6 2" xfId="11464"/>
    <cellStyle name="Comma 4 2 2 6 2 2" xfId="18003"/>
    <cellStyle name="Comma 4 2 2 6 3" xfId="15151"/>
    <cellStyle name="Comma 4 2 2 7" xfId="5902"/>
    <cellStyle name="Comma 4 2 2 7 2" xfId="12035"/>
    <cellStyle name="Comma 4 2 2 7 2 2" xfId="18574"/>
    <cellStyle name="Comma 4 2 2 7 3" xfId="15722"/>
    <cellStyle name="Comma 4 2 2 8" xfId="8174"/>
    <cellStyle name="Comma 4 2 2 8 2" xfId="12606"/>
    <cellStyle name="Comma 4 2 2 8 2 2" xfId="19145"/>
    <cellStyle name="Comma 4 2 2 8 3" xfId="16293"/>
    <cellStyle name="Comma 4 2 2 9" xfId="2933"/>
    <cellStyle name="Comma 4 2 2 9 2" xfId="10892"/>
    <cellStyle name="Comma 4 2 2 9 2 2" xfId="17431"/>
    <cellStyle name="Comma 4 2 2 9 3" xfId="14579"/>
    <cellStyle name="Comma 4 2 3" xfId="143"/>
    <cellStyle name="Comma 4 2 3 10" xfId="2353"/>
    <cellStyle name="Comma 4 2 3 10 2" xfId="14001"/>
    <cellStyle name="Comma 4 2 3 11" xfId="10314"/>
    <cellStyle name="Comma 4 2 3 11 2" xfId="16853"/>
    <cellStyle name="Comma 4 2 3 12" xfId="13425"/>
    <cellStyle name="Comma 4 2 3 13" xfId="20328"/>
    <cellStyle name="Comma 4 2 3 2" xfId="381"/>
    <cellStyle name="Comma 4 2 3 2 10" xfId="13483"/>
    <cellStyle name="Comma 4 2 3 2 2" xfId="835"/>
    <cellStyle name="Comma 4 2 3 2 2 2" xfId="1970"/>
    <cellStyle name="Comma 4 2 3 2 2 2 2" xfId="5390"/>
    <cellStyle name="Comma 4 2 3 2 2 2 2 2" xfId="11906"/>
    <cellStyle name="Comma 4 2 3 2 2 2 2 2 2" xfId="18445"/>
    <cellStyle name="Comma 4 2 3 2 2 2 2 3" xfId="15593"/>
    <cellStyle name="Comma 4 2 3 2 2 2 3" xfId="7662"/>
    <cellStyle name="Comma 4 2 3 2 2 2 3 2" xfId="12477"/>
    <cellStyle name="Comma 4 2 3 2 2 2 3 2 2" xfId="19016"/>
    <cellStyle name="Comma 4 2 3 2 2 2 3 3" xfId="16164"/>
    <cellStyle name="Comma 4 2 3 2 2 2 4" xfId="9934"/>
    <cellStyle name="Comma 4 2 3 2 2 2 4 2" xfId="13048"/>
    <cellStyle name="Comma 4 2 3 2 2 2 4 2 2" xfId="19587"/>
    <cellStyle name="Comma 4 2 3 2 2 2 4 3" xfId="16735"/>
    <cellStyle name="Comma 4 2 3 2 2 2 5" xfId="3378"/>
    <cellStyle name="Comma 4 2 3 2 2 2 5 2" xfId="11335"/>
    <cellStyle name="Comma 4 2 3 2 2 2 5 2 2" xfId="17874"/>
    <cellStyle name="Comma 4 2 3 2 2 2 5 3" xfId="15022"/>
    <cellStyle name="Comma 4 2 3 2 2 2 6" xfId="2802"/>
    <cellStyle name="Comma 4 2 3 2 2 2 6 2" xfId="14450"/>
    <cellStyle name="Comma 4 2 3 2 2 2 7" xfId="10763"/>
    <cellStyle name="Comma 4 2 3 2 2 2 7 2" xfId="17302"/>
    <cellStyle name="Comma 4 2 3 2 2 2 8" xfId="13882"/>
    <cellStyle name="Comma 4 2 3 2 2 3" xfId="4255"/>
    <cellStyle name="Comma 4 2 3 2 2 3 2" xfId="11621"/>
    <cellStyle name="Comma 4 2 3 2 2 3 2 2" xfId="18160"/>
    <cellStyle name="Comma 4 2 3 2 2 3 3" xfId="15308"/>
    <cellStyle name="Comma 4 2 3 2 2 4" xfId="6527"/>
    <cellStyle name="Comma 4 2 3 2 2 4 2" xfId="12192"/>
    <cellStyle name="Comma 4 2 3 2 2 4 2 2" xfId="18731"/>
    <cellStyle name="Comma 4 2 3 2 2 4 3" xfId="15879"/>
    <cellStyle name="Comma 4 2 3 2 2 5" xfId="8799"/>
    <cellStyle name="Comma 4 2 3 2 2 5 2" xfId="12763"/>
    <cellStyle name="Comma 4 2 3 2 2 5 2 2" xfId="19302"/>
    <cellStyle name="Comma 4 2 3 2 2 5 3" xfId="16450"/>
    <cellStyle name="Comma 4 2 3 2 2 6" xfId="3093"/>
    <cellStyle name="Comma 4 2 3 2 2 6 2" xfId="11050"/>
    <cellStyle name="Comma 4 2 3 2 2 6 2 2" xfId="17589"/>
    <cellStyle name="Comma 4 2 3 2 2 6 3" xfId="14737"/>
    <cellStyle name="Comma 4 2 3 2 2 7" xfId="2522"/>
    <cellStyle name="Comma 4 2 3 2 2 7 2" xfId="14170"/>
    <cellStyle name="Comma 4 2 3 2 2 8" xfId="10483"/>
    <cellStyle name="Comma 4 2 3 2 2 8 2" xfId="17022"/>
    <cellStyle name="Comma 4 2 3 2 2 9" xfId="13597"/>
    <cellStyle name="Comma 4 2 3 2 3" xfId="1516"/>
    <cellStyle name="Comma 4 2 3 2 3 2" xfId="4936"/>
    <cellStyle name="Comma 4 2 3 2 3 2 2" xfId="11792"/>
    <cellStyle name="Comma 4 2 3 2 3 2 2 2" xfId="18331"/>
    <cellStyle name="Comma 4 2 3 2 3 2 3" xfId="15479"/>
    <cellStyle name="Comma 4 2 3 2 3 3" xfId="7208"/>
    <cellStyle name="Comma 4 2 3 2 3 3 2" xfId="12363"/>
    <cellStyle name="Comma 4 2 3 2 3 3 2 2" xfId="18902"/>
    <cellStyle name="Comma 4 2 3 2 3 3 3" xfId="16050"/>
    <cellStyle name="Comma 4 2 3 2 3 4" xfId="9480"/>
    <cellStyle name="Comma 4 2 3 2 3 4 2" xfId="12934"/>
    <cellStyle name="Comma 4 2 3 2 3 4 2 2" xfId="19473"/>
    <cellStyle name="Comma 4 2 3 2 3 4 3" xfId="16621"/>
    <cellStyle name="Comma 4 2 3 2 3 5" xfId="3264"/>
    <cellStyle name="Comma 4 2 3 2 3 5 2" xfId="11221"/>
    <cellStyle name="Comma 4 2 3 2 3 5 2 2" xfId="17760"/>
    <cellStyle name="Comma 4 2 3 2 3 5 3" xfId="14908"/>
    <cellStyle name="Comma 4 2 3 2 3 6" xfId="2690"/>
    <cellStyle name="Comma 4 2 3 2 3 6 2" xfId="14338"/>
    <cellStyle name="Comma 4 2 3 2 3 7" xfId="10651"/>
    <cellStyle name="Comma 4 2 3 2 3 7 2" xfId="17190"/>
    <cellStyle name="Comma 4 2 3 2 3 8" xfId="13768"/>
    <cellStyle name="Comma 4 2 3 2 4" xfId="3801"/>
    <cellStyle name="Comma 4 2 3 2 4 2" xfId="11507"/>
    <cellStyle name="Comma 4 2 3 2 4 2 2" xfId="18046"/>
    <cellStyle name="Comma 4 2 3 2 4 3" xfId="15194"/>
    <cellStyle name="Comma 4 2 3 2 5" xfId="6073"/>
    <cellStyle name="Comma 4 2 3 2 5 2" xfId="12078"/>
    <cellStyle name="Comma 4 2 3 2 5 2 2" xfId="18617"/>
    <cellStyle name="Comma 4 2 3 2 5 3" xfId="15765"/>
    <cellStyle name="Comma 4 2 3 2 6" xfId="8345"/>
    <cellStyle name="Comma 4 2 3 2 6 2" xfId="12649"/>
    <cellStyle name="Comma 4 2 3 2 6 2 2" xfId="19188"/>
    <cellStyle name="Comma 4 2 3 2 6 3" xfId="16336"/>
    <cellStyle name="Comma 4 2 3 2 7" xfId="2979"/>
    <cellStyle name="Comma 4 2 3 2 7 2" xfId="10936"/>
    <cellStyle name="Comma 4 2 3 2 7 2 2" xfId="17475"/>
    <cellStyle name="Comma 4 2 3 2 7 3" xfId="14623"/>
    <cellStyle name="Comma 4 2 3 2 8" xfId="2410"/>
    <cellStyle name="Comma 4 2 3 2 8 2" xfId="14058"/>
    <cellStyle name="Comma 4 2 3 2 9" xfId="10371"/>
    <cellStyle name="Comma 4 2 3 2 9 2" xfId="16910"/>
    <cellStyle name="Comma 4 2 3 3" xfId="1062"/>
    <cellStyle name="Comma 4 2 3 3 2" xfId="2197"/>
    <cellStyle name="Comma 4 2 3 3 2 2" xfId="5617"/>
    <cellStyle name="Comma 4 2 3 3 2 2 2" xfId="11963"/>
    <cellStyle name="Comma 4 2 3 3 2 2 2 2" xfId="18502"/>
    <cellStyle name="Comma 4 2 3 3 2 2 3" xfId="15650"/>
    <cellStyle name="Comma 4 2 3 3 2 3" xfId="7889"/>
    <cellStyle name="Comma 4 2 3 3 2 3 2" xfId="12534"/>
    <cellStyle name="Comma 4 2 3 3 2 3 2 2" xfId="19073"/>
    <cellStyle name="Comma 4 2 3 3 2 3 3" xfId="16221"/>
    <cellStyle name="Comma 4 2 3 3 2 4" xfId="10161"/>
    <cellStyle name="Comma 4 2 3 3 2 4 2" xfId="13105"/>
    <cellStyle name="Comma 4 2 3 3 2 4 2 2" xfId="19644"/>
    <cellStyle name="Comma 4 2 3 3 2 4 3" xfId="16792"/>
    <cellStyle name="Comma 4 2 3 3 2 5" xfId="3435"/>
    <cellStyle name="Comma 4 2 3 3 2 5 2" xfId="11392"/>
    <cellStyle name="Comma 4 2 3 3 2 5 2 2" xfId="17931"/>
    <cellStyle name="Comma 4 2 3 3 2 5 3" xfId="15079"/>
    <cellStyle name="Comma 4 2 3 3 2 6" xfId="2858"/>
    <cellStyle name="Comma 4 2 3 3 2 6 2" xfId="14506"/>
    <cellStyle name="Comma 4 2 3 3 2 7" xfId="10819"/>
    <cellStyle name="Comma 4 2 3 3 2 7 2" xfId="17358"/>
    <cellStyle name="Comma 4 2 3 3 2 8" xfId="13939"/>
    <cellStyle name="Comma 4 2 3 3 3" xfId="4482"/>
    <cellStyle name="Comma 4 2 3 3 3 2" xfId="11678"/>
    <cellStyle name="Comma 4 2 3 3 3 2 2" xfId="18217"/>
    <cellStyle name="Comma 4 2 3 3 3 3" xfId="15365"/>
    <cellStyle name="Comma 4 2 3 3 4" xfId="6754"/>
    <cellStyle name="Comma 4 2 3 3 4 2" xfId="12249"/>
    <cellStyle name="Comma 4 2 3 3 4 2 2" xfId="18788"/>
    <cellStyle name="Comma 4 2 3 3 4 3" xfId="15936"/>
    <cellStyle name="Comma 4 2 3 3 5" xfId="9026"/>
    <cellStyle name="Comma 4 2 3 3 5 2" xfId="12820"/>
    <cellStyle name="Comma 4 2 3 3 5 2 2" xfId="19359"/>
    <cellStyle name="Comma 4 2 3 3 5 3" xfId="16507"/>
    <cellStyle name="Comma 4 2 3 3 6" xfId="3150"/>
    <cellStyle name="Comma 4 2 3 3 6 2" xfId="11107"/>
    <cellStyle name="Comma 4 2 3 3 6 2 2" xfId="17646"/>
    <cellStyle name="Comma 4 2 3 3 6 3" xfId="14794"/>
    <cellStyle name="Comma 4 2 3 3 7" xfId="2578"/>
    <cellStyle name="Comma 4 2 3 3 7 2" xfId="14226"/>
    <cellStyle name="Comma 4 2 3 3 8" xfId="10539"/>
    <cellStyle name="Comma 4 2 3 3 8 2" xfId="17078"/>
    <cellStyle name="Comma 4 2 3 3 9" xfId="13654"/>
    <cellStyle name="Comma 4 2 3 4" xfId="608"/>
    <cellStyle name="Comma 4 2 3 4 2" xfId="1743"/>
    <cellStyle name="Comma 4 2 3 4 2 2" xfId="5163"/>
    <cellStyle name="Comma 4 2 3 4 2 2 2" xfId="11849"/>
    <cellStyle name="Comma 4 2 3 4 2 2 2 2" xfId="18388"/>
    <cellStyle name="Comma 4 2 3 4 2 2 3" xfId="15536"/>
    <cellStyle name="Comma 4 2 3 4 2 3" xfId="7435"/>
    <cellStyle name="Comma 4 2 3 4 2 3 2" xfId="12420"/>
    <cellStyle name="Comma 4 2 3 4 2 3 2 2" xfId="18959"/>
    <cellStyle name="Comma 4 2 3 4 2 3 3" xfId="16107"/>
    <cellStyle name="Comma 4 2 3 4 2 4" xfId="9707"/>
    <cellStyle name="Comma 4 2 3 4 2 4 2" xfId="12991"/>
    <cellStyle name="Comma 4 2 3 4 2 4 2 2" xfId="19530"/>
    <cellStyle name="Comma 4 2 3 4 2 4 3" xfId="16678"/>
    <cellStyle name="Comma 4 2 3 4 2 5" xfId="3321"/>
    <cellStyle name="Comma 4 2 3 4 2 5 2" xfId="11278"/>
    <cellStyle name="Comma 4 2 3 4 2 5 2 2" xfId="17817"/>
    <cellStyle name="Comma 4 2 3 4 2 5 3" xfId="14965"/>
    <cellStyle name="Comma 4 2 3 4 2 6" xfId="2746"/>
    <cellStyle name="Comma 4 2 3 4 2 6 2" xfId="14394"/>
    <cellStyle name="Comma 4 2 3 4 2 7" xfId="10707"/>
    <cellStyle name="Comma 4 2 3 4 2 7 2" xfId="17246"/>
    <cellStyle name="Comma 4 2 3 4 2 8" xfId="13825"/>
    <cellStyle name="Comma 4 2 3 4 3" xfId="4028"/>
    <cellStyle name="Comma 4 2 3 4 3 2" xfId="11564"/>
    <cellStyle name="Comma 4 2 3 4 3 2 2" xfId="18103"/>
    <cellStyle name="Comma 4 2 3 4 3 3" xfId="15251"/>
    <cellStyle name="Comma 4 2 3 4 4" xfId="6300"/>
    <cellStyle name="Comma 4 2 3 4 4 2" xfId="12135"/>
    <cellStyle name="Comma 4 2 3 4 4 2 2" xfId="18674"/>
    <cellStyle name="Comma 4 2 3 4 4 3" xfId="15822"/>
    <cellStyle name="Comma 4 2 3 4 5" xfId="8572"/>
    <cellStyle name="Comma 4 2 3 4 5 2" xfId="12706"/>
    <cellStyle name="Comma 4 2 3 4 5 2 2" xfId="19245"/>
    <cellStyle name="Comma 4 2 3 4 5 3" xfId="16393"/>
    <cellStyle name="Comma 4 2 3 4 6" xfId="3036"/>
    <cellStyle name="Comma 4 2 3 4 6 2" xfId="10993"/>
    <cellStyle name="Comma 4 2 3 4 6 2 2" xfId="17532"/>
    <cellStyle name="Comma 4 2 3 4 6 3" xfId="14680"/>
    <cellStyle name="Comma 4 2 3 4 7" xfId="2466"/>
    <cellStyle name="Comma 4 2 3 4 7 2" xfId="14114"/>
    <cellStyle name="Comma 4 2 3 4 8" xfId="10427"/>
    <cellStyle name="Comma 4 2 3 4 8 2" xfId="16966"/>
    <cellStyle name="Comma 4 2 3 4 9" xfId="13540"/>
    <cellStyle name="Comma 4 2 3 5" xfId="1289"/>
    <cellStyle name="Comma 4 2 3 5 2" xfId="4709"/>
    <cellStyle name="Comma 4 2 3 5 2 2" xfId="11735"/>
    <cellStyle name="Comma 4 2 3 5 2 2 2" xfId="18274"/>
    <cellStyle name="Comma 4 2 3 5 2 3" xfId="15422"/>
    <cellStyle name="Comma 4 2 3 5 3" xfId="6981"/>
    <cellStyle name="Comma 4 2 3 5 3 2" xfId="12306"/>
    <cellStyle name="Comma 4 2 3 5 3 2 2" xfId="18845"/>
    <cellStyle name="Comma 4 2 3 5 3 3" xfId="15993"/>
    <cellStyle name="Comma 4 2 3 5 4" xfId="9253"/>
    <cellStyle name="Comma 4 2 3 5 4 2" xfId="12877"/>
    <cellStyle name="Comma 4 2 3 5 4 2 2" xfId="19416"/>
    <cellStyle name="Comma 4 2 3 5 4 3" xfId="16564"/>
    <cellStyle name="Comma 4 2 3 5 5" xfId="3207"/>
    <cellStyle name="Comma 4 2 3 5 5 2" xfId="11164"/>
    <cellStyle name="Comma 4 2 3 5 5 2 2" xfId="17703"/>
    <cellStyle name="Comma 4 2 3 5 5 3" xfId="14851"/>
    <cellStyle name="Comma 4 2 3 5 6" xfId="2634"/>
    <cellStyle name="Comma 4 2 3 5 6 2" xfId="14282"/>
    <cellStyle name="Comma 4 2 3 5 7" xfId="10595"/>
    <cellStyle name="Comma 4 2 3 5 7 2" xfId="17134"/>
    <cellStyle name="Comma 4 2 3 5 8" xfId="13711"/>
    <cellStyle name="Comma 4 2 3 6" xfId="3574"/>
    <cellStyle name="Comma 4 2 3 6 2" xfId="11450"/>
    <cellStyle name="Comma 4 2 3 6 2 2" xfId="17989"/>
    <cellStyle name="Comma 4 2 3 6 3" xfId="15137"/>
    <cellStyle name="Comma 4 2 3 7" xfId="5846"/>
    <cellStyle name="Comma 4 2 3 7 2" xfId="12021"/>
    <cellStyle name="Comma 4 2 3 7 2 2" xfId="18560"/>
    <cellStyle name="Comma 4 2 3 7 3" xfId="15708"/>
    <cellStyle name="Comma 4 2 3 8" xfId="8118"/>
    <cellStyle name="Comma 4 2 3 8 2" xfId="12592"/>
    <cellStyle name="Comma 4 2 3 8 2 2" xfId="19131"/>
    <cellStyle name="Comma 4 2 3 8 3" xfId="16279"/>
    <cellStyle name="Comma 4 2 3 9" xfId="2919"/>
    <cellStyle name="Comma 4 2 3 9 2" xfId="10878"/>
    <cellStyle name="Comma 4 2 3 9 2 2" xfId="17417"/>
    <cellStyle name="Comma 4 2 3 9 3" xfId="14565"/>
    <cellStyle name="Comma 4 2 4" xfId="269"/>
    <cellStyle name="Comma 4 2 4 10" xfId="2382"/>
    <cellStyle name="Comma 4 2 4 10 2" xfId="14030"/>
    <cellStyle name="Comma 4 2 4 11" xfId="10343"/>
    <cellStyle name="Comma 4 2 4 11 2" xfId="16882"/>
    <cellStyle name="Comma 4 2 4 12" xfId="13455"/>
    <cellStyle name="Comma 4 2 4 2" xfId="496"/>
    <cellStyle name="Comma 4 2 4 2 10" xfId="13512"/>
    <cellStyle name="Comma 4 2 4 2 2" xfId="950"/>
    <cellStyle name="Comma 4 2 4 2 2 2" xfId="2085"/>
    <cellStyle name="Comma 4 2 4 2 2 2 2" xfId="5505"/>
    <cellStyle name="Comma 4 2 4 2 2 2 2 2" xfId="11935"/>
    <cellStyle name="Comma 4 2 4 2 2 2 2 2 2" xfId="18474"/>
    <cellStyle name="Comma 4 2 4 2 2 2 2 3" xfId="15622"/>
    <cellStyle name="Comma 4 2 4 2 2 2 3" xfId="7777"/>
    <cellStyle name="Comma 4 2 4 2 2 2 3 2" xfId="12506"/>
    <cellStyle name="Comma 4 2 4 2 2 2 3 2 2" xfId="19045"/>
    <cellStyle name="Comma 4 2 4 2 2 2 3 3" xfId="16193"/>
    <cellStyle name="Comma 4 2 4 2 2 2 4" xfId="10049"/>
    <cellStyle name="Comma 4 2 4 2 2 2 4 2" xfId="13077"/>
    <cellStyle name="Comma 4 2 4 2 2 2 4 2 2" xfId="19616"/>
    <cellStyle name="Comma 4 2 4 2 2 2 4 3" xfId="16764"/>
    <cellStyle name="Comma 4 2 4 2 2 2 5" xfId="3407"/>
    <cellStyle name="Comma 4 2 4 2 2 2 5 2" xfId="11364"/>
    <cellStyle name="Comma 4 2 4 2 2 2 5 2 2" xfId="17903"/>
    <cellStyle name="Comma 4 2 4 2 2 2 5 3" xfId="15051"/>
    <cellStyle name="Comma 4 2 4 2 2 2 6" xfId="2830"/>
    <cellStyle name="Comma 4 2 4 2 2 2 6 2" xfId="14478"/>
    <cellStyle name="Comma 4 2 4 2 2 2 7" xfId="10791"/>
    <cellStyle name="Comma 4 2 4 2 2 2 7 2" xfId="17330"/>
    <cellStyle name="Comma 4 2 4 2 2 2 8" xfId="13911"/>
    <cellStyle name="Comma 4 2 4 2 2 3" xfId="4370"/>
    <cellStyle name="Comma 4 2 4 2 2 3 2" xfId="11650"/>
    <cellStyle name="Comma 4 2 4 2 2 3 2 2" xfId="18189"/>
    <cellStyle name="Comma 4 2 4 2 2 3 3" xfId="15337"/>
    <cellStyle name="Comma 4 2 4 2 2 4" xfId="6642"/>
    <cellStyle name="Comma 4 2 4 2 2 4 2" xfId="12221"/>
    <cellStyle name="Comma 4 2 4 2 2 4 2 2" xfId="18760"/>
    <cellStyle name="Comma 4 2 4 2 2 4 3" xfId="15908"/>
    <cellStyle name="Comma 4 2 4 2 2 5" xfId="8914"/>
    <cellStyle name="Comma 4 2 4 2 2 5 2" xfId="12792"/>
    <cellStyle name="Comma 4 2 4 2 2 5 2 2" xfId="19331"/>
    <cellStyle name="Comma 4 2 4 2 2 5 3" xfId="16479"/>
    <cellStyle name="Comma 4 2 4 2 2 6" xfId="3122"/>
    <cellStyle name="Comma 4 2 4 2 2 6 2" xfId="11079"/>
    <cellStyle name="Comma 4 2 4 2 2 6 2 2" xfId="17618"/>
    <cellStyle name="Comma 4 2 4 2 2 6 3" xfId="14766"/>
    <cellStyle name="Comma 4 2 4 2 2 7" xfId="2550"/>
    <cellStyle name="Comma 4 2 4 2 2 7 2" xfId="14198"/>
    <cellStyle name="Comma 4 2 4 2 2 8" xfId="10511"/>
    <cellStyle name="Comma 4 2 4 2 2 8 2" xfId="17050"/>
    <cellStyle name="Comma 4 2 4 2 2 9" xfId="13626"/>
    <cellStyle name="Comma 4 2 4 2 3" xfId="1631"/>
    <cellStyle name="Comma 4 2 4 2 3 2" xfId="5051"/>
    <cellStyle name="Comma 4 2 4 2 3 2 2" xfId="11821"/>
    <cellStyle name="Comma 4 2 4 2 3 2 2 2" xfId="18360"/>
    <cellStyle name="Comma 4 2 4 2 3 2 3" xfId="15508"/>
    <cellStyle name="Comma 4 2 4 2 3 3" xfId="7323"/>
    <cellStyle name="Comma 4 2 4 2 3 3 2" xfId="12392"/>
    <cellStyle name="Comma 4 2 4 2 3 3 2 2" xfId="18931"/>
    <cellStyle name="Comma 4 2 4 2 3 3 3" xfId="16079"/>
    <cellStyle name="Comma 4 2 4 2 3 4" xfId="9595"/>
    <cellStyle name="Comma 4 2 4 2 3 4 2" xfId="12963"/>
    <cellStyle name="Comma 4 2 4 2 3 4 2 2" xfId="19502"/>
    <cellStyle name="Comma 4 2 4 2 3 4 3" xfId="16650"/>
    <cellStyle name="Comma 4 2 4 2 3 5" xfId="3293"/>
    <cellStyle name="Comma 4 2 4 2 3 5 2" xfId="11250"/>
    <cellStyle name="Comma 4 2 4 2 3 5 2 2" xfId="17789"/>
    <cellStyle name="Comma 4 2 4 2 3 5 3" xfId="14937"/>
    <cellStyle name="Comma 4 2 4 2 3 6" xfId="2718"/>
    <cellStyle name="Comma 4 2 4 2 3 6 2" xfId="14366"/>
    <cellStyle name="Comma 4 2 4 2 3 7" xfId="10679"/>
    <cellStyle name="Comma 4 2 4 2 3 7 2" xfId="17218"/>
    <cellStyle name="Comma 4 2 4 2 3 8" xfId="13797"/>
    <cellStyle name="Comma 4 2 4 2 4" xfId="3916"/>
    <cellStyle name="Comma 4 2 4 2 4 2" xfId="11536"/>
    <cellStyle name="Comma 4 2 4 2 4 2 2" xfId="18075"/>
    <cellStyle name="Comma 4 2 4 2 4 3" xfId="15223"/>
    <cellStyle name="Comma 4 2 4 2 5" xfId="6188"/>
    <cellStyle name="Comma 4 2 4 2 5 2" xfId="12107"/>
    <cellStyle name="Comma 4 2 4 2 5 2 2" xfId="18646"/>
    <cellStyle name="Comma 4 2 4 2 5 3" xfId="15794"/>
    <cellStyle name="Comma 4 2 4 2 6" xfId="8460"/>
    <cellStyle name="Comma 4 2 4 2 6 2" xfId="12678"/>
    <cellStyle name="Comma 4 2 4 2 6 2 2" xfId="19217"/>
    <cellStyle name="Comma 4 2 4 2 6 3" xfId="16365"/>
    <cellStyle name="Comma 4 2 4 2 7" xfId="3008"/>
    <cellStyle name="Comma 4 2 4 2 7 2" xfId="10965"/>
    <cellStyle name="Comma 4 2 4 2 7 2 2" xfId="17504"/>
    <cellStyle name="Comma 4 2 4 2 7 3" xfId="14652"/>
    <cellStyle name="Comma 4 2 4 2 8" xfId="2438"/>
    <cellStyle name="Comma 4 2 4 2 8 2" xfId="14086"/>
    <cellStyle name="Comma 4 2 4 2 9" xfId="10399"/>
    <cellStyle name="Comma 4 2 4 2 9 2" xfId="16938"/>
    <cellStyle name="Comma 4 2 4 3" xfId="1177"/>
    <cellStyle name="Comma 4 2 4 3 2" xfId="2312"/>
    <cellStyle name="Comma 4 2 4 3 2 2" xfId="5732"/>
    <cellStyle name="Comma 4 2 4 3 2 2 2" xfId="11992"/>
    <cellStyle name="Comma 4 2 4 3 2 2 2 2" xfId="18531"/>
    <cellStyle name="Comma 4 2 4 3 2 2 3" xfId="15679"/>
    <cellStyle name="Comma 4 2 4 3 2 3" xfId="8004"/>
    <cellStyle name="Comma 4 2 4 3 2 3 2" xfId="12563"/>
    <cellStyle name="Comma 4 2 4 3 2 3 2 2" xfId="19102"/>
    <cellStyle name="Comma 4 2 4 3 2 3 3" xfId="16250"/>
    <cellStyle name="Comma 4 2 4 3 2 4" xfId="10276"/>
    <cellStyle name="Comma 4 2 4 3 2 4 2" xfId="13134"/>
    <cellStyle name="Comma 4 2 4 3 2 4 2 2" xfId="19673"/>
    <cellStyle name="Comma 4 2 4 3 2 4 3" xfId="16821"/>
    <cellStyle name="Comma 4 2 4 3 2 5" xfId="3464"/>
    <cellStyle name="Comma 4 2 4 3 2 5 2" xfId="11421"/>
    <cellStyle name="Comma 4 2 4 3 2 5 2 2" xfId="17960"/>
    <cellStyle name="Comma 4 2 4 3 2 5 3" xfId="15108"/>
    <cellStyle name="Comma 4 2 4 3 2 6" xfId="2886"/>
    <cellStyle name="Comma 4 2 4 3 2 6 2" xfId="14534"/>
    <cellStyle name="Comma 4 2 4 3 2 7" xfId="10847"/>
    <cellStyle name="Comma 4 2 4 3 2 7 2" xfId="17386"/>
    <cellStyle name="Comma 4 2 4 3 2 8" xfId="13968"/>
    <cellStyle name="Comma 4 2 4 3 3" xfId="4597"/>
    <cellStyle name="Comma 4 2 4 3 3 2" xfId="11707"/>
    <cellStyle name="Comma 4 2 4 3 3 2 2" xfId="18246"/>
    <cellStyle name="Comma 4 2 4 3 3 3" xfId="15394"/>
    <cellStyle name="Comma 4 2 4 3 4" xfId="6869"/>
    <cellStyle name="Comma 4 2 4 3 4 2" xfId="12278"/>
    <cellStyle name="Comma 4 2 4 3 4 2 2" xfId="18817"/>
    <cellStyle name="Comma 4 2 4 3 4 3" xfId="15965"/>
    <cellStyle name="Comma 4 2 4 3 5" xfId="9141"/>
    <cellStyle name="Comma 4 2 4 3 5 2" xfId="12849"/>
    <cellStyle name="Comma 4 2 4 3 5 2 2" xfId="19388"/>
    <cellStyle name="Comma 4 2 4 3 5 3" xfId="16536"/>
    <cellStyle name="Comma 4 2 4 3 6" xfId="3179"/>
    <cellStyle name="Comma 4 2 4 3 6 2" xfId="11136"/>
    <cellStyle name="Comma 4 2 4 3 6 2 2" xfId="17675"/>
    <cellStyle name="Comma 4 2 4 3 6 3" xfId="14823"/>
    <cellStyle name="Comma 4 2 4 3 7" xfId="2606"/>
    <cellStyle name="Comma 4 2 4 3 7 2" xfId="14254"/>
    <cellStyle name="Comma 4 2 4 3 8" xfId="10567"/>
    <cellStyle name="Comma 4 2 4 3 8 2" xfId="17106"/>
    <cellStyle name="Comma 4 2 4 3 9" xfId="13683"/>
    <cellStyle name="Comma 4 2 4 4" xfId="723"/>
    <cellStyle name="Comma 4 2 4 4 2" xfId="1858"/>
    <cellStyle name="Comma 4 2 4 4 2 2" xfId="5278"/>
    <cellStyle name="Comma 4 2 4 4 2 2 2" xfId="11878"/>
    <cellStyle name="Comma 4 2 4 4 2 2 2 2" xfId="18417"/>
    <cellStyle name="Comma 4 2 4 4 2 2 3" xfId="15565"/>
    <cellStyle name="Comma 4 2 4 4 2 3" xfId="7550"/>
    <cellStyle name="Comma 4 2 4 4 2 3 2" xfId="12449"/>
    <cellStyle name="Comma 4 2 4 4 2 3 2 2" xfId="18988"/>
    <cellStyle name="Comma 4 2 4 4 2 3 3" xfId="16136"/>
    <cellStyle name="Comma 4 2 4 4 2 4" xfId="9822"/>
    <cellStyle name="Comma 4 2 4 4 2 4 2" xfId="13020"/>
    <cellStyle name="Comma 4 2 4 4 2 4 2 2" xfId="19559"/>
    <cellStyle name="Comma 4 2 4 4 2 4 3" xfId="16707"/>
    <cellStyle name="Comma 4 2 4 4 2 5" xfId="3350"/>
    <cellStyle name="Comma 4 2 4 4 2 5 2" xfId="11307"/>
    <cellStyle name="Comma 4 2 4 4 2 5 2 2" xfId="17846"/>
    <cellStyle name="Comma 4 2 4 4 2 5 3" xfId="14994"/>
    <cellStyle name="Comma 4 2 4 4 2 6" xfId="2774"/>
    <cellStyle name="Comma 4 2 4 4 2 6 2" xfId="14422"/>
    <cellStyle name="Comma 4 2 4 4 2 7" xfId="10735"/>
    <cellStyle name="Comma 4 2 4 4 2 7 2" xfId="17274"/>
    <cellStyle name="Comma 4 2 4 4 2 8" xfId="13854"/>
    <cellStyle name="Comma 4 2 4 4 3" xfId="4143"/>
    <cellStyle name="Comma 4 2 4 4 3 2" xfId="11593"/>
    <cellStyle name="Comma 4 2 4 4 3 2 2" xfId="18132"/>
    <cellStyle name="Comma 4 2 4 4 3 3" xfId="15280"/>
    <cellStyle name="Comma 4 2 4 4 4" xfId="6415"/>
    <cellStyle name="Comma 4 2 4 4 4 2" xfId="12164"/>
    <cellStyle name="Comma 4 2 4 4 4 2 2" xfId="18703"/>
    <cellStyle name="Comma 4 2 4 4 4 3" xfId="15851"/>
    <cellStyle name="Comma 4 2 4 4 5" xfId="8687"/>
    <cellStyle name="Comma 4 2 4 4 5 2" xfId="12735"/>
    <cellStyle name="Comma 4 2 4 4 5 2 2" xfId="19274"/>
    <cellStyle name="Comma 4 2 4 4 5 3" xfId="16422"/>
    <cellStyle name="Comma 4 2 4 4 6" xfId="3065"/>
    <cellStyle name="Comma 4 2 4 4 6 2" xfId="11022"/>
    <cellStyle name="Comma 4 2 4 4 6 2 2" xfId="17561"/>
    <cellStyle name="Comma 4 2 4 4 6 3" xfId="14709"/>
    <cellStyle name="Comma 4 2 4 4 7" xfId="2494"/>
    <cellStyle name="Comma 4 2 4 4 7 2" xfId="14142"/>
    <cellStyle name="Comma 4 2 4 4 8" xfId="10455"/>
    <cellStyle name="Comma 4 2 4 4 8 2" xfId="16994"/>
    <cellStyle name="Comma 4 2 4 4 9" xfId="13569"/>
    <cellStyle name="Comma 4 2 4 5" xfId="1404"/>
    <cellStyle name="Comma 4 2 4 5 2" xfId="4824"/>
    <cellStyle name="Comma 4 2 4 5 2 2" xfId="11764"/>
    <cellStyle name="Comma 4 2 4 5 2 2 2" xfId="18303"/>
    <cellStyle name="Comma 4 2 4 5 2 3" xfId="15451"/>
    <cellStyle name="Comma 4 2 4 5 3" xfId="7096"/>
    <cellStyle name="Comma 4 2 4 5 3 2" xfId="12335"/>
    <cellStyle name="Comma 4 2 4 5 3 2 2" xfId="18874"/>
    <cellStyle name="Comma 4 2 4 5 3 3" xfId="16022"/>
    <cellStyle name="Comma 4 2 4 5 4" xfId="9368"/>
    <cellStyle name="Comma 4 2 4 5 4 2" xfId="12906"/>
    <cellStyle name="Comma 4 2 4 5 4 2 2" xfId="19445"/>
    <cellStyle name="Comma 4 2 4 5 4 3" xfId="16593"/>
    <cellStyle name="Comma 4 2 4 5 5" xfId="3236"/>
    <cellStyle name="Comma 4 2 4 5 5 2" xfId="11193"/>
    <cellStyle name="Comma 4 2 4 5 5 2 2" xfId="17732"/>
    <cellStyle name="Comma 4 2 4 5 5 3" xfId="14880"/>
    <cellStyle name="Comma 4 2 4 5 6" xfId="2662"/>
    <cellStyle name="Comma 4 2 4 5 6 2" xfId="14310"/>
    <cellStyle name="Comma 4 2 4 5 7" xfId="10623"/>
    <cellStyle name="Comma 4 2 4 5 7 2" xfId="17162"/>
    <cellStyle name="Comma 4 2 4 5 8" xfId="13740"/>
    <cellStyle name="Comma 4 2 4 6" xfId="3689"/>
    <cellStyle name="Comma 4 2 4 6 2" xfId="11479"/>
    <cellStyle name="Comma 4 2 4 6 2 2" xfId="18018"/>
    <cellStyle name="Comma 4 2 4 6 3" xfId="15166"/>
    <cellStyle name="Comma 4 2 4 7" xfId="5961"/>
    <cellStyle name="Comma 4 2 4 7 2" xfId="12050"/>
    <cellStyle name="Comma 4 2 4 7 2 2" xfId="18589"/>
    <cellStyle name="Comma 4 2 4 7 3" xfId="15737"/>
    <cellStyle name="Comma 4 2 4 8" xfId="8233"/>
    <cellStyle name="Comma 4 2 4 8 2" xfId="12621"/>
    <cellStyle name="Comma 4 2 4 8 2 2" xfId="19160"/>
    <cellStyle name="Comma 4 2 4 8 3" xfId="16308"/>
    <cellStyle name="Comma 4 2 4 9" xfId="2951"/>
    <cellStyle name="Comma 4 2 4 9 2" xfId="10908"/>
    <cellStyle name="Comma 4 2 4 9 2 2" xfId="17447"/>
    <cellStyle name="Comma 4 2 4 9 3" xfId="14595"/>
    <cellStyle name="Comma 4 2 5" xfId="325"/>
    <cellStyle name="Comma 4 2 5 10" xfId="13469"/>
    <cellStyle name="Comma 4 2 5 2" xfId="779"/>
    <cellStyle name="Comma 4 2 5 2 2" xfId="1914"/>
    <cellStyle name="Comma 4 2 5 2 2 2" xfId="5334"/>
    <cellStyle name="Comma 4 2 5 2 2 2 2" xfId="11892"/>
    <cellStyle name="Comma 4 2 5 2 2 2 2 2" xfId="18431"/>
    <cellStyle name="Comma 4 2 5 2 2 2 3" xfId="15579"/>
    <cellStyle name="Comma 4 2 5 2 2 3" xfId="7606"/>
    <cellStyle name="Comma 4 2 5 2 2 3 2" xfId="12463"/>
    <cellStyle name="Comma 4 2 5 2 2 3 2 2" xfId="19002"/>
    <cellStyle name="Comma 4 2 5 2 2 3 3" xfId="16150"/>
    <cellStyle name="Comma 4 2 5 2 2 4" xfId="9878"/>
    <cellStyle name="Comma 4 2 5 2 2 4 2" xfId="13034"/>
    <cellStyle name="Comma 4 2 5 2 2 4 2 2" xfId="19573"/>
    <cellStyle name="Comma 4 2 5 2 2 4 3" xfId="16721"/>
    <cellStyle name="Comma 4 2 5 2 2 5" xfId="3364"/>
    <cellStyle name="Comma 4 2 5 2 2 5 2" xfId="11321"/>
    <cellStyle name="Comma 4 2 5 2 2 5 2 2" xfId="17860"/>
    <cellStyle name="Comma 4 2 5 2 2 5 3" xfId="15008"/>
    <cellStyle name="Comma 4 2 5 2 2 6" xfId="2788"/>
    <cellStyle name="Comma 4 2 5 2 2 6 2" xfId="14436"/>
    <cellStyle name="Comma 4 2 5 2 2 7" xfId="10749"/>
    <cellStyle name="Comma 4 2 5 2 2 7 2" xfId="17288"/>
    <cellStyle name="Comma 4 2 5 2 2 8" xfId="13868"/>
    <cellStyle name="Comma 4 2 5 2 3" xfId="4199"/>
    <cellStyle name="Comma 4 2 5 2 3 2" xfId="11607"/>
    <cellStyle name="Comma 4 2 5 2 3 2 2" xfId="18146"/>
    <cellStyle name="Comma 4 2 5 2 3 3" xfId="15294"/>
    <cellStyle name="Comma 4 2 5 2 4" xfId="6471"/>
    <cellStyle name="Comma 4 2 5 2 4 2" xfId="12178"/>
    <cellStyle name="Comma 4 2 5 2 4 2 2" xfId="18717"/>
    <cellStyle name="Comma 4 2 5 2 4 3" xfId="15865"/>
    <cellStyle name="Comma 4 2 5 2 5" xfId="8743"/>
    <cellStyle name="Comma 4 2 5 2 5 2" xfId="12749"/>
    <cellStyle name="Comma 4 2 5 2 5 2 2" xfId="19288"/>
    <cellStyle name="Comma 4 2 5 2 5 3" xfId="16436"/>
    <cellStyle name="Comma 4 2 5 2 6" xfId="3079"/>
    <cellStyle name="Comma 4 2 5 2 6 2" xfId="11036"/>
    <cellStyle name="Comma 4 2 5 2 6 2 2" xfId="17575"/>
    <cellStyle name="Comma 4 2 5 2 6 3" xfId="14723"/>
    <cellStyle name="Comma 4 2 5 2 7" xfId="2508"/>
    <cellStyle name="Comma 4 2 5 2 7 2" xfId="14156"/>
    <cellStyle name="Comma 4 2 5 2 8" xfId="10469"/>
    <cellStyle name="Comma 4 2 5 2 8 2" xfId="17008"/>
    <cellStyle name="Comma 4 2 5 2 9" xfId="13583"/>
    <cellStyle name="Comma 4 2 5 3" xfId="1460"/>
    <cellStyle name="Comma 4 2 5 3 2" xfId="4880"/>
    <cellStyle name="Comma 4 2 5 3 2 2" xfId="11778"/>
    <cellStyle name="Comma 4 2 5 3 2 2 2" xfId="18317"/>
    <cellStyle name="Comma 4 2 5 3 2 3" xfId="15465"/>
    <cellStyle name="Comma 4 2 5 3 3" xfId="7152"/>
    <cellStyle name="Comma 4 2 5 3 3 2" xfId="12349"/>
    <cellStyle name="Comma 4 2 5 3 3 2 2" xfId="18888"/>
    <cellStyle name="Comma 4 2 5 3 3 3" xfId="16036"/>
    <cellStyle name="Comma 4 2 5 3 4" xfId="9424"/>
    <cellStyle name="Comma 4 2 5 3 4 2" xfId="12920"/>
    <cellStyle name="Comma 4 2 5 3 4 2 2" xfId="19459"/>
    <cellStyle name="Comma 4 2 5 3 4 3" xfId="16607"/>
    <cellStyle name="Comma 4 2 5 3 5" xfId="3250"/>
    <cellStyle name="Comma 4 2 5 3 5 2" xfId="11207"/>
    <cellStyle name="Comma 4 2 5 3 5 2 2" xfId="17746"/>
    <cellStyle name="Comma 4 2 5 3 5 3" xfId="14894"/>
    <cellStyle name="Comma 4 2 5 3 6" xfId="2676"/>
    <cellStyle name="Comma 4 2 5 3 6 2" xfId="14324"/>
    <cellStyle name="Comma 4 2 5 3 7" xfId="10637"/>
    <cellStyle name="Comma 4 2 5 3 7 2" xfId="17176"/>
    <cellStyle name="Comma 4 2 5 3 8" xfId="13754"/>
    <cellStyle name="Comma 4 2 5 4" xfId="3745"/>
    <cellStyle name="Comma 4 2 5 4 2" xfId="11493"/>
    <cellStyle name="Comma 4 2 5 4 2 2" xfId="18032"/>
    <cellStyle name="Comma 4 2 5 4 3" xfId="15180"/>
    <cellStyle name="Comma 4 2 5 5" xfId="6017"/>
    <cellStyle name="Comma 4 2 5 5 2" xfId="12064"/>
    <cellStyle name="Comma 4 2 5 5 2 2" xfId="18603"/>
    <cellStyle name="Comma 4 2 5 5 3" xfId="15751"/>
    <cellStyle name="Comma 4 2 5 6" xfId="8289"/>
    <cellStyle name="Comma 4 2 5 6 2" xfId="12635"/>
    <cellStyle name="Comma 4 2 5 6 2 2" xfId="19174"/>
    <cellStyle name="Comma 4 2 5 6 3" xfId="16322"/>
    <cellStyle name="Comma 4 2 5 7" xfId="2965"/>
    <cellStyle name="Comma 4 2 5 7 2" xfId="10922"/>
    <cellStyle name="Comma 4 2 5 7 2 2" xfId="17461"/>
    <cellStyle name="Comma 4 2 5 7 3" xfId="14609"/>
    <cellStyle name="Comma 4 2 5 8" xfId="2396"/>
    <cellStyle name="Comma 4 2 5 8 2" xfId="14044"/>
    <cellStyle name="Comma 4 2 5 9" xfId="10357"/>
    <cellStyle name="Comma 4 2 5 9 2" xfId="16896"/>
    <cellStyle name="Comma 4 2 6" xfId="1006"/>
    <cellStyle name="Comma 4 2 6 2" xfId="2141"/>
    <cellStyle name="Comma 4 2 6 2 2" xfId="5561"/>
    <cellStyle name="Comma 4 2 6 2 2 2" xfId="11949"/>
    <cellStyle name="Comma 4 2 6 2 2 2 2" xfId="18488"/>
    <cellStyle name="Comma 4 2 6 2 2 3" xfId="15636"/>
    <cellStyle name="Comma 4 2 6 2 3" xfId="7833"/>
    <cellStyle name="Comma 4 2 6 2 3 2" xfId="12520"/>
    <cellStyle name="Comma 4 2 6 2 3 2 2" xfId="19059"/>
    <cellStyle name="Comma 4 2 6 2 3 3" xfId="16207"/>
    <cellStyle name="Comma 4 2 6 2 4" xfId="10105"/>
    <cellStyle name="Comma 4 2 6 2 4 2" xfId="13091"/>
    <cellStyle name="Comma 4 2 6 2 4 2 2" xfId="19630"/>
    <cellStyle name="Comma 4 2 6 2 4 3" xfId="16778"/>
    <cellStyle name="Comma 4 2 6 2 5" xfId="3421"/>
    <cellStyle name="Comma 4 2 6 2 5 2" xfId="11378"/>
    <cellStyle name="Comma 4 2 6 2 5 2 2" xfId="17917"/>
    <cellStyle name="Comma 4 2 6 2 5 3" xfId="15065"/>
    <cellStyle name="Comma 4 2 6 2 6" xfId="2844"/>
    <cellStyle name="Comma 4 2 6 2 6 2" xfId="14492"/>
    <cellStyle name="Comma 4 2 6 2 7" xfId="10805"/>
    <cellStyle name="Comma 4 2 6 2 7 2" xfId="17344"/>
    <cellStyle name="Comma 4 2 6 2 8" xfId="13925"/>
    <cellStyle name="Comma 4 2 6 3" xfId="4426"/>
    <cellStyle name="Comma 4 2 6 3 2" xfId="11664"/>
    <cellStyle name="Comma 4 2 6 3 2 2" xfId="18203"/>
    <cellStyle name="Comma 4 2 6 3 3" xfId="15351"/>
    <cellStyle name="Comma 4 2 6 4" xfId="6698"/>
    <cellStyle name="Comma 4 2 6 4 2" xfId="12235"/>
    <cellStyle name="Comma 4 2 6 4 2 2" xfId="18774"/>
    <cellStyle name="Comma 4 2 6 4 3" xfId="15922"/>
    <cellStyle name="Comma 4 2 6 5" xfId="8970"/>
    <cellStyle name="Comma 4 2 6 5 2" xfId="12806"/>
    <cellStyle name="Comma 4 2 6 5 2 2" xfId="19345"/>
    <cellStyle name="Comma 4 2 6 5 3" xfId="16493"/>
    <cellStyle name="Comma 4 2 6 6" xfId="3136"/>
    <cellStyle name="Comma 4 2 6 6 2" xfId="11093"/>
    <cellStyle name="Comma 4 2 6 6 2 2" xfId="17632"/>
    <cellStyle name="Comma 4 2 6 6 3" xfId="14780"/>
    <cellStyle name="Comma 4 2 6 7" xfId="2564"/>
    <cellStyle name="Comma 4 2 6 7 2" xfId="14212"/>
    <cellStyle name="Comma 4 2 6 8" xfId="10525"/>
    <cellStyle name="Comma 4 2 6 8 2" xfId="17064"/>
    <cellStyle name="Comma 4 2 6 9" xfId="13640"/>
    <cellStyle name="Comma 4 2 7" xfId="552"/>
    <cellStyle name="Comma 4 2 7 2" xfId="1687"/>
    <cellStyle name="Comma 4 2 7 2 2" xfId="5107"/>
    <cellStyle name="Comma 4 2 7 2 2 2" xfId="11835"/>
    <cellStyle name="Comma 4 2 7 2 2 2 2" xfId="18374"/>
    <cellStyle name="Comma 4 2 7 2 2 3" xfId="15522"/>
    <cellStyle name="Comma 4 2 7 2 3" xfId="7379"/>
    <cellStyle name="Comma 4 2 7 2 3 2" xfId="12406"/>
    <cellStyle name="Comma 4 2 7 2 3 2 2" xfId="18945"/>
    <cellStyle name="Comma 4 2 7 2 3 3" xfId="16093"/>
    <cellStyle name="Comma 4 2 7 2 4" xfId="9651"/>
    <cellStyle name="Comma 4 2 7 2 4 2" xfId="12977"/>
    <cellStyle name="Comma 4 2 7 2 4 2 2" xfId="19516"/>
    <cellStyle name="Comma 4 2 7 2 4 3" xfId="16664"/>
    <cellStyle name="Comma 4 2 7 2 5" xfId="3307"/>
    <cellStyle name="Comma 4 2 7 2 5 2" xfId="11264"/>
    <cellStyle name="Comma 4 2 7 2 5 2 2" xfId="17803"/>
    <cellStyle name="Comma 4 2 7 2 5 3" xfId="14951"/>
    <cellStyle name="Comma 4 2 7 2 6" xfId="2732"/>
    <cellStyle name="Comma 4 2 7 2 6 2" xfId="14380"/>
    <cellStyle name="Comma 4 2 7 2 7" xfId="10693"/>
    <cellStyle name="Comma 4 2 7 2 7 2" xfId="17232"/>
    <cellStyle name="Comma 4 2 7 2 8" xfId="13811"/>
    <cellStyle name="Comma 4 2 7 3" xfId="3972"/>
    <cellStyle name="Comma 4 2 7 3 2" xfId="11550"/>
    <cellStyle name="Comma 4 2 7 3 2 2" xfId="18089"/>
    <cellStyle name="Comma 4 2 7 3 3" xfId="15237"/>
    <cellStyle name="Comma 4 2 7 4" xfId="6244"/>
    <cellStyle name="Comma 4 2 7 4 2" xfId="12121"/>
    <cellStyle name="Comma 4 2 7 4 2 2" xfId="18660"/>
    <cellStyle name="Comma 4 2 7 4 3" xfId="15808"/>
    <cellStyle name="Comma 4 2 7 5" xfId="8516"/>
    <cellStyle name="Comma 4 2 7 5 2" xfId="12692"/>
    <cellStyle name="Comma 4 2 7 5 2 2" xfId="19231"/>
    <cellStyle name="Comma 4 2 7 5 3" xfId="16379"/>
    <cellStyle name="Comma 4 2 7 6" xfId="3022"/>
    <cellStyle name="Comma 4 2 7 6 2" xfId="10979"/>
    <cellStyle name="Comma 4 2 7 6 2 2" xfId="17518"/>
    <cellStyle name="Comma 4 2 7 6 3" xfId="14666"/>
    <cellStyle name="Comma 4 2 7 7" xfId="2452"/>
    <cellStyle name="Comma 4 2 7 7 2" xfId="14100"/>
    <cellStyle name="Comma 4 2 7 8" xfId="10413"/>
    <cellStyle name="Comma 4 2 7 8 2" xfId="16952"/>
    <cellStyle name="Comma 4 2 7 9" xfId="13526"/>
    <cellStyle name="Comma 4 2 8" xfId="1233"/>
    <cellStyle name="Comma 4 2 8 2" xfId="4653"/>
    <cellStyle name="Comma 4 2 8 2 2" xfId="11721"/>
    <cellStyle name="Comma 4 2 8 2 2 2" xfId="18260"/>
    <cellStyle name="Comma 4 2 8 2 3" xfId="15408"/>
    <cellStyle name="Comma 4 2 8 3" xfId="6925"/>
    <cellStyle name="Comma 4 2 8 3 2" xfId="12292"/>
    <cellStyle name="Comma 4 2 8 3 2 2" xfId="18831"/>
    <cellStyle name="Comma 4 2 8 3 3" xfId="15979"/>
    <cellStyle name="Comma 4 2 8 4" xfId="9197"/>
    <cellStyle name="Comma 4 2 8 4 2" xfId="12863"/>
    <cellStyle name="Comma 4 2 8 4 2 2" xfId="19402"/>
    <cellStyle name="Comma 4 2 8 4 3" xfId="16550"/>
    <cellStyle name="Comma 4 2 8 5" xfId="3193"/>
    <cellStyle name="Comma 4 2 8 5 2" xfId="11150"/>
    <cellStyle name="Comma 4 2 8 5 2 2" xfId="17689"/>
    <cellStyle name="Comma 4 2 8 5 3" xfId="14837"/>
    <cellStyle name="Comma 4 2 8 6" xfId="2620"/>
    <cellStyle name="Comma 4 2 8 6 2" xfId="14268"/>
    <cellStyle name="Comma 4 2 8 7" xfId="10581"/>
    <cellStyle name="Comma 4 2 8 7 2" xfId="17120"/>
    <cellStyle name="Comma 4 2 8 8" xfId="13697"/>
    <cellStyle name="Comma 4 2 9" xfId="3518"/>
    <cellStyle name="Comma 4 2 9 2" xfId="11436"/>
    <cellStyle name="Comma 4 2 9 2 2" xfId="17975"/>
    <cellStyle name="Comma 4 2 9 3" xfId="15123"/>
    <cellStyle name="Comma 4 20" xfId="19779"/>
    <cellStyle name="Comma 4 21" xfId="19830"/>
    <cellStyle name="Comma 4 22" xfId="19886"/>
    <cellStyle name="Comma 4 3" xfId="171"/>
    <cellStyle name="Comma 4 3 10" xfId="2360"/>
    <cellStyle name="Comma 4 3 10 2" xfId="14008"/>
    <cellStyle name="Comma 4 3 11" xfId="10321"/>
    <cellStyle name="Comma 4 3 11 2" xfId="16860"/>
    <cellStyle name="Comma 4 3 12" xfId="13432"/>
    <cellStyle name="Comma 4 3 13" xfId="20092"/>
    <cellStyle name="Comma 4 3 2" xfId="409"/>
    <cellStyle name="Comma 4 3 2 10" xfId="13490"/>
    <cellStyle name="Comma 4 3 2 11" xfId="20256"/>
    <cellStyle name="Comma 4 3 2 2" xfId="863"/>
    <cellStyle name="Comma 4 3 2 2 2" xfId="1998"/>
    <cellStyle name="Comma 4 3 2 2 2 2" xfId="5418"/>
    <cellStyle name="Comma 4 3 2 2 2 2 2" xfId="11913"/>
    <cellStyle name="Comma 4 3 2 2 2 2 2 2" xfId="18452"/>
    <cellStyle name="Comma 4 3 2 2 2 2 3" xfId="15600"/>
    <cellStyle name="Comma 4 3 2 2 2 3" xfId="7690"/>
    <cellStyle name="Comma 4 3 2 2 2 3 2" xfId="12484"/>
    <cellStyle name="Comma 4 3 2 2 2 3 2 2" xfId="19023"/>
    <cellStyle name="Comma 4 3 2 2 2 3 3" xfId="16171"/>
    <cellStyle name="Comma 4 3 2 2 2 4" xfId="9962"/>
    <cellStyle name="Comma 4 3 2 2 2 4 2" xfId="13055"/>
    <cellStyle name="Comma 4 3 2 2 2 4 2 2" xfId="19594"/>
    <cellStyle name="Comma 4 3 2 2 2 4 3" xfId="16742"/>
    <cellStyle name="Comma 4 3 2 2 2 5" xfId="3385"/>
    <cellStyle name="Comma 4 3 2 2 2 5 2" xfId="11342"/>
    <cellStyle name="Comma 4 3 2 2 2 5 2 2" xfId="17881"/>
    <cellStyle name="Comma 4 3 2 2 2 5 3" xfId="15029"/>
    <cellStyle name="Comma 4 3 2 2 2 6" xfId="2809"/>
    <cellStyle name="Comma 4 3 2 2 2 6 2" xfId="14457"/>
    <cellStyle name="Comma 4 3 2 2 2 7" xfId="10770"/>
    <cellStyle name="Comma 4 3 2 2 2 7 2" xfId="17309"/>
    <cellStyle name="Comma 4 3 2 2 2 8" xfId="13889"/>
    <cellStyle name="Comma 4 3 2 2 3" xfId="4283"/>
    <cellStyle name="Comma 4 3 2 2 3 2" xfId="11628"/>
    <cellStyle name="Comma 4 3 2 2 3 2 2" xfId="18167"/>
    <cellStyle name="Comma 4 3 2 2 3 3" xfId="15315"/>
    <cellStyle name="Comma 4 3 2 2 4" xfId="6555"/>
    <cellStyle name="Comma 4 3 2 2 4 2" xfId="12199"/>
    <cellStyle name="Comma 4 3 2 2 4 2 2" xfId="18738"/>
    <cellStyle name="Comma 4 3 2 2 4 3" xfId="15886"/>
    <cellStyle name="Comma 4 3 2 2 5" xfId="8827"/>
    <cellStyle name="Comma 4 3 2 2 5 2" xfId="12770"/>
    <cellStyle name="Comma 4 3 2 2 5 2 2" xfId="19309"/>
    <cellStyle name="Comma 4 3 2 2 5 3" xfId="16457"/>
    <cellStyle name="Comma 4 3 2 2 6" xfId="3100"/>
    <cellStyle name="Comma 4 3 2 2 6 2" xfId="11057"/>
    <cellStyle name="Comma 4 3 2 2 6 2 2" xfId="17596"/>
    <cellStyle name="Comma 4 3 2 2 6 3" xfId="14744"/>
    <cellStyle name="Comma 4 3 2 2 7" xfId="2529"/>
    <cellStyle name="Comma 4 3 2 2 7 2" xfId="14177"/>
    <cellStyle name="Comma 4 3 2 2 8" xfId="10490"/>
    <cellStyle name="Comma 4 3 2 2 8 2" xfId="17029"/>
    <cellStyle name="Comma 4 3 2 2 9" xfId="13604"/>
    <cellStyle name="Comma 4 3 2 3" xfId="1544"/>
    <cellStyle name="Comma 4 3 2 3 2" xfId="4964"/>
    <cellStyle name="Comma 4 3 2 3 2 2" xfId="11799"/>
    <cellStyle name="Comma 4 3 2 3 2 2 2" xfId="18338"/>
    <cellStyle name="Comma 4 3 2 3 2 3" xfId="15486"/>
    <cellStyle name="Comma 4 3 2 3 3" xfId="7236"/>
    <cellStyle name="Comma 4 3 2 3 3 2" xfId="12370"/>
    <cellStyle name="Comma 4 3 2 3 3 2 2" xfId="18909"/>
    <cellStyle name="Comma 4 3 2 3 3 3" xfId="16057"/>
    <cellStyle name="Comma 4 3 2 3 4" xfId="9508"/>
    <cellStyle name="Comma 4 3 2 3 4 2" xfId="12941"/>
    <cellStyle name="Comma 4 3 2 3 4 2 2" xfId="19480"/>
    <cellStyle name="Comma 4 3 2 3 4 3" xfId="16628"/>
    <cellStyle name="Comma 4 3 2 3 5" xfId="3271"/>
    <cellStyle name="Comma 4 3 2 3 5 2" xfId="11228"/>
    <cellStyle name="Comma 4 3 2 3 5 2 2" xfId="17767"/>
    <cellStyle name="Comma 4 3 2 3 5 3" xfId="14915"/>
    <cellStyle name="Comma 4 3 2 3 6" xfId="2697"/>
    <cellStyle name="Comma 4 3 2 3 6 2" xfId="14345"/>
    <cellStyle name="Comma 4 3 2 3 7" xfId="10658"/>
    <cellStyle name="Comma 4 3 2 3 7 2" xfId="17197"/>
    <cellStyle name="Comma 4 3 2 3 8" xfId="13775"/>
    <cellStyle name="Comma 4 3 2 4" xfId="3829"/>
    <cellStyle name="Comma 4 3 2 4 2" xfId="11514"/>
    <cellStyle name="Comma 4 3 2 4 2 2" xfId="18053"/>
    <cellStyle name="Comma 4 3 2 4 3" xfId="15201"/>
    <cellStyle name="Comma 4 3 2 5" xfId="6101"/>
    <cellStyle name="Comma 4 3 2 5 2" xfId="12085"/>
    <cellStyle name="Comma 4 3 2 5 2 2" xfId="18624"/>
    <cellStyle name="Comma 4 3 2 5 3" xfId="15772"/>
    <cellStyle name="Comma 4 3 2 6" xfId="8373"/>
    <cellStyle name="Comma 4 3 2 6 2" xfId="12656"/>
    <cellStyle name="Comma 4 3 2 6 2 2" xfId="19195"/>
    <cellStyle name="Comma 4 3 2 6 3" xfId="16343"/>
    <cellStyle name="Comma 4 3 2 7" xfId="2986"/>
    <cellStyle name="Comma 4 3 2 7 2" xfId="10943"/>
    <cellStyle name="Comma 4 3 2 7 2 2" xfId="17482"/>
    <cellStyle name="Comma 4 3 2 7 3" xfId="14630"/>
    <cellStyle name="Comma 4 3 2 8" xfId="2417"/>
    <cellStyle name="Comma 4 3 2 8 2" xfId="14065"/>
    <cellStyle name="Comma 4 3 2 9" xfId="10378"/>
    <cellStyle name="Comma 4 3 2 9 2" xfId="16917"/>
    <cellStyle name="Comma 4 3 3" xfId="1090"/>
    <cellStyle name="Comma 4 3 3 10" xfId="20329"/>
    <cellStyle name="Comma 4 3 3 2" xfId="2225"/>
    <cellStyle name="Comma 4 3 3 2 2" xfId="5645"/>
    <cellStyle name="Comma 4 3 3 2 2 2" xfId="11970"/>
    <cellStyle name="Comma 4 3 3 2 2 2 2" xfId="18509"/>
    <cellStyle name="Comma 4 3 3 2 2 3" xfId="15657"/>
    <cellStyle name="Comma 4 3 3 2 3" xfId="7917"/>
    <cellStyle name="Comma 4 3 3 2 3 2" xfId="12541"/>
    <cellStyle name="Comma 4 3 3 2 3 2 2" xfId="19080"/>
    <cellStyle name="Comma 4 3 3 2 3 3" xfId="16228"/>
    <cellStyle name="Comma 4 3 3 2 4" xfId="10189"/>
    <cellStyle name="Comma 4 3 3 2 4 2" xfId="13112"/>
    <cellStyle name="Comma 4 3 3 2 4 2 2" xfId="19651"/>
    <cellStyle name="Comma 4 3 3 2 4 3" xfId="16799"/>
    <cellStyle name="Comma 4 3 3 2 5" xfId="3442"/>
    <cellStyle name="Comma 4 3 3 2 5 2" xfId="11399"/>
    <cellStyle name="Comma 4 3 3 2 5 2 2" xfId="17938"/>
    <cellStyle name="Comma 4 3 3 2 5 3" xfId="15086"/>
    <cellStyle name="Comma 4 3 3 2 6" xfId="2865"/>
    <cellStyle name="Comma 4 3 3 2 6 2" xfId="14513"/>
    <cellStyle name="Comma 4 3 3 2 7" xfId="10826"/>
    <cellStyle name="Comma 4 3 3 2 7 2" xfId="17365"/>
    <cellStyle name="Comma 4 3 3 2 8" xfId="13946"/>
    <cellStyle name="Comma 4 3 3 3" xfId="4510"/>
    <cellStyle name="Comma 4 3 3 3 2" xfId="11685"/>
    <cellStyle name="Comma 4 3 3 3 2 2" xfId="18224"/>
    <cellStyle name="Comma 4 3 3 3 3" xfId="15372"/>
    <cellStyle name="Comma 4 3 3 4" xfId="6782"/>
    <cellStyle name="Comma 4 3 3 4 2" xfId="12256"/>
    <cellStyle name="Comma 4 3 3 4 2 2" xfId="18795"/>
    <cellStyle name="Comma 4 3 3 4 3" xfId="15943"/>
    <cellStyle name="Comma 4 3 3 5" xfId="9054"/>
    <cellStyle name="Comma 4 3 3 5 2" xfId="12827"/>
    <cellStyle name="Comma 4 3 3 5 2 2" xfId="19366"/>
    <cellStyle name="Comma 4 3 3 5 3" xfId="16514"/>
    <cellStyle name="Comma 4 3 3 6" xfId="3157"/>
    <cellStyle name="Comma 4 3 3 6 2" xfId="11114"/>
    <cellStyle name="Comma 4 3 3 6 2 2" xfId="17653"/>
    <cellStyle name="Comma 4 3 3 6 3" xfId="14801"/>
    <cellStyle name="Comma 4 3 3 7" xfId="2585"/>
    <cellStyle name="Comma 4 3 3 7 2" xfId="14233"/>
    <cellStyle name="Comma 4 3 3 8" xfId="10546"/>
    <cellStyle name="Comma 4 3 3 8 2" xfId="17085"/>
    <cellStyle name="Comma 4 3 3 9" xfId="13661"/>
    <cellStyle name="Comma 4 3 4" xfId="636"/>
    <cellStyle name="Comma 4 3 4 2" xfId="1771"/>
    <cellStyle name="Comma 4 3 4 2 2" xfId="5191"/>
    <cellStyle name="Comma 4 3 4 2 2 2" xfId="11856"/>
    <cellStyle name="Comma 4 3 4 2 2 2 2" xfId="18395"/>
    <cellStyle name="Comma 4 3 4 2 2 3" xfId="15543"/>
    <cellStyle name="Comma 4 3 4 2 3" xfId="7463"/>
    <cellStyle name="Comma 4 3 4 2 3 2" xfId="12427"/>
    <cellStyle name="Comma 4 3 4 2 3 2 2" xfId="18966"/>
    <cellStyle name="Comma 4 3 4 2 3 3" xfId="16114"/>
    <cellStyle name="Comma 4 3 4 2 4" xfId="9735"/>
    <cellStyle name="Comma 4 3 4 2 4 2" xfId="12998"/>
    <cellStyle name="Comma 4 3 4 2 4 2 2" xfId="19537"/>
    <cellStyle name="Comma 4 3 4 2 4 3" xfId="16685"/>
    <cellStyle name="Comma 4 3 4 2 5" xfId="3328"/>
    <cellStyle name="Comma 4 3 4 2 5 2" xfId="11285"/>
    <cellStyle name="Comma 4 3 4 2 5 2 2" xfId="17824"/>
    <cellStyle name="Comma 4 3 4 2 5 3" xfId="14972"/>
    <cellStyle name="Comma 4 3 4 2 6" xfId="2753"/>
    <cellStyle name="Comma 4 3 4 2 6 2" xfId="14401"/>
    <cellStyle name="Comma 4 3 4 2 7" xfId="10714"/>
    <cellStyle name="Comma 4 3 4 2 7 2" xfId="17253"/>
    <cellStyle name="Comma 4 3 4 2 8" xfId="13832"/>
    <cellStyle name="Comma 4 3 4 3" xfId="4056"/>
    <cellStyle name="Comma 4 3 4 3 2" xfId="11571"/>
    <cellStyle name="Comma 4 3 4 3 2 2" xfId="18110"/>
    <cellStyle name="Comma 4 3 4 3 3" xfId="15258"/>
    <cellStyle name="Comma 4 3 4 4" xfId="6328"/>
    <cellStyle name="Comma 4 3 4 4 2" xfId="12142"/>
    <cellStyle name="Comma 4 3 4 4 2 2" xfId="18681"/>
    <cellStyle name="Comma 4 3 4 4 3" xfId="15829"/>
    <cellStyle name="Comma 4 3 4 5" xfId="8600"/>
    <cellStyle name="Comma 4 3 4 5 2" xfId="12713"/>
    <cellStyle name="Comma 4 3 4 5 2 2" xfId="19252"/>
    <cellStyle name="Comma 4 3 4 5 3" xfId="16400"/>
    <cellStyle name="Comma 4 3 4 6" xfId="3043"/>
    <cellStyle name="Comma 4 3 4 6 2" xfId="11000"/>
    <cellStyle name="Comma 4 3 4 6 2 2" xfId="17539"/>
    <cellStyle name="Comma 4 3 4 6 3" xfId="14687"/>
    <cellStyle name="Comma 4 3 4 7" xfId="2473"/>
    <cellStyle name="Comma 4 3 4 7 2" xfId="14121"/>
    <cellStyle name="Comma 4 3 4 8" xfId="10434"/>
    <cellStyle name="Comma 4 3 4 8 2" xfId="16973"/>
    <cellStyle name="Comma 4 3 4 9" xfId="13547"/>
    <cellStyle name="Comma 4 3 5" xfId="1317"/>
    <cellStyle name="Comma 4 3 5 2" xfId="4737"/>
    <cellStyle name="Comma 4 3 5 2 2" xfId="11742"/>
    <cellStyle name="Comma 4 3 5 2 2 2" xfId="18281"/>
    <cellStyle name="Comma 4 3 5 2 3" xfId="15429"/>
    <cellStyle name="Comma 4 3 5 3" xfId="7009"/>
    <cellStyle name="Comma 4 3 5 3 2" xfId="12313"/>
    <cellStyle name="Comma 4 3 5 3 2 2" xfId="18852"/>
    <cellStyle name="Comma 4 3 5 3 3" xfId="16000"/>
    <cellStyle name="Comma 4 3 5 4" xfId="9281"/>
    <cellStyle name="Comma 4 3 5 4 2" xfId="12884"/>
    <cellStyle name="Comma 4 3 5 4 2 2" xfId="19423"/>
    <cellStyle name="Comma 4 3 5 4 3" xfId="16571"/>
    <cellStyle name="Comma 4 3 5 5" xfId="3214"/>
    <cellStyle name="Comma 4 3 5 5 2" xfId="11171"/>
    <cellStyle name="Comma 4 3 5 5 2 2" xfId="17710"/>
    <cellStyle name="Comma 4 3 5 5 3" xfId="14858"/>
    <cellStyle name="Comma 4 3 5 6" xfId="2641"/>
    <cellStyle name="Comma 4 3 5 6 2" xfId="14289"/>
    <cellStyle name="Comma 4 3 5 7" xfId="10602"/>
    <cellStyle name="Comma 4 3 5 7 2" xfId="17141"/>
    <cellStyle name="Comma 4 3 5 8" xfId="13718"/>
    <cellStyle name="Comma 4 3 6" xfId="3602"/>
    <cellStyle name="Comma 4 3 6 2" xfId="11457"/>
    <cellStyle name="Comma 4 3 6 2 2" xfId="17996"/>
    <cellStyle name="Comma 4 3 6 3" xfId="15144"/>
    <cellStyle name="Comma 4 3 7" xfId="5874"/>
    <cellStyle name="Comma 4 3 7 2" xfId="12028"/>
    <cellStyle name="Comma 4 3 7 2 2" xfId="18567"/>
    <cellStyle name="Comma 4 3 7 3" xfId="15715"/>
    <cellStyle name="Comma 4 3 8" xfId="8146"/>
    <cellStyle name="Comma 4 3 8 2" xfId="12599"/>
    <cellStyle name="Comma 4 3 8 2 2" xfId="19138"/>
    <cellStyle name="Comma 4 3 8 3" xfId="16286"/>
    <cellStyle name="Comma 4 3 9" xfId="2926"/>
    <cellStyle name="Comma 4 3 9 2" xfId="10885"/>
    <cellStyle name="Comma 4 3 9 2 2" xfId="17424"/>
    <cellStyle name="Comma 4 3 9 3" xfId="14572"/>
    <cellStyle name="Comma 4 4" xfId="115"/>
    <cellStyle name="Comma 4 4 10" xfId="2346"/>
    <cellStyle name="Comma 4 4 10 2" xfId="13994"/>
    <cellStyle name="Comma 4 4 11" xfId="10307"/>
    <cellStyle name="Comma 4 4 11 2" xfId="16846"/>
    <cellStyle name="Comma 4 4 12" xfId="13418"/>
    <cellStyle name="Comma 4 4 13" xfId="20093"/>
    <cellStyle name="Comma 4 4 2" xfId="353"/>
    <cellStyle name="Comma 4 4 2 10" xfId="13476"/>
    <cellStyle name="Comma 4 4 2 11" xfId="20257"/>
    <cellStyle name="Comma 4 4 2 2" xfId="807"/>
    <cellStyle name="Comma 4 4 2 2 2" xfId="1942"/>
    <cellStyle name="Comma 4 4 2 2 2 2" xfId="5362"/>
    <cellStyle name="Comma 4 4 2 2 2 2 2" xfId="11899"/>
    <cellStyle name="Comma 4 4 2 2 2 2 2 2" xfId="18438"/>
    <cellStyle name="Comma 4 4 2 2 2 2 3" xfId="15586"/>
    <cellStyle name="Comma 4 4 2 2 2 3" xfId="7634"/>
    <cellStyle name="Comma 4 4 2 2 2 3 2" xfId="12470"/>
    <cellStyle name="Comma 4 4 2 2 2 3 2 2" xfId="19009"/>
    <cellStyle name="Comma 4 4 2 2 2 3 3" xfId="16157"/>
    <cellStyle name="Comma 4 4 2 2 2 4" xfId="9906"/>
    <cellStyle name="Comma 4 4 2 2 2 4 2" xfId="13041"/>
    <cellStyle name="Comma 4 4 2 2 2 4 2 2" xfId="19580"/>
    <cellStyle name="Comma 4 4 2 2 2 4 3" xfId="16728"/>
    <cellStyle name="Comma 4 4 2 2 2 5" xfId="3371"/>
    <cellStyle name="Comma 4 4 2 2 2 5 2" xfId="11328"/>
    <cellStyle name="Comma 4 4 2 2 2 5 2 2" xfId="17867"/>
    <cellStyle name="Comma 4 4 2 2 2 5 3" xfId="15015"/>
    <cellStyle name="Comma 4 4 2 2 2 6" xfId="2795"/>
    <cellStyle name="Comma 4 4 2 2 2 6 2" xfId="14443"/>
    <cellStyle name="Comma 4 4 2 2 2 7" xfId="10756"/>
    <cellStyle name="Comma 4 4 2 2 2 7 2" xfId="17295"/>
    <cellStyle name="Comma 4 4 2 2 2 8" xfId="13875"/>
    <cellStyle name="Comma 4 4 2 2 3" xfId="4227"/>
    <cellStyle name="Comma 4 4 2 2 3 2" xfId="11614"/>
    <cellStyle name="Comma 4 4 2 2 3 2 2" xfId="18153"/>
    <cellStyle name="Comma 4 4 2 2 3 3" xfId="15301"/>
    <cellStyle name="Comma 4 4 2 2 4" xfId="6499"/>
    <cellStyle name="Comma 4 4 2 2 4 2" xfId="12185"/>
    <cellStyle name="Comma 4 4 2 2 4 2 2" xfId="18724"/>
    <cellStyle name="Comma 4 4 2 2 4 3" xfId="15872"/>
    <cellStyle name="Comma 4 4 2 2 5" xfId="8771"/>
    <cellStyle name="Comma 4 4 2 2 5 2" xfId="12756"/>
    <cellStyle name="Comma 4 4 2 2 5 2 2" xfId="19295"/>
    <cellStyle name="Comma 4 4 2 2 5 3" xfId="16443"/>
    <cellStyle name="Comma 4 4 2 2 6" xfId="3086"/>
    <cellStyle name="Comma 4 4 2 2 6 2" xfId="11043"/>
    <cellStyle name="Comma 4 4 2 2 6 2 2" xfId="17582"/>
    <cellStyle name="Comma 4 4 2 2 6 3" xfId="14730"/>
    <cellStyle name="Comma 4 4 2 2 7" xfId="2515"/>
    <cellStyle name="Comma 4 4 2 2 7 2" xfId="14163"/>
    <cellStyle name="Comma 4 4 2 2 8" xfId="10476"/>
    <cellStyle name="Comma 4 4 2 2 8 2" xfId="17015"/>
    <cellStyle name="Comma 4 4 2 2 9" xfId="13590"/>
    <cellStyle name="Comma 4 4 2 3" xfId="1488"/>
    <cellStyle name="Comma 4 4 2 3 2" xfId="4908"/>
    <cellStyle name="Comma 4 4 2 3 2 2" xfId="11785"/>
    <cellStyle name="Comma 4 4 2 3 2 2 2" xfId="18324"/>
    <cellStyle name="Comma 4 4 2 3 2 3" xfId="15472"/>
    <cellStyle name="Comma 4 4 2 3 3" xfId="7180"/>
    <cellStyle name="Comma 4 4 2 3 3 2" xfId="12356"/>
    <cellStyle name="Comma 4 4 2 3 3 2 2" xfId="18895"/>
    <cellStyle name="Comma 4 4 2 3 3 3" xfId="16043"/>
    <cellStyle name="Comma 4 4 2 3 4" xfId="9452"/>
    <cellStyle name="Comma 4 4 2 3 4 2" xfId="12927"/>
    <cellStyle name="Comma 4 4 2 3 4 2 2" xfId="19466"/>
    <cellStyle name="Comma 4 4 2 3 4 3" xfId="16614"/>
    <cellStyle name="Comma 4 4 2 3 5" xfId="3257"/>
    <cellStyle name="Comma 4 4 2 3 5 2" xfId="11214"/>
    <cellStyle name="Comma 4 4 2 3 5 2 2" xfId="17753"/>
    <cellStyle name="Comma 4 4 2 3 5 3" xfId="14901"/>
    <cellStyle name="Comma 4 4 2 3 6" xfId="2683"/>
    <cellStyle name="Comma 4 4 2 3 6 2" xfId="14331"/>
    <cellStyle name="Comma 4 4 2 3 7" xfId="10644"/>
    <cellStyle name="Comma 4 4 2 3 7 2" xfId="17183"/>
    <cellStyle name="Comma 4 4 2 3 8" xfId="13761"/>
    <cellStyle name="Comma 4 4 2 4" xfId="3773"/>
    <cellStyle name="Comma 4 4 2 4 2" xfId="11500"/>
    <cellStyle name="Comma 4 4 2 4 2 2" xfId="18039"/>
    <cellStyle name="Comma 4 4 2 4 3" xfId="15187"/>
    <cellStyle name="Comma 4 4 2 5" xfId="6045"/>
    <cellStyle name="Comma 4 4 2 5 2" xfId="12071"/>
    <cellStyle name="Comma 4 4 2 5 2 2" xfId="18610"/>
    <cellStyle name="Comma 4 4 2 5 3" xfId="15758"/>
    <cellStyle name="Comma 4 4 2 6" xfId="8317"/>
    <cellStyle name="Comma 4 4 2 6 2" xfId="12642"/>
    <cellStyle name="Comma 4 4 2 6 2 2" xfId="19181"/>
    <cellStyle name="Comma 4 4 2 6 3" xfId="16329"/>
    <cellStyle name="Comma 4 4 2 7" xfId="2972"/>
    <cellStyle name="Comma 4 4 2 7 2" xfId="10929"/>
    <cellStyle name="Comma 4 4 2 7 2 2" xfId="17468"/>
    <cellStyle name="Comma 4 4 2 7 3" xfId="14616"/>
    <cellStyle name="Comma 4 4 2 8" xfId="2403"/>
    <cellStyle name="Comma 4 4 2 8 2" xfId="14051"/>
    <cellStyle name="Comma 4 4 2 9" xfId="10364"/>
    <cellStyle name="Comma 4 4 2 9 2" xfId="16903"/>
    <cellStyle name="Comma 4 4 3" xfId="1034"/>
    <cellStyle name="Comma 4 4 3 10" xfId="20330"/>
    <cellStyle name="Comma 4 4 3 2" xfId="2169"/>
    <cellStyle name="Comma 4 4 3 2 2" xfId="5589"/>
    <cellStyle name="Comma 4 4 3 2 2 2" xfId="11956"/>
    <cellStyle name="Comma 4 4 3 2 2 2 2" xfId="18495"/>
    <cellStyle name="Comma 4 4 3 2 2 3" xfId="15643"/>
    <cellStyle name="Comma 4 4 3 2 3" xfId="7861"/>
    <cellStyle name="Comma 4 4 3 2 3 2" xfId="12527"/>
    <cellStyle name="Comma 4 4 3 2 3 2 2" xfId="19066"/>
    <cellStyle name="Comma 4 4 3 2 3 3" xfId="16214"/>
    <cellStyle name="Comma 4 4 3 2 4" xfId="10133"/>
    <cellStyle name="Comma 4 4 3 2 4 2" xfId="13098"/>
    <cellStyle name="Comma 4 4 3 2 4 2 2" xfId="19637"/>
    <cellStyle name="Comma 4 4 3 2 4 3" xfId="16785"/>
    <cellStyle name="Comma 4 4 3 2 5" xfId="3428"/>
    <cellStyle name="Comma 4 4 3 2 5 2" xfId="11385"/>
    <cellStyle name="Comma 4 4 3 2 5 2 2" xfId="17924"/>
    <cellStyle name="Comma 4 4 3 2 5 3" xfId="15072"/>
    <cellStyle name="Comma 4 4 3 2 6" xfId="2851"/>
    <cellStyle name="Comma 4 4 3 2 6 2" xfId="14499"/>
    <cellStyle name="Comma 4 4 3 2 7" xfId="10812"/>
    <cellStyle name="Comma 4 4 3 2 7 2" xfId="17351"/>
    <cellStyle name="Comma 4 4 3 2 8" xfId="13932"/>
    <cellStyle name="Comma 4 4 3 3" xfId="4454"/>
    <cellStyle name="Comma 4 4 3 3 2" xfId="11671"/>
    <cellStyle name="Comma 4 4 3 3 2 2" xfId="18210"/>
    <cellStyle name="Comma 4 4 3 3 3" xfId="15358"/>
    <cellStyle name="Comma 4 4 3 4" xfId="6726"/>
    <cellStyle name="Comma 4 4 3 4 2" xfId="12242"/>
    <cellStyle name="Comma 4 4 3 4 2 2" xfId="18781"/>
    <cellStyle name="Comma 4 4 3 4 3" xfId="15929"/>
    <cellStyle name="Comma 4 4 3 5" xfId="8998"/>
    <cellStyle name="Comma 4 4 3 5 2" xfId="12813"/>
    <cellStyle name="Comma 4 4 3 5 2 2" xfId="19352"/>
    <cellStyle name="Comma 4 4 3 5 3" xfId="16500"/>
    <cellStyle name="Comma 4 4 3 6" xfId="3143"/>
    <cellStyle name="Comma 4 4 3 6 2" xfId="11100"/>
    <cellStyle name="Comma 4 4 3 6 2 2" xfId="17639"/>
    <cellStyle name="Comma 4 4 3 6 3" xfId="14787"/>
    <cellStyle name="Comma 4 4 3 7" xfId="2571"/>
    <cellStyle name="Comma 4 4 3 7 2" xfId="14219"/>
    <cellStyle name="Comma 4 4 3 8" xfId="10532"/>
    <cellStyle name="Comma 4 4 3 8 2" xfId="17071"/>
    <cellStyle name="Comma 4 4 3 9" xfId="13647"/>
    <cellStyle name="Comma 4 4 4" xfId="580"/>
    <cellStyle name="Comma 4 4 4 2" xfId="1715"/>
    <cellStyle name="Comma 4 4 4 2 2" xfId="5135"/>
    <cellStyle name="Comma 4 4 4 2 2 2" xfId="11842"/>
    <cellStyle name="Comma 4 4 4 2 2 2 2" xfId="18381"/>
    <cellStyle name="Comma 4 4 4 2 2 3" xfId="15529"/>
    <cellStyle name="Comma 4 4 4 2 3" xfId="7407"/>
    <cellStyle name="Comma 4 4 4 2 3 2" xfId="12413"/>
    <cellStyle name="Comma 4 4 4 2 3 2 2" xfId="18952"/>
    <cellStyle name="Comma 4 4 4 2 3 3" xfId="16100"/>
    <cellStyle name="Comma 4 4 4 2 4" xfId="9679"/>
    <cellStyle name="Comma 4 4 4 2 4 2" xfId="12984"/>
    <cellStyle name="Comma 4 4 4 2 4 2 2" xfId="19523"/>
    <cellStyle name="Comma 4 4 4 2 4 3" xfId="16671"/>
    <cellStyle name="Comma 4 4 4 2 5" xfId="3314"/>
    <cellStyle name="Comma 4 4 4 2 5 2" xfId="11271"/>
    <cellStyle name="Comma 4 4 4 2 5 2 2" xfId="17810"/>
    <cellStyle name="Comma 4 4 4 2 5 3" xfId="14958"/>
    <cellStyle name="Comma 4 4 4 2 6" xfId="2739"/>
    <cellStyle name="Comma 4 4 4 2 6 2" xfId="14387"/>
    <cellStyle name="Comma 4 4 4 2 7" xfId="10700"/>
    <cellStyle name="Comma 4 4 4 2 7 2" xfId="17239"/>
    <cellStyle name="Comma 4 4 4 2 8" xfId="13818"/>
    <cellStyle name="Comma 4 4 4 3" xfId="4000"/>
    <cellStyle name="Comma 4 4 4 3 2" xfId="11557"/>
    <cellStyle name="Comma 4 4 4 3 2 2" xfId="18096"/>
    <cellStyle name="Comma 4 4 4 3 3" xfId="15244"/>
    <cellStyle name="Comma 4 4 4 4" xfId="6272"/>
    <cellStyle name="Comma 4 4 4 4 2" xfId="12128"/>
    <cellStyle name="Comma 4 4 4 4 2 2" xfId="18667"/>
    <cellStyle name="Comma 4 4 4 4 3" xfId="15815"/>
    <cellStyle name="Comma 4 4 4 5" xfId="8544"/>
    <cellStyle name="Comma 4 4 4 5 2" xfId="12699"/>
    <cellStyle name="Comma 4 4 4 5 2 2" xfId="19238"/>
    <cellStyle name="Comma 4 4 4 5 3" xfId="16386"/>
    <cellStyle name="Comma 4 4 4 6" xfId="3029"/>
    <cellStyle name="Comma 4 4 4 6 2" xfId="10986"/>
    <cellStyle name="Comma 4 4 4 6 2 2" xfId="17525"/>
    <cellStyle name="Comma 4 4 4 6 3" xfId="14673"/>
    <cellStyle name="Comma 4 4 4 7" xfId="2459"/>
    <cellStyle name="Comma 4 4 4 7 2" xfId="14107"/>
    <cellStyle name="Comma 4 4 4 8" xfId="10420"/>
    <cellStyle name="Comma 4 4 4 8 2" xfId="16959"/>
    <cellStyle name="Comma 4 4 4 9" xfId="13533"/>
    <cellStyle name="Comma 4 4 5" xfId="1261"/>
    <cellStyle name="Comma 4 4 5 2" xfId="4681"/>
    <cellStyle name="Comma 4 4 5 2 2" xfId="11728"/>
    <cellStyle name="Comma 4 4 5 2 2 2" xfId="18267"/>
    <cellStyle name="Comma 4 4 5 2 3" xfId="15415"/>
    <cellStyle name="Comma 4 4 5 3" xfId="6953"/>
    <cellStyle name="Comma 4 4 5 3 2" xfId="12299"/>
    <cellStyle name="Comma 4 4 5 3 2 2" xfId="18838"/>
    <cellStyle name="Comma 4 4 5 3 3" xfId="15986"/>
    <cellStyle name="Comma 4 4 5 4" xfId="9225"/>
    <cellStyle name="Comma 4 4 5 4 2" xfId="12870"/>
    <cellStyle name="Comma 4 4 5 4 2 2" xfId="19409"/>
    <cellStyle name="Comma 4 4 5 4 3" xfId="16557"/>
    <cellStyle name="Comma 4 4 5 5" xfId="3200"/>
    <cellStyle name="Comma 4 4 5 5 2" xfId="11157"/>
    <cellStyle name="Comma 4 4 5 5 2 2" xfId="17696"/>
    <cellStyle name="Comma 4 4 5 5 3" xfId="14844"/>
    <cellStyle name="Comma 4 4 5 6" xfId="2627"/>
    <cellStyle name="Comma 4 4 5 6 2" xfId="14275"/>
    <cellStyle name="Comma 4 4 5 7" xfId="10588"/>
    <cellStyle name="Comma 4 4 5 7 2" xfId="17127"/>
    <cellStyle name="Comma 4 4 5 8" xfId="13704"/>
    <cellStyle name="Comma 4 4 6" xfId="3546"/>
    <cellStyle name="Comma 4 4 6 2" xfId="11443"/>
    <cellStyle name="Comma 4 4 6 2 2" xfId="17982"/>
    <cellStyle name="Comma 4 4 6 3" xfId="15130"/>
    <cellStyle name="Comma 4 4 7" xfId="5818"/>
    <cellStyle name="Comma 4 4 7 2" xfId="12014"/>
    <cellStyle name="Comma 4 4 7 2 2" xfId="18553"/>
    <cellStyle name="Comma 4 4 7 3" xfId="15701"/>
    <cellStyle name="Comma 4 4 8" xfId="8090"/>
    <cellStyle name="Comma 4 4 8 2" xfId="12585"/>
    <cellStyle name="Comma 4 4 8 2 2" xfId="19124"/>
    <cellStyle name="Comma 4 4 8 3" xfId="16272"/>
    <cellStyle name="Comma 4 4 9" xfId="2912"/>
    <cellStyle name="Comma 4 4 9 2" xfId="10871"/>
    <cellStyle name="Comma 4 4 9 2 2" xfId="17410"/>
    <cellStyle name="Comma 4 4 9 3" xfId="14558"/>
    <cellStyle name="Comma 4 5" xfId="241"/>
    <cellStyle name="Comma 4 5 10" xfId="2375"/>
    <cellStyle name="Comma 4 5 10 2" xfId="14023"/>
    <cellStyle name="Comma 4 5 11" xfId="10336"/>
    <cellStyle name="Comma 4 5 11 2" xfId="16875"/>
    <cellStyle name="Comma 4 5 12" xfId="13448"/>
    <cellStyle name="Comma 4 5 13" xfId="20090"/>
    <cellStyle name="Comma 4 5 2" xfId="468"/>
    <cellStyle name="Comma 4 5 2 10" xfId="13505"/>
    <cellStyle name="Comma 4 5 2 11" xfId="20254"/>
    <cellStyle name="Comma 4 5 2 2" xfId="922"/>
    <cellStyle name="Comma 4 5 2 2 2" xfId="2057"/>
    <cellStyle name="Comma 4 5 2 2 2 2" xfId="5477"/>
    <cellStyle name="Comma 4 5 2 2 2 2 2" xfId="11928"/>
    <cellStyle name="Comma 4 5 2 2 2 2 2 2" xfId="18467"/>
    <cellStyle name="Comma 4 5 2 2 2 2 3" xfId="15615"/>
    <cellStyle name="Comma 4 5 2 2 2 3" xfId="7749"/>
    <cellStyle name="Comma 4 5 2 2 2 3 2" xfId="12499"/>
    <cellStyle name="Comma 4 5 2 2 2 3 2 2" xfId="19038"/>
    <cellStyle name="Comma 4 5 2 2 2 3 3" xfId="16186"/>
    <cellStyle name="Comma 4 5 2 2 2 4" xfId="10021"/>
    <cellStyle name="Comma 4 5 2 2 2 4 2" xfId="13070"/>
    <cellStyle name="Comma 4 5 2 2 2 4 2 2" xfId="19609"/>
    <cellStyle name="Comma 4 5 2 2 2 4 3" xfId="16757"/>
    <cellStyle name="Comma 4 5 2 2 2 5" xfId="3400"/>
    <cellStyle name="Comma 4 5 2 2 2 5 2" xfId="11357"/>
    <cellStyle name="Comma 4 5 2 2 2 5 2 2" xfId="17896"/>
    <cellStyle name="Comma 4 5 2 2 2 5 3" xfId="15044"/>
    <cellStyle name="Comma 4 5 2 2 2 6" xfId="2823"/>
    <cellStyle name="Comma 4 5 2 2 2 6 2" xfId="14471"/>
    <cellStyle name="Comma 4 5 2 2 2 7" xfId="10784"/>
    <cellStyle name="Comma 4 5 2 2 2 7 2" xfId="17323"/>
    <cellStyle name="Comma 4 5 2 2 2 8" xfId="13904"/>
    <cellStyle name="Comma 4 5 2 2 3" xfId="4342"/>
    <cellStyle name="Comma 4 5 2 2 3 2" xfId="11643"/>
    <cellStyle name="Comma 4 5 2 2 3 2 2" xfId="18182"/>
    <cellStyle name="Comma 4 5 2 2 3 3" xfId="15330"/>
    <cellStyle name="Comma 4 5 2 2 4" xfId="6614"/>
    <cellStyle name="Comma 4 5 2 2 4 2" xfId="12214"/>
    <cellStyle name="Comma 4 5 2 2 4 2 2" xfId="18753"/>
    <cellStyle name="Comma 4 5 2 2 4 3" xfId="15901"/>
    <cellStyle name="Comma 4 5 2 2 5" xfId="8886"/>
    <cellStyle name="Comma 4 5 2 2 5 2" xfId="12785"/>
    <cellStyle name="Comma 4 5 2 2 5 2 2" xfId="19324"/>
    <cellStyle name="Comma 4 5 2 2 5 3" xfId="16472"/>
    <cellStyle name="Comma 4 5 2 2 6" xfId="3115"/>
    <cellStyle name="Comma 4 5 2 2 6 2" xfId="11072"/>
    <cellStyle name="Comma 4 5 2 2 6 2 2" xfId="17611"/>
    <cellStyle name="Comma 4 5 2 2 6 3" xfId="14759"/>
    <cellStyle name="Comma 4 5 2 2 7" xfId="2543"/>
    <cellStyle name="Comma 4 5 2 2 7 2" xfId="14191"/>
    <cellStyle name="Comma 4 5 2 2 8" xfId="10504"/>
    <cellStyle name="Comma 4 5 2 2 8 2" xfId="17043"/>
    <cellStyle name="Comma 4 5 2 2 9" xfId="13619"/>
    <cellStyle name="Comma 4 5 2 3" xfId="1603"/>
    <cellStyle name="Comma 4 5 2 3 2" xfId="5023"/>
    <cellStyle name="Comma 4 5 2 3 2 2" xfId="11814"/>
    <cellStyle name="Comma 4 5 2 3 2 2 2" xfId="18353"/>
    <cellStyle name="Comma 4 5 2 3 2 3" xfId="15501"/>
    <cellStyle name="Comma 4 5 2 3 3" xfId="7295"/>
    <cellStyle name="Comma 4 5 2 3 3 2" xfId="12385"/>
    <cellStyle name="Comma 4 5 2 3 3 2 2" xfId="18924"/>
    <cellStyle name="Comma 4 5 2 3 3 3" xfId="16072"/>
    <cellStyle name="Comma 4 5 2 3 4" xfId="9567"/>
    <cellStyle name="Comma 4 5 2 3 4 2" xfId="12956"/>
    <cellStyle name="Comma 4 5 2 3 4 2 2" xfId="19495"/>
    <cellStyle name="Comma 4 5 2 3 4 3" xfId="16643"/>
    <cellStyle name="Comma 4 5 2 3 5" xfId="3286"/>
    <cellStyle name="Comma 4 5 2 3 5 2" xfId="11243"/>
    <cellStyle name="Comma 4 5 2 3 5 2 2" xfId="17782"/>
    <cellStyle name="Comma 4 5 2 3 5 3" xfId="14930"/>
    <cellStyle name="Comma 4 5 2 3 6" xfId="2711"/>
    <cellStyle name="Comma 4 5 2 3 6 2" xfId="14359"/>
    <cellStyle name="Comma 4 5 2 3 7" xfId="10672"/>
    <cellStyle name="Comma 4 5 2 3 7 2" xfId="17211"/>
    <cellStyle name="Comma 4 5 2 3 8" xfId="13790"/>
    <cellStyle name="Comma 4 5 2 4" xfId="3888"/>
    <cellStyle name="Comma 4 5 2 4 2" xfId="11529"/>
    <cellStyle name="Comma 4 5 2 4 2 2" xfId="18068"/>
    <cellStyle name="Comma 4 5 2 4 3" xfId="15216"/>
    <cellStyle name="Comma 4 5 2 5" xfId="6160"/>
    <cellStyle name="Comma 4 5 2 5 2" xfId="12100"/>
    <cellStyle name="Comma 4 5 2 5 2 2" xfId="18639"/>
    <cellStyle name="Comma 4 5 2 5 3" xfId="15787"/>
    <cellStyle name="Comma 4 5 2 6" xfId="8432"/>
    <cellStyle name="Comma 4 5 2 6 2" xfId="12671"/>
    <cellStyle name="Comma 4 5 2 6 2 2" xfId="19210"/>
    <cellStyle name="Comma 4 5 2 6 3" xfId="16358"/>
    <cellStyle name="Comma 4 5 2 7" xfId="3001"/>
    <cellStyle name="Comma 4 5 2 7 2" xfId="10958"/>
    <cellStyle name="Comma 4 5 2 7 2 2" xfId="17497"/>
    <cellStyle name="Comma 4 5 2 7 3" xfId="14645"/>
    <cellStyle name="Comma 4 5 2 8" xfId="2431"/>
    <cellStyle name="Comma 4 5 2 8 2" xfId="14079"/>
    <cellStyle name="Comma 4 5 2 9" xfId="10392"/>
    <cellStyle name="Comma 4 5 2 9 2" xfId="16931"/>
    <cellStyle name="Comma 4 5 3" xfId="1149"/>
    <cellStyle name="Comma 4 5 3 10" xfId="20327"/>
    <cellStyle name="Comma 4 5 3 2" xfId="2284"/>
    <cellStyle name="Comma 4 5 3 2 2" xfId="5704"/>
    <cellStyle name="Comma 4 5 3 2 2 2" xfId="11985"/>
    <cellStyle name="Comma 4 5 3 2 2 2 2" xfId="18524"/>
    <cellStyle name="Comma 4 5 3 2 2 3" xfId="15672"/>
    <cellStyle name="Comma 4 5 3 2 3" xfId="7976"/>
    <cellStyle name="Comma 4 5 3 2 3 2" xfId="12556"/>
    <cellStyle name="Comma 4 5 3 2 3 2 2" xfId="19095"/>
    <cellStyle name="Comma 4 5 3 2 3 3" xfId="16243"/>
    <cellStyle name="Comma 4 5 3 2 4" xfId="10248"/>
    <cellStyle name="Comma 4 5 3 2 4 2" xfId="13127"/>
    <cellStyle name="Comma 4 5 3 2 4 2 2" xfId="19666"/>
    <cellStyle name="Comma 4 5 3 2 4 3" xfId="16814"/>
    <cellStyle name="Comma 4 5 3 2 5" xfId="3457"/>
    <cellStyle name="Comma 4 5 3 2 5 2" xfId="11414"/>
    <cellStyle name="Comma 4 5 3 2 5 2 2" xfId="17953"/>
    <cellStyle name="Comma 4 5 3 2 5 3" xfId="15101"/>
    <cellStyle name="Comma 4 5 3 2 6" xfId="2879"/>
    <cellStyle name="Comma 4 5 3 2 6 2" xfId="14527"/>
    <cellStyle name="Comma 4 5 3 2 7" xfId="10840"/>
    <cellStyle name="Comma 4 5 3 2 7 2" xfId="17379"/>
    <cellStyle name="Comma 4 5 3 2 8" xfId="13961"/>
    <cellStyle name="Comma 4 5 3 3" xfId="4569"/>
    <cellStyle name="Comma 4 5 3 3 2" xfId="11700"/>
    <cellStyle name="Comma 4 5 3 3 2 2" xfId="18239"/>
    <cellStyle name="Comma 4 5 3 3 3" xfId="15387"/>
    <cellStyle name="Comma 4 5 3 4" xfId="6841"/>
    <cellStyle name="Comma 4 5 3 4 2" xfId="12271"/>
    <cellStyle name="Comma 4 5 3 4 2 2" xfId="18810"/>
    <cellStyle name="Comma 4 5 3 4 3" xfId="15958"/>
    <cellStyle name="Comma 4 5 3 5" xfId="9113"/>
    <cellStyle name="Comma 4 5 3 5 2" xfId="12842"/>
    <cellStyle name="Comma 4 5 3 5 2 2" xfId="19381"/>
    <cellStyle name="Comma 4 5 3 5 3" xfId="16529"/>
    <cellStyle name="Comma 4 5 3 6" xfId="3172"/>
    <cellStyle name="Comma 4 5 3 6 2" xfId="11129"/>
    <cellStyle name="Comma 4 5 3 6 2 2" xfId="17668"/>
    <cellStyle name="Comma 4 5 3 6 3" xfId="14816"/>
    <cellStyle name="Comma 4 5 3 7" xfId="2599"/>
    <cellStyle name="Comma 4 5 3 7 2" xfId="14247"/>
    <cellStyle name="Comma 4 5 3 8" xfId="10560"/>
    <cellStyle name="Comma 4 5 3 8 2" xfId="17099"/>
    <cellStyle name="Comma 4 5 3 9" xfId="13676"/>
    <cellStyle name="Comma 4 5 4" xfId="695"/>
    <cellStyle name="Comma 4 5 4 2" xfId="1830"/>
    <cellStyle name="Comma 4 5 4 2 2" xfId="5250"/>
    <cellStyle name="Comma 4 5 4 2 2 2" xfId="11871"/>
    <cellStyle name="Comma 4 5 4 2 2 2 2" xfId="18410"/>
    <cellStyle name="Comma 4 5 4 2 2 3" xfId="15558"/>
    <cellStyle name="Comma 4 5 4 2 3" xfId="7522"/>
    <cellStyle name="Comma 4 5 4 2 3 2" xfId="12442"/>
    <cellStyle name="Comma 4 5 4 2 3 2 2" xfId="18981"/>
    <cellStyle name="Comma 4 5 4 2 3 3" xfId="16129"/>
    <cellStyle name="Comma 4 5 4 2 4" xfId="9794"/>
    <cellStyle name="Comma 4 5 4 2 4 2" xfId="13013"/>
    <cellStyle name="Comma 4 5 4 2 4 2 2" xfId="19552"/>
    <cellStyle name="Comma 4 5 4 2 4 3" xfId="16700"/>
    <cellStyle name="Comma 4 5 4 2 5" xfId="3343"/>
    <cellStyle name="Comma 4 5 4 2 5 2" xfId="11300"/>
    <cellStyle name="Comma 4 5 4 2 5 2 2" xfId="17839"/>
    <cellStyle name="Comma 4 5 4 2 5 3" xfId="14987"/>
    <cellStyle name="Comma 4 5 4 2 6" xfId="2767"/>
    <cellStyle name="Comma 4 5 4 2 6 2" xfId="14415"/>
    <cellStyle name="Comma 4 5 4 2 7" xfId="10728"/>
    <cellStyle name="Comma 4 5 4 2 7 2" xfId="17267"/>
    <cellStyle name="Comma 4 5 4 2 8" xfId="13847"/>
    <cellStyle name="Comma 4 5 4 3" xfId="4115"/>
    <cellStyle name="Comma 4 5 4 3 2" xfId="11586"/>
    <cellStyle name="Comma 4 5 4 3 2 2" xfId="18125"/>
    <cellStyle name="Comma 4 5 4 3 3" xfId="15273"/>
    <cellStyle name="Comma 4 5 4 4" xfId="6387"/>
    <cellStyle name="Comma 4 5 4 4 2" xfId="12157"/>
    <cellStyle name="Comma 4 5 4 4 2 2" xfId="18696"/>
    <cellStyle name="Comma 4 5 4 4 3" xfId="15844"/>
    <cellStyle name="Comma 4 5 4 5" xfId="8659"/>
    <cellStyle name="Comma 4 5 4 5 2" xfId="12728"/>
    <cellStyle name="Comma 4 5 4 5 2 2" xfId="19267"/>
    <cellStyle name="Comma 4 5 4 5 3" xfId="16415"/>
    <cellStyle name="Comma 4 5 4 6" xfId="3058"/>
    <cellStyle name="Comma 4 5 4 6 2" xfId="11015"/>
    <cellStyle name="Comma 4 5 4 6 2 2" xfId="17554"/>
    <cellStyle name="Comma 4 5 4 6 3" xfId="14702"/>
    <cellStyle name="Comma 4 5 4 7" xfId="2487"/>
    <cellStyle name="Comma 4 5 4 7 2" xfId="14135"/>
    <cellStyle name="Comma 4 5 4 8" xfId="10448"/>
    <cellStyle name="Comma 4 5 4 8 2" xfId="16987"/>
    <cellStyle name="Comma 4 5 4 9" xfId="13562"/>
    <cellStyle name="Comma 4 5 5" xfId="1376"/>
    <cellStyle name="Comma 4 5 5 2" xfId="4796"/>
    <cellStyle name="Comma 4 5 5 2 2" xfId="11757"/>
    <cellStyle name="Comma 4 5 5 2 2 2" xfId="18296"/>
    <cellStyle name="Comma 4 5 5 2 3" xfId="15444"/>
    <cellStyle name="Comma 4 5 5 3" xfId="7068"/>
    <cellStyle name="Comma 4 5 5 3 2" xfId="12328"/>
    <cellStyle name="Comma 4 5 5 3 2 2" xfId="18867"/>
    <cellStyle name="Comma 4 5 5 3 3" xfId="16015"/>
    <cellStyle name="Comma 4 5 5 4" xfId="9340"/>
    <cellStyle name="Comma 4 5 5 4 2" xfId="12899"/>
    <cellStyle name="Comma 4 5 5 4 2 2" xfId="19438"/>
    <cellStyle name="Comma 4 5 5 4 3" xfId="16586"/>
    <cellStyle name="Comma 4 5 5 5" xfId="3229"/>
    <cellStyle name="Comma 4 5 5 5 2" xfId="11186"/>
    <cellStyle name="Comma 4 5 5 5 2 2" xfId="17725"/>
    <cellStyle name="Comma 4 5 5 5 3" xfId="14873"/>
    <cellStyle name="Comma 4 5 5 6" xfId="2655"/>
    <cellStyle name="Comma 4 5 5 6 2" xfId="14303"/>
    <cellStyle name="Comma 4 5 5 7" xfId="10616"/>
    <cellStyle name="Comma 4 5 5 7 2" xfId="17155"/>
    <cellStyle name="Comma 4 5 5 8" xfId="13733"/>
    <cellStyle name="Comma 4 5 6" xfId="3661"/>
    <cellStyle name="Comma 4 5 6 2" xfId="11472"/>
    <cellStyle name="Comma 4 5 6 2 2" xfId="18011"/>
    <cellStyle name="Comma 4 5 6 3" xfId="15159"/>
    <cellStyle name="Comma 4 5 7" xfId="5933"/>
    <cellStyle name="Comma 4 5 7 2" xfId="12043"/>
    <cellStyle name="Comma 4 5 7 2 2" xfId="18582"/>
    <cellStyle name="Comma 4 5 7 3" xfId="15730"/>
    <cellStyle name="Comma 4 5 8" xfId="8205"/>
    <cellStyle name="Comma 4 5 8 2" xfId="12614"/>
    <cellStyle name="Comma 4 5 8 2 2" xfId="19153"/>
    <cellStyle name="Comma 4 5 8 3" xfId="16301"/>
    <cellStyle name="Comma 4 5 9" xfId="2944"/>
    <cellStyle name="Comma 4 5 9 2" xfId="10901"/>
    <cellStyle name="Comma 4 5 9 2 2" xfId="17440"/>
    <cellStyle name="Comma 4 5 9 3" xfId="14588"/>
    <cellStyle name="Comma 4 6" xfId="297"/>
    <cellStyle name="Comma 4 6 10" xfId="13462"/>
    <cellStyle name="Comma 4 6 11" xfId="20208"/>
    <cellStyle name="Comma 4 6 2" xfId="751"/>
    <cellStyle name="Comma 4 6 2 2" xfId="1886"/>
    <cellStyle name="Comma 4 6 2 2 2" xfId="5306"/>
    <cellStyle name="Comma 4 6 2 2 2 2" xfId="11885"/>
    <cellStyle name="Comma 4 6 2 2 2 2 2" xfId="18424"/>
    <cellStyle name="Comma 4 6 2 2 2 3" xfId="15572"/>
    <cellStyle name="Comma 4 6 2 2 3" xfId="7578"/>
    <cellStyle name="Comma 4 6 2 2 3 2" xfId="12456"/>
    <cellStyle name="Comma 4 6 2 2 3 2 2" xfId="18995"/>
    <cellStyle name="Comma 4 6 2 2 3 3" xfId="16143"/>
    <cellStyle name="Comma 4 6 2 2 4" xfId="9850"/>
    <cellStyle name="Comma 4 6 2 2 4 2" xfId="13027"/>
    <cellStyle name="Comma 4 6 2 2 4 2 2" xfId="19566"/>
    <cellStyle name="Comma 4 6 2 2 4 3" xfId="16714"/>
    <cellStyle name="Comma 4 6 2 2 5" xfId="3357"/>
    <cellStyle name="Comma 4 6 2 2 5 2" xfId="11314"/>
    <cellStyle name="Comma 4 6 2 2 5 2 2" xfId="17853"/>
    <cellStyle name="Comma 4 6 2 2 5 3" xfId="15001"/>
    <cellStyle name="Comma 4 6 2 2 6" xfId="2781"/>
    <cellStyle name="Comma 4 6 2 2 6 2" xfId="14429"/>
    <cellStyle name="Comma 4 6 2 2 7" xfId="10742"/>
    <cellStyle name="Comma 4 6 2 2 7 2" xfId="17281"/>
    <cellStyle name="Comma 4 6 2 2 8" xfId="13861"/>
    <cellStyle name="Comma 4 6 2 3" xfId="4171"/>
    <cellStyle name="Comma 4 6 2 3 2" xfId="11600"/>
    <cellStyle name="Comma 4 6 2 3 2 2" xfId="18139"/>
    <cellStyle name="Comma 4 6 2 3 3" xfId="15287"/>
    <cellStyle name="Comma 4 6 2 4" xfId="6443"/>
    <cellStyle name="Comma 4 6 2 4 2" xfId="12171"/>
    <cellStyle name="Comma 4 6 2 4 2 2" xfId="18710"/>
    <cellStyle name="Comma 4 6 2 4 3" xfId="15858"/>
    <cellStyle name="Comma 4 6 2 5" xfId="8715"/>
    <cellStyle name="Comma 4 6 2 5 2" xfId="12742"/>
    <cellStyle name="Comma 4 6 2 5 2 2" xfId="19281"/>
    <cellStyle name="Comma 4 6 2 5 3" xfId="16429"/>
    <cellStyle name="Comma 4 6 2 6" xfId="3072"/>
    <cellStyle name="Comma 4 6 2 6 2" xfId="11029"/>
    <cellStyle name="Comma 4 6 2 6 2 2" xfId="17568"/>
    <cellStyle name="Comma 4 6 2 6 3" xfId="14716"/>
    <cellStyle name="Comma 4 6 2 7" xfId="2501"/>
    <cellStyle name="Comma 4 6 2 7 2" xfId="14149"/>
    <cellStyle name="Comma 4 6 2 8" xfId="10462"/>
    <cellStyle name="Comma 4 6 2 8 2" xfId="17001"/>
    <cellStyle name="Comma 4 6 2 9" xfId="13576"/>
    <cellStyle name="Comma 4 6 3" xfId="1432"/>
    <cellStyle name="Comma 4 6 3 2" xfId="4852"/>
    <cellStyle name="Comma 4 6 3 2 2" xfId="11771"/>
    <cellStyle name="Comma 4 6 3 2 2 2" xfId="18310"/>
    <cellStyle name="Comma 4 6 3 2 3" xfId="15458"/>
    <cellStyle name="Comma 4 6 3 3" xfId="7124"/>
    <cellStyle name="Comma 4 6 3 3 2" xfId="12342"/>
    <cellStyle name="Comma 4 6 3 3 2 2" xfId="18881"/>
    <cellStyle name="Comma 4 6 3 3 3" xfId="16029"/>
    <cellStyle name="Comma 4 6 3 4" xfId="9396"/>
    <cellStyle name="Comma 4 6 3 4 2" xfId="12913"/>
    <cellStyle name="Comma 4 6 3 4 2 2" xfId="19452"/>
    <cellStyle name="Comma 4 6 3 4 3" xfId="16600"/>
    <cellStyle name="Comma 4 6 3 5" xfId="3243"/>
    <cellStyle name="Comma 4 6 3 5 2" xfId="11200"/>
    <cellStyle name="Comma 4 6 3 5 2 2" xfId="17739"/>
    <cellStyle name="Comma 4 6 3 5 3" xfId="14887"/>
    <cellStyle name="Comma 4 6 3 6" xfId="2669"/>
    <cellStyle name="Comma 4 6 3 6 2" xfId="14317"/>
    <cellStyle name="Comma 4 6 3 7" xfId="10630"/>
    <cellStyle name="Comma 4 6 3 7 2" xfId="17169"/>
    <cellStyle name="Comma 4 6 3 8" xfId="13747"/>
    <cellStyle name="Comma 4 6 4" xfId="3717"/>
    <cellStyle name="Comma 4 6 4 2" xfId="11486"/>
    <cellStyle name="Comma 4 6 4 2 2" xfId="18025"/>
    <cellStyle name="Comma 4 6 4 3" xfId="15173"/>
    <cellStyle name="Comma 4 6 5" xfId="5989"/>
    <cellStyle name="Comma 4 6 5 2" xfId="12057"/>
    <cellStyle name="Comma 4 6 5 2 2" xfId="18596"/>
    <cellStyle name="Comma 4 6 5 3" xfId="15744"/>
    <cellStyle name="Comma 4 6 6" xfId="8261"/>
    <cellStyle name="Comma 4 6 6 2" xfId="12628"/>
    <cellStyle name="Comma 4 6 6 2 2" xfId="19167"/>
    <cellStyle name="Comma 4 6 6 3" xfId="16315"/>
    <cellStyle name="Comma 4 6 7" xfId="2958"/>
    <cellStyle name="Comma 4 6 7 2" xfId="10915"/>
    <cellStyle name="Comma 4 6 7 2 2" xfId="17454"/>
    <cellStyle name="Comma 4 6 7 3" xfId="14602"/>
    <cellStyle name="Comma 4 6 8" xfId="2389"/>
    <cellStyle name="Comma 4 6 8 2" xfId="14037"/>
    <cellStyle name="Comma 4 6 9" xfId="10350"/>
    <cellStyle name="Comma 4 6 9 2" xfId="16889"/>
    <cellStyle name="Comma 4 7" xfId="978"/>
    <cellStyle name="Comma 4 7 10" xfId="20281"/>
    <cellStyle name="Comma 4 7 2" xfId="2113"/>
    <cellStyle name="Comma 4 7 2 2" xfId="5533"/>
    <cellStyle name="Comma 4 7 2 2 2" xfId="11942"/>
    <cellStyle name="Comma 4 7 2 2 2 2" xfId="18481"/>
    <cellStyle name="Comma 4 7 2 2 3" xfId="15629"/>
    <cellStyle name="Comma 4 7 2 3" xfId="7805"/>
    <cellStyle name="Comma 4 7 2 3 2" xfId="12513"/>
    <cellStyle name="Comma 4 7 2 3 2 2" xfId="19052"/>
    <cellStyle name="Comma 4 7 2 3 3" xfId="16200"/>
    <cellStyle name="Comma 4 7 2 4" xfId="10077"/>
    <cellStyle name="Comma 4 7 2 4 2" xfId="13084"/>
    <cellStyle name="Comma 4 7 2 4 2 2" xfId="19623"/>
    <cellStyle name="Comma 4 7 2 4 3" xfId="16771"/>
    <cellStyle name="Comma 4 7 2 5" xfId="3414"/>
    <cellStyle name="Comma 4 7 2 5 2" xfId="11371"/>
    <cellStyle name="Comma 4 7 2 5 2 2" xfId="17910"/>
    <cellStyle name="Comma 4 7 2 5 3" xfId="15058"/>
    <cellStyle name="Comma 4 7 2 6" xfId="2837"/>
    <cellStyle name="Comma 4 7 2 6 2" xfId="14485"/>
    <cellStyle name="Comma 4 7 2 7" xfId="10798"/>
    <cellStyle name="Comma 4 7 2 7 2" xfId="17337"/>
    <cellStyle name="Comma 4 7 2 8" xfId="13918"/>
    <cellStyle name="Comma 4 7 3" xfId="4398"/>
    <cellStyle name="Comma 4 7 3 2" xfId="11657"/>
    <cellStyle name="Comma 4 7 3 2 2" xfId="18196"/>
    <cellStyle name="Comma 4 7 3 3" xfId="15344"/>
    <cellStyle name="Comma 4 7 4" xfId="6670"/>
    <cellStyle name="Comma 4 7 4 2" xfId="12228"/>
    <cellStyle name="Comma 4 7 4 2 2" xfId="18767"/>
    <cellStyle name="Comma 4 7 4 3" xfId="15915"/>
    <cellStyle name="Comma 4 7 5" xfId="8942"/>
    <cellStyle name="Comma 4 7 5 2" xfId="12799"/>
    <cellStyle name="Comma 4 7 5 2 2" xfId="19338"/>
    <cellStyle name="Comma 4 7 5 3" xfId="16486"/>
    <cellStyle name="Comma 4 7 6" xfId="3129"/>
    <cellStyle name="Comma 4 7 6 2" xfId="11086"/>
    <cellStyle name="Comma 4 7 6 2 2" xfId="17625"/>
    <cellStyle name="Comma 4 7 6 3" xfId="14773"/>
    <cellStyle name="Comma 4 7 7" xfId="2557"/>
    <cellStyle name="Comma 4 7 7 2" xfId="14205"/>
    <cellStyle name="Comma 4 7 8" xfId="10518"/>
    <cellStyle name="Comma 4 7 8 2" xfId="17057"/>
    <cellStyle name="Comma 4 7 9" xfId="13633"/>
    <cellStyle name="Comma 4 8" xfId="524"/>
    <cellStyle name="Comma 4 8 2" xfId="1659"/>
    <cellStyle name="Comma 4 8 2 2" xfId="5079"/>
    <cellStyle name="Comma 4 8 2 2 2" xfId="11828"/>
    <cellStyle name="Comma 4 8 2 2 2 2" xfId="18367"/>
    <cellStyle name="Comma 4 8 2 2 3" xfId="15515"/>
    <cellStyle name="Comma 4 8 2 3" xfId="7351"/>
    <cellStyle name="Comma 4 8 2 3 2" xfId="12399"/>
    <cellStyle name="Comma 4 8 2 3 2 2" xfId="18938"/>
    <cellStyle name="Comma 4 8 2 3 3" xfId="16086"/>
    <cellStyle name="Comma 4 8 2 4" xfId="9623"/>
    <cellStyle name="Comma 4 8 2 4 2" xfId="12970"/>
    <cellStyle name="Comma 4 8 2 4 2 2" xfId="19509"/>
    <cellStyle name="Comma 4 8 2 4 3" xfId="16657"/>
    <cellStyle name="Comma 4 8 2 5" xfId="3300"/>
    <cellStyle name="Comma 4 8 2 5 2" xfId="11257"/>
    <cellStyle name="Comma 4 8 2 5 2 2" xfId="17796"/>
    <cellStyle name="Comma 4 8 2 5 3" xfId="14944"/>
    <cellStyle name="Comma 4 8 2 6" xfId="2725"/>
    <cellStyle name="Comma 4 8 2 6 2" xfId="14373"/>
    <cellStyle name="Comma 4 8 2 7" xfId="10686"/>
    <cellStyle name="Comma 4 8 2 7 2" xfId="17225"/>
    <cellStyle name="Comma 4 8 2 8" xfId="13804"/>
    <cellStyle name="Comma 4 8 3" xfId="3944"/>
    <cellStyle name="Comma 4 8 3 2" xfId="11543"/>
    <cellStyle name="Comma 4 8 3 2 2" xfId="18082"/>
    <cellStyle name="Comma 4 8 3 3" xfId="15230"/>
    <cellStyle name="Comma 4 8 4" xfId="6216"/>
    <cellStyle name="Comma 4 8 4 2" xfId="12114"/>
    <cellStyle name="Comma 4 8 4 2 2" xfId="18653"/>
    <cellStyle name="Comma 4 8 4 3" xfId="15801"/>
    <cellStyle name="Comma 4 8 5" xfId="8488"/>
    <cellStyle name="Comma 4 8 5 2" xfId="12685"/>
    <cellStyle name="Comma 4 8 5 2 2" xfId="19224"/>
    <cellStyle name="Comma 4 8 5 3" xfId="16372"/>
    <cellStyle name="Comma 4 8 6" xfId="3015"/>
    <cellStyle name="Comma 4 8 6 2" xfId="10972"/>
    <cellStyle name="Comma 4 8 6 2 2" xfId="17511"/>
    <cellStyle name="Comma 4 8 6 3" xfId="14659"/>
    <cellStyle name="Comma 4 8 7" xfId="2445"/>
    <cellStyle name="Comma 4 8 7 2" xfId="14093"/>
    <cellStyle name="Comma 4 8 8" xfId="10406"/>
    <cellStyle name="Comma 4 8 8 2" xfId="16945"/>
    <cellStyle name="Comma 4 8 9" xfId="13519"/>
    <cellStyle name="Comma 4 9" xfId="1205"/>
    <cellStyle name="Comma 4 9 2" xfId="4625"/>
    <cellStyle name="Comma 4 9 2 2" xfId="11714"/>
    <cellStyle name="Comma 4 9 2 2 2" xfId="18253"/>
    <cellStyle name="Comma 4 9 2 3" xfId="15401"/>
    <cellStyle name="Comma 4 9 3" xfId="6897"/>
    <cellStyle name="Comma 4 9 3 2" xfId="12285"/>
    <cellStyle name="Comma 4 9 3 2 2" xfId="18824"/>
    <cellStyle name="Comma 4 9 3 3" xfId="15972"/>
    <cellStyle name="Comma 4 9 4" xfId="9169"/>
    <cellStyle name="Comma 4 9 4 2" xfId="12856"/>
    <cellStyle name="Comma 4 9 4 2 2" xfId="19395"/>
    <cellStyle name="Comma 4 9 4 3" xfId="16543"/>
    <cellStyle name="Comma 4 9 5" xfId="3186"/>
    <cellStyle name="Comma 4 9 5 2" xfId="11143"/>
    <cellStyle name="Comma 4 9 5 2 2" xfId="17682"/>
    <cellStyle name="Comma 4 9 5 3" xfId="14830"/>
    <cellStyle name="Comma 4 9 6" xfId="2613"/>
    <cellStyle name="Comma 4 9 6 2" xfId="14261"/>
    <cellStyle name="Comma 4 9 7" xfId="10574"/>
    <cellStyle name="Comma 4 9 7 2" xfId="17113"/>
    <cellStyle name="Comma 4 9 8" xfId="13690"/>
    <cellStyle name="Comma 40" xfId="13229"/>
    <cellStyle name="Comma 40 2" xfId="19738"/>
    <cellStyle name="Comma 40 3" xfId="19832"/>
    <cellStyle name="Comma 41" xfId="13230"/>
    <cellStyle name="Comma 41 2" xfId="19739"/>
    <cellStyle name="Comma 41 3" xfId="19833"/>
    <cellStyle name="Comma 42" xfId="13231"/>
    <cellStyle name="Comma 42 10" xfId="13232"/>
    <cellStyle name="Comma 42 10 2" xfId="19741"/>
    <cellStyle name="Comma 42 10 3" xfId="19835"/>
    <cellStyle name="Comma 42 11" xfId="19740"/>
    <cellStyle name="Comma 42 12" xfId="19834"/>
    <cellStyle name="Comma 42 2" xfId="13233"/>
    <cellStyle name="Comma 42 2 2" xfId="19742"/>
    <cellStyle name="Comma 42 2 3" xfId="19836"/>
    <cellStyle name="Comma 42 3" xfId="13234"/>
    <cellStyle name="Comma 42 3 2" xfId="19743"/>
    <cellStyle name="Comma 42 3 3" xfId="19837"/>
    <cellStyle name="Comma 42 4" xfId="13235"/>
    <cellStyle name="Comma 42 4 2" xfId="19744"/>
    <cellStyle name="Comma 42 4 3" xfId="19838"/>
    <cellStyle name="Comma 42 5" xfId="13236"/>
    <cellStyle name="Comma 42 5 2" xfId="19745"/>
    <cellStyle name="Comma 42 5 3" xfId="19839"/>
    <cellStyle name="Comma 42 6" xfId="13237"/>
    <cellStyle name="Comma 42 6 2" xfId="19746"/>
    <cellStyle name="Comma 42 6 3" xfId="19840"/>
    <cellStyle name="Comma 42 7" xfId="13238"/>
    <cellStyle name="Comma 42 7 2" xfId="19747"/>
    <cellStyle name="Comma 42 7 3" xfId="19841"/>
    <cellStyle name="Comma 42 8" xfId="13239"/>
    <cellStyle name="Comma 42 8 2" xfId="19748"/>
    <cellStyle name="Comma 42 8 3" xfId="19842"/>
    <cellStyle name="Comma 42 9" xfId="13240"/>
    <cellStyle name="Comma 42 9 2" xfId="19749"/>
    <cellStyle name="Comma 42 9 3" xfId="19843"/>
    <cellStyle name="Comma 43" xfId="13241"/>
    <cellStyle name="Comma 43 2" xfId="19750"/>
    <cellStyle name="Comma 43 3" xfId="19844"/>
    <cellStyle name="Comma 44" xfId="13242"/>
    <cellStyle name="Comma 44 2" xfId="19751"/>
    <cellStyle name="Comma 44 3" xfId="19845"/>
    <cellStyle name="Comma 45" xfId="13188"/>
    <cellStyle name="Comma 45 2" xfId="13189"/>
    <cellStyle name="Comma 45 2 2" xfId="19698"/>
    <cellStyle name="Comma 45 3" xfId="19697"/>
    <cellStyle name="Comma 46" xfId="13243"/>
    <cellStyle name="Comma 46 2" xfId="19752"/>
    <cellStyle name="Comma 46 3" xfId="19846"/>
    <cellStyle name="Comma 47" xfId="13244"/>
    <cellStyle name="Comma 47 2" xfId="19753"/>
    <cellStyle name="Comma 47 3" xfId="19847"/>
    <cellStyle name="Comma 48" xfId="13245"/>
    <cellStyle name="Comma 48 2" xfId="19754"/>
    <cellStyle name="Comma 48 3" xfId="19848"/>
    <cellStyle name="Comma 49" xfId="13246"/>
    <cellStyle name="Comma 49 2" xfId="19755"/>
    <cellStyle name="Comma 49 3" xfId="19849"/>
    <cellStyle name="Comma 5" xfId="59"/>
    <cellStyle name="Comma 5 10" xfId="3492"/>
    <cellStyle name="Comma 5 10 2" xfId="11430"/>
    <cellStyle name="Comma 5 10 2 2" xfId="17969"/>
    <cellStyle name="Comma 5 10 3" xfId="15117"/>
    <cellStyle name="Comma 5 11" xfId="5764"/>
    <cellStyle name="Comma 5 11 2" xfId="12001"/>
    <cellStyle name="Comma 5 11 2 2" xfId="18540"/>
    <cellStyle name="Comma 5 11 3" xfId="15688"/>
    <cellStyle name="Comma 5 12" xfId="8036"/>
    <cellStyle name="Comma 5 12 2" xfId="12572"/>
    <cellStyle name="Comma 5 12 2 2" xfId="19111"/>
    <cellStyle name="Comma 5 12 3" xfId="16259"/>
    <cellStyle name="Comma 5 13" xfId="2897"/>
    <cellStyle name="Comma 5 13 2" xfId="10857"/>
    <cellStyle name="Comma 5 13 2 2" xfId="17396"/>
    <cellStyle name="Comma 5 13 3" xfId="14544"/>
    <cellStyle name="Comma 5 14" xfId="2332"/>
    <cellStyle name="Comma 5 14 2" xfId="13980"/>
    <cellStyle name="Comma 5 15" xfId="10293"/>
    <cellStyle name="Comma 5 15 2" xfId="16832"/>
    <cellStyle name="Comma 5 16" xfId="13178"/>
    <cellStyle name="Comma 5 16 2" xfId="19689"/>
    <cellStyle name="Comma 5 17" xfId="13247"/>
    <cellStyle name="Comma 5 17 2" xfId="19756"/>
    <cellStyle name="Comma 5 18" xfId="13404"/>
    <cellStyle name="Comma 5 19" xfId="19781"/>
    <cellStyle name="Comma 5 2" xfId="89"/>
    <cellStyle name="Comma 5 2 10" xfId="5792"/>
    <cellStyle name="Comma 5 2 10 2" xfId="12008"/>
    <cellStyle name="Comma 5 2 10 2 2" xfId="18547"/>
    <cellStyle name="Comma 5 2 10 3" xfId="15695"/>
    <cellStyle name="Comma 5 2 11" xfId="8064"/>
    <cellStyle name="Comma 5 2 11 2" xfId="12579"/>
    <cellStyle name="Comma 5 2 11 2 2" xfId="19118"/>
    <cellStyle name="Comma 5 2 11 3" xfId="16266"/>
    <cellStyle name="Comma 5 2 12" xfId="2906"/>
    <cellStyle name="Comma 5 2 12 2" xfId="10865"/>
    <cellStyle name="Comma 5 2 12 2 2" xfId="17404"/>
    <cellStyle name="Comma 5 2 12 3" xfId="14552"/>
    <cellStyle name="Comma 5 2 13" xfId="2340"/>
    <cellStyle name="Comma 5 2 13 2" xfId="13988"/>
    <cellStyle name="Comma 5 2 14" xfId="10301"/>
    <cellStyle name="Comma 5 2 14 2" xfId="16840"/>
    <cellStyle name="Comma 5 2 15" xfId="13248"/>
    <cellStyle name="Comma 5 2 15 2" xfId="19757"/>
    <cellStyle name="Comma 5 2 16" xfId="13412"/>
    <cellStyle name="Comma 5 2 17" xfId="19851"/>
    <cellStyle name="Comma 5 2 18" xfId="20095"/>
    <cellStyle name="Comma 5 2 2" xfId="201"/>
    <cellStyle name="Comma 5 2 2 10" xfId="2368"/>
    <cellStyle name="Comma 5 2 2 10 2" xfId="14016"/>
    <cellStyle name="Comma 5 2 2 11" xfId="10329"/>
    <cellStyle name="Comma 5 2 2 11 2" xfId="16868"/>
    <cellStyle name="Comma 5 2 2 12" xfId="13440"/>
    <cellStyle name="Comma 5 2 2 13" xfId="20259"/>
    <cellStyle name="Comma 5 2 2 2" xfId="439"/>
    <cellStyle name="Comma 5 2 2 2 10" xfId="13498"/>
    <cellStyle name="Comma 5 2 2 2 2" xfId="893"/>
    <cellStyle name="Comma 5 2 2 2 2 2" xfId="2028"/>
    <cellStyle name="Comma 5 2 2 2 2 2 2" xfId="5448"/>
    <cellStyle name="Comma 5 2 2 2 2 2 2 2" xfId="11921"/>
    <cellStyle name="Comma 5 2 2 2 2 2 2 2 2" xfId="18460"/>
    <cellStyle name="Comma 5 2 2 2 2 2 2 3" xfId="15608"/>
    <cellStyle name="Comma 5 2 2 2 2 2 3" xfId="7720"/>
    <cellStyle name="Comma 5 2 2 2 2 2 3 2" xfId="12492"/>
    <cellStyle name="Comma 5 2 2 2 2 2 3 2 2" xfId="19031"/>
    <cellStyle name="Comma 5 2 2 2 2 2 3 3" xfId="16179"/>
    <cellStyle name="Comma 5 2 2 2 2 2 4" xfId="9992"/>
    <cellStyle name="Comma 5 2 2 2 2 2 4 2" xfId="13063"/>
    <cellStyle name="Comma 5 2 2 2 2 2 4 2 2" xfId="19602"/>
    <cellStyle name="Comma 5 2 2 2 2 2 4 3" xfId="16750"/>
    <cellStyle name="Comma 5 2 2 2 2 2 5" xfId="3393"/>
    <cellStyle name="Comma 5 2 2 2 2 2 5 2" xfId="11350"/>
    <cellStyle name="Comma 5 2 2 2 2 2 5 2 2" xfId="17889"/>
    <cellStyle name="Comma 5 2 2 2 2 2 5 3" xfId="15037"/>
    <cellStyle name="Comma 5 2 2 2 2 2 6" xfId="2817"/>
    <cellStyle name="Comma 5 2 2 2 2 2 6 2" xfId="14465"/>
    <cellStyle name="Comma 5 2 2 2 2 2 7" xfId="10778"/>
    <cellStyle name="Comma 5 2 2 2 2 2 7 2" xfId="17317"/>
    <cellStyle name="Comma 5 2 2 2 2 2 8" xfId="13897"/>
    <cellStyle name="Comma 5 2 2 2 2 3" xfId="4313"/>
    <cellStyle name="Comma 5 2 2 2 2 3 2" xfId="11636"/>
    <cellStyle name="Comma 5 2 2 2 2 3 2 2" xfId="18175"/>
    <cellStyle name="Comma 5 2 2 2 2 3 3" xfId="15323"/>
    <cellStyle name="Comma 5 2 2 2 2 4" xfId="6585"/>
    <cellStyle name="Comma 5 2 2 2 2 4 2" xfId="12207"/>
    <cellStyle name="Comma 5 2 2 2 2 4 2 2" xfId="18746"/>
    <cellStyle name="Comma 5 2 2 2 2 4 3" xfId="15894"/>
    <cellStyle name="Comma 5 2 2 2 2 5" xfId="8857"/>
    <cellStyle name="Comma 5 2 2 2 2 5 2" xfId="12778"/>
    <cellStyle name="Comma 5 2 2 2 2 5 2 2" xfId="19317"/>
    <cellStyle name="Comma 5 2 2 2 2 5 3" xfId="16465"/>
    <cellStyle name="Comma 5 2 2 2 2 6" xfId="3108"/>
    <cellStyle name="Comma 5 2 2 2 2 6 2" xfId="11065"/>
    <cellStyle name="Comma 5 2 2 2 2 6 2 2" xfId="17604"/>
    <cellStyle name="Comma 5 2 2 2 2 6 3" xfId="14752"/>
    <cellStyle name="Comma 5 2 2 2 2 7" xfId="2537"/>
    <cellStyle name="Comma 5 2 2 2 2 7 2" xfId="14185"/>
    <cellStyle name="Comma 5 2 2 2 2 8" xfId="10498"/>
    <cellStyle name="Comma 5 2 2 2 2 8 2" xfId="17037"/>
    <cellStyle name="Comma 5 2 2 2 2 9" xfId="13612"/>
    <cellStyle name="Comma 5 2 2 2 3" xfId="1574"/>
    <cellStyle name="Comma 5 2 2 2 3 2" xfId="4994"/>
    <cellStyle name="Comma 5 2 2 2 3 2 2" xfId="11807"/>
    <cellStyle name="Comma 5 2 2 2 3 2 2 2" xfId="18346"/>
    <cellStyle name="Comma 5 2 2 2 3 2 3" xfId="15494"/>
    <cellStyle name="Comma 5 2 2 2 3 3" xfId="7266"/>
    <cellStyle name="Comma 5 2 2 2 3 3 2" xfId="12378"/>
    <cellStyle name="Comma 5 2 2 2 3 3 2 2" xfId="18917"/>
    <cellStyle name="Comma 5 2 2 2 3 3 3" xfId="16065"/>
    <cellStyle name="Comma 5 2 2 2 3 4" xfId="9538"/>
    <cellStyle name="Comma 5 2 2 2 3 4 2" xfId="12949"/>
    <cellStyle name="Comma 5 2 2 2 3 4 2 2" xfId="19488"/>
    <cellStyle name="Comma 5 2 2 2 3 4 3" xfId="16636"/>
    <cellStyle name="Comma 5 2 2 2 3 5" xfId="3279"/>
    <cellStyle name="Comma 5 2 2 2 3 5 2" xfId="11236"/>
    <cellStyle name="Comma 5 2 2 2 3 5 2 2" xfId="17775"/>
    <cellStyle name="Comma 5 2 2 2 3 5 3" xfId="14923"/>
    <cellStyle name="Comma 5 2 2 2 3 6" xfId="2705"/>
    <cellStyle name="Comma 5 2 2 2 3 6 2" xfId="14353"/>
    <cellStyle name="Comma 5 2 2 2 3 7" xfId="10666"/>
    <cellStyle name="Comma 5 2 2 2 3 7 2" xfId="17205"/>
    <cellStyle name="Comma 5 2 2 2 3 8" xfId="13783"/>
    <cellStyle name="Comma 5 2 2 2 4" xfId="3859"/>
    <cellStyle name="Comma 5 2 2 2 4 2" xfId="11522"/>
    <cellStyle name="Comma 5 2 2 2 4 2 2" xfId="18061"/>
    <cellStyle name="Comma 5 2 2 2 4 3" xfId="15209"/>
    <cellStyle name="Comma 5 2 2 2 5" xfId="6131"/>
    <cellStyle name="Comma 5 2 2 2 5 2" xfId="12093"/>
    <cellStyle name="Comma 5 2 2 2 5 2 2" xfId="18632"/>
    <cellStyle name="Comma 5 2 2 2 5 3" xfId="15780"/>
    <cellStyle name="Comma 5 2 2 2 6" xfId="8403"/>
    <cellStyle name="Comma 5 2 2 2 6 2" xfId="12664"/>
    <cellStyle name="Comma 5 2 2 2 6 2 2" xfId="19203"/>
    <cellStyle name="Comma 5 2 2 2 6 3" xfId="16351"/>
    <cellStyle name="Comma 5 2 2 2 7" xfId="2994"/>
    <cellStyle name="Comma 5 2 2 2 7 2" xfId="10951"/>
    <cellStyle name="Comma 5 2 2 2 7 2 2" xfId="17490"/>
    <cellStyle name="Comma 5 2 2 2 7 3" xfId="14638"/>
    <cellStyle name="Comma 5 2 2 2 8" xfId="2425"/>
    <cellStyle name="Comma 5 2 2 2 8 2" xfId="14073"/>
    <cellStyle name="Comma 5 2 2 2 9" xfId="10386"/>
    <cellStyle name="Comma 5 2 2 2 9 2" xfId="16925"/>
    <cellStyle name="Comma 5 2 2 3" xfId="1120"/>
    <cellStyle name="Comma 5 2 2 3 2" xfId="2255"/>
    <cellStyle name="Comma 5 2 2 3 2 2" xfId="5675"/>
    <cellStyle name="Comma 5 2 2 3 2 2 2" xfId="11978"/>
    <cellStyle name="Comma 5 2 2 3 2 2 2 2" xfId="18517"/>
    <cellStyle name="Comma 5 2 2 3 2 2 3" xfId="15665"/>
    <cellStyle name="Comma 5 2 2 3 2 3" xfId="7947"/>
    <cellStyle name="Comma 5 2 2 3 2 3 2" xfId="12549"/>
    <cellStyle name="Comma 5 2 2 3 2 3 2 2" xfId="19088"/>
    <cellStyle name="Comma 5 2 2 3 2 3 3" xfId="16236"/>
    <cellStyle name="Comma 5 2 2 3 2 4" xfId="10219"/>
    <cellStyle name="Comma 5 2 2 3 2 4 2" xfId="13120"/>
    <cellStyle name="Comma 5 2 2 3 2 4 2 2" xfId="19659"/>
    <cellStyle name="Comma 5 2 2 3 2 4 3" xfId="16807"/>
    <cellStyle name="Comma 5 2 2 3 2 5" xfId="3450"/>
    <cellStyle name="Comma 5 2 2 3 2 5 2" xfId="11407"/>
    <cellStyle name="Comma 5 2 2 3 2 5 2 2" xfId="17946"/>
    <cellStyle name="Comma 5 2 2 3 2 5 3" xfId="15094"/>
    <cellStyle name="Comma 5 2 2 3 2 6" xfId="2873"/>
    <cellStyle name="Comma 5 2 2 3 2 6 2" xfId="14521"/>
    <cellStyle name="Comma 5 2 2 3 2 7" xfId="10834"/>
    <cellStyle name="Comma 5 2 2 3 2 7 2" xfId="17373"/>
    <cellStyle name="Comma 5 2 2 3 2 8" xfId="13954"/>
    <cellStyle name="Comma 5 2 2 3 3" xfId="4540"/>
    <cellStyle name="Comma 5 2 2 3 3 2" xfId="11693"/>
    <cellStyle name="Comma 5 2 2 3 3 2 2" xfId="18232"/>
    <cellStyle name="Comma 5 2 2 3 3 3" xfId="15380"/>
    <cellStyle name="Comma 5 2 2 3 4" xfId="6812"/>
    <cellStyle name="Comma 5 2 2 3 4 2" xfId="12264"/>
    <cellStyle name="Comma 5 2 2 3 4 2 2" xfId="18803"/>
    <cellStyle name="Comma 5 2 2 3 4 3" xfId="15951"/>
    <cellStyle name="Comma 5 2 2 3 5" xfId="9084"/>
    <cellStyle name="Comma 5 2 2 3 5 2" xfId="12835"/>
    <cellStyle name="Comma 5 2 2 3 5 2 2" xfId="19374"/>
    <cellStyle name="Comma 5 2 2 3 5 3" xfId="16522"/>
    <cellStyle name="Comma 5 2 2 3 6" xfId="3165"/>
    <cellStyle name="Comma 5 2 2 3 6 2" xfId="11122"/>
    <cellStyle name="Comma 5 2 2 3 6 2 2" xfId="17661"/>
    <cellStyle name="Comma 5 2 2 3 6 3" xfId="14809"/>
    <cellStyle name="Comma 5 2 2 3 7" xfId="2593"/>
    <cellStyle name="Comma 5 2 2 3 7 2" xfId="14241"/>
    <cellStyle name="Comma 5 2 2 3 8" xfId="10554"/>
    <cellStyle name="Comma 5 2 2 3 8 2" xfId="17093"/>
    <cellStyle name="Comma 5 2 2 3 9" xfId="13669"/>
    <cellStyle name="Comma 5 2 2 4" xfId="666"/>
    <cellStyle name="Comma 5 2 2 4 2" xfId="1801"/>
    <cellStyle name="Comma 5 2 2 4 2 2" xfId="5221"/>
    <cellStyle name="Comma 5 2 2 4 2 2 2" xfId="11864"/>
    <cellStyle name="Comma 5 2 2 4 2 2 2 2" xfId="18403"/>
    <cellStyle name="Comma 5 2 2 4 2 2 3" xfId="15551"/>
    <cellStyle name="Comma 5 2 2 4 2 3" xfId="7493"/>
    <cellStyle name="Comma 5 2 2 4 2 3 2" xfId="12435"/>
    <cellStyle name="Comma 5 2 2 4 2 3 2 2" xfId="18974"/>
    <cellStyle name="Comma 5 2 2 4 2 3 3" xfId="16122"/>
    <cellStyle name="Comma 5 2 2 4 2 4" xfId="9765"/>
    <cellStyle name="Comma 5 2 2 4 2 4 2" xfId="13006"/>
    <cellStyle name="Comma 5 2 2 4 2 4 2 2" xfId="19545"/>
    <cellStyle name="Comma 5 2 2 4 2 4 3" xfId="16693"/>
    <cellStyle name="Comma 5 2 2 4 2 5" xfId="3336"/>
    <cellStyle name="Comma 5 2 2 4 2 5 2" xfId="11293"/>
    <cellStyle name="Comma 5 2 2 4 2 5 2 2" xfId="17832"/>
    <cellStyle name="Comma 5 2 2 4 2 5 3" xfId="14980"/>
    <cellStyle name="Comma 5 2 2 4 2 6" xfId="2761"/>
    <cellStyle name="Comma 5 2 2 4 2 6 2" xfId="14409"/>
    <cellStyle name="Comma 5 2 2 4 2 7" xfId="10722"/>
    <cellStyle name="Comma 5 2 2 4 2 7 2" xfId="17261"/>
    <cellStyle name="Comma 5 2 2 4 2 8" xfId="13840"/>
    <cellStyle name="Comma 5 2 2 4 3" xfId="4086"/>
    <cellStyle name="Comma 5 2 2 4 3 2" xfId="11579"/>
    <cellStyle name="Comma 5 2 2 4 3 2 2" xfId="18118"/>
    <cellStyle name="Comma 5 2 2 4 3 3" xfId="15266"/>
    <cellStyle name="Comma 5 2 2 4 4" xfId="6358"/>
    <cellStyle name="Comma 5 2 2 4 4 2" xfId="12150"/>
    <cellStyle name="Comma 5 2 2 4 4 2 2" xfId="18689"/>
    <cellStyle name="Comma 5 2 2 4 4 3" xfId="15837"/>
    <cellStyle name="Comma 5 2 2 4 5" xfId="8630"/>
    <cellStyle name="Comma 5 2 2 4 5 2" xfId="12721"/>
    <cellStyle name="Comma 5 2 2 4 5 2 2" xfId="19260"/>
    <cellStyle name="Comma 5 2 2 4 5 3" xfId="16408"/>
    <cellStyle name="Comma 5 2 2 4 6" xfId="3051"/>
    <cellStyle name="Comma 5 2 2 4 6 2" xfId="11008"/>
    <cellStyle name="Comma 5 2 2 4 6 2 2" xfId="17547"/>
    <cellStyle name="Comma 5 2 2 4 6 3" xfId="14695"/>
    <cellStyle name="Comma 5 2 2 4 7" xfId="2481"/>
    <cellStyle name="Comma 5 2 2 4 7 2" xfId="14129"/>
    <cellStyle name="Comma 5 2 2 4 8" xfId="10442"/>
    <cellStyle name="Comma 5 2 2 4 8 2" xfId="16981"/>
    <cellStyle name="Comma 5 2 2 4 9" xfId="13555"/>
    <cellStyle name="Comma 5 2 2 5" xfId="1347"/>
    <cellStyle name="Comma 5 2 2 5 2" xfId="4767"/>
    <cellStyle name="Comma 5 2 2 5 2 2" xfId="11750"/>
    <cellStyle name="Comma 5 2 2 5 2 2 2" xfId="18289"/>
    <cellStyle name="Comma 5 2 2 5 2 3" xfId="15437"/>
    <cellStyle name="Comma 5 2 2 5 3" xfId="7039"/>
    <cellStyle name="Comma 5 2 2 5 3 2" xfId="12321"/>
    <cellStyle name="Comma 5 2 2 5 3 2 2" xfId="18860"/>
    <cellStyle name="Comma 5 2 2 5 3 3" xfId="16008"/>
    <cellStyle name="Comma 5 2 2 5 4" xfId="9311"/>
    <cellStyle name="Comma 5 2 2 5 4 2" xfId="12892"/>
    <cellStyle name="Comma 5 2 2 5 4 2 2" xfId="19431"/>
    <cellStyle name="Comma 5 2 2 5 4 3" xfId="16579"/>
    <cellStyle name="Comma 5 2 2 5 5" xfId="3222"/>
    <cellStyle name="Comma 5 2 2 5 5 2" xfId="11179"/>
    <cellStyle name="Comma 5 2 2 5 5 2 2" xfId="17718"/>
    <cellStyle name="Comma 5 2 2 5 5 3" xfId="14866"/>
    <cellStyle name="Comma 5 2 2 5 6" xfId="2649"/>
    <cellStyle name="Comma 5 2 2 5 6 2" xfId="14297"/>
    <cellStyle name="Comma 5 2 2 5 7" xfId="10610"/>
    <cellStyle name="Comma 5 2 2 5 7 2" xfId="17149"/>
    <cellStyle name="Comma 5 2 2 5 8" xfId="13726"/>
    <cellStyle name="Comma 5 2 2 6" xfId="3632"/>
    <cellStyle name="Comma 5 2 2 6 2" xfId="11465"/>
    <cellStyle name="Comma 5 2 2 6 2 2" xfId="18004"/>
    <cellStyle name="Comma 5 2 2 6 3" xfId="15152"/>
    <cellStyle name="Comma 5 2 2 7" xfId="5904"/>
    <cellStyle name="Comma 5 2 2 7 2" xfId="12036"/>
    <cellStyle name="Comma 5 2 2 7 2 2" xfId="18575"/>
    <cellStyle name="Comma 5 2 2 7 3" xfId="15723"/>
    <cellStyle name="Comma 5 2 2 8" xfId="8176"/>
    <cellStyle name="Comma 5 2 2 8 2" xfId="12607"/>
    <cellStyle name="Comma 5 2 2 8 2 2" xfId="19146"/>
    <cellStyle name="Comma 5 2 2 8 3" xfId="16294"/>
    <cellStyle name="Comma 5 2 2 9" xfId="2934"/>
    <cellStyle name="Comma 5 2 2 9 2" xfId="10893"/>
    <cellStyle name="Comma 5 2 2 9 2 2" xfId="17432"/>
    <cellStyle name="Comma 5 2 2 9 3" xfId="14580"/>
    <cellStyle name="Comma 5 2 3" xfId="145"/>
    <cellStyle name="Comma 5 2 3 10" xfId="2354"/>
    <cellStyle name="Comma 5 2 3 10 2" xfId="14002"/>
    <cellStyle name="Comma 5 2 3 11" xfId="10315"/>
    <cellStyle name="Comma 5 2 3 11 2" xfId="16854"/>
    <cellStyle name="Comma 5 2 3 12" xfId="13426"/>
    <cellStyle name="Comma 5 2 3 13" xfId="20332"/>
    <cellStyle name="Comma 5 2 3 2" xfId="383"/>
    <cellStyle name="Comma 5 2 3 2 10" xfId="13484"/>
    <cellStyle name="Comma 5 2 3 2 2" xfId="837"/>
    <cellStyle name="Comma 5 2 3 2 2 2" xfId="1972"/>
    <cellStyle name="Comma 5 2 3 2 2 2 2" xfId="5392"/>
    <cellStyle name="Comma 5 2 3 2 2 2 2 2" xfId="11907"/>
    <cellStyle name="Comma 5 2 3 2 2 2 2 2 2" xfId="18446"/>
    <cellStyle name="Comma 5 2 3 2 2 2 2 3" xfId="15594"/>
    <cellStyle name="Comma 5 2 3 2 2 2 3" xfId="7664"/>
    <cellStyle name="Comma 5 2 3 2 2 2 3 2" xfId="12478"/>
    <cellStyle name="Comma 5 2 3 2 2 2 3 2 2" xfId="19017"/>
    <cellStyle name="Comma 5 2 3 2 2 2 3 3" xfId="16165"/>
    <cellStyle name="Comma 5 2 3 2 2 2 4" xfId="9936"/>
    <cellStyle name="Comma 5 2 3 2 2 2 4 2" xfId="13049"/>
    <cellStyle name="Comma 5 2 3 2 2 2 4 2 2" xfId="19588"/>
    <cellStyle name="Comma 5 2 3 2 2 2 4 3" xfId="16736"/>
    <cellStyle name="Comma 5 2 3 2 2 2 5" xfId="3379"/>
    <cellStyle name="Comma 5 2 3 2 2 2 5 2" xfId="11336"/>
    <cellStyle name="Comma 5 2 3 2 2 2 5 2 2" xfId="17875"/>
    <cellStyle name="Comma 5 2 3 2 2 2 5 3" xfId="15023"/>
    <cellStyle name="Comma 5 2 3 2 2 2 6" xfId="2803"/>
    <cellStyle name="Comma 5 2 3 2 2 2 6 2" xfId="14451"/>
    <cellStyle name="Comma 5 2 3 2 2 2 7" xfId="10764"/>
    <cellStyle name="Comma 5 2 3 2 2 2 7 2" xfId="17303"/>
    <cellStyle name="Comma 5 2 3 2 2 2 8" xfId="13883"/>
    <cellStyle name="Comma 5 2 3 2 2 3" xfId="4257"/>
    <cellStyle name="Comma 5 2 3 2 2 3 2" xfId="11622"/>
    <cellStyle name="Comma 5 2 3 2 2 3 2 2" xfId="18161"/>
    <cellStyle name="Comma 5 2 3 2 2 3 3" xfId="15309"/>
    <cellStyle name="Comma 5 2 3 2 2 4" xfId="6529"/>
    <cellStyle name="Comma 5 2 3 2 2 4 2" xfId="12193"/>
    <cellStyle name="Comma 5 2 3 2 2 4 2 2" xfId="18732"/>
    <cellStyle name="Comma 5 2 3 2 2 4 3" xfId="15880"/>
    <cellStyle name="Comma 5 2 3 2 2 5" xfId="8801"/>
    <cellStyle name="Comma 5 2 3 2 2 5 2" xfId="12764"/>
    <cellStyle name="Comma 5 2 3 2 2 5 2 2" xfId="19303"/>
    <cellStyle name="Comma 5 2 3 2 2 5 3" xfId="16451"/>
    <cellStyle name="Comma 5 2 3 2 2 6" xfId="3094"/>
    <cellStyle name="Comma 5 2 3 2 2 6 2" xfId="11051"/>
    <cellStyle name="Comma 5 2 3 2 2 6 2 2" xfId="17590"/>
    <cellStyle name="Comma 5 2 3 2 2 6 3" xfId="14738"/>
    <cellStyle name="Comma 5 2 3 2 2 7" xfId="2523"/>
    <cellStyle name="Comma 5 2 3 2 2 7 2" xfId="14171"/>
    <cellStyle name="Comma 5 2 3 2 2 8" xfId="10484"/>
    <cellStyle name="Comma 5 2 3 2 2 8 2" xfId="17023"/>
    <cellStyle name="Comma 5 2 3 2 2 9" xfId="13598"/>
    <cellStyle name="Comma 5 2 3 2 3" xfId="1518"/>
    <cellStyle name="Comma 5 2 3 2 3 2" xfId="4938"/>
    <cellStyle name="Comma 5 2 3 2 3 2 2" xfId="11793"/>
    <cellStyle name="Comma 5 2 3 2 3 2 2 2" xfId="18332"/>
    <cellStyle name="Comma 5 2 3 2 3 2 3" xfId="15480"/>
    <cellStyle name="Comma 5 2 3 2 3 3" xfId="7210"/>
    <cellStyle name="Comma 5 2 3 2 3 3 2" xfId="12364"/>
    <cellStyle name="Comma 5 2 3 2 3 3 2 2" xfId="18903"/>
    <cellStyle name="Comma 5 2 3 2 3 3 3" xfId="16051"/>
    <cellStyle name="Comma 5 2 3 2 3 4" xfId="9482"/>
    <cellStyle name="Comma 5 2 3 2 3 4 2" xfId="12935"/>
    <cellStyle name="Comma 5 2 3 2 3 4 2 2" xfId="19474"/>
    <cellStyle name="Comma 5 2 3 2 3 4 3" xfId="16622"/>
    <cellStyle name="Comma 5 2 3 2 3 5" xfId="3265"/>
    <cellStyle name="Comma 5 2 3 2 3 5 2" xfId="11222"/>
    <cellStyle name="Comma 5 2 3 2 3 5 2 2" xfId="17761"/>
    <cellStyle name="Comma 5 2 3 2 3 5 3" xfId="14909"/>
    <cellStyle name="Comma 5 2 3 2 3 6" xfId="2691"/>
    <cellStyle name="Comma 5 2 3 2 3 6 2" xfId="14339"/>
    <cellStyle name="Comma 5 2 3 2 3 7" xfId="10652"/>
    <cellStyle name="Comma 5 2 3 2 3 7 2" xfId="17191"/>
    <cellStyle name="Comma 5 2 3 2 3 8" xfId="13769"/>
    <cellStyle name="Comma 5 2 3 2 4" xfId="3803"/>
    <cellStyle name="Comma 5 2 3 2 4 2" xfId="11508"/>
    <cellStyle name="Comma 5 2 3 2 4 2 2" xfId="18047"/>
    <cellStyle name="Comma 5 2 3 2 4 3" xfId="15195"/>
    <cellStyle name="Comma 5 2 3 2 5" xfId="6075"/>
    <cellStyle name="Comma 5 2 3 2 5 2" xfId="12079"/>
    <cellStyle name="Comma 5 2 3 2 5 2 2" xfId="18618"/>
    <cellStyle name="Comma 5 2 3 2 5 3" xfId="15766"/>
    <cellStyle name="Comma 5 2 3 2 6" xfId="8347"/>
    <cellStyle name="Comma 5 2 3 2 6 2" xfId="12650"/>
    <cellStyle name="Comma 5 2 3 2 6 2 2" xfId="19189"/>
    <cellStyle name="Comma 5 2 3 2 6 3" xfId="16337"/>
    <cellStyle name="Comma 5 2 3 2 7" xfId="2980"/>
    <cellStyle name="Comma 5 2 3 2 7 2" xfId="10937"/>
    <cellStyle name="Comma 5 2 3 2 7 2 2" xfId="17476"/>
    <cellStyle name="Comma 5 2 3 2 7 3" xfId="14624"/>
    <cellStyle name="Comma 5 2 3 2 8" xfId="2411"/>
    <cellStyle name="Comma 5 2 3 2 8 2" xfId="14059"/>
    <cellStyle name="Comma 5 2 3 2 9" xfId="10372"/>
    <cellStyle name="Comma 5 2 3 2 9 2" xfId="16911"/>
    <cellStyle name="Comma 5 2 3 3" xfId="1064"/>
    <cellStyle name="Comma 5 2 3 3 2" xfId="2199"/>
    <cellStyle name="Comma 5 2 3 3 2 2" xfId="5619"/>
    <cellStyle name="Comma 5 2 3 3 2 2 2" xfId="11964"/>
    <cellStyle name="Comma 5 2 3 3 2 2 2 2" xfId="18503"/>
    <cellStyle name="Comma 5 2 3 3 2 2 3" xfId="15651"/>
    <cellStyle name="Comma 5 2 3 3 2 3" xfId="7891"/>
    <cellStyle name="Comma 5 2 3 3 2 3 2" xfId="12535"/>
    <cellStyle name="Comma 5 2 3 3 2 3 2 2" xfId="19074"/>
    <cellStyle name="Comma 5 2 3 3 2 3 3" xfId="16222"/>
    <cellStyle name="Comma 5 2 3 3 2 4" xfId="10163"/>
    <cellStyle name="Comma 5 2 3 3 2 4 2" xfId="13106"/>
    <cellStyle name="Comma 5 2 3 3 2 4 2 2" xfId="19645"/>
    <cellStyle name="Comma 5 2 3 3 2 4 3" xfId="16793"/>
    <cellStyle name="Comma 5 2 3 3 2 5" xfId="3436"/>
    <cellStyle name="Comma 5 2 3 3 2 5 2" xfId="11393"/>
    <cellStyle name="Comma 5 2 3 3 2 5 2 2" xfId="17932"/>
    <cellStyle name="Comma 5 2 3 3 2 5 3" xfId="15080"/>
    <cellStyle name="Comma 5 2 3 3 2 6" xfId="2859"/>
    <cellStyle name="Comma 5 2 3 3 2 6 2" xfId="14507"/>
    <cellStyle name="Comma 5 2 3 3 2 7" xfId="10820"/>
    <cellStyle name="Comma 5 2 3 3 2 7 2" xfId="17359"/>
    <cellStyle name="Comma 5 2 3 3 2 8" xfId="13940"/>
    <cellStyle name="Comma 5 2 3 3 3" xfId="4484"/>
    <cellStyle name="Comma 5 2 3 3 3 2" xfId="11679"/>
    <cellStyle name="Comma 5 2 3 3 3 2 2" xfId="18218"/>
    <cellStyle name="Comma 5 2 3 3 3 3" xfId="15366"/>
    <cellStyle name="Comma 5 2 3 3 4" xfId="6756"/>
    <cellStyle name="Comma 5 2 3 3 4 2" xfId="12250"/>
    <cellStyle name="Comma 5 2 3 3 4 2 2" xfId="18789"/>
    <cellStyle name="Comma 5 2 3 3 4 3" xfId="15937"/>
    <cellStyle name="Comma 5 2 3 3 5" xfId="9028"/>
    <cellStyle name="Comma 5 2 3 3 5 2" xfId="12821"/>
    <cellStyle name="Comma 5 2 3 3 5 2 2" xfId="19360"/>
    <cellStyle name="Comma 5 2 3 3 5 3" xfId="16508"/>
    <cellStyle name="Comma 5 2 3 3 6" xfId="3151"/>
    <cellStyle name="Comma 5 2 3 3 6 2" xfId="11108"/>
    <cellStyle name="Comma 5 2 3 3 6 2 2" xfId="17647"/>
    <cellStyle name="Comma 5 2 3 3 6 3" xfId="14795"/>
    <cellStyle name="Comma 5 2 3 3 7" xfId="2579"/>
    <cellStyle name="Comma 5 2 3 3 7 2" xfId="14227"/>
    <cellStyle name="Comma 5 2 3 3 8" xfId="10540"/>
    <cellStyle name="Comma 5 2 3 3 8 2" xfId="17079"/>
    <cellStyle name="Comma 5 2 3 3 9" xfId="13655"/>
    <cellStyle name="Comma 5 2 3 4" xfId="610"/>
    <cellStyle name="Comma 5 2 3 4 2" xfId="1745"/>
    <cellStyle name="Comma 5 2 3 4 2 2" xfId="5165"/>
    <cellStyle name="Comma 5 2 3 4 2 2 2" xfId="11850"/>
    <cellStyle name="Comma 5 2 3 4 2 2 2 2" xfId="18389"/>
    <cellStyle name="Comma 5 2 3 4 2 2 3" xfId="15537"/>
    <cellStyle name="Comma 5 2 3 4 2 3" xfId="7437"/>
    <cellStyle name="Comma 5 2 3 4 2 3 2" xfId="12421"/>
    <cellStyle name="Comma 5 2 3 4 2 3 2 2" xfId="18960"/>
    <cellStyle name="Comma 5 2 3 4 2 3 3" xfId="16108"/>
    <cellStyle name="Comma 5 2 3 4 2 4" xfId="9709"/>
    <cellStyle name="Comma 5 2 3 4 2 4 2" xfId="12992"/>
    <cellStyle name="Comma 5 2 3 4 2 4 2 2" xfId="19531"/>
    <cellStyle name="Comma 5 2 3 4 2 4 3" xfId="16679"/>
    <cellStyle name="Comma 5 2 3 4 2 5" xfId="3322"/>
    <cellStyle name="Comma 5 2 3 4 2 5 2" xfId="11279"/>
    <cellStyle name="Comma 5 2 3 4 2 5 2 2" xfId="17818"/>
    <cellStyle name="Comma 5 2 3 4 2 5 3" xfId="14966"/>
    <cellStyle name="Comma 5 2 3 4 2 6" xfId="2747"/>
    <cellStyle name="Comma 5 2 3 4 2 6 2" xfId="14395"/>
    <cellStyle name="Comma 5 2 3 4 2 7" xfId="10708"/>
    <cellStyle name="Comma 5 2 3 4 2 7 2" xfId="17247"/>
    <cellStyle name="Comma 5 2 3 4 2 8" xfId="13826"/>
    <cellStyle name="Comma 5 2 3 4 3" xfId="4030"/>
    <cellStyle name="Comma 5 2 3 4 3 2" xfId="11565"/>
    <cellStyle name="Comma 5 2 3 4 3 2 2" xfId="18104"/>
    <cellStyle name="Comma 5 2 3 4 3 3" xfId="15252"/>
    <cellStyle name="Comma 5 2 3 4 4" xfId="6302"/>
    <cellStyle name="Comma 5 2 3 4 4 2" xfId="12136"/>
    <cellStyle name="Comma 5 2 3 4 4 2 2" xfId="18675"/>
    <cellStyle name="Comma 5 2 3 4 4 3" xfId="15823"/>
    <cellStyle name="Comma 5 2 3 4 5" xfId="8574"/>
    <cellStyle name="Comma 5 2 3 4 5 2" xfId="12707"/>
    <cellStyle name="Comma 5 2 3 4 5 2 2" xfId="19246"/>
    <cellStyle name="Comma 5 2 3 4 5 3" xfId="16394"/>
    <cellStyle name="Comma 5 2 3 4 6" xfId="3037"/>
    <cellStyle name="Comma 5 2 3 4 6 2" xfId="10994"/>
    <cellStyle name="Comma 5 2 3 4 6 2 2" xfId="17533"/>
    <cellStyle name="Comma 5 2 3 4 6 3" xfId="14681"/>
    <cellStyle name="Comma 5 2 3 4 7" xfId="2467"/>
    <cellStyle name="Comma 5 2 3 4 7 2" xfId="14115"/>
    <cellStyle name="Comma 5 2 3 4 8" xfId="10428"/>
    <cellStyle name="Comma 5 2 3 4 8 2" xfId="16967"/>
    <cellStyle name="Comma 5 2 3 4 9" xfId="13541"/>
    <cellStyle name="Comma 5 2 3 5" xfId="1291"/>
    <cellStyle name="Comma 5 2 3 5 2" xfId="4711"/>
    <cellStyle name="Comma 5 2 3 5 2 2" xfId="11736"/>
    <cellStyle name="Comma 5 2 3 5 2 2 2" xfId="18275"/>
    <cellStyle name="Comma 5 2 3 5 2 3" xfId="15423"/>
    <cellStyle name="Comma 5 2 3 5 3" xfId="6983"/>
    <cellStyle name="Comma 5 2 3 5 3 2" xfId="12307"/>
    <cellStyle name="Comma 5 2 3 5 3 2 2" xfId="18846"/>
    <cellStyle name="Comma 5 2 3 5 3 3" xfId="15994"/>
    <cellStyle name="Comma 5 2 3 5 4" xfId="9255"/>
    <cellStyle name="Comma 5 2 3 5 4 2" xfId="12878"/>
    <cellStyle name="Comma 5 2 3 5 4 2 2" xfId="19417"/>
    <cellStyle name="Comma 5 2 3 5 4 3" xfId="16565"/>
    <cellStyle name="Comma 5 2 3 5 5" xfId="3208"/>
    <cellStyle name="Comma 5 2 3 5 5 2" xfId="11165"/>
    <cellStyle name="Comma 5 2 3 5 5 2 2" xfId="17704"/>
    <cellStyle name="Comma 5 2 3 5 5 3" xfId="14852"/>
    <cellStyle name="Comma 5 2 3 5 6" xfId="2635"/>
    <cellStyle name="Comma 5 2 3 5 6 2" xfId="14283"/>
    <cellStyle name="Comma 5 2 3 5 7" xfId="10596"/>
    <cellStyle name="Comma 5 2 3 5 7 2" xfId="17135"/>
    <cellStyle name="Comma 5 2 3 5 8" xfId="13712"/>
    <cellStyle name="Comma 5 2 3 6" xfId="3576"/>
    <cellStyle name="Comma 5 2 3 6 2" xfId="11451"/>
    <cellStyle name="Comma 5 2 3 6 2 2" xfId="17990"/>
    <cellStyle name="Comma 5 2 3 6 3" xfId="15138"/>
    <cellStyle name="Comma 5 2 3 7" xfId="5848"/>
    <cellStyle name="Comma 5 2 3 7 2" xfId="12022"/>
    <cellStyle name="Comma 5 2 3 7 2 2" xfId="18561"/>
    <cellStyle name="Comma 5 2 3 7 3" xfId="15709"/>
    <cellStyle name="Comma 5 2 3 8" xfId="8120"/>
    <cellStyle name="Comma 5 2 3 8 2" xfId="12593"/>
    <cellStyle name="Comma 5 2 3 8 2 2" xfId="19132"/>
    <cellStyle name="Comma 5 2 3 8 3" xfId="16280"/>
    <cellStyle name="Comma 5 2 3 9" xfId="2920"/>
    <cellStyle name="Comma 5 2 3 9 2" xfId="10879"/>
    <cellStyle name="Comma 5 2 3 9 2 2" xfId="17418"/>
    <cellStyle name="Comma 5 2 3 9 3" xfId="14566"/>
    <cellStyle name="Comma 5 2 4" xfId="271"/>
    <cellStyle name="Comma 5 2 4 10" xfId="2383"/>
    <cellStyle name="Comma 5 2 4 10 2" xfId="14031"/>
    <cellStyle name="Comma 5 2 4 11" xfId="10344"/>
    <cellStyle name="Comma 5 2 4 11 2" xfId="16883"/>
    <cellStyle name="Comma 5 2 4 12" xfId="13456"/>
    <cellStyle name="Comma 5 2 4 2" xfId="498"/>
    <cellStyle name="Comma 5 2 4 2 10" xfId="13513"/>
    <cellStyle name="Comma 5 2 4 2 2" xfId="952"/>
    <cellStyle name="Comma 5 2 4 2 2 2" xfId="2087"/>
    <cellStyle name="Comma 5 2 4 2 2 2 2" xfId="5507"/>
    <cellStyle name="Comma 5 2 4 2 2 2 2 2" xfId="11936"/>
    <cellStyle name="Comma 5 2 4 2 2 2 2 2 2" xfId="18475"/>
    <cellStyle name="Comma 5 2 4 2 2 2 2 3" xfId="15623"/>
    <cellStyle name="Comma 5 2 4 2 2 2 3" xfId="7779"/>
    <cellStyle name="Comma 5 2 4 2 2 2 3 2" xfId="12507"/>
    <cellStyle name="Comma 5 2 4 2 2 2 3 2 2" xfId="19046"/>
    <cellStyle name="Comma 5 2 4 2 2 2 3 3" xfId="16194"/>
    <cellStyle name="Comma 5 2 4 2 2 2 4" xfId="10051"/>
    <cellStyle name="Comma 5 2 4 2 2 2 4 2" xfId="13078"/>
    <cellStyle name="Comma 5 2 4 2 2 2 4 2 2" xfId="19617"/>
    <cellStyle name="Comma 5 2 4 2 2 2 4 3" xfId="16765"/>
    <cellStyle name="Comma 5 2 4 2 2 2 5" xfId="3408"/>
    <cellStyle name="Comma 5 2 4 2 2 2 5 2" xfId="11365"/>
    <cellStyle name="Comma 5 2 4 2 2 2 5 2 2" xfId="17904"/>
    <cellStyle name="Comma 5 2 4 2 2 2 5 3" xfId="15052"/>
    <cellStyle name="Comma 5 2 4 2 2 2 6" xfId="2831"/>
    <cellStyle name="Comma 5 2 4 2 2 2 6 2" xfId="14479"/>
    <cellStyle name="Comma 5 2 4 2 2 2 7" xfId="10792"/>
    <cellStyle name="Comma 5 2 4 2 2 2 7 2" xfId="17331"/>
    <cellStyle name="Comma 5 2 4 2 2 2 8" xfId="13912"/>
    <cellStyle name="Comma 5 2 4 2 2 3" xfId="4372"/>
    <cellStyle name="Comma 5 2 4 2 2 3 2" xfId="11651"/>
    <cellStyle name="Comma 5 2 4 2 2 3 2 2" xfId="18190"/>
    <cellStyle name="Comma 5 2 4 2 2 3 3" xfId="15338"/>
    <cellStyle name="Comma 5 2 4 2 2 4" xfId="6644"/>
    <cellStyle name="Comma 5 2 4 2 2 4 2" xfId="12222"/>
    <cellStyle name="Comma 5 2 4 2 2 4 2 2" xfId="18761"/>
    <cellStyle name="Comma 5 2 4 2 2 4 3" xfId="15909"/>
    <cellStyle name="Comma 5 2 4 2 2 5" xfId="8916"/>
    <cellStyle name="Comma 5 2 4 2 2 5 2" xfId="12793"/>
    <cellStyle name="Comma 5 2 4 2 2 5 2 2" xfId="19332"/>
    <cellStyle name="Comma 5 2 4 2 2 5 3" xfId="16480"/>
    <cellStyle name="Comma 5 2 4 2 2 6" xfId="3123"/>
    <cellStyle name="Comma 5 2 4 2 2 6 2" xfId="11080"/>
    <cellStyle name="Comma 5 2 4 2 2 6 2 2" xfId="17619"/>
    <cellStyle name="Comma 5 2 4 2 2 6 3" xfId="14767"/>
    <cellStyle name="Comma 5 2 4 2 2 7" xfId="2551"/>
    <cellStyle name="Comma 5 2 4 2 2 7 2" xfId="14199"/>
    <cellStyle name="Comma 5 2 4 2 2 8" xfId="10512"/>
    <cellStyle name="Comma 5 2 4 2 2 8 2" xfId="17051"/>
    <cellStyle name="Comma 5 2 4 2 2 9" xfId="13627"/>
    <cellStyle name="Comma 5 2 4 2 3" xfId="1633"/>
    <cellStyle name="Comma 5 2 4 2 3 2" xfId="5053"/>
    <cellStyle name="Comma 5 2 4 2 3 2 2" xfId="11822"/>
    <cellStyle name="Comma 5 2 4 2 3 2 2 2" xfId="18361"/>
    <cellStyle name="Comma 5 2 4 2 3 2 3" xfId="15509"/>
    <cellStyle name="Comma 5 2 4 2 3 3" xfId="7325"/>
    <cellStyle name="Comma 5 2 4 2 3 3 2" xfId="12393"/>
    <cellStyle name="Comma 5 2 4 2 3 3 2 2" xfId="18932"/>
    <cellStyle name="Comma 5 2 4 2 3 3 3" xfId="16080"/>
    <cellStyle name="Comma 5 2 4 2 3 4" xfId="9597"/>
    <cellStyle name="Comma 5 2 4 2 3 4 2" xfId="12964"/>
    <cellStyle name="Comma 5 2 4 2 3 4 2 2" xfId="19503"/>
    <cellStyle name="Comma 5 2 4 2 3 4 3" xfId="16651"/>
    <cellStyle name="Comma 5 2 4 2 3 5" xfId="3294"/>
    <cellStyle name="Comma 5 2 4 2 3 5 2" xfId="11251"/>
    <cellStyle name="Comma 5 2 4 2 3 5 2 2" xfId="17790"/>
    <cellStyle name="Comma 5 2 4 2 3 5 3" xfId="14938"/>
    <cellStyle name="Comma 5 2 4 2 3 6" xfId="2719"/>
    <cellStyle name="Comma 5 2 4 2 3 6 2" xfId="14367"/>
    <cellStyle name="Comma 5 2 4 2 3 7" xfId="10680"/>
    <cellStyle name="Comma 5 2 4 2 3 7 2" xfId="17219"/>
    <cellStyle name="Comma 5 2 4 2 3 8" xfId="13798"/>
    <cellStyle name="Comma 5 2 4 2 4" xfId="3918"/>
    <cellStyle name="Comma 5 2 4 2 4 2" xfId="11537"/>
    <cellStyle name="Comma 5 2 4 2 4 2 2" xfId="18076"/>
    <cellStyle name="Comma 5 2 4 2 4 3" xfId="15224"/>
    <cellStyle name="Comma 5 2 4 2 5" xfId="6190"/>
    <cellStyle name="Comma 5 2 4 2 5 2" xfId="12108"/>
    <cellStyle name="Comma 5 2 4 2 5 2 2" xfId="18647"/>
    <cellStyle name="Comma 5 2 4 2 5 3" xfId="15795"/>
    <cellStyle name="Comma 5 2 4 2 6" xfId="8462"/>
    <cellStyle name="Comma 5 2 4 2 6 2" xfId="12679"/>
    <cellStyle name="Comma 5 2 4 2 6 2 2" xfId="19218"/>
    <cellStyle name="Comma 5 2 4 2 6 3" xfId="16366"/>
    <cellStyle name="Comma 5 2 4 2 7" xfId="3009"/>
    <cellStyle name="Comma 5 2 4 2 7 2" xfId="10966"/>
    <cellStyle name="Comma 5 2 4 2 7 2 2" xfId="17505"/>
    <cellStyle name="Comma 5 2 4 2 7 3" xfId="14653"/>
    <cellStyle name="Comma 5 2 4 2 8" xfId="2439"/>
    <cellStyle name="Comma 5 2 4 2 8 2" xfId="14087"/>
    <cellStyle name="Comma 5 2 4 2 9" xfId="10400"/>
    <cellStyle name="Comma 5 2 4 2 9 2" xfId="16939"/>
    <cellStyle name="Comma 5 2 4 3" xfId="1179"/>
    <cellStyle name="Comma 5 2 4 3 2" xfId="2314"/>
    <cellStyle name="Comma 5 2 4 3 2 2" xfId="5734"/>
    <cellStyle name="Comma 5 2 4 3 2 2 2" xfId="11993"/>
    <cellStyle name="Comma 5 2 4 3 2 2 2 2" xfId="18532"/>
    <cellStyle name="Comma 5 2 4 3 2 2 3" xfId="15680"/>
    <cellStyle name="Comma 5 2 4 3 2 3" xfId="8006"/>
    <cellStyle name="Comma 5 2 4 3 2 3 2" xfId="12564"/>
    <cellStyle name="Comma 5 2 4 3 2 3 2 2" xfId="19103"/>
    <cellStyle name="Comma 5 2 4 3 2 3 3" xfId="16251"/>
    <cellStyle name="Comma 5 2 4 3 2 4" xfId="10278"/>
    <cellStyle name="Comma 5 2 4 3 2 4 2" xfId="13135"/>
    <cellStyle name="Comma 5 2 4 3 2 4 2 2" xfId="19674"/>
    <cellStyle name="Comma 5 2 4 3 2 4 3" xfId="16822"/>
    <cellStyle name="Comma 5 2 4 3 2 5" xfId="3465"/>
    <cellStyle name="Comma 5 2 4 3 2 5 2" xfId="11422"/>
    <cellStyle name="Comma 5 2 4 3 2 5 2 2" xfId="17961"/>
    <cellStyle name="Comma 5 2 4 3 2 5 3" xfId="15109"/>
    <cellStyle name="Comma 5 2 4 3 2 6" xfId="2887"/>
    <cellStyle name="Comma 5 2 4 3 2 6 2" xfId="14535"/>
    <cellStyle name="Comma 5 2 4 3 2 7" xfId="10848"/>
    <cellStyle name="Comma 5 2 4 3 2 7 2" xfId="17387"/>
    <cellStyle name="Comma 5 2 4 3 2 8" xfId="13969"/>
    <cellStyle name="Comma 5 2 4 3 3" xfId="4599"/>
    <cellStyle name="Comma 5 2 4 3 3 2" xfId="11708"/>
    <cellStyle name="Comma 5 2 4 3 3 2 2" xfId="18247"/>
    <cellStyle name="Comma 5 2 4 3 3 3" xfId="15395"/>
    <cellStyle name="Comma 5 2 4 3 4" xfId="6871"/>
    <cellStyle name="Comma 5 2 4 3 4 2" xfId="12279"/>
    <cellStyle name="Comma 5 2 4 3 4 2 2" xfId="18818"/>
    <cellStyle name="Comma 5 2 4 3 4 3" xfId="15966"/>
    <cellStyle name="Comma 5 2 4 3 5" xfId="9143"/>
    <cellStyle name="Comma 5 2 4 3 5 2" xfId="12850"/>
    <cellStyle name="Comma 5 2 4 3 5 2 2" xfId="19389"/>
    <cellStyle name="Comma 5 2 4 3 5 3" xfId="16537"/>
    <cellStyle name="Comma 5 2 4 3 6" xfId="3180"/>
    <cellStyle name="Comma 5 2 4 3 6 2" xfId="11137"/>
    <cellStyle name="Comma 5 2 4 3 6 2 2" xfId="17676"/>
    <cellStyle name="Comma 5 2 4 3 6 3" xfId="14824"/>
    <cellStyle name="Comma 5 2 4 3 7" xfId="2607"/>
    <cellStyle name="Comma 5 2 4 3 7 2" xfId="14255"/>
    <cellStyle name="Comma 5 2 4 3 8" xfId="10568"/>
    <cellStyle name="Comma 5 2 4 3 8 2" xfId="17107"/>
    <cellStyle name="Comma 5 2 4 3 9" xfId="13684"/>
    <cellStyle name="Comma 5 2 4 4" xfId="725"/>
    <cellStyle name="Comma 5 2 4 4 2" xfId="1860"/>
    <cellStyle name="Comma 5 2 4 4 2 2" xfId="5280"/>
    <cellStyle name="Comma 5 2 4 4 2 2 2" xfId="11879"/>
    <cellStyle name="Comma 5 2 4 4 2 2 2 2" xfId="18418"/>
    <cellStyle name="Comma 5 2 4 4 2 2 3" xfId="15566"/>
    <cellStyle name="Comma 5 2 4 4 2 3" xfId="7552"/>
    <cellStyle name="Comma 5 2 4 4 2 3 2" xfId="12450"/>
    <cellStyle name="Comma 5 2 4 4 2 3 2 2" xfId="18989"/>
    <cellStyle name="Comma 5 2 4 4 2 3 3" xfId="16137"/>
    <cellStyle name="Comma 5 2 4 4 2 4" xfId="9824"/>
    <cellStyle name="Comma 5 2 4 4 2 4 2" xfId="13021"/>
    <cellStyle name="Comma 5 2 4 4 2 4 2 2" xfId="19560"/>
    <cellStyle name="Comma 5 2 4 4 2 4 3" xfId="16708"/>
    <cellStyle name="Comma 5 2 4 4 2 5" xfId="3351"/>
    <cellStyle name="Comma 5 2 4 4 2 5 2" xfId="11308"/>
    <cellStyle name="Comma 5 2 4 4 2 5 2 2" xfId="17847"/>
    <cellStyle name="Comma 5 2 4 4 2 5 3" xfId="14995"/>
    <cellStyle name="Comma 5 2 4 4 2 6" xfId="2775"/>
    <cellStyle name="Comma 5 2 4 4 2 6 2" xfId="14423"/>
    <cellStyle name="Comma 5 2 4 4 2 7" xfId="10736"/>
    <cellStyle name="Comma 5 2 4 4 2 7 2" xfId="17275"/>
    <cellStyle name="Comma 5 2 4 4 2 8" xfId="13855"/>
    <cellStyle name="Comma 5 2 4 4 3" xfId="4145"/>
    <cellStyle name="Comma 5 2 4 4 3 2" xfId="11594"/>
    <cellStyle name="Comma 5 2 4 4 3 2 2" xfId="18133"/>
    <cellStyle name="Comma 5 2 4 4 3 3" xfId="15281"/>
    <cellStyle name="Comma 5 2 4 4 4" xfId="6417"/>
    <cellStyle name="Comma 5 2 4 4 4 2" xfId="12165"/>
    <cellStyle name="Comma 5 2 4 4 4 2 2" xfId="18704"/>
    <cellStyle name="Comma 5 2 4 4 4 3" xfId="15852"/>
    <cellStyle name="Comma 5 2 4 4 5" xfId="8689"/>
    <cellStyle name="Comma 5 2 4 4 5 2" xfId="12736"/>
    <cellStyle name="Comma 5 2 4 4 5 2 2" xfId="19275"/>
    <cellStyle name="Comma 5 2 4 4 5 3" xfId="16423"/>
    <cellStyle name="Comma 5 2 4 4 6" xfId="3066"/>
    <cellStyle name="Comma 5 2 4 4 6 2" xfId="11023"/>
    <cellStyle name="Comma 5 2 4 4 6 2 2" xfId="17562"/>
    <cellStyle name="Comma 5 2 4 4 6 3" xfId="14710"/>
    <cellStyle name="Comma 5 2 4 4 7" xfId="2495"/>
    <cellStyle name="Comma 5 2 4 4 7 2" xfId="14143"/>
    <cellStyle name="Comma 5 2 4 4 8" xfId="10456"/>
    <cellStyle name="Comma 5 2 4 4 8 2" xfId="16995"/>
    <cellStyle name="Comma 5 2 4 4 9" xfId="13570"/>
    <cellStyle name="Comma 5 2 4 5" xfId="1406"/>
    <cellStyle name="Comma 5 2 4 5 2" xfId="4826"/>
    <cellStyle name="Comma 5 2 4 5 2 2" xfId="11765"/>
    <cellStyle name="Comma 5 2 4 5 2 2 2" xfId="18304"/>
    <cellStyle name="Comma 5 2 4 5 2 3" xfId="15452"/>
    <cellStyle name="Comma 5 2 4 5 3" xfId="7098"/>
    <cellStyle name="Comma 5 2 4 5 3 2" xfId="12336"/>
    <cellStyle name="Comma 5 2 4 5 3 2 2" xfId="18875"/>
    <cellStyle name="Comma 5 2 4 5 3 3" xfId="16023"/>
    <cellStyle name="Comma 5 2 4 5 4" xfId="9370"/>
    <cellStyle name="Comma 5 2 4 5 4 2" xfId="12907"/>
    <cellStyle name="Comma 5 2 4 5 4 2 2" xfId="19446"/>
    <cellStyle name="Comma 5 2 4 5 4 3" xfId="16594"/>
    <cellStyle name="Comma 5 2 4 5 5" xfId="3237"/>
    <cellStyle name="Comma 5 2 4 5 5 2" xfId="11194"/>
    <cellStyle name="Comma 5 2 4 5 5 2 2" xfId="17733"/>
    <cellStyle name="Comma 5 2 4 5 5 3" xfId="14881"/>
    <cellStyle name="Comma 5 2 4 5 6" xfId="2663"/>
    <cellStyle name="Comma 5 2 4 5 6 2" xfId="14311"/>
    <cellStyle name="Comma 5 2 4 5 7" xfId="10624"/>
    <cellStyle name="Comma 5 2 4 5 7 2" xfId="17163"/>
    <cellStyle name="Comma 5 2 4 5 8" xfId="13741"/>
    <cellStyle name="Comma 5 2 4 6" xfId="3691"/>
    <cellStyle name="Comma 5 2 4 6 2" xfId="11480"/>
    <cellStyle name="Comma 5 2 4 6 2 2" xfId="18019"/>
    <cellStyle name="Comma 5 2 4 6 3" xfId="15167"/>
    <cellStyle name="Comma 5 2 4 7" xfId="5963"/>
    <cellStyle name="Comma 5 2 4 7 2" xfId="12051"/>
    <cellStyle name="Comma 5 2 4 7 2 2" xfId="18590"/>
    <cellStyle name="Comma 5 2 4 7 3" xfId="15738"/>
    <cellStyle name="Comma 5 2 4 8" xfId="8235"/>
    <cellStyle name="Comma 5 2 4 8 2" xfId="12622"/>
    <cellStyle name="Comma 5 2 4 8 2 2" xfId="19161"/>
    <cellStyle name="Comma 5 2 4 8 3" xfId="16309"/>
    <cellStyle name="Comma 5 2 4 9" xfId="2952"/>
    <cellStyle name="Comma 5 2 4 9 2" xfId="10909"/>
    <cellStyle name="Comma 5 2 4 9 2 2" xfId="17448"/>
    <cellStyle name="Comma 5 2 4 9 3" xfId="14596"/>
    <cellStyle name="Comma 5 2 5" xfId="327"/>
    <cellStyle name="Comma 5 2 5 10" xfId="13470"/>
    <cellStyle name="Comma 5 2 5 2" xfId="781"/>
    <cellStyle name="Comma 5 2 5 2 2" xfId="1916"/>
    <cellStyle name="Comma 5 2 5 2 2 2" xfId="5336"/>
    <cellStyle name="Comma 5 2 5 2 2 2 2" xfId="11893"/>
    <cellStyle name="Comma 5 2 5 2 2 2 2 2" xfId="18432"/>
    <cellStyle name="Comma 5 2 5 2 2 2 3" xfId="15580"/>
    <cellStyle name="Comma 5 2 5 2 2 3" xfId="7608"/>
    <cellStyle name="Comma 5 2 5 2 2 3 2" xfId="12464"/>
    <cellStyle name="Comma 5 2 5 2 2 3 2 2" xfId="19003"/>
    <cellStyle name="Comma 5 2 5 2 2 3 3" xfId="16151"/>
    <cellStyle name="Comma 5 2 5 2 2 4" xfId="9880"/>
    <cellStyle name="Comma 5 2 5 2 2 4 2" xfId="13035"/>
    <cellStyle name="Comma 5 2 5 2 2 4 2 2" xfId="19574"/>
    <cellStyle name="Comma 5 2 5 2 2 4 3" xfId="16722"/>
    <cellStyle name="Comma 5 2 5 2 2 5" xfId="3365"/>
    <cellStyle name="Comma 5 2 5 2 2 5 2" xfId="11322"/>
    <cellStyle name="Comma 5 2 5 2 2 5 2 2" xfId="17861"/>
    <cellStyle name="Comma 5 2 5 2 2 5 3" xfId="15009"/>
    <cellStyle name="Comma 5 2 5 2 2 6" xfId="2789"/>
    <cellStyle name="Comma 5 2 5 2 2 6 2" xfId="14437"/>
    <cellStyle name="Comma 5 2 5 2 2 7" xfId="10750"/>
    <cellStyle name="Comma 5 2 5 2 2 7 2" xfId="17289"/>
    <cellStyle name="Comma 5 2 5 2 2 8" xfId="13869"/>
    <cellStyle name="Comma 5 2 5 2 3" xfId="4201"/>
    <cellStyle name="Comma 5 2 5 2 3 2" xfId="11608"/>
    <cellStyle name="Comma 5 2 5 2 3 2 2" xfId="18147"/>
    <cellStyle name="Comma 5 2 5 2 3 3" xfId="15295"/>
    <cellStyle name="Comma 5 2 5 2 4" xfId="6473"/>
    <cellStyle name="Comma 5 2 5 2 4 2" xfId="12179"/>
    <cellStyle name="Comma 5 2 5 2 4 2 2" xfId="18718"/>
    <cellStyle name="Comma 5 2 5 2 4 3" xfId="15866"/>
    <cellStyle name="Comma 5 2 5 2 5" xfId="8745"/>
    <cellStyle name="Comma 5 2 5 2 5 2" xfId="12750"/>
    <cellStyle name="Comma 5 2 5 2 5 2 2" xfId="19289"/>
    <cellStyle name="Comma 5 2 5 2 5 3" xfId="16437"/>
    <cellStyle name="Comma 5 2 5 2 6" xfId="3080"/>
    <cellStyle name="Comma 5 2 5 2 6 2" xfId="11037"/>
    <cellStyle name="Comma 5 2 5 2 6 2 2" xfId="17576"/>
    <cellStyle name="Comma 5 2 5 2 6 3" xfId="14724"/>
    <cellStyle name="Comma 5 2 5 2 7" xfId="2509"/>
    <cellStyle name="Comma 5 2 5 2 7 2" xfId="14157"/>
    <cellStyle name="Comma 5 2 5 2 8" xfId="10470"/>
    <cellStyle name="Comma 5 2 5 2 8 2" xfId="17009"/>
    <cellStyle name="Comma 5 2 5 2 9" xfId="13584"/>
    <cellStyle name="Comma 5 2 5 3" xfId="1462"/>
    <cellStyle name="Comma 5 2 5 3 2" xfId="4882"/>
    <cellStyle name="Comma 5 2 5 3 2 2" xfId="11779"/>
    <cellStyle name="Comma 5 2 5 3 2 2 2" xfId="18318"/>
    <cellStyle name="Comma 5 2 5 3 2 3" xfId="15466"/>
    <cellStyle name="Comma 5 2 5 3 3" xfId="7154"/>
    <cellStyle name="Comma 5 2 5 3 3 2" xfId="12350"/>
    <cellStyle name="Comma 5 2 5 3 3 2 2" xfId="18889"/>
    <cellStyle name="Comma 5 2 5 3 3 3" xfId="16037"/>
    <cellStyle name="Comma 5 2 5 3 4" xfId="9426"/>
    <cellStyle name="Comma 5 2 5 3 4 2" xfId="12921"/>
    <cellStyle name="Comma 5 2 5 3 4 2 2" xfId="19460"/>
    <cellStyle name="Comma 5 2 5 3 4 3" xfId="16608"/>
    <cellStyle name="Comma 5 2 5 3 5" xfId="3251"/>
    <cellStyle name="Comma 5 2 5 3 5 2" xfId="11208"/>
    <cellStyle name="Comma 5 2 5 3 5 2 2" xfId="17747"/>
    <cellStyle name="Comma 5 2 5 3 5 3" xfId="14895"/>
    <cellStyle name="Comma 5 2 5 3 6" xfId="2677"/>
    <cellStyle name="Comma 5 2 5 3 6 2" xfId="14325"/>
    <cellStyle name="Comma 5 2 5 3 7" xfId="10638"/>
    <cellStyle name="Comma 5 2 5 3 7 2" xfId="17177"/>
    <cellStyle name="Comma 5 2 5 3 8" xfId="13755"/>
    <cellStyle name="Comma 5 2 5 4" xfId="3747"/>
    <cellStyle name="Comma 5 2 5 4 2" xfId="11494"/>
    <cellStyle name="Comma 5 2 5 4 2 2" xfId="18033"/>
    <cellStyle name="Comma 5 2 5 4 3" xfId="15181"/>
    <cellStyle name="Comma 5 2 5 5" xfId="6019"/>
    <cellStyle name="Comma 5 2 5 5 2" xfId="12065"/>
    <cellStyle name="Comma 5 2 5 5 2 2" xfId="18604"/>
    <cellStyle name="Comma 5 2 5 5 3" xfId="15752"/>
    <cellStyle name="Comma 5 2 5 6" xfId="8291"/>
    <cellStyle name="Comma 5 2 5 6 2" xfId="12636"/>
    <cellStyle name="Comma 5 2 5 6 2 2" xfId="19175"/>
    <cellStyle name="Comma 5 2 5 6 3" xfId="16323"/>
    <cellStyle name="Comma 5 2 5 7" xfId="2966"/>
    <cellStyle name="Comma 5 2 5 7 2" xfId="10923"/>
    <cellStyle name="Comma 5 2 5 7 2 2" xfId="17462"/>
    <cellStyle name="Comma 5 2 5 7 3" xfId="14610"/>
    <cellStyle name="Comma 5 2 5 8" xfId="2397"/>
    <cellStyle name="Comma 5 2 5 8 2" xfId="14045"/>
    <cellStyle name="Comma 5 2 5 9" xfId="10358"/>
    <cellStyle name="Comma 5 2 5 9 2" xfId="16897"/>
    <cellStyle name="Comma 5 2 6" xfId="1008"/>
    <cellStyle name="Comma 5 2 6 2" xfId="2143"/>
    <cellStyle name="Comma 5 2 6 2 2" xfId="5563"/>
    <cellStyle name="Comma 5 2 6 2 2 2" xfId="11950"/>
    <cellStyle name="Comma 5 2 6 2 2 2 2" xfId="18489"/>
    <cellStyle name="Comma 5 2 6 2 2 3" xfId="15637"/>
    <cellStyle name="Comma 5 2 6 2 3" xfId="7835"/>
    <cellStyle name="Comma 5 2 6 2 3 2" xfId="12521"/>
    <cellStyle name="Comma 5 2 6 2 3 2 2" xfId="19060"/>
    <cellStyle name="Comma 5 2 6 2 3 3" xfId="16208"/>
    <cellStyle name="Comma 5 2 6 2 4" xfId="10107"/>
    <cellStyle name="Comma 5 2 6 2 4 2" xfId="13092"/>
    <cellStyle name="Comma 5 2 6 2 4 2 2" xfId="19631"/>
    <cellStyle name="Comma 5 2 6 2 4 3" xfId="16779"/>
    <cellStyle name="Comma 5 2 6 2 5" xfId="3422"/>
    <cellStyle name="Comma 5 2 6 2 5 2" xfId="11379"/>
    <cellStyle name="Comma 5 2 6 2 5 2 2" xfId="17918"/>
    <cellStyle name="Comma 5 2 6 2 5 3" xfId="15066"/>
    <cellStyle name="Comma 5 2 6 2 6" xfId="2845"/>
    <cellStyle name="Comma 5 2 6 2 6 2" xfId="14493"/>
    <cellStyle name="Comma 5 2 6 2 7" xfId="10806"/>
    <cellStyle name="Comma 5 2 6 2 7 2" xfId="17345"/>
    <cellStyle name="Comma 5 2 6 2 8" xfId="13926"/>
    <cellStyle name="Comma 5 2 6 3" xfId="4428"/>
    <cellStyle name="Comma 5 2 6 3 2" xfId="11665"/>
    <cellStyle name="Comma 5 2 6 3 2 2" xfId="18204"/>
    <cellStyle name="Comma 5 2 6 3 3" xfId="15352"/>
    <cellStyle name="Comma 5 2 6 4" xfId="6700"/>
    <cellStyle name="Comma 5 2 6 4 2" xfId="12236"/>
    <cellStyle name="Comma 5 2 6 4 2 2" xfId="18775"/>
    <cellStyle name="Comma 5 2 6 4 3" xfId="15923"/>
    <cellStyle name="Comma 5 2 6 5" xfId="8972"/>
    <cellStyle name="Comma 5 2 6 5 2" xfId="12807"/>
    <cellStyle name="Comma 5 2 6 5 2 2" xfId="19346"/>
    <cellStyle name="Comma 5 2 6 5 3" xfId="16494"/>
    <cellStyle name="Comma 5 2 6 6" xfId="3137"/>
    <cellStyle name="Comma 5 2 6 6 2" xfId="11094"/>
    <cellStyle name="Comma 5 2 6 6 2 2" xfId="17633"/>
    <cellStyle name="Comma 5 2 6 6 3" xfId="14781"/>
    <cellStyle name="Comma 5 2 6 7" xfId="2565"/>
    <cellStyle name="Comma 5 2 6 7 2" xfId="14213"/>
    <cellStyle name="Comma 5 2 6 8" xfId="10526"/>
    <cellStyle name="Comma 5 2 6 8 2" xfId="17065"/>
    <cellStyle name="Comma 5 2 6 9" xfId="13641"/>
    <cellStyle name="Comma 5 2 7" xfId="554"/>
    <cellStyle name="Comma 5 2 7 2" xfId="1689"/>
    <cellStyle name="Comma 5 2 7 2 2" xfId="5109"/>
    <cellStyle name="Comma 5 2 7 2 2 2" xfId="11836"/>
    <cellStyle name="Comma 5 2 7 2 2 2 2" xfId="18375"/>
    <cellStyle name="Comma 5 2 7 2 2 3" xfId="15523"/>
    <cellStyle name="Comma 5 2 7 2 3" xfId="7381"/>
    <cellStyle name="Comma 5 2 7 2 3 2" xfId="12407"/>
    <cellStyle name="Comma 5 2 7 2 3 2 2" xfId="18946"/>
    <cellStyle name="Comma 5 2 7 2 3 3" xfId="16094"/>
    <cellStyle name="Comma 5 2 7 2 4" xfId="9653"/>
    <cellStyle name="Comma 5 2 7 2 4 2" xfId="12978"/>
    <cellStyle name="Comma 5 2 7 2 4 2 2" xfId="19517"/>
    <cellStyle name="Comma 5 2 7 2 4 3" xfId="16665"/>
    <cellStyle name="Comma 5 2 7 2 5" xfId="3308"/>
    <cellStyle name="Comma 5 2 7 2 5 2" xfId="11265"/>
    <cellStyle name="Comma 5 2 7 2 5 2 2" xfId="17804"/>
    <cellStyle name="Comma 5 2 7 2 5 3" xfId="14952"/>
    <cellStyle name="Comma 5 2 7 2 6" xfId="2733"/>
    <cellStyle name="Comma 5 2 7 2 6 2" xfId="14381"/>
    <cellStyle name="Comma 5 2 7 2 7" xfId="10694"/>
    <cellStyle name="Comma 5 2 7 2 7 2" xfId="17233"/>
    <cellStyle name="Comma 5 2 7 2 8" xfId="13812"/>
    <cellStyle name="Comma 5 2 7 3" xfId="3974"/>
    <cellStyle name="Comma 5 2 7 3 2" xfId="11551"/>
    <cellStyle name="Comma 5 2 7 3 2 2" xfId="18090"/>
    <cellStyle name="Comma 5 2 7 3 3" xfId="15238"/>
    <cellStyle name="Comma 5 2 7 4" xfId="6246"/>
    <cellStyle name="Comma 5 2 7 4 2" xfId="12122"/>
    <cellStyle name="Comma 5 2 7 4 2 2" xfId="18661"/>
    <cellStyle name="Comma 5 2 7 4 3" xfId="15809"/>
    <cellStyle name="Comma 5 2 7 5" xfId="8518"/>
    <cellStyle name="Comma 5 2 7 5 2" xfId="12693"/>
    <cellStyle name="Comma 5 2 7 5 2 2" xfId="19232"/>
    <cellStyle name="Comma 5 2 7 5 3" xfId="16380"/>
    <cellStyle name="Comma 5 2 7 6" xfId="3023"/>
    <cellStyle name="Comma 5 2 7 6 2" xfId="10980"/>
    <cellStyle name="Comma 5 2 7 6 2 2" xfId="17519"/>
    <cellStyle name="Comma 5 2 7 6 3" xfId="14667"/>
    <cellStyle name="Comma 5 2 7 7" xfId="2453"/>
    <cellStyle name="Comma 5 2 7 7 2" xfId="14101"/>
    <cellStyle name="Comma 5 2 7 8" xfId="10414"/>
    <cellStyle name="Comma 5 2 7 8 2" xfId="16953"/>
    <cellStyle name="Comma 5 2 7 9" xfId="13527"/>
    <cellStyle name="Comma 5 2 8" xfId="1235"/>
    <cellStyle name="Comma 5 2 8 2" xfId="4655"/>
    <cellStyle name="Comma 5 2 8 2 2" xfId="11722"/>
    <cellStyle name="Comma 5 2 8 2 2 2" xfId="18261"/>
    <cellStyle name="Comma 5 2 8 2 3" xfId="15409"/>
    <cellStyle name="Comma 5 2 8 3" xfId="6927"/>
    <cellStyle name="Comma 5 2 8 3 2" xfId="12293"/>
    <cellStyle name="Comma 5 2 8 3 2 2" xfId="18832"/>
    <cellStyle name="Comma 5 2 8 3 3" xfId="15980"/>
    <cellStyle name="Comma 5 2 8 4" xfId="9199"/>
    <cellStyle name="Comma 5 2 8 4 2" xfId="12864"/>
    <cellStyle name="Comma 5 2 8 4 2 2" xfId="19403"/>
    <cellStyle name="Comma 5 2 8 4 3" xfId="16551"/>
    <cellStyle name="Comma 5 2 8 5" xfId="3194"/>
    <cellStyle name="Comma 5 2 8 5 2" xfId="11151"/>
    <cellStyle name="Comma 5 2 8 5 2 2" xfId="17690"/>
    <cellStyle name="Comma 5 2 8 5 3" xfId="14838"/>
    <cellStyle name="Comma 5 2 8 6" xfId="2621"/>
    <cellStyle name="Comma 5 2 8 6 2" xfId="14269"/>
    <cellStyle name="Comma 5 2 8 7" xfId="10582"/>
    <cellStyle name="Comma 5 2 8 7 2" xfId="17121"/>
    <cellStyle name="Comma 5 2 8 8" xfId="13698"/>
    <cellStyle name="Comma 5 2 9" xfId="3520"/>
    <cellStyle name="Comma 5 2 9 2" xfId="11437"/>
    <cellStyle name="Comma 5 2 9 2 2" xfId="17976"/>
    <cellStyle name="Comma 5 2 9 3" xfId="15124"/>
    <cellStyle name="Comma 5 20" xfId="19850"/>
    <cellStyle name="Comma 5 21" xfId="19887"/>
    <cellStyle name="Comma 5 3" xfId="173"/>
    <cellStyle name="Comma 5 3 10" xfId="2361"/>
    <cellStyle name="Comma 5 3 10 2" xfId="14009"/>
    <cellStyle name="Comma 5 3 11" xfId="10322"/>
    <cellStyle name="Comma 5 3 11 2" xfId="16861"/>
    <cellStyle name="Comma 5 3 12" xfId="13433"/>
    <cellStyle name="Comma 5 3 13" xfId="20094"/>
    <cellStyle name="Comma 5 3 2" xfId="411"/>
    <cellStyle name="Comma 5 3 2 10" xfId="13491"/>
    <cellStyle name="Comma 5 3 2 11" xfId="20258"/>
    <cellStyle name="Comma 5 3 2 2" xfId="865"/>
    <cellStyle name="Comma 5 3 2 2 2" xfId="2000"/>
    <cellStyle name="Comma 5 3 2 2 2 2" xfId="5420"/>
    <cellStyle name="Comma 5 3 2 2 2 2 2" xfId="11914"/>
    <cellStyle name="Comma 5 3 2 2 2 2 2 2" xfId="18453"/>
    <cellStyle name="Comma 5 3 2 2 2 2 3" xfId="15601"/>
    <cellStyle name="Comma 5 3 2 2 2 3" xfId="7692"/>
    <cellStyle name="Comma 5 3 2 2 2 3 2" xfId="12485"/>
    <cellStyle name="Comma 5 3 2 2 2 3 2 2" xfId="19024"/>
    <cellStyle name="Comma 5 3 2 2 2 3 3" xfId="16172"/>
    <cellStyle name="Comma 5 3 2 2 2 4" xfId="9964"/>
    <cellStyle name="Comma 5 3 2 2 2 4 2" xfId="13056"/>
    <cellStyle name="Comma 5 3 2 2 2 4 2 2" xfId="19595"/>
    <cellStyle name="Comma 5 3 2 2 2 4 3" xfId="16743"/>
    <cellStyle name="Comma 5 3 2 2 2 5" xfId="3386"/>
    <cellStyle name="Comma 5 3 2 2 2 5 2" xfId="11343"/>
    <cellStyle name="Comma 5 3 2 2 2 5 2 2" xfId="17882"/>
    <cellStyle name="Comma 5 3 2 2 2 5 3" xfId="15030"/>
    <cellStyle name="Comma 5 3 2 2 2 6" xfId="2810"/>
    <cellStyle name="Comma 5 3 2 2 2 6 2" xfId="14458"/>
    <cellStyle name="Comma 5 3 2 2 2 7" xfId="10771"/>
    <cellStyle name="Comma 5 3 2 2 2 7 2" xfId="17310"/>
    <cellStyle name="Comma 5 3 2 2 2 8" xfId="13890"/>
    <cellStyle name="Comma 5 3 2 2 3" xfId="4285"/>
    <cellStyle name="Comma 5 3 2 2 3 2" xfId="11629"/>
    <cellStyle name="Comma 5 3 2 2 3 2 2" xfId="18168"/>
    <cellStyle name="Comma 5 3 2 2 3 3" xfId="15316"/>
    <cellStyle name="Comma 5 3 2 2 4" xfId="6557"/>
    <cellStyle name="Comma 5 3 2 2 4 2" xfId="12200"/>
    <cellStyle name="Comma 5 3 2 2 4 2 2" xfId="18739"/>
    <cellStyle name="Comma 5 3 2 2 4 3" xfId="15887"/>
    <cellStyle name="Comma 5 3 2 2 5" xfId="8829"/>
    <cellStyle name="Comma 5 3 2 2 5 2" xfId="12771"/>
    <cellStyle name="Comma 5 3 2 2 5 2 2" xfId="19310"/>
    <cellStyle name="Comma 5 3 2 2 5 3" xfId="16458"/>
    <cellStyle name="Comma 5 3 2 2 6" xfId="3101"/>
    <cellStyle name="Comma 5 3 2 2 6 2" xfId="11058"/>
    <cellStyle name="Comma 5 3 2 2 6 2 2" xfId="17597"/>
    <cellStyle name="Comma 5 3 2 2 6 3" xfId="14745"/>
    <cellStyle name="Comma 5 3 2 2 7" xfId="2530"/>
    <cellStyle name="Comma 5 3 2 2 7 2" xfId="14178"/>
    <cellStyle name="Comma 5 3 2 2 8" xfId="10491"/>
    <cellStyle name="Comma 5 3 2 2 8 2" xfId="17030"/>
    <cellStyle name="Comma 5 3 2 2 9" xfId="13605"/>
    <cellStyle name="Comma 5 3 2 3" xfId="1546"/>
    <cellStyle name="Comma 5 3 2 3 2" xfId="4966"/>
    <cellStyle name="Comma 5 3 2 3 2 2" xfId="11800"/>
    <cellStyle name="Comma 5 3 2 3 2 2 2" xfId="18339"/>
    <cellStyle name="Comma 5 3 2 3 2 3" xfId="15487"/>
    <cellStyle name="Comma 5 3 2 3 3" xfId="7238"/>
    <cellStyle name="Comma 5 3 2 3 3 2" xfId="12371"/>
    <cellStyle name="Comma 5 3 2 3 3 2 2" xfId="18910"/>
    <cellStyle name="Comma 5 3 2 3 3 3" xfId="16058"/>
    <cellStyle name="Comma 5 3 2 3 4" xfId="9510"/>
    <cellStyle name="Comma 5 3 2 3 4 2" xfId="12942"/>
    <cellStyle name="Comma 5 3 2 3 4 2 2" xfId="19481"/>
    <cellStyle name="Comma 5 3 2 3 4 3" xfId="16629"/>
    <cellStyle name="Comma 5 3 2 3 5" xfId="3272"/>
    <cellStyle name="Comma 5 3 2 3 5 2" xfId="11229"/>
    <cellStyle name="Comma 5 3 2 3 5 2 2" xfId="17768"/>
    <cellStyle name="Comma 5 3 2 3 5 3" xfId="14916"/>
    <cellStyle name="Comma 5 3 2 3 6" xfId="2698"/>
    <cellStyle name="Comma 5 3 2 3 6 2" xfId="14346"/>
    <cellStyle name="Comma 5 3 2 3 7" xfId="10659"/>
    <cellStyle name="Comma 5 3 2 3 7 2" xfId="17198"/>
    <cellStyle name="Comma 5 3 2 3 8" xfId="13776"/>
    <cellStyle name="Comma 5 3 2 4" xfId="3831"/>
    <cellStyle name="Comma 5 3 2 4 2" xfId="11515"/>
    <cellStyle name="Comma 5 3 2 4 2 2" xfId="18054"/>
    <cellStyle name="Comma 5 3 2 4 3" xfId="15202"/>
    <cellStyle name="Comma 5 3 2 5" xfId="6103"/>
    <cellStyle name="Comma 5 3 2 5 2" xfId="12086"/>
    <cellStyle name="Comma 5 3 2 5 2 2" xfId="18625"/>
    <cellStyle name="Comma 5 3 2 5 3" xfId="15773"/>
    <cellStyle name="Comma 5 3 2 6" xfId="8375"/>
    <cellStyle name="Comma 5 3 2 6 2" xfId="12657"/>
    <cellStyle name="Comma 5 3 2 6 2 2" xfId="19196"/>
    <cellStyle name="Comma 5 3 2 6 3" xfId="16344"/>
    <cellStyle name="Comma 5 3 2 7" xfId="2987"/>
    <cellStyle name="Comma 5 3 2 7 2" xfId="10944"/>
    <cellStyle name="Comma 5 3 2 7 2 2" xfId="17483"/>
    <cellStyle name="Comma 5 3 2 7 3" xfId="14631"/>
    <cellStyle name="Comma 5 3 2 8" xfId="2418"/>
    <cellStyle name="Comma 5 3 2 8 2" xfId="14066"/>
    <cellStyle name="Comma 5 3 2 9" xfId="10379"/>
    <cellStyle name="Comma 5 3 2 9 2" xfId="16918"/>
    <cellStyle name="Comma 5 3 3" xfId="1092"/>
    <cellStyle name="Comma 5 3 3 10" xfId="20331"/>
    <cellStyle name="Comma 5 3 3 2" xfId="2227"/>
    <cellStyle name="Comma 5 3 3 2 2" xfId="5647"/>
    <cellStyle name="Comma 5 3 3 2 2 2" xfId="11971"/>
    <cellStyle name="Comma 5 3 3 2 2 2 2" xfId="18510"/>
    <cellStyle name="Comma 5 3 3 2 2 3" xfId="15658"/>
    <cellStyle name="Comma 5 3 3 2 3" xfId="7919"/>
    <cellStyle name="Comma 5 3 3 2 3 2" xfId="12542"/>
    <cellStyle name="Comma 5 3 3 2 3 2 2" xfId="19081"/>
    <cellStyle name="Comma 5 3 3 2 3 3" xfId="16229"/>
    <cellStyle name="Comma 5 3 3 2 4" xfId="10191"/>
    <cellStyle name="Comma 5 3 3 2 4 2" xfId="13113"/>
    <cellStyle name="Comma 5 3 3 2 4 2 2" xfId="19652"/>
    <cellStyle name="Comma 5 3 3 2 4 3" xfId="16800"/>
    <cellStyle name="Comma 5 3 3 2 5" xfId="3443"/>
    <cellStyle name="Comma 5 3 3 2 5 2" xfId="11400"/>
    <cellStyle name="Comma 5 3 3 2 5 2 2" xfId="17939"/>
    <cellStyle name="Comma 5 3 3 2 5 3" xfId="15087"/>
    <cellStyle name="Comma 5 3 3 2 6" xfId="2866"/>
    <cellStyle name="Comma 5 3 3 2 6 2" xfId="14514"/>
    <cellStyle name="Comma 5 3 3 2 7" xfId="10827"/>
    <cellStyle name="Comma 5 3 3 2 7 2" xfId="17366"/>
    <cellStyle name="Comma 5 3 3 2 8" xfId="13947"/>
    <cellStyle name="Comma 5 3 3 3" xfId="4512"/>
    <cellStyle name="Comma 5 3 3 3 2" xfId="11686"/>
    <cellStyle name="Comma 5 3 3 3 2 2" xfId="18225"/>
    <cellStyle name="Comma 5 3 3 3 3" xfId="15373"/>
    <cellStyle name="Comma 5 3 3 4" xfId="6784"/>
    <cellStyle name="Comma 5 3 3 4 2" xfId="12257"/>
    <cellStyle name="Comma 5 3 3 4 2 2" xfId="18796"/>
    <cellStyle name="Comma 5 3 3 4 3" xfId="15944"/>
    <cellStyle name="Comma 5 3 3 5" xfId="9056"/>
    <cellStyle name="Comma 5 3 3 5 2" xfId="12828"/>
    <cellStyle name="Comma 5 3 3 5 2 2" xfId="19367"/>
    <cellStyle name="Comma 5 3 3 5 3" xfId="16515"/>
    <cellStyle name="Comma 5 3 3 6" xfId="3158"/>
    <cellStyle name="Comma 5 3 3 6 2" xfId="11115"/>
    <cellStyle name="Comma 5 3 3 6 2 2" xfId="17654"/>
    <cellStyle name="Comma 5 3 3 6 3" xfId="14802"/>
    <cellStyle name="Comma 5 3 3 7" xfId="2586"/>
    <cellStyle name="Comma 5 3 3 7 2" xfId="14234"/>
    <cellStyle name="Comma 5 3 3 8" xfId="10547"/>
    <cellStyle name="Comma 5 3 3 8 2" xfId="17086"/>
    <cellStyle name="Comma 5 3 3 9" xfId="13662"/>
    <cellStyle name="Comma 5 3 4" xfId="638"/>
    <cellStyle name="Comma 5 3 4 2" xfId="1773"/>
    <cellStyle name="Comma 5 3 4 2 2" xfId="5193"/>
    <cellStyle name="Comma 5 3 4 2 2 2" xfId="11857"/>
    <cellStyle name="Comma 5 3 4 2 2 2 2" xfId="18396"/>
    <cellStyle name="Comma 5 3 4 2 2 3" xfId="15544"/>
    <cellStyle name="Comma 5 3 4 2 3" xfId="7465"/>
    <cellStyle name="Comma 5 3 4 2 3 2" xfId="12428"/>
    <cellStyle name="Comma 5 3 4 2 3 2 2" xfId="18967"/>
    <cellStyle name="Comma 5 3 4 2 3 3" xfId="16115"/>
    <cellStyle name="Comma 5 3 4 2 4" xfId="9737"/>
    <cellStyle name="Comma 5 3 4 2 4 2" xfId="12999"/>
    <cellStyle name="Comma 5 3 4 2 4 2 2" xfId="19538"/>
    <cellStyle name="Comma 5 3 4 2 4 3" xfId="16686"/>
    <cellStyle name="Comma 5 3 4 2 5" xfId="3329"/>
    <cellStyle name="Comma 5 3 4 2 5 2" xfId="11286"/>
    <cellStyle name="Comma 5 3 4 2 5 2 2" xfId="17825"/>
    <cellStyle name="Comma 5 3 4 2 5 3" xfId="14973"/>
    <cellStyle name="Comma 5 3 4 2 6" xfId="2754"/>
    <cellStyle name="Comma 5 3 4 2 6 2" xfId="14402"/>
    <cellStyle name="Comma 5 3 4 2 7" xfId="10715"/>
    <cellStyle name="Comma 5 3 4 2 7 2" xfId="17254"/>
    <cellStyle name="Comma 5 3 4 2 8" xfId="13833"/>
    <cellStyle name="Comma 5 3 4 3" xfId="4058"/>
    <cellStyle name="Comma 5 3 4 3 2" xfId="11572"/>
    <cellStyle name="Comma 5 3 4 3 2 2" xfId="18111"/>
    <cellStyle name="Comma 5 3 4 3 3" xfId="15259"/>
    <cellStyle name="Comma 5 3 4 4" xfId="6330"/>
    <cellStyle name="Comma 5 3 4 4 2" xfId="12143"/>
    <cellStyle name="Comma 5 3 4 4 2 2" xfId="18682"/>
    <cellStyle name="Comma 5 3 4 4 3" xfId="15830"/>
    <cellStyle name="Comma 5 3 4 5" xfId="8602"/>
    <cellStyle name="Comma 5 3 4 5 2" xfId="12714"/>
    <cellStyle name="Comma 5 3 4 5 2 2" xfId="19253"/>
    <cellStyle name="Comma 5 3 4 5 3" xfId="16401"/>
    <cellStyle name="Comma 5 3 4 6" xfId="3044"/>
    <cellStyle name="Comma 5 3 4 6 2" xfId="11001"/>
    <cellStyle name="Comma 5 3 4 6 2 2" xfId="17540"/>
    <cellStyle name="Comma 5 3 4 6 3" xfId="14688"/>
    <cellStyle name="Comma 5 3 4 7" xfId="2474"/>
    <cellStyle name="Comma 5 3 4 7 2" xfId="14122"/>
    <cellStyle name="Comma 5 3 4 8" xfId="10435"/>
    <cellStyle name="Comma 5 3 4 8 2" xfId="16974"/>
    <cellStyle name="Comma 5 3 4 9" xfId="13548"/>
    <cellStyle name="Comma 5 3 5" xfId="1319"/>
    <cellStyle name="Comma 5 3 5 2" xfId="4739"/>
    <cellStyle name="Comma 5 3 5 2 2" xfId="11743"/>
    <cellStyle name="Comma 5 3 5 2 2 2" xfId="18282"/>
    <cellStyle name="Comma 5 3 5 2 3" xfId="15430"/>
    <cellStyle name="Comma 5 3 5 3" xfId="7011"/>
    <cellStyle name="Comma 5 3 5 3 2" xfId="12314"/>
    <cellStyle name="Comma 5 3 5 3 2 2" xfId="18853"/>
    <cellStyle name="Comma 5 3 5 3 3" xfId="16001"/>
    <cellStyle name="Comma 5 3 5 4" xfId="9283"/>
    <cellStyle name="Comma 5 3 5 4 2" xfId="12885"/>
    <cellStyle name="Comma 5 3 5 4 2 2" xfId="19424"/>
    <cellStyle name="Comma 5 3 5 4 3" xfId="16572"/>
    <cellStyle name="Comma 5 3 5 5" xfId="3215"/>
    <cellStyle name="Comma 5 3 5 5 2" xfId="11172"/>
    <cellStyle name="Comma 5 3 5 5 2 2" xfId="17711"/>
    <cellStyle name="Comma 5 3 5 5 3" xfId="14859"/>
    <cellStyle name="Comma 5 3 5 6" xfId="2642"/>
    <cellStyle name="Comma 5 3 5 6 2" xfId="14290"/>
    <cellStyle name="Comma 5 3 5 7" xfId="10603"/>
    <cellStyle name="Comma 5 3 5 7 2" xfId="17142"/>
    <cellStyle name="Comma 5 3 5 8" xfId="13719"/>
    <cellStyle name="Comma 5 3 6" xfId="3604"/>
    <cellStyle name="Comma 5 3 6 2" xfId="11458"/>
    <cellStyle name="Comma 5 3 6 2 2" xfId="17997"/>
    <cellStyle name="Comma 5 3 6 3" xfId="15145"/>
    <cellStyle name="Comma 5 3 7" xfId="5876"/>
    <cellStyle name="Comma 5 3 7 2" xfId="12029"/>
    <cellStyle name="Comma 5 3 7 2 2" xfId="18568"/>
    <cellStyle name="Comma 5 3 7 3" xfId="15716"/>
    <cellStyle name="Comma 5 3 8" xfId="8148"/>
    <cellStyle name="Comma 5 3 8 2" xfId="12600"/>
    <cellStyle name="Comma 5 3 8 2 2" xfId="19139"/>
    <cellStyle name="Comma 5 3 8 3" xfId="16287"/>
    <cellStyle name="Comma 5 3 9" xfId="2927"/>
    <cellStyle name="Comma 5 3 9 2" xfId="10886"/>
    <cellStyle name="Comma 5 3 9 2 2" xfId="17425"/>
    <cellStyle name="Comma 5 3 9 3" xfId="14573"/>
    <cellStyle name="Comma 5 4" xfId="117"/>
    <cellStyle name="Comma 5 4 10" xfId="2347"/>
    <cellStyle name="Comma 5 4 10 2" xfId="13995"/>
    <cellStyle name="Comma 5 4 11" xfId="10308"/>
    <cellStyle name="Comma 5 4 11 2" xfId="16847"/>
    <cellStyle name="Comma 5 4 12" xfId="13419"/>
    <cellStyle name="Comma 5 4 2" xfId="355"/>
    <cellStyle name="Comma 5 4 2 10" xfId="13477"/>
    <cellStyle name="Comma 5 4 2 2" xfId="809"/>
    <cellStyle name="Comma 5 4 2 2 2" xfId="1944"/>
    <cellStyle name="Comma 5 4 2 2 2 2" xfId="5364"/>
    <cellStyle name="Comma 5 4 2 2 2 2 2" xfId="11900"/>
    <cellStyle name="Comma 5 4 2 2 2 2 2 2" xfId="18439"/>
    <cellStyle name="Comma 5 4 2 2 2 2 3" xfId="15587"/>
    <cellStyle name="Comma 5 4 2 2 2 3" xfId="7636"/>
    <cellStyle name="Comma 5 4 2 2 2 3 2" xfId="12471"/>
    <cellStyle name="Comma 5 4 2 2 2 3 2 2" xfId="19010"/>
    <cellStyle name="Comma 5 4 2 2 2 3 3" xfId="16158"/>
    <cellStyle name="Comma 5 4 2 2 2 4" xfId="9908"/>
    <cellStyle name="Comma 5 4 2 2 2 4 2" xfId="13042"/>
    <cellStyle name="Comma 5 4 2 2 2 4 2 2" xfId="19581"/>
    <cellStyle name="Comma 5 4 2 2 2 4 3" xfId="16729"/>
    <cellStyle name="Comma 5 4 2 2 2 5" xfId="3372"/>
    <cellStyle name="Comma 5 4 2 2 2 5 2" xfId="11329"/>
    <cellStyle name="Comma 5 4 2 2 2 5 2 2" xfId="17868"/>
    <cellStyle name="Comma 5 4 2 2 2 5 3" xfId="15016"/>
    <cellStyle name="Comma 5 4 2 2 2 6" xfId="2796"/>
    <cellStyle name="Comma 5 4 2 2 2 6 2" xfId="14444"/>
    <cellStyle name="Comma 5 4 2 2 2 7" xfId="10757"/>
    <cellStyle name="Comma 5 4 2 2 2 7 2" xfId="17296"/>
    <cellStyle name="Comma 5 4 2 2 2 8" xfId="13876"/>
    <cellStyle name="Comma 5 4 2 2 3" xfId="4229"/>
    <cellStyle name="Comma 5 4 2 2 3 2" xfId="11615"/>
    <cellStyle name="Comma 5 4 2 2 3 2 2" xfId="18154"/>
    <cellStyle name="Comma 5 4 2 2 3 3" xfId="15302"/>
    <cellStyle name="Comma 5 4 2 2 4" xfId="6501"/>
    <cellStyle name="Comma 5 4 2 2 4 2" xfId="12186"/>
    <cellStyle name="Comma 5 4 2 2 4 2 2" xfId="18725"/>
    <cellStyle name="Comma 5 4 2 2 4 3" xfId="15873"/>
    <cellStyle name="Comma 5 4 2 2 5" xfId="8773"/>
    <cellStyle name="Comma 5 4 2 2 5 2" xfId="12757"/>
    <cellStyle name="Comma 5 4 2 2 5 2 2" xfId="19296"/>
    <cellStyle name="Comma 5 4 2 2 5 3" xfId="16444"/>
    <cellStyle name="Comma 5 4 2 2 6" xfId="3087"/>
    <cellStyle name="Comma 5 4 2 2 6 2" xfId="11044"/>
    <cellStyle name="Comma 5 4 2 2 6 2 2" xfId="17583"/>
    <cellStyle name="Comma 5 4 2 2 6 3" xfId="14731"/>
    <cellStyle name="Comma 5 4 2 2 7" xfId="2516"/>
    <cellStyle name="Comma 5 4 2 2 7 2" xfId="14164"/>
    <cellStyle name="Comma 5 4 2 2 8" xfId="10477"/>
    <cellStyle name="Comma 5 4 2 2 8 2" xfId="17016"/>
    <cellStyle name="Comma 5 4 2 2 9" xfId="13591"/>
    <cellStyle name="Comma 5 4 2 3" xfId="1490"/>
    <cellStyle name="Comma 5 4 2 3 2" xfId="4910"/>
    <cellStyle name="Comma 5 4 2 3 2 2" xfId="11786"/>
    <cellStyle name="Comma 5 4 2 3 2 2 2" xfId="18325"/>
    <cellStyle name="Comma 5 4 2 3 2 3" xfId="15473"/>
    <cellStyle name="Comma 5 4 2 3 3" xfId="7182"/>
    <cellStyle name="Comma 5 4 2 3 3 2" xfId="12357"/>
    <cellStyle name="Comma 5 4 2 3 3 2 2" xfId="18896"/>
    <cellStyle name="Comma 5 4 2 3 3 3" xfId="16044"/>
    <cellStyle name="Comma 5 4 2 3 4" xfId="9454"/>
    <cellStyle name="Comma 5 4 2 3 4 2" xfId="12928"/>
    <cellStyle name="Comma 5 4 2 3 4 2 2" xfId="19467"/>
    <cellStyle name="Comma 5 4 2 3 4 3" xfId="16615"/>
    <cellStyle name="Comma 5 4 2 3 5" xfId="3258"/>
    <cellStyle name="Comma 5 4 2 3 5 2" xfId="11215"/>
    <cellStyle name="Comma 5 4 2 3 5 2 2" xfId="17754"/>
    <cellStyle name="Comma 5 4 2 3 5 3" xfId="14902"/>
    <cellStyle name="Comma 5 4 2 3 6" xfId="2684"/>
    <cellStyle name="Comma 5 4 2 3 6 2" xfId="14332"/>
    <cellStyle name="Comma 5 4 2 3 7" xfId="10645"/>
    <cellStyle name="Comma 5 4 2 3 7 2" xfId="17184"/>
    <cellStyle name="Comma 5 4 2 3 8" xfId="13762"/>
    <cellStyle name="Comma 5 4 2 4" xfId="3775"/>
    <cellStyle name="Comma 5 4 2 4 2" xfId="11501"/>
    <cellStyle name="Comma 5 4 2 4 2 2" xfId="18040"/>
    <cellStyle name="Comma 5 4 2 4 3" xfId="15188"/>
    <cellStyle name="Comma 5 4 2 5" xfId="6047"/>
    <cellStyle name="Comma 5 4 2 5 2" xfId="12072"/>
    <cellStyle name="Comma 5 4 2 5 2 2" xfId="18611"/>
    <cellStyle name="Comma 5 4 2 5 3" xfId="15759"/>
    <cellStyle name="Comma 5 4 2 6" xfId="8319"/>
    <cellStyle name="Comma 5 4 2 6 2" xfId="12643"/>
    <cellStyle name="Comma 5 4 2 6 2 2" xfId="19182"/>
    <cellStyle name="Comma 5 4 2 6 3" xfId="16330"/>
    <cellStyle name="Comma 5 4 2 7" xfId="2973"/>
    <cellStyle name="Comma 5 4 2 7 2" xfId="10930"/>
    <cellStyle name="Comma 5 4 2 7 2 2" xfId="17469"/>
    <cellStyle name="Comma 5 4 2 7 3" xfId="14617"/>
    <cellStyle name="Comma 5 4 2 8" xfId="2404"/>
    <cellStyle name="Comma 5 4 2 8 2" xfId="14052"/>
    <cellStyle name="Comma 5 4 2 9" xfId="10365"/>
    <cellStyle name="Comma 5 4 2 9 2" xfId="16904"/>
    <cellStyle name="Comma 5 4 3" xfId="1036"/>
    <cellStyle name="Comma 5 4 3 2" xfId="2171"/>
    <cellStyle name="Comma 5 4 3 2 2" xfId="5591"/>
    <cellStyle name="Comma 5 4 3 2 2 2" xfId="11957"/>
    <cellStyle name="Comma 5 4 3 2 2 2 2" xfId="18496"/>
    <cellStyle name="Comma 5 4 3 2 2 3" xfId="15644"/>
    <cellStyle name="Comma 5 4 3 2 3" xfId="7863"/>
    <cellStyle name="Comma 5 4 3 2 3 2" xfId="12528"/>
    <cellStyle name="Comma 5 4 3 2 3 2 2" xfId="19067"/>
    <cellStyle name="Comma 5 4 3 2 3 3" xfId="16215"/>
    <cellStyle name="Comma 5 4 3 2 4" xfId="10135"/>
    <cellStyle name="Comma 5 4 3 2 4 2" xfId="13099"/>
    <cellStyle name="Comma 5 4 3 2 4 2 2" xfId="19638"/>
    <cellStyle name="Comma 5 4 3 2 4 3" xfId="16786"/>
    <cellStyle name="Comma 5 4 3 2 5" xfId="3429"/>
    <cellStyle name="Comma 5 4 3 2 5 2" xfId="11386"/>
    <cellStyle name="Comma 5 4 3 2 5 2 2" xfId="17925"/>
    <cellStyle name="Comma 5 4 3 2 5 3" xfId="15073"/>
    <cellStyle name="Comma 5 4 3 2 6" xfId="2852"/>
    <cellStyle name="Comma 5 4 3 2 6 2" xfId="14500"/>
    <cellStyle name="Comma 5 4 3 2 7" xfId="10813"/>
    <cellStyle name="Comma 5 4 3 2 7 2" xfId="17352"/>
    <cellStyle name="Comma 5 4 3 2 8" xfId="13933"/>
    <cellStyle name="Comma 5 4 3 3" xfId="4456"/>
    <cellStyle name="Comma 5 4 3 3 2" xfId="11672"/>
    <cellStyle name="Comma 5 4 3 3 2 2" xfId="18211"/>
    <cellStyle name="Comma 5 4 3 3 3" xfId="15359"/>
    <cellStyle name="Comma 5 4 3 4" xfId="6728"/>
    <cellStyle name="Comma 5 4 3 4 2" xfId="12243"/>
    <cellStyle name="Comma 5 4 3 4 2 2" xfId="18782"/>
    <cellStyle name="Comma 5 4 3 4 3" xfId="15930"/>
    <cellStyle name="Comma 5 4 3 5" xfId="9000"/>
    <cellStyle name="Comma 5 4 3 5 2" xfId="12814"/>
    <cellStyle name="Comma 5 4 3 5 2 2" xfId="19353"/>
    <cellStyle name="Comma 5 4 3 5 3" xfId="16501"/>
    <cellStyle name="Comma 5 4 3 6" xfId="3144"/>
    <cellStyle name="Comma 5 4 3 6 2" xfId="11101"/>
    <cellStyle name="Comma 5 4 3 6 2 2" xfId="17640"/>
    <cellStyle name="Comma 5 4 3 6 3" xfId="14788"/>
    <cellStyle name="Comma 5 4 3 7" xfId="2572"/>
    <cellStyle name="Comma 5 4 3 7 2" xfId="14220"/>
    <cellStyle name="Comma 5 4 3 8" xfId="10533"/>
    <cellStyle name="Comma 5 4 3 8 2" xfId="17072"/>
    <cellStyle name="Comma 5 4 3 9" xfId="13648"/>
    <cellStyle name="Comma 5 4 4" xfId="582"/>
    <cellStyle name="Comma 5 4 4 2" xfId="1717"/>
    <cellStyle name="Comma 5 4 4 2 2" xfId="5137"/>
    <cellStyle name="Comma 5 4 4 2 2 2" xfId="11843"/>
    <cellStyle name="Comma 5 4 4 2 2 2 2" xfId="18382"/>
    <cellStyle name="Comma 5 4 4 2 2 3" xfId="15530"/>
    <cellStyle name="Comma 5 4 4 2 3" xfId="7409"/>
    <cellStyle name="Comma 5 4 4 2 3 2" xfId="12414"/>
    <cellStyle name="Comma 5 4 4 2 3 2 2" xfId="18953"/>
    <cellStyle name="Comma 5 4 4 2 3 3" xfId="16101"/>
    <cellStyle name="Comma 5 4 4 2 4" xfId="9681"/>
    <cellStyle name="Comma 5 4 4 2 4 2" xfId="12985"/>
    <cellStyle name="Comma 5 4 4 2 4 2 2" xfId="19524"/>
    <cellStyle name="Comma 5 4 4 2 4 3" xfId="16672"/>
    <cellStyle name="Comma 5 4 4 2 5" xfId="3315"/>
    <cellStyle name="Comma 5 4 4 2 5 2" xfId="11272"/>
    <cellStyle name="Comma 5 4 4 2 5 2 2" xfId="17811"/>
    <cellStyle name="Comma 5 4 4 2 5 3" xfId="14959"/>
    <cellStyle name="Comma 5 4 4 2 6" xfId="2740"/>
    <cellStyle name="Comma 5 4 4 2 6 2" xfId="14388"/>
    <cellStyle name="Comma 5 4 4 2 7" xfId="10701"/>
    <cellStyle name="Comma 5 4 4 2 7 2" xfId="17240"/>
    <cellStyle name="Comma 5 4 4 2 8" xfId="13819"/>
    <cellStyle name="Comma 5 4 4 3" xfId="4002"/>
    <cellStyle name="Comma 5 4 4 3 2" xfId="11558"/>
    <cellStyle name="Comma 5 4 4 3 2 2" xfId="18097"/>
    <cellStyle name="Comma 5 4 4 3 3" xfId="15245"/>
    <cellStyle name="Comma 5 4 4 4" xfId="6274"/>
    <cellStyle name="Comma 5 4 4 4 2" xfId="12129"/>
    <cellStyle name="Comma 5 4 4 4 2 2" xfId="18668"/>
    <cellStyle name="Comma 5 4 4 4 3" xfId="15816"/>
    <cellStyle name="Comma 5 4 4 5" xfId="8546"/>
    <cellStyle name="Comma 5 4 4 5 2" xfId="12700"/>
    <cellStyle name="Comma 5 4 4 5 2 2" xfId="19239"/>
    <cellStyle name="Comma 5 4 4 5 3" xfId="16387"/>
    <cellStyle name="Comma 5 4 4 6" xfId="3030"/>
    <cellStyle name="Comma 5 4 4 6 2" xfId="10987"/>
    <cellStyle name="Comma 5 4 4 6 2 2" xfId="17526"/>
    <cellStyle name="Comma 5 4 4 6 3" xfId="14674"/>
    <cellStyle name="Comma 5 4 4 7" xfId="2460"/>
    <cellStyle name="Comma 5 4 4 7 2" xfId="14108"/>
    <cellStyle name="Comma 5 4 4 8" xfId="10421"/>
    <cellStyle name="Comma 5 4 4 8 2" xfId="16960"/>
    <cellStyle name="Comma 5 4 4 9" xfId="13534"/>
    <cellStyle name="Comma 5 4 5" xfId="1263"/>
    <cellStyle name="Comma 5 4 5 2" xfId="4683"/>
    <cellStyle name="Comma 5 4 5 2 2" xfId="11729"/>
    <cellStyle name="Comma 5 4 5 2 2 2" xfId="18268"/>
    <cellStyle name="Comma 5 4 5 2 3" xfId="15416"/>
    <cellStyle name="Comma 5 4 5 3" xfId="6955"/>
    <cellStyle name="Comma 5 4 5 3 2" xfId="12300"/>
    <cellStyle name="Comma 5 4 5 3 2 2" xfId="18839"/>
    <cellStyle name="Comma 5 4 5 3 3" xfId="15987"/>
    <cellStyle name="Comma 5 4 5 4" xfId="9227"/>
    <cellStyle name="Comma 5 4 5 4 2" xfId="12871"/>
    <cellStyle name="Comma 5 4 5 4 2 2" xfId="19410"/>
    <cellStyle name="Comma 5 4 5 4 3" xfId="16558"/>
    <cellStyle name="Comma 5 4 5 5" xfId="3201"/>
    <cellStyle name="Comma 5 4 5 5 2" xfId="11158"/>
    <cellStyle name="Comma 5 4 5 5 2 2" xfId="17697"/>
    <cellStyle name="Comma 5 4 5 5 3" xfId="14845"/>
    <cellStyle name="Comma 5 4 5 6" xfId="2628"/>
    <cellStyle name="Comma 5 4 5 6 2" xfId="14276"/>
    <cellStyle name="Comma 5 4 5 7" xfId="10589"/>
    <cellStyle name="Comma 5 4 5 7 2" xfId="17128"/>
    <cellStyle name="Comma 5 4 5 8" xfId="13705"/>
    <cellStyle name="Comma 5 4 6" xfId="3548"/>
    <cellStyle name="Comma 5 4 6 2" xfId="11444"/>
    <cellStyle name="Comma 5 4 6 2 2" xfId="17983"/>
    <cellStyle name="Comma 5 4 6 3" xfId="15131"/>
    <cellStyle name="Comma 5 4 7" xfId="5820"/>
    <cellStyle name="Comma 5 4 7 2" xfId="12015"/>
    <cellStyle name="Comma 5 4 7 2 2" xfId="18554"/>
    <cellStyle name="Comma 5 4 7 3" xfId="15702"/>
    <cellStyle name="Comma 5 4 8" xfId="8092"/>
    <cellStyle name="Comma 5 4 8 2" xfId="12586"/>
    <cellStyle name="Comma 5 4 8 2 2" xfId="19125"/>
    <cellStyle name="Comma 5 4 8 3" xfId="16273"/>
    <cellStyle name="Comma 5 4 9" xfId="2913"/>
    <cellStyle name="Comma 5 4 9 2" xfId="10872"/>
    <cellStyle name="Comma 5 4 9 2 2" xfId="17411"/>
    <cellStyle name="Comma 5 4 9 3" xfId="14559"/>
    <cellStyle name="Comma 5 5" xfId="243"/>
    <cellStyle name="Comma 5 5 10" xfId="2376"/>
    <cellStyle name="Comma 5 5 10 2" xfId="14024"/>
    <cellStyle name="Comma 5 5 11" xfId="10337"/>
    <cellStyle name="Comma 5 5 11 2" xfId="16876"/>
    <cellStyle name="Comma 5 5 12" xfId="13449"/>
    <cellStyle name="Comma 5 5 2" xfId="470"/>
    <cellStyle name="Comma 5 5 2 10" xfId="13506"/>
    <cellStyle name="Comma 5 5 2 2" xfId="924"/>
    <cellStyle name="Comma 5 5 2 2 2" xfId="2059"/>
    <cellStyle name="Comma 5 5 2 2 2 2" xfId="5479"/>
    <cellStyle name="Comma 5 5 2 2 2 2 2" xfId="11929"/>
    <cellStyle name="Comma 5 5 2 2 2 2 2 2" xfId="18468"/>
    <cellStyle name="Comma 5 5 2 2 2 2 3" xfId="15616"/>
    <cellStyle name="Comma 5 5 2 2 2 3" xfId="7751"/>
    <cellStyle name="Comma 5 5 2 2 2 3 2" xfId="12500"/>
    <cellStyle name="Comma 5 5 2 2 2 3 2 2" xfId="19039"/>
    <cellStyle name="Comma 5 5 2 2 2 3 3" xfId="16187"/>
    <cellStyle name="Comma 5 5 2 2 2 4" xfId="10023"/>
    <cellStyle name="Comma 5 5 2 2 2 4 2" xfId="13071"/>
    <cellStyle name="Comma 5 5 2 2 2 4 2 2" xfId="19610"/>
    <cellStyle name="Comma 5 5 2 2 2 4 3" xfId="16758"/>
    <cellStyle name="Comma 5 5 2 2 2 5" xfId="3401"/>
    <cellStyle name="Comma 5 5 2 2 2 5 2" xfId="11358"/>
    <cellStyle name="Comma 5 5 2 2 2 5 2 2" xfId="17897"/>
    <cellStyle name="Comma 5 5 2 2 2 5 3" xfId="15045"/>
    <cellStyle name="Comma 5 5 2 2 2 6" xfId="2824"/>
    <cellStyle name="Comma 5 5 2 2 2 6 2" xfId="14472"/>
    <cellStyle name="Comma 5 5 2 2 2 7" xfId="10785"/>
    <cellStyle name="Comma 5 5 2 2 2 7 2" xfId="17324"/>
    <cellStyle name="Comma 5 5 2 2 2 8" xfId="13905"/>
    <cellStyle name="Comma 5 5 2 2 3" xfId="4344"/>
    <cellStyle name="Comma 5 5 2 2 3 2" xfId="11644"/>
    <cellStyle name="Comma 5 5 2 2 3 2 2" xfId="18183"/>
    <cellStyle name="Comma 5 5 2 2 3 3" xfId="15331"/>
    <cellStyle name="Comma 5 5 2 2 4" xfId="6616"/>
    <cellStyle name="Comma 5 5 2 2 4 2" xfId="12215"/>
    <cellStyle name="Comma 5 5 2 2 4 2 2" xfId="18754"/>
    <cellStyle name="Comma 5 5 2 2 4 3" xfId="15902"/>
    <cellStyle name="Comma 5 5 2 2 5" xfId="8888"/>
    <cellStyle name="Comma 5 5 2 2 5 2" xfId="12786"/>
    <cellStyle name="Comma 5 5 2 2 5 2 2" xfId="19325"/>
    <cellStyle name="Comma 5 5 2 2 5 3" xfId="16473"/>
    <cellStyle name="Comma 5 5 2 2 6" xfId="3116"/>
    <cellStyle name="Comma 5 5 2 2 6 2" xfId="11073"/>
    <cellStyle name="Comma 5 5 2 2 6 2 2" xfId="17612"/>
    <cellStyle name="Comma 5 5 2 2 6 3" xfId="14760"/>
    <cellStyle name="Comma 5 5 2 2 7" xfId="2544"/>
    <cellStyle name="Comma 5 5 2 2 7 2" xfId="14192"/>
    <cellStyle name="Comma 5 5 2 2 8" xfId="10505"/>
    <cellStyle name="Comma 5 5 2 2 8 2" xfId="17044"/>
    <cellStyle name="Comma 5 5 2 2 9" xfId="13620"/>
    <cellStyle name="Comma 5 5 2 3" xfId="1605"/>
    <cellStyle name="Comma 5 5 2 3 2" xfId="5025"/>
    <cellStyle name="Comma 5 5 2 3 2 2" xfId="11815"/>
    <cellStyle name="Comma 5 5 2 3 2 2 2" xfId="18354"/>
    <cellStyle name="Comma 5 5 2 3 2 3" xfId="15502"/>
    <cellStyle name="Comma 5 5 2 3 3" xfId="7297"/>
    <cellStyle name="Comma 5 5 2 3 3 2" xfId="12386"/>
    <cellStyle name="Comma 5 5 2 3 3 2 2" xfId="18925"/>
    <cellStyle name="Comma 5 5 2 3 3 3" xfId="16073"/>
    <cellStyle name="Comma 5 5 2 3 4" xfId="9569"/>
    <cellStyle name="Comma 5 5 2 3 4 2" xfId="12957"/>
    <cellStyle name="Comma 5 5 2 3 4 2 2" xfId="19496"/>
    <cellStyle name="Comma 5 5 2 3 4 3" xfId="16644"/>
    <cellStyle name="Comma 5 5 2 3 5" xfId="3287"/>
    <cellStyle name="Comma 5 5 2 3 5 2" xfId="11244"/>
    <cellStyle name="Comma 5 5 2 3 5 2 2" xfId="17783"/>
    <cellStyle name="Comma 5 5 2 3 5 3" xfId="14931"/>
    <cellStyle name="Comma 5 5 2 3 6" xfId="2712"/>
    <cellStyle name="Comma 5 5 2 3 6 2" xfId="14360"/>
    <cellStyle name="Comma 5 5 2 3 7" xfId="10673"/>
    <cellStyle name="Comma 5 5 2 3 7 2" xfId="17212"/>
    <cellStyle name="Comma 5 5 2 3 8" xfId="13791"/>
    <cellStyle name="Comma 5 5 2 4" xfId="3890"/>
    <cellStyle name="Comma 5 5 2 4 2" xfId="11530"/>
    <cellStyle name="Comma 5 5 2 4 2 2" xfId="18069"/>
    <cellStyle name="Comma 5 5 2 4 3" xfId="15217"/>
    <cellStyle name="Comma 5 5 2 5" xfId="6162"/>
    <cellStyle name="Comma 5 5 2 5 2" xfId="12101"/>
    <cellStyle name="Comma 5 5 2 5 2 2" xfId="18640"/>
    <cellStyle name="Comma 5 5 2 5 3" xfId="15788"/>
    <cellStyle name="Comma 5 5 2 6" xfId="8434"/>
    <cellStyle name="Comma 5 5 2 6 2" xfId="12672"/>
    <cellStyle name="Comma 5 5 2 6 2 2" xfId="19211"/>
    <cellStyle name="Comma 5 5 2 6 3" xfId="16359"/>
    <cellStyle name="Comma 5 5 2 7" xfId="3002"/>
    <cellStyle name="Comma 5 5 2 7 2" xfId="10959"/>
    <cellStyle name="Comma 5 5 2 7 2 2" xfId="17498"/>
    <cellStyle name="Comma 5 5 2 7 3" xfId="14646"/>
    <cellStyle name="Comma 5 5 2 8" xfId="2432"/>
    <cellStyle name="Comma 5 5 2 8 2" xfId="14080"/>
    <cellStyle name="Comma 5 5 2 9" xfId="10393"/>
    <cellStyle name="Comma 5 5 2 9 2" xfId="16932"/>
    <cellStyle name="Comma 5 5 3" xfId="1151"/>
    <cellStyle name="Comma 5 5 3 2" xfId="2286"/>
    <cellStyle name="Comma 5 5 3 2 2" xfId="5706"/>
    <cellStyle name="Comma 5 5 3 2 2 2" xfId="11986"/>
    <cellStyle name="Comma 5 5 3 2 2 2 2" xfId="18525"/>
    <cellStyle name="Comma 5 5 3 2 2 3" xfId="15673"/>
    <cellStyle name="Comma 5 5 3 2 3" xfId="7978"/>
    <cellStyle name="Comma 5 5 3 2 3 2" xfId="12557"/>
    <cellStyle name="Comma 5 5 3 2 3 2 2" xfId="19096"/>
    <cellStyle name="Comma 5 5 3 2 3 3" xfId="16244"/>
    <cellStyle name="Comma 5 5 3 2 4" xfId="10250"/>
    <cellStyle name="Comma 5 5 3 2 4 2" xfId="13128"/>
    <cellStyle name="Comma 5 5 3 2 4 2 2" xfId="19667"/>
    <cellStyle name="Comma 5 5 3 2 4 3" xfId="16815"/>
    <cellStyle name="Comma 5 5 3 2 5" xfId="3458"/>
    <cellStyle name="Comma 5 5 3 2 5 2" xfId="11415"/>
    <cellStyle name="Comma 5 5 3 2 5 2 2" xfId="17954"/>
    <cellStyle name="Comma 5 5 3 2 5 3" xfId="15102"/>
    <cellStyle name="Comma 5 5 3 2 6" xfId="2880"/>
    <cellStyle name="Comma 5 5 3 2 6 2" xfId="14528"/>
    <cellStyle name="Comma 5 5 3 2 7" xfId="10841"/>
    <cellStyle name="Comma 5 5 3 2 7 2" xfId="17380"/>
    <cellStyle name="Comma 5 5 3 2 8" xfId="13962"/>
    <cellStyle name="Comma 5 5 3 3" xfId="4571"/>
    <cellStyle name="Comma 5 5 3 3 2" xfId="11701"/>
    <cellStyle name="Comma 5 5 3 3 2 2" xfId="18240"/>
    <cellStyle name="Comma 5 5 3 3 3" xfId="15388"/>
    <cellStyle name="Comma 5 5 3 4" xfId="6843"/>
    <cellStyle name="Comma 5 5 3 4 2" xfId="12272"/>
    <cellStyle name="Comma 5 5 3 4 2 2" xfId="18811"/>
    <cellStyle name="Comma 5 5 3 4 3" xfId="15959"/>
    <cellStyle name="Comma 5 5 3 5" xfId="9115"/>
    <cellStyle name="Comma 5 5 3 5 2" xfId="12843"/>
    <cellStyle name="Comma 5 5 3 5 2 2" xfId="19382"/>
    <cellStyle name="Comma 5 5 3 5 3" xfId="16530"/>
    <cellStyle name="Comma 5 5 3 6" xfId="3173"/>
    <cellStyle name="Comma 5 5 3 6 2" xfId="11130"/>
    <cellStyle name="Comma 5 5 3 6 2 2" xfId="17669"/>
    <cellStyle name="Comma 5 5 3 6 3" xfId="14817"/>
    <cellStyle name="Comma 5 5 3 7" xfId="2600"/>
    <cellStyle name="Comma 5 5 3 7 2" xfId="14248"/>
    <cellStyle name="Comma 5 5 3 8" xfId="10561"/>
    <cellStyle name="Comma 5 5 3 8 2" xfId="17100"/>
    <cellStyle name="Comma 5 5 3 9" xfId="13677"/>
    <cellStyle name="Comma 5 5 4" xfId="697"/>
    <cellStyle name="Comma 5 5 4 2" xfId="1832"/>
    <cellStyle name="Comma 5 5 4 2 2" xfId="5252"/>
    <cellStyle name="Comma 5 5 4 2 2 2" xfId="11872"/>
    <cellStyle name="Comma 5 5 4 2 2 2 2" xfId="18411"/>
    <cellStyle name="Comma 5 5 4 2 2 3" xfId="15559"/>
    <cellStyle name="Comma 5 5 4 2 3" xfId="7524"/>
    <cellStyle name="Comma 5 5 4 2 3 2" xfId="12443"/>
    <cellStyle name="Comma 5 5 4 2 3 2 2" xfId="18982"/>
    <cellStyle name="Comma 5 5 4 2 3 3" xfId="16130"/>
    <cellStyle name="Comma 5 5 4 2 4" xfId="9796"/>
    <cellStyle name="Comma 5 5 4 2 4 2" xfId="13014"/>
    <cellStyle name="Comma 5 5 4 2 4 2 2" xfId="19553"/>
    <cellStyle name="Comma 5 5 4 2 4 3" xfId="16701"/>
    <cellStyle name="Comma 5 5 4 2 5" xfId="3344"/>
    <cellStyle name="Comma 5 5 4 2 5 2" xfId="11301"/>
    <cellStyle name="Comma 5 5 4 2 5 2 2" xfId="17840"/>
    <cellStyle name="Comma 5 5 4 2 5 3" xfId="14988"/>
    <cellStyle name="Comma 5 5 4 2 6" xfId="2768"/>
    <cellStyle name="Comma 5 5 4 2 6 2" xfId="14416"/>
    <cellStyle name="Comma 5 5 4 2 7" xfId="10729"/>
    <cellStyle name="Comma 5 5 4 2 7 2" xfId="17268"/>
    <cellStyle name="Comma 5 5 4 2 8" xfId="13848"/>
    <cellStyle name="Comma 5 5 4 3" xfId="4117"/>
    <cellStyle name="Comma 5 5 4 3 2" xfId="11587"/>
    <cellStyle name="Comma 5 5 4 3 2 2" xfId="18126"/>
    <cellStyle name="Comma 5 5 4 3 3" xfId="15274"/>
    <cellStyle name="Comma 5 5 4 4" xfId="6389"/>
    <cellStyle name="Comma 5 5 4 4 2" xfId="12158"/>
    <cellStyle name="Comma 5 5 4 4 2 2" xfId="18697"/>
    <cellStyle name="Comma 5 5 4 4 3" xfId="15845"/>
    <cellStyle name="Comma 5 5 4 5" xfId="8661"/>
    <cellStyle name="Comma 5 5 4 5 2" xfId="12729"/>
    <cellStyle name="Comma 5 5 4 5 2 2" xfId="19268"/>
    <cellStyle name="Comma 5 5 4 5 3" xfId="16416"/>
    <cellStyle name="Comma 5 5 4 6" xfId="3059"/>
    <cellStyle name="Comma 5 5 4 6 2" xfId="11016"/>
    <cellStyle name="Comma 5 5 4 6 2 2" xfId="17555"/>
    <cellStyle name="Comma 5 5 4 6 3" xfId="14703"/>
    <cellStyle name="Comma 5 5 4 7" xfId="2488"/>
    <cellStyle name="Comma 5 5 4 7 2" xfId="14136"/>
    <cellStyle name="Comma 5 5 4 8" xfId="10449"/>
    <cellStyle name="Comma 5 5 4 8 2" xfId="16988"/>
    <cellStyle name="Comma 5 5 4 9" xfId="13563"/>
    <cellStyle name="Comma 5 5 5" xfId="1378"/>
    <cellStyle name="Comma 5 5 5 2" xfId="4798"/>
    <cellStyle name="Comma 5 5 5 2 2" xfId="11758"/>
    <cellStyle name="Comma 5 5 5 2 2 2" xfId="18297"/>
    <cellStyle name="Comma 5 5 5 2 3" xfId="15445"/>
    <cellStyle name="Comma 5 5 5 3" xfId="7070"/>
    <cellStyle name="Comma 5 5 5 3 2" xfId="12329"/>
    <cellStyle name="Comma 5 5 5 3 2 2" xfId="18868"/>
    <cellStyle name="Comma 5 5 5 3 3" xfId="16016"/>
    <cellStyle name="Comma 5 5 5 4" xfId="9342"/>
    <cellStyle name="Comma 5 5 5 4 2" xfId="12900"/>
    <cellStyle name="Comma 5 5 5 4 2 2" xfId="19439"/>
    <cellStyle name="Comma 5 5 5 4 3" xfId="16587"/>
    <cellStyle name="Comma 5 5 5 5" xfId="3230"/>
    <cellStyle name="Comma 5 5 5 5 2" xfId="11187"/>
    <cellStyle name="Comma 5 5 5 5 2 2" xfId="17726"/>
    <cellStyle name="Comma 5 5 5 5 3" xfId="14874"/>
    <cellStyle name="Comma 5 5 5 6" xfId="2656"/>
    <cellStyle name="Comma 5 5 5 6 2" xfId="14304"/>
    <cellStyle name="Comma 5 5 5 7" xfId="10617"/>
    <cellStyle name="Comma 5 5 5 7 2" xfId="17156"/>
    <cellStyle name="Comma 5 5 5 8" xfId="13734"/>
    <cellStyle name="Comma 5 5 6" xfId="3663"/>
    <cellStyle name="Comma 5 5 6 2" xfId="11473"/>
    <cellStyle name="Comma 5 5 6 2 2" xfId="18012"/>
    <cellStyle name="Comma 5 5 6 3" xfId="15160"/>
    <cellStyle name="Comma 5 5 7" xfId="5935"/>
    <cellStyle name="Comma 5 5 7 2" xfId="12044"/>
    <cellStyle name="Comma 5 5 7 2 2" xfId="18583"/>
    <cellStyle name="Comma 5 5 7 3" xfId="15731"/>
    <cellStyle name="Comma 5 5 8" xfId="8207"/>
    <cellStyle name="Comma 5 5 8 2" xfId="12615"/>
    <cellStyle name="Comma 5 5 8 2 2" xfId="19154"/>
    <cellStyle name="Comma 5 5 8 3" xfId="16302"/>
    <cellStyle name="Comma 5 5 9" xfId="2945"/>
    <cellStyle name="Comma 5 5 9 2" xfId="10902"/>
    <cellStyle name="Comma 5 5 9 2 2" xfId="17441"/>
    <cellStyle name="Comma 5 5 9 3" xfId="14589"/>
    <cellStyle name="Comma 5 6" xfId="299"/>
    <cellStyle name="Comma 5 6 10" xfId="13463"/>
    <cellStyle name="Comma 5 6 2" xfId="753"/>
    <cellStyle name="Comma 5 6 2 2" xfId="1888"/>
    <cellStyle name="Comma 5 6 2 2 2" xfId="5308"/>
    <cellStyle name="Comma 5 6 2 2 2 2" xfId="11886"/>
    <cellStyle name="Comma 5 6 2 2 2 2 2" xfId="18425"/>
    <cellStyle name="Comma 5 6 2 2 2 3" xfId="15573"/>
    <cellStyle name="Comma 5 6 2 2 3" xfId="7580"/>
    <cellStyle name="Comma 5 6 2 2 3 2" xfId="12457"/>
    <cellStyle name="Comma 5 6 2 2 3 2 2" xfId="18996"/>
    <cellStyle name="Comma 5 6 2 2 3 3" xfId="16144"/>
    <cellStyle name="Comma 5 6 2 2 4" xfId="9852"/>
    <cellStyle name="Comma 5 6 2 2 4 2" xfId="13028"/>
    <cellStyle name="Comma 5 6 2 2 4 2 2" xfId="19567"/>
    <cellStyle name="Comma 5 6 2 2 4 3" xfId="16715"/>
    <cellStyle name="Comma 5 6 2 2 5" xfId="3358"/>
    <cellStyle name="Comma 5 6 2 2 5 2" xfId="11315"/>
    <cellStyle name="Comma 5 6 2 2 5 2 2" xfId="17854"/>
    <cellStyle name="Comma 5 6 2 2 5 3" xfId="15002"/>
    <cellStyle name="Comma 5 6 2 2 6" xfId="2782"/>
    <cellStyle name="Comma 5 6 2 2 6 2" xfId="14430"/>
    <cellStyle name="Comma 5 6 2 2 7" xfId="10743"/>
    <cellStyle name="Comma 5 6 2 2 7 2" xfId="17282"/>
    <cellStyle name="Comma 5 6 2 2 8" xfId="13862"/>
    <cellStyle name="Comma 5 6 2 3" xfId="4173"/>
    <cellStyle name="Comma 5 6 2 3 2" xfId="11601"/>
    <cellStyle name="Comma 5 6 2 3 2 2" xfId="18140"/>
    <cellStyle name="Comma 5 6 2 3 3" xfId="15288"/>
    <cellStyle name="Comma 5 6 2 4" xfId="6445"/>
    <cellStyle name="Comma 5 6 2 4 2" xfId="12172"/>
    <cellStyle name="Comma 5 6 2 4 2 2" xfId="18711"/>
    <cellStyle name="Comma 5 6 2 4 3" xfId="15859"/>
    <cellStyle name="Comma 5 6 2 5" xfId="8717"/>
    <cellStyle name="Comma 5 6 2 5 2" xfId="12743"/>
    <cellStyle name="Comma 5 6 2 5 2 2" xfId="19282"/>
    <cellStyle name="Comma 5 6 2 5 3" xfId="16430"/>
    <cellStyle name="Comma 5 6 2 6" xfId="3073"/>
    <cellStyle name="Comma 5 6 2 6 2" xfId="11030"/>
    <cellStyle name="Comma 5 6 2 6 2 2" xfId="17569"/>
    <cellStyle name="Comma 5 6 2 6 3" xfId="14717"/>
    <cellStyle name="Comma 5 6 2 7" xfId="2502"/>
    <cellStyle name="Comma 5 6 2 7 2" xfId="14150"/>
    <cellStyle name="Comma 5 6 2 8" xfId="10463"/>
    <cellStyle name="Comma 5 6 2 8 2" xfId="17002"/>
    <cellStyle name="Comma 5 6 2 9" xfId="13577"/>
    <cellStyle name="Comma 5 6 3" xfId="1434"/>
    <cellStyle name="Comma 5 6 3 2" xfId="4854"/>
    <cellStyle name="Comma 5 6 3 2 2" xfId="11772"/>
    <cellStyle name="Comma 5 6 3 2 2 2" xfId="18311"/>
    <cellStyle name="Comma 5 6 3 2 3" xfId="15459"/>
    <cellStyle name="Comma 5 6 3 3" xfId="7126"/>
    <cellStyle name="Comma 5 6 3 3 2" xfId="12343"/>
    <cellStyle name="Comma 5 6 3 3 2 2" xfId="18882"/>
    <cellStyle name="Comma 5 6 3 3 3" xfId="16030"/>
    <cellStyle name="Comma 5 6 3 4" xfId="9398"/>
    <cellStyle name="Comma 5 6 3 4 2" xfId="12914"/>
    <cellStyle name="Comma 5 6 3 4 2 2" xfId="19453"/>
    <cellStyle name="Comma 5 6 3 4 3" xfId="16601"/>
    <cellStyle name="Comma 5 6 3 5" xfId="3244"/>
    <cellStyle name="Comma 5 6 3 5 2" xfId="11201"/>
    <cellStyle name="Comma 5 6 3 5 2 2" xfId="17740"/>
    <cellStyle name="Comma 5 6 3 5 3" xfId="14888"/>
    <cellStyle name="Comma 5 6 3 6" xfId="2670"/>
    <cellStyle name="Comma 5 6 3 6 2" xfId="14318"/>
    <cellStyle name="Comma 5 6 3 7" xfId="10631"/>
    <cellStyle name="Comma 5 6 3 7 2" xfId="17170"/>
    <cellStyle name="Comma 5 6 3 8" xfId="13748"/>
    <cellStyle name="Comma 5 6 4" xfId="3719"/>
    <cellStyle name="Comma 5 6 4 2" xfId="11487"/>
    <cellStyle name="Comma 5 6 4 2 2" xfId="18026"/>
    <cellStyle name="Comma 5 6 4 3" xfId="15174"/>
    <cellStyle name="Comma 5 6 5" xfId="5991"/>
    <cellStyle name="Comma 5 6 5 2" xfId="12058"/>
    <cellStyle name="Comma 5 6 5 2 2" xfId="18597"/>
    <cellStyle name="Comma 5 6 5 3" xfId="15745"/>
    <cellStyle name="Comma 5 6 6" xfId="8263"/>
    <cellStyle name="Comma 5 6 6 2" xfId="12629"/>
    <cellStyle name="Comma 5 6 6 2 2" xfId="19168"/>
    <cellStyle name="Comma 5 6 6 3" xfId="16316"/>
    <cellStyle name="Comma 5 6 7" xfId="2959"/>
    <cellStyle name="Comma 5 6 7 2" xfId="10916"/>
    <cellStyle name="Comma 5 6 7 2 2" xfId="17455"/>
    <cellStyle name="Comma 5 6 7 3" xfId="14603"/>
    <cellStyle name="Comma 5 6 8" xfId="2390"/>
    <cellStyle name="Comma 5 6 8 2" xfId="14038"/>
    <cellStyle name="Comma 5 6 9" xfId="10351"/>
    <cellStyle name="Comma 5 6 9 2" xfId="16890"/>
    <cellStyle name="Comma 5 7" xfId="980"/>
    <cellStyle name="Comma 5 7 2" xfId="2115"/>
    <cellStyle name="Comma 5 7 2 2" xfId="5535"/>
    <cellStyle name="Comma 5 7 2 2 2" xfId="11943"/>
    <cellStyle name="Comma 5 7 2 2 2 2" xfId="18482"/>
    <cellStyle name="Comma 5 7 2 2 3" xfId="15630"/>
    <cellStyle name="Comma 5 7 2 3" xfId="7807"/>
    <cellStyle name="Comma 5 7 2 3 2" xfId="12514"/>
    <cellStyle name="Comma 5 7 2 3 2 2" xfId="19053"/>
    <cellStyle name="Comma 5 7 2 3 3" xfId="16201"/>
    <cellStyle name="Comma 5 7 2 4" xfId="10079"/>
    <cellStyle name="Comma 5 7 2 4 2" xfId="13085"/>
    <cellStyle name="Comma 5 7 2 4 2 2" xfId="19624"/>
    <cellStyle name="Comma 5 7 2 4 3" xfId="16772"/>
    <cellStyle name="Comma 5 7 2 5" xfId="3415"/>
    <cellStyle name="Comma 5 7 2 5 2" xfId="11372"/>
    <cellStyle name="Comma 5 7 2 5 2 2" xfId="17911"/>
    <cellStyle name="Comma 5 7 2 5 3" xfId="15059"/>
    <cellStyle name="Comma 5 7 2 6" xfId="2838"/>
    <cellStyle name="Comma 5 7 2 6 2" xfId="14486"/>
    <cellStyle name="Comma 5 7 2 7" xfId="10799"/>
    <cellStyle name="Comma 5 7 2 7 2" xfId="17338"/>
    <cellStyle name="Comma 5 7 2 8" xfId="13919"/>
    <cellStyle name="Comma 5 7 3" xfId="4400"/>
    <cellStyle name="Comma 5 7 3 2" xfId="11658"/>
    <cellStyle name="Comma 5 7 3 2 2" xfId="18197"/>
    <cellStyle name="Comma 5 7 3 3" xfId="15345"/>
    <cellStyle name="Comma 5 7 4" xfId="6672"/>
    <cellStyle name="Comma 5 7 4 2" xfId="12229"/>
    <cellStyle name="Comma 5 7 4 2 2" xfId="18768"/>
    <cellStyle name="Comma 5 7 4 3" xfId="15916"/>
    <cellStyle name="Comma 5 7 5" xfId="8944"/>
    <cellStyle name="Comma 5 7 5 2" xfId="12800"/>
    <cellStyle name="Comma 5 7 5 2 2" xfId="19339"/>
    <cellStyle name="Comma 5 7 5 3" xfId="16487"/>
    <cellStyle name="Comma 5 7 6" xfId="3130"/>
    <cellStyle name="Comma 5 7 6 2" xfId="11087"/>
    <cellStyle name="Comma 5 7 6 2 2" xfId="17626"/>
    <cellStyle name="Comma 5 7 6 3" xfId="14774"/>
    <cellStyle name="Comma 5 7 7" xfId="2558"/>
    <cellStyle name="Comma 5 7 7 2" xfId="14206"/>
    <cellStyle name="Comma 5 7 8" xfId="10519"/>
    <cellStyle name="Comma 5 7 8 2" xfId="17058"/>
    <cellStyle name="Comma 5 7 9" xfId="13634"/>
    <cellStyle name="Comma 5 8" xfId="526"/>
    <cellStyle name="Comma 5 8 2" xfId="1661"/>
    <cellStyle name="Comma 5 8 2 2" xfId="5081"/>
    <cellStyle name="Comma 5 8 2 2 2" xfId="11829"/>
    <cellStyle name="Comma 5 8 2 2 2 2" xfId="18368"/>
    <cellStyle name="Comma 5 8 2 2 3" xfId="15516"/>
    <cellStyle name="Comma 5 8 2 3" xfId="7353"/>
    <cellStyle name="Comma 5 8 2 3 2" xfId="12400"/>
    <cellStyle name="Comma 5 8 2 3 2 2" xfId="18939"/>
    <cellStyle name="Comma 5 8 2 3 3" xfId="16087"/>
    <cellStyle name="Comma 5 8 2 4" xfId="9625"/>
    <cellStyle name="Comma 5 8 2 4 2" xfId="12971"/>
    <cellStyle name="Comma 5 8 2 4 2 2" xfId="19510"/>
    <cellStyle name="Comma 5 8 2 4 3" xfId="16658"/>
    <cellStyle name="Comma 5 8 2 5" xfId="3301"/>
    <cellStyle name="Comma 5 8 2 5 2" xfId="11258"/>
    <cellStyle name="Comma 5 8 2 5 2 2" xfId="17797"/>
    <cellStyle name="Comma 5 8 2 5 3" xfId="14945"/>
    <cellStyle name="Comma 5 8 2 6" xfId="2726"/>
    <cellStyle name="Comma 5 8 2 6 2" xfId="14374"/>
    <cellStyle name="Comma 5 8 2 7" xfId="10687"/>
    <cellStyle name="Comma 5 8 2 7 2" xfId="17226"/>
    <cellStyle name="Comma 5 8 2 8" xfId="13805"/>
    <cellStyle name="Comma 5 8 3" xfId="3946"/>
    <cellStyle name="Comma 5 8 3 2" xfId="11544"/>
    <cellStyle name="Comma 5 8 3 2 2" xfId="18083"/>
    <cellStyle name="Comma 5 8 3 3" xfId="15231"/>
    <cellStyle name="Comma 5 8 4" xfId="6218"/>
    <cellStyle name="Comma 5 8 4 2" xfId="12115"/>
    <cellStyle name="Comma 5 8 4 2 2" xfId="18654"/>
    <cellStyle name="Comma 5 8 4 3" xfId="15802"/>
    <cellStyle name="Comma 5 8 5" xfId="8490"/>
    <cellStyle name="Comma 5 8 5 2" xfId="12686"/>
    <cellStyle name="Comma 5 8 5 2 2" xfId="19225"/>
    <cellStyle name="Comma 5 8 5 3" xfId="16373"/>
    <cellStyle name="Comma 5 8 6" xfId="3016"/>
    <cellStyle name="Comma 5 8 6 2" xfId="10973"/>
    <cellStyle name="Comma 5 8 6 2 2" xfId="17512"/>
    <cellStyle name="Comma 5 8 6 3" xfId="14660"/>
    <cellStyle name="Comma 5 8 7" xfId="2446"/>
    <cellStyle name="Comma 5 8 7 2" xfId="14094"/>
    <cellStyle name="Comma 5 8 8" xfId="10407"/>
    <cellStyle name="Comma 5 8 8 2" xfId="16946"/>
    <cellStyle name="Comma 5 8 9" xfId="13520"/>
    <cellStyle name="Comma 5 9" xfId="1207"/>
    <cellStyle name="Comma 5 9 2" xfId="4627"/>
    <cellStyle name="Comma 5 9 2 2" xfId="11715"/>
    <cellStyle name="Comma 5 9 2 2 2" xfId="18254"/>
    <cellStyle name="Comma 5 9 2 3" xfId="15402"/>
    <cellStyle name="Comma 5 9 3" xfId="6899"/>
    <cellStyle name="Comma 5 9 3 2" xfId="12286"/>
    <cellStyle name="Comma 5 9 3 2 2" xfId="18825"/>
    <cellStyle name="Comma 5 9 3 3" xfId="15973"/>
    <cellStyle name="Comma 5 9 4" xfId="9171"/>
    <cellStyle name="Comma 5 9 4 2" xfId="12857"/>
    <cellStyle name="Comma 5 9 4 2 2" xfId="19396"/>
    <cellStyle name="Comma 5 9 4 3" xfId="16544"/>
    <cellStyle name="Comma 5 9 5" xfId="3187"/>
    <cellStyle name="Comma 5 9 5 2" xfId="11144"/>
    <cellStyle name="Comma 5 9 5 2 2" xfId="17683"/>
    <cellStyle name="Comma 5 9 5 3" xfId="14831"/>
    <cellStyle name="Comma 5 9 6" xfId="2614"/>
    <cellStyle name="Comma 5 9 6 2" xfId="14262"/>
    <cellStyle name="Comma 5 9 7" xfId="10575"/>
    <cellStyle name="Comma 5 9 7 2" xfId="17114"/>
    <cellStyle name="Comma 5 9 8" xfId="13691"/>
    <cellStyle name="Comma 50" xfId="13249"/>
    <cellStyle name="Comma 50 2" xfId="19758"/>
    <cellStyle name="Comma 50 3" xfId="19852"/>
    <cellStyle name="Comma 51" xfId="13250"/>
    <cellStyle name="Comma 51 2" xfId="19759"/>
    <cellStyle name="Comma 51 3" xfId="19853"/>
    <cellStyle name="Comma 52" xfId="13251"/>
    <cellStyle name="Comma 52 2" xfId="19760"/>
    <cellStyle name="Comma 52 3" xfId="19854"/>
    <cellStyle name="Comma 53" xfId="13252"/>
    <cellStyle name="Comma 53 2" xfId="19761"/>
    <cellStyle name="Comma 53 3" xfId="19855"/>
    <cellStyle name="Comma 54" xfId="13253"/>
    <cellStyle name="Comma 54 2" xfId="19762"/>
    <cellStyle name="Comma 54 3" xfId="19856"/>
    <cellStyle name="Comma 55" xfId="13254"/>
    <cellStyle name="Comma 55 2" xfId="19763"/>
    <cellStyle name="Comma 55 3" xfId="19857"/>
    <cellStyle name="Comma 56" xfId="13255"/>
    <cellStyle name="Comma 56 2" xfId="19764"/>
    <cellStyle name="Comma 56 3" xfId="19858"/>
    <cellStyle name="Comma 57" xfId="13256"/>
    <cellStyle name="Comma 57 2" xfId="19765"/>
    <cellStyle name="Comma 57 3" xfId="19859"/>
    <cellStyle name="Comma 58" xfId="13257"/>
    <cellStyle name="Comma 58 2" xfId="19766"/>
    <cellStyle name="Comma 58 3" xfId="19860"/>
    <cellStyle name="Comma 59" xfId="13258"/>
    <cellStyle name="Comma 59 2" xfId="19767"/>
    <cellStyle name="Comma 59 3" xfId="19861"/>
    <cellStyle name="Comma 6" xfId="61"/>
    <cellStyle name="Comma 6 10" xfId="3494"/>
    <cellStyle name="Comma 6 10 2" xfId="11431"/>
    <cellStyle name="Comma 6 10 2 2" xfId="17970"/>
    <cellStyle name="Comma 6 10 3" xfId="15118"/>
    <cellStyle name="Comma 6 11" xfId="5766"/>
    <cellStyle name="Comma 6 11 2" xfId="12002"/>
    <cellStyle name="Comma 6 11 2 2" xfId="18541"/>
    <cellStyle name="Comma 6 11 3" xfId="15689"/>
    <cellStyle name="Comma 6 12" xfId="8038"/>
    <cellStyle name="Comma 6 12 2" xfId="12573"/>
    <cellStyle name="Comma 6 12 2 2" xfId="19112"/>
    <cellStyle name="Comma 6 12 3" xfId="16260"/>
    <cellStyle name="Comma 6 13" xfId="2898"/>
    <cellStyle name="Comma 6 13 2" xfId="10858"/>
    <cellStyle name="Comma 6 13 2 2" xfId="17397"/>
    <cellStyle name="Comma 6 13 3" xfId="14545"/>
    <cellStyle name="Comma 6 14" xfId="2333"/>
    <cellStyle name="Comma 6 14 2" xfId="13981"/>
    <cellStyle name="Comma 6 15" xfId="10294"/>
    <cellStyle name="Comma 6 15 2" xfId="16833"/>
    <cellStyle name="Comma 6 16" xfId="13259"/>
    <cellStyle name="Comma 6 16 2" xfId="19768"/>
    <cellStyle name="Comma 6 17" xfId="13405"/>
    <cellStyle name="Comma 6 18" xfId="19862"/>
    <cellStyle name="Comma 6 19" xfId="19874"/>
    <cellStyle name="Comma 6 2" xfId="91"/>
    <cellStyle name="Comma 6 2 10" xfId="5794"/>
    <cellStyle name="Comma 6 2 10 2" xfId="12009"/>
    <cellStyle name="Comma 6 2 10 2 2" xfId="18548"/>
    <cellStyle name="Comma 6 2 10 3" xfId="15696"/>
    <cellStyle name="Comma 6 2 11" xfId="8066"/>
    <cellStyle name="Comma 6 2 11 2" xfId="12580"/>
    <cellStyle name="Comma 6 2 11 2 2" xfId="19119"/>
    <cellStyle name="Comma 6 2 11 3" xfId="16267"/>
    <cellStyle name="Comma 6 2 12" xfId="2907"/>
    <cellStyle name="Comma 6 2 12 2" xfId="10866"/>
    <cellStyle name="Comma 6 2 12 2 2" xfId="17405"/>
    <cellStyle name="Comma 6 2 12 3" xfId="14553"/>
    <cellStyle name="Comma 6 2 13" xfId="2341"/>
    <cellStyle name="Comma 6 2 13 2" xfId="13989"/>
    <cellStyle name="Comma 6 2 14" xfId="10302"/>
    <cellStyle name="Comma 6 2 14 2" xfId="16841"/>
    <cellStyle name="Comma 6 2 15" xfId="13260"/>
    <cellStyle name="Comma 6 2 15 2" xfId="19769"/>
    <cellStyle name="Comma 6 2 16" xfId="13413"/>
    <cellStyle name="Comma 6 2 17" xfId="19863"/>
    <cellStyle name="Comma 6 2 18" xfId="20096"/>
    <cellStyle name="Comma 6 2 2" xfId="203"/>
    <cellStyle name="Comma 6 2 2 10" xfId="2369"/>
    <cellStyle name="Comma 6 2 2 10 2" xfId="14017"/>
    <cellStyle name="Comma 6 2 2 11" xfId="10330"/>
    <cellStyle name="Comma 6 2 2 11 2" xfId="16869"/>
    <cellStyle name="Comma 6 2 2 12" xfId="13441"/>
    <cellStyle name="Comma 6 2 2 13" xfId="20260"/>
    <cellStyle name="Comma 6 2 2 2" xfId="441"/>
    <cellStyle name="Comma 6 2 2 2 10" xfId="13499"/>
    <cellStyle name="Comma 6 2 2 2 2" xfId="895"/>
    <cellStyle name="Comma 6 2 2 2 2 2" xfId="2030"/>
    <cellStyle name="Comma 6 2 2 2 2 2 2" xfId="5450"/>
    <cellStyle name="Comma 6 2 2 2 2 2 2 2" xfId="11922"/>
    <cellStyle name="Comma 6 2 2 2 2 2 2 2 2" xfId="18461"/>
    <cellStyle name="Comma 6 2 2 2 2 2 2 3" xfId="15609"/>
    <cellStyle name="Comma 6 2 2 2 2 2 3" xfId="7722"/>
    <cellStyle name="Comma 6 2 2 2 2 2 3 2" xfId="12493"/>
    <cellStyle name="Comma 6 2 2 2 2 2 3 2 2" xfId="19032"/>
    <cellStyle name="Comma 6 2 2 2 2 2 3 3" xfId="16180"/>
    <cellStyle name="Comma 6 2 2 2 2 2 4" xfId="9994"/>
    <cellStyle name="Comma 6 2 2 2 2 2 4 2" xfId="13064"/>
    <cellStyle name="Comma 6 2 2 2 2 2 4 2 2" xfId="19603"/>
    <cellStyle name="Comma 6 2 2 2 2 2 4 3" xfId="16751"/>
    <cellStyle name="Comma 6 2 2 2 2 2 5" xfId="3394"/>
    <cellStyle name="Comma 6 2 2 2 2 2 5 2" xfId="11351"/>
    <cellStyle name="Comma 6 2 2 2 2 2 5 2 2" xfId="17890"/>
    <cellStyle name="Comma 6 2 2 2 2 2 5 3" xfId="15038"/>
    <cellStyle name="Comma 6 2 2 2 2 2 6" xfId="2818"/>
    <cellStyle name="Comma 6 2 2 2 2 2 6 2" xfId="14466"/>
    <cellStyle name="Comma 6 2 2 2 2 2 7" xfId="10779"/>
    <cellStyle name="Comma 6 2 2 2 2 2 7 2" xfId="17318"/>
    <cellStyle name="Comma 6 2 2 2 2 2 8" xfId="13898"/>
    <cellStyle name="Comma 6 2 2 2 2 3" xfId="4315"/>
    <cellStyle name="Comma 6 2 2 2 2 3 2" xfId="11637"/>
    <cellStyle name="Comma 6 2 2 2 2 3 2 2" xfId="18176"/>
    <cellStyle name="Comma 6 2 2 2 2 3 3" xfId="15324"/>
    <cellStyle name="Comma 6 2 2 2 2 4" xfId="6587"/>
    <cellStyle name="Comma 6 2 2 2 2 4 2" xfId="12208"/>
    <cellStyle name="Comma 6 2 2 2 2 4 2 2" xfId="18747"/>
    <cellStyle name="Comma 6 2 2 2 2 4 3" xfId="15895"/>
    <cellStyle name="Comma 6 2 2 2 2 5" xfId="8859"/>
    <cellStyle name="Comma 6 2 2 2 2 5 2" xfId="12779"/>
    <cellStyle name="Comma 6 2 2 2 2 5 2 2" xfId="19318"/>
    <cellStyle name="Comma 6 2 2 2 2 5 3" xfId="16466"/>
    <cellStyle name="Comma 6 2 2 2 2 6" xfId="3109"/>
    <cellStyle name="Comma 6 2 2 2 2 6 2" xfId="11066"/>
    <cellStyle name="Comma 6 2 2 2 2 6 2 2" xfId="17605"/>
    <cellStyle name="Comma 6 2 2 2 2 6 3" xfId="14753"/>
    <cellStyle name="Comma 6 2 2 2 2 7" xfId="2538"/>
    <cellStyle name="Comma 6 2 2 2 2 7 2" xfId="14186"/>
    <cellStyle name="Comma 6 2 2 2 2 8" xfId="10499"/>
    <cellStyle name="Comma 6 2 2 2 2 8 2" xfId="17038"/>
    <cellStyle name="Comma 6 2 2 2 2 9" xfId="13613"/>
    <cellStyle name="Comma 6 2 2 2 3" xfId="1576"/>
    <cellStyle name="Comma 6 2 2 2 3 2" xfId="4996"/>
    <cellStyle name="Comma 6 2 2 2 3 2 2" xfId="11808"/>
    <cellStyle name="Comma 6 2 2 2 3 2 2 2" xfId="18347"/>
    <cellStyle name="Comma 6 2 2 2 3 2 3" xfId="15495"/>
    <cellStyle name="Comma 6 2 2 2 3 3" xfId="7268"/>
    <cellStyle name="Comma 6 2 2 2 3 3 2" xfId="12379"/>
    <cellStyle name="Comma 6 2 2 2 3 3 2 2" xfId="18918"/>
    <cellStyle name="Comma 6 2 2 2 3 3 3" xfId="16066"/>
    <cellStyle name="Comma 6 2 2 2 3 4" xfId="9540"/>
    <cellStyle name="Comma 6 2 2 2 3 4 2" xfId="12950"/>
    <cellStyle name="Comma 6 2 2 2 3 4 2 2" xfId="19489"/>
    <cellStyle name="Comma 6 2 2 2 3 4 3" xfId="16637"/>
    <cellStyle name="Comma 6 2 2 2 3 5" xfId="3280"/>
    <cellStyle name="Comma 6 2 2 2 3 5 2" xfId="11237"/>
    <cellStyle name="Comma 6 2 2 2 3 5 2 2" xfId="17776"/>
    <cellStyle name="Comma 6 2 2 2 3 5 3" xfId="14924"/>
    <cellStyle name="Comma 6 2 2 2 3 6" xfId="2706"/>
    <cellStyle name="Comma 6 2 2 2 3 6 2" xfId="14354"/>
    <cellStyle name="Comma 6 2 2 2 3 7" xfId="10667"/>
    <cellStyle name="Comma 6 2 2 2 3 7 2" xfId="17206"/>
    <cellStyle name="Comma 6 2 2 2 3 8" xfId="13784"/>
    <cellStyle name="Comma 6 2 2 2 4" xfId="3861"/>
    <cellStyle name="Comma 6 2 2 2 4 2" xfId="11523"/>
    <cellStyle name="Comma 6 2 2 2 4 2 2" xfId="18062"/>
    <cellStyle name="Comma 6 2 2 2 4 3" xfId="15210"/>
    <cellStyle name="Comma 6 2 2 2 5" xfId="6133"/>
    <cellStyle name="Comma 6 2 2 2 5 2" xfId="12094"/>
    <cellStyle name="Comma 6 2 2 2 5 2 2" xfId="18633"/>
    <cellStyle name="Comma 6 2 2 2 5 3" xfId="15781"/>
    <cellStyle name="Comma 6 2 2 2 6" xfId="8405"/>
    <cellStyle name="Comma 6 2 2 2 6 2" xfId="12665"/>
    <cellStyle name="Comma 6 2 2 2 6 2 2" xfId="19204"/>
    <cellStyle name="Comma 6 2 2 2 6 3" xfId="16352"/>
    <cellStyle name="Comma 6 2 2 2 7" xfId="2995"/>
    <cellStyle name="Comma 6 2 2 2 7 2" xfId="10952"/>
    <cellStyle name="Comma 6 2 2 2 7 2 2" xfId="17491"/>
    <cellStyle name="Comma 6 2 2 2 7 3" xfId="14639"/>
    <cellStyle name="Comma 6 2 2 2 8" xfId="2426"/>
    <cellStyle name="Comma 6 2 2 2 8 2" xfId="14074"/>
    <cellStyle name="Comma 6 2 2 2 9" xfId="10387"/>
    <cellStyle name="Comma 6 2 2 2 9 2" xfId="16926"/>
    <cellStyle name="Comma 6 2 2 3" xfId="1122"/>
    <cellStyle name="Comma 6 2 2 3 2" xfId="2257"/>
    <cellStyle name="Comma 6 2 2 3 2 2" xfId="5677"/>
    <cellStyle name="Comma 6 2 2 3 2 2 2" xfId="11979"/>
    <cellStyle name="Comma 6 2 2 3 2 2 2 2" xfId="18518"/>
    <cellStyle name="Comma 6 2 2 3 2 2 3" xfId="15666"/>
    <cellStyle name="Comma 6 2 2 3 2 3" xfId="7949"/>
    <cellStyle name="Comma 6 2 2 3 2 3 2" xfId="12550"/>
    <cellStyle name="Comma 6 2 2 3 2 3 2 2" xfId="19089"/>
    <cellStyle name="Comma 6 2 2 3 2 3 3" xfId="16237"/>
    <cellStyle name="Comma 6 2 2 3 2 4" xfId="10221"/>
    <cellStyle name="Comma 6 2 2 3 2 4 2" xfId="13121"/>
    <cellStyle name="Comma 6 2 2 3 2 4 2 2" xfId="19660"/>
    <cellStyle name="Comma 6 2 2 3 2 4 3" xfId="16808"/>
    <cellStyle name="Comma 6 2 2 3 2 5" xfId="3451"/>
    <cellStyle name="Comma 6 2 2 3 2 5 2" xfId="11408"/>
    <cellStyle name="Comma 6 2 2 3 2 5 2 2" xfId="17947"/>
    <cellStyle name="Comma 6 2 2 3 2 5 3" xfId="15095"/>
    <cellStyle name="Comma 6 2 2 3 2 6" xfId="2874"/>
    <cellStyle name="Comma 6 2 2 3 2 6 2" xfId="14522"/>
    <cellStyle name="Comma 6 2 2 3 2 7" xfId="10835"/>
    <cellStyle name="Comma 6 2 2 3 2 7 2" xfId="17374"/>
    <cellStyle name="Comma 6 2 2 3 2 8" xfId="13955"/>
    <cellStyle name="Comma 6 2 2 3 3" xfId="4542"/>
    <cellStyle name="Comma 6 2 2 3 3 2" xfId="11694"/>
    <cellStyle name="Comma 6 2 2 3 3 2 2" xfId="18233"/>
    <cellStyle name="Comma 6 2 2 3 3 3" xfId="15381"/>
    <cellStyle name="Comma 6 2 2 3 4" xfId="6814"/>
    <cellStyle name="Comma 6 2 2 3 4 2" xfId="12265"/>
    <cellStyle name="Comma 6 2 2 3 4 2 2" xfId="18804"/>
    <cellStyle name="Comma 6 2 2 3 4 3" xfId="15952"/>
    <cellStyle name="Comma 6 2 2 3 5" xfId="9086"/>
    <cellStyle name="Comma 6 2 2 3 5 2" xfId="12836"/>
    <cellStyle name="Comma 6 2 2 3 5 2 2" xfId="19375"/>
    <cellStyle name="Comma 6 2 2 3 5 3" xfId="16523"/>
    <cellStyle name="Comma 6 2 2 3 6" xfId="3166"/>
    <cellStyle name="Comma 6 2 2 3 6 2" xfId="11123"/>
    <cellStyle name="Comma 6 2 2 3 6 2 2" xfId="17662"/>
    <cellStyle name="Comma 6 2 2 3 6 3" xfId="14810"/>
    <cellStyle name="Comma 6 2 2 3 7" xfId="2594"/>
    <cellStyle name="Comma 6 2 2 3 7 2" xfId="14242"/>
    <cellStyle name="Comma 6 2 2 3 8" xfId="10555"/>
    <cellStyle name="Comma 6 2 2 3 8 2" xfId="17094"/>
    <cellStyle name="Comma 6 2 2 3 9" xfId="13670"/>
    <cellStyle name="Comma 6 2 2 4" xfId="668"/>
    <cellStyle name="Comma 6 2 2 4 2" xfId="1803"/>
    <cellStyle name="Comma 6 2 2 4 2 2" xfId="5223"/>
    <cellStyle name="Comma 6 2 2 4 2 2 2" xfId="11865"/>
    <cellStyle name="Comma 6 2 2 4 2 2 2 2" xfId="18404"/>
    <cellStyle name="Comma 6 2 2 4 2 2 3" xfId="15552"/>
    <cellStyle name="Comma 6 2 2 4 2 3" xfId="7495"/>
    <cellStyle name="Comma 6 2 2 4 2 3 2" xfId="12436"/>
    <cellStyle name="Comma 6 2 2 4 2 3 2 2" xfId="18975"/>
    <cellStyle name="Comma 6 2 2 4 2 3 3" xfId="16123"/>
    <cellStyle name="Comma 6 2 2 4 2 4" xfId="9767"/>
    <cellStyle name="Comma 6 2 2 4 2 4 2" xfId="13007"/>
    <cellStyle name="Comma 6 2 2 4 2 4 2 2" xfId="19546"/>
    <cellStyle name="Comma 6 2 2 4 2 4 3" xfId="16694"/>
    <cellStyle name="Comma 6 2 2 4 2 5" xfId="3337"/>
    <cellStyle name="Comma 6 2 2 4 2 5 2" xfId="11294"/>
    <cellStyle name="Comma 6 2 2 4 2 5 2 2" xfId="17833"/>
    <cellStyle name="Comma 6 2 2 4 2 5 3" xfId="14981"/>
    <cellStyle name="Comma 6 2 2 4 2 6" xfId="2762"/>
    <cellStyle name="Comma 6 2 2 4 2 6 2" xfId="14410"/>
    <cellStyle name="Comma 6 2 2 4 2 7" xfId="10723"/>
    <cellStyle name="Comma 6 2 2 4 2 7 2" xfId="17262"/>
    <cellStyle name="Comma 6 2 2 4 2 8" xfId="13841"/>
    <cellStyle name="Comma 6 2 2 4 3" xfId="4088"/>
    <cellStyle name="Comma 6 2 2 4 3 2" xfId="11580"/>
    <cellStyle name="Comma 6 2 2 4 3 2 2" xfId="18119"/>
    <cellStyle name="Comma 6 2 2 4 3 3" xfId="15267"/>
    <cellStyle name="Comma 6 2 2 4 4" xfId="6360"/>
    <cellStyle name="Comma 6 2 2 4 4 2" xfId="12151"/>
    <cellStyle name="Comma 6 2 2 4 4 2 2" xfId="18690"/>
    <cellStyle name="Comma 6 2 2 4 4 3" xfId="15838"/>
    <cellStyle name="Comma 6 2 2 4 5" xfId="8632"/>
    <cellStyle name="Comma 6 2 2 4 5 2" xfId="12722"/>
    <cellStyle name="Comma 6 2 2 4 5 2 2" xfId="19261"/>
    <cellStyle name="Comma 6 2 2 4 5 3" xfId="16409"/>
    <cellStyle name="Comma 6 2 2 4 6" xfId="3052"/>
    <cellStyle name="Comma 6 2 2 4 6 2" xfId="11009"/>
    <cellStyle name="Comma 6 2 2 4 6 2 2" xfId="17548"/>
    <cellStyle name="Comma 6 2 2 4 6 3" xfId="14696"/>
    <cellStyle name="Comma 6 2 2 4 7" xfId="2482"/>
    <cellStyle name="Comma 6 2 2 4 7 2" xfId="14130"/>
    <cellStyle name="Comma 6 2 2 4 8" xfId="10443"/>
    <cellStyle name="Comma 6 2 2 4 8 2" xfId="16982"/>
    <cellStyle name="Comma 6 2 2 4 9" xfId="13556"/>
    <cellStyle name="Comma 6 2 2 5" xfId="1349"/>
    <cellStyle name="Comma 6 2 2 5 2" xfId="4769"/>
    <cellStyle name="Comma 6 2 2 5 2 2" xfId="11751"/>
    <cellStyle name="Comma 6 2 2 5 2 2 2" xfId="18290"/>
    <cellStyle name="Comma 6 2 2 5 2 3" xfId="15438"/>
    <cellStyle name="Comma 6 2 2 5 3" xfId="7041"/>
    <cellStyle name="Comma 6 2 2 5 3 2" xfId="12322"/>
    <cellStyle name="Comma 6 2 2 5 3 2 2" xfId="18861"/>
    <cellStyle name="Comma 6 2 2 5 3 3" xfId="16009"/>
    <cellStyle name="Comma 6 2 2 5 4" xfId="9313"/>
    <cellStyle name="Comma 6 2 2 5 4 2" xfId="12893"/>
    <cellStyle name="Comma 6 2 2 5 4 2 2" xfId="19432"/>
    <cellStyle name="Comma 6 2 2 5 4 3" xfId="16580"/>
    <cellStyle name="Comma 6 2 2 5 5" xfId="3223"/>
    <cellStyle name="Comma 6 2 2 5 5 2" xfId="11180"/>
    <cellStyle name="Comma 6 2 2 5 5 2 2" xfId="17719"/>
    <cellStyle name="Comma 6 2 2 5 5 3" xfId="14867"/>
    <cellStyle name="Comma 6 2 2 5 6" xfId="2650"/>
    <cellStyle name="Comma 6 2 2 5 6 2" xfId="14298"/>
    <cellStyle name="Comma 6 2 2 5 7" xfId="10611"/>
    <cellStyle name="Comma 6 2 2 5 7 2" xfId="17150"/>
    <cellStyle name="Comma 6 2 2 5 8" xfId="13727"/>
    <cellStyle name="Comma 6 2 2 6" xfId="3634"/>
    <cellStyle name="Comma 6 2 2 6 2" xfId="11466"/>
    <cellStyle name="Comma 6 2 2 6 2 2" xfId="18005"/>
    <cellStyle name="Comma 6 2 2 6 3" xfId="15153"/>
    <cellStyle name="Comma 6 2 2 7" xfId="5906"/>
    <cellStyle name="Comma 6 2 2 7 2" xfId="12037"/>
    <cellStyle name="Comma 6 2 2 7 2 2" xfId="18576"/>
    <cellStyle name="Comma 6 2 2 7 3" xfId="15724"/>
    <cellStyle name="Comma 6 2 2 8" xfId="8178"/>
    <cellStyle name="Comma 6 2 2 8 2" xfId="12608"/>
    <cellStyle name="Comma 6 2 2 8 2 2" xfId="19147"/>
    <cellStyle name="Comma 6 2 2 8 3" xfId="16295"/>
    <cellStyle name="Comma 6 2 2 9" xfId="2935"/>
    <cellStyle name="Comma 6 2 2 9 2" xfId="10894"/>
    <cellStyle name="Comma 6 2 2 9 2 2" xfId="17433"/>
    <cellStyle name="Comma 6 2 2 9 3" xfId="14581"/>
    <cellStyle name="Comma 6 2 3" xfId="147"/>
    <cellStyle name="Comma 6 2 3 10" xfId="2355"/>
    <cellStyle name="Comma 6 2 3 10 2" xfId="14003"/>
    <cellStyle name="Comma 6 2 3 11" xfId="10316"/>
    <cellStyle name="Comma 6 2 3 11 2" xfId="16855"/>
    <cellStyle name="Comma 6 2 3 12" xfId="13427"/>
    <cellStyle name="Comma 6 2 3 13" xfId="20333"/>
    <cellStyle name="Comma 6 2 3 2" xfId="385"/>
    <cellStyle name="Comma 6 2 3 2 10" xfId="13485"/>
    <cellStyle name="Comma 6 2 3 2 2" xfId="839"/>
    <cellStyle name="Comma 6 2 3 2 2 2" xfId="1974"/>
    <cellStyle name="Comma 6 2 3 2 2 2 2" xfId="5394"/>
    <cellStyle name="Comma 6 2 3 2 2 2 2 2" xfId="11908"/>
    <cellStyle name="Comma 6 2 3 2 2 2 2 2 2" xfId="18447"/>
    <cellStyle name="Comma 6 2 3 2 2 2 2 3" xfId="15595"/>
    <cellStyle name="Comma 6 2 3 2 2 2 3" xfId="7666"/>
    <cellStyle name="Comma 6 2 3 2 2 2 3 2" xfId="12479"/>
    <cellStyle name="Comma 6 2 3 2 2 2 3 2 2" xfId="19018"/>
    <cellStyle name="Comma 6 2 3 2 2 2 3 3" xfId="16166"/>
    <cellStyle name="Comma 6 2 3 2 2 2 4" xfId="9938"/>
    <cellStyle name="Comma 6 2 3 2 2 2 4 2" xfId="13050"/>
    <cellStyle name="Comma 6 2 3 2 2 2 4 2 2" xfId="19589"/>
    <cellStyle name="Comma 6 2 3 2 2 2 4 3" xfId="16737"/>
    <cellStyle name="Comma 6 2 3 2 2 2 5" xfId="3380"/>
    <cellStyle name="Comma 6 2 3 2 2 2 5 2" xfId="11337"/>
    <cellStyle name="Comma 6 2 3 2 2 2 5 2 2" xfId="17876"/>
    <cellStyle name="Comma 6 2 3 2 2 2 5 3" xfId="15024"/>
    <cellStyle name="Comma 6 2 3 2 2 2 6" xfId="2804"/>
    <cellStyle name="Comma 6 2 3 2 2 2 6 2" xfId="14452"/>
    <cellStyle name="Comma 6 2 3 2 2 2 7" xfId="10765"/>
    <cellStyle name="Comma 6 2 3 2 2 2 7 2" xfId="17304"/>
    <cellStyle name="Comma 6 2 3 2 2 2 8" xfId="13884"/>
    <cellStyle name="Comma 6 2 3 2 2 3" xfId="4259"/>
    <cellStyle name="Comma 6 2 3 2 2 3 2" xfId="11623"/>
    <cellStyle name="Comma 6 2 3 2 2 3 2 2" xfId="18162"/>
    <cellStyle name="Comma 6 2 3 2 2 3 3" xfId="15310"/>
    <cellStyle name="Comma 6 2 3 2 2 4" xfId="6531"/>
    <cellStyle name="Comma 6 2 3 2 2 4 2" xfId="12194"/>
    <cellStyle name="Comma 6 2 3 2 2 4 2 2" xfId="18733"/>
    <cellStyle name="Comma 6 2 3 2 2 4 3" xfId="15881"/>
    <cellStyle name="Comma 6 2 3 2 2 5" xfId="8803"/>
    <cellStyle name="Comma 6 2 3 2 2 5 2" xfId="12765"/>
    <cellStyle name="Comma 6 2 3 2 2 5 2 2" xfId="19304"/>
    <cellStyle name="Comma 6 2 3 2 2 5 3" xfId="16452"/>
    <cellStyle name="Comma 6 2 3 2 2 6" xfId="3095"/>
    <cellStyle name="Comma 6 2 3 2 2 6 2" xfId="11052"/>
    <cellStyle name="Comma 6 2 3 2 2 6 2 2" xfId="17591"/>
    <cellStyle name="Comma 6 2 3 2 2 6 3" xfId="14739"/>
    <cellStyle name="Comma 6 2 3 2 2 7" xfId="2524"/>
    <cellStyle name="Comma 6 2 3 2 2 7 2" xfId="14172"/>
    <cellStyle name="Comma 6 2 3 2 2 8" xfId="10485"/>
    <cellStyle name="Comma 6 2 3 2 2 8 2" xfId="17024"/>
    <cellStyle name="Comma 6 2 3 2 2 9" xfId="13599"/>
    <cellStyle name="Comma 6 2 3 2 3" xfId="1520"/>
    <cellStyle name="Comma 6 2 3 2 3 2" xfId="4940"/>
    <cellStyle name="Comma 6 2 3 2 3 2 2" xfId="11794"/>
    <cellStyle name="Comma 6 2 3 2 3 2 2 2" xfId="18333"/>
    <cellStyle name="Comma 6 2 3 2 3 2 3" xfId="15481"/>
    <cellStyle name="Comma 6 2 3 2 3 3" xfId="7212"/>
    <cellStyle name="Comma 6 2 3 2 3 3 2" xfId="12365"/>
    <cellStyle name="Comma 6 2 3 2 3 3 2 2" xfId="18904"/>
    <cellStyle name="Comma 6 2 3 2 3 3 3" xfId="16052"/>
    <cellStyle name="Comma 6 2 3 2 3 4" xfId="9484"/>
    <cellStyle name="Comma 6 2 3 2 3 4 2" xfId="12936"/>
    <cellStyle name="Comma 6 2 3 2 3 4 2 2" xfId="19475"/>
    <cellStyle name="Comma 6 2 3 2 3 4 3" xfId="16623"/>
    <cellStyle name="Comma 6 2 3 2 3 5" xfId="3266"/>
    <cellStyle name="Comma 6 2 3 2 3 5 2" xfId="11223"/>
    <cellStyle name="Comma 6 2 3 2 3 5 2 2" xfId="17762"/>
    <cellStyle name="Comma 6 2 3 2 3 5 3" xfId="14910"/>
    <cellStyle name="Comma 6 2 3 2 3 6" xfId="2692"/>
    <cellStyle name="Comma 6 2 3 2 3 6 2" xfId="14340"/>
    <cellStyle name="Comma 6 2 3 2 3 7" xfId="10653"/>
    <cellStyle name="Comma 6 2 3 2 3 7 2" xfId="17192"/>
    <cellStyle name="Comma 6 2 3 2 3 8" xfId="13770"/>
    <cellStyle name="Comma 6 2 3 2 4" xfId="3805"/>
    <cellStyle name="Comma 6 2 3 2 4 2" xfId="11509"/>
    <cellStyle name="Comma 6 2 3 2 4 2 2" xfId="18048"/>
    <cellStyle name="Comma 6 2 3 2 4 3" xfId="15196"/>
    <cellStyle name="Comma 6 2 3 2 5" xfId="6077"/>
    <cellStyle name="Comma 6 2 3 2 5 2" xfId="12080"/>
    <cellStyle name="Comma 6 2 3 2 5 2 2" xfId="18619"/>
    <cellStyle name="Comma 6 2 3 2 5 3" xfId="15767"/>
    <cellStyle name="Comma 6 2 3 2 6" xfId="8349"/>
    <cellStyle name="Comma 6 2 3 2 6 2" xfId="12651"/>
    <cellStyle name="Comma 6 2 3 2 6 2 2" xfId="19190"/>
    <cellStyle name="Comma 6 2 3 2 6 3" xfId="16338"/>
    <cellStyle name="Comma 6 2 3 2 7" xfId="2981"/>
    <cellStyle name="Comma 6 2 3 2 7 2" xfId="10938"/>
    <cellStyle name="Comma 6 2 3 2 7 2 2" xfId="17477"/>
    <cellStyle name="Comma 6 2 3 2 7 3" xfId="14625"/>
    <cellStyle name="Comma 6 2 3 2 8" xfId="2412"/>
    <cellStyle name="Comma 6 2 3 2 8 2" xfId="14060"/>
    <cellStyle name="Comma 6 2 3 2 9" xfId="10373"/>
    <cellStyle name="Comma 6 2 3 2 9 2" xfId="16912"/>
    <cellStyle name="Comma 6 2 3 3" xfId="1066"/>
    <cellStyle name="Comma 6 2 3 3 2" xfId="2201"/>
    <cellStyle name="Comma 6 2 3 3 2 2" xfId="5621"/>
    <cellStyle name="Comma 6 2 3 3 2 2 2" xfId="11965"/>
    <cellStyle name="Comma 6 2 3 3 2 2 2 2" xfId="18504"/>
    <cellStyle name="Comma 6 2 3 3 2 2 3" xfId="15652"/>
    <cellStyle name="Comma 6 2 3 3 2 3" xfId="7893"/>
    <cellStyle name="Comma 6 2 3 3 2 3 2" xfId="12536"/>
    <cellStyle name="Comma 6 2 3 3 2 3 2 2" xfId="19075"/>
    <cellStyle name="Comma 6 2 3 3 2 3 3" xfId="16223"/>
    <cellStyle name="Comma 6 2 3 3 2 4" xfId="10165"/>
    <cellStyle name="Comma 6 2 3 3 2 4 2" xfId="13107"/>
    <cellStyle name="Comma 6 2 3 3 2 4 2 2" xfId="19646"/>
    <cellStyle name="Comma 6 2 3 3 2 4 3" xfId="16794"/>
    <cellStyle name="Comma 6 2 3 3 2 5" xfId="3437"/>
    <cellStyle name="Comma 6 2 3 3 2 5 2" xfId="11394"/>
    <cellStyle name="Comma 6 2 3 3 2 5 2 2" xfId="17933"/>
    <cellStyle name="Comma 6 2 3 3 2 5 3" xfId="15081"/>
    <cellStyle name="Comma 6 2 3 3 2 6" xfId="2860"/>
    <cellStyle name="Comma 6 2 3 3 2 6 2" xfId="14508"/>
    <cellStyle name="Comma 6 2 3 3 2 7" xfId="10821"/>
    <cellStyle name="Comma 6 2 3 3 2 7 2" xfId="17360"/>
    <cellStyle name="Comma 6 2 3 3 2 8" xfId="13941"/>
    <cellStyle name="Comma 6 2 3 3 3" xfId="4486"/>
    <cellStyle name="Comma 6 2 3 3 3 2" xfId="11680"/>
    <cellStyle name="Comma 6 2 3 3 3 2 2" xfId="18219"/>
    <cellStyle name="Comma 6 2 3 3 3 3" xfId="15367"/>
    <cellStyle name="Comma 6 2 3 3 4" xfId="6758"/>
    <cellStyle name="Comma 6 2 3 3 4 2" xfId="12251"/>
    <cellStyle name="Comma 6 2 3 3 4 2 2" xfId="18790"/>
    <cellStyle name="Comma 6 2 3 3 4 3" xfId="15938"/>
    <cellStyle name="Comma 6 2 3 3 5" xfId="9030"/>
    <cellStyle name="Comma 6 2 3 3 5 2" xfId="12822"/>
    <cellStyle name="Comma 6 2 3 3 5 2 2" xfId="19361"/>
    <cellStyle name="Comma 6 2 3 3 5 3" xfId="16509"/>
    <cellStyle name="Comma 6 2 3 3 6" xfId="3152"/>
    <cellStyle name="Comma 6 2 3 3 6 2" xfId="11109"/>
    <cellStyle name="Comma 6 2 3 3 6 2 2" xfId="17648"/>
    <cellStyle name="Comma 6 2 3 3 6 3" xfId="14796"/>
    <cellStyle name="Comma 6 2 3 3 7" xfId="2580"/>
    <cellStyle name="Comma 6 2 3 3 7 2" xfId="14228"/>
    <cellStyle name="Comma 6 2 3 3 8" xfId="10541"/>
    <cellStyle name="Comma 6 2 3 3 8 2" xfId="17080"/>
    <cellStyle name="Comma 6 2 3 3 9" xfId="13656"/>
    <cellStyle name="Comma 6 2 3 4" xfId="612"/>
    <cellStyle name="Comma 6 2 3 4 2" xfId="1747"/>
    <cellStyle name="Comma 6 2 3 4 2 2" xfId="5167"/>
    <cellStyle name="Comma 6 2 3 4 2 2 2" xfId="11851"/>
    <cellStyle name="Comma 6 2 3 4 2 2 2 2" xfId="18390"/>
    <cellStyle name="Comma 6 2 3 4 2 2 3" xfId="15538"/>
    <cellStyle name="Comma 6 2 3 4 2 3" xfId="7439"/>
    <cellStyle name="Comma 6 2 3 4 2 3 2" xfId="12422"/>
    <cellStyle name="Comma 6 2 3 4 2 3 2 2" xfId="18961"/>
    <cellStyle name="Comma 6 2 3 4 2 3 3" xfId="16109"/>
    <cellStyle name="Comma 6 2 3 4 2 4" xfId="9711"/>
    <cellStyle name="Comma 6 2 3 4 2 4 2" xfId="12993"/>
    <cellStyle name="Comma 6 2 3 4 2 4 2 2" xfId="19532"/>
    <cellStyle name="Comma 6 2 3 4 2 4 3" xfId="16680"/>
    <cellStyle name="Comma 6 2 3 4 2 5" xfId="3323"/>
    <cellStyle name="Comma 6 2 3 4 2 5 2" xfId="11280"/>
    <cellStyle name="Comma 6 2 3 4 2 5 2 2" xfId="17819"/>
    <cellStyle name="Comma 6 2 3 4 2 5 3" xfId="14967"/>
    <cellStyle name="Comma 6 2 3 4 2 6" xfId="2748"/>
    <cellStyle name="Comma 6 2 3 4 2 6 2" xfId="14396"/>
    <cellStyle name="Comma 6 2 3 4 2 7" xfId="10709"/>
    <cellStyle name="Comma 6 2 3 4 2 7 2" xfId="17248"/>
    <cellStyle name="Comma 6 2 3 4 2 8" xfId="13827"/>
    <cellStyle name="Comma 6 2 3 4 3" xfId="4032"/>
    <cellStyle name="Comma 6 2 3 4 3 2" xfId="11566"/>
    <cellStyle name="Comma 6 2 3 4 3 2 2" xfId="18105"/>
    <cellStyle name="Comma 6 2 3 4 3 3" xfId="15253"/>
    <cellStyle name="Comma 6 2 3 4 4" xfId="6304"/>
    <cellStyle name="Comma 6 2 3 4 4 2" xfId="12137"/>
    <cellStyle name="Comma 6 2 3 4 4 2 2" xfId="18676"/>
    <cellStyle name="Comma 6 2 3 4 4 3" xfId="15824"/>
    <cellStyle name="Comma 6 2 3 4 5" xfId="8576"/>
    <cellStyle name="Comma 6 2 3 4 5 2" xfId="12708"/>
    <cellStyle name="Comma 6 2 3 4 5 2 2" xfId="19247"/>
    <cellStyle name="Comma 6 2 3 4 5 3" xfId="16395"/>
    <cellStyle name="Comma 6 2 3 4 6" xfId="3038"/>
    <cellStyle name="Comma 6 2 3 4 6 2" xfId="10995"/>
    <cellStyle name="Comma 6 2 3 4 6 2 2" xfId="17534"/>
    <cellStyle name="Comma 6 2 3 4 6 3" xfId="14682"/>
    <cellStyle name="Comma 6 2 3 4 7" xfId="2468"/>
    <cellStyle name="Comma 6 2 3 4 7 2" xfId="14116"/>
    <cellStyle name="Comma 6 2 3 4 8" xfId="10429"/>
    <cellStyle name="Comma 6 2 3 4 8 2" xfId="16968"/>
    <cellStyle name="Comma 6 2 3 4 9" xfId="13542"/>
    <cellStyle name="Comma 6 2 3 5" xfId="1293"/>
    <cellStyle name="Comma 6 2 3 5 2" xfId="4713"/>
    <cellStyle name="Comma 6 2 3 5 2 2" xfId="11737"/>
    <cellStyle name="Comma 6 2 3 5 2 2 2" xfId="18276"/>
    <cellStyle name="Comma 6 2 3 5 2 3" xfId="15424"/>
    <cellStyle name="Comma 6 2 3 5 3" xfId="6985"/>
    <cellStyle name="Comma 6 2 3 5 3 2" xfId="12308"/>
    <cellStyle name="Comma 6 2 3 5 3 2 2" xfId="18847"/>
    <cellStyle name="Comma 6 2 3 5 3 3" xfId="15995"/>
    <cellStyle name="Comma 6 2 3 5 4" xfId="9257"/>
    <cellStyle name="Comma 6 2 3 5 4 2" xfId="12879"/>
    <cellStyle name="Comma 6 2 3 5 4 2 2" xfId="19418"/>
    <cellStyle name="Comma 6 2 3 5 4 3" xfId="16566"/>
    <cellStyle name="Comma 6 2 3 5 5" xfId="3209"/>
    <cellStyle name="Comma 6 2 3 5 5 2" xfId="11166"/>
    <cellStyle name="Comma 6 2 3 5 5 2 2" xfId="17705"/>
    <cellStyle name="Comma 6 2 3 5 5 3" xfId="14853"/>
    <cellStyle name="Comma 6 2 3 5 6" xfId="2636"/>
    <cellStyle name="Comma 6 2 3 5 6 2" xfId="14284"/>
    <cellStyle name="Comma 6 2 3 5 7" xfId="10597"/>
    <cellStyle name="Comma 6 2 3 5 7 2" xfId="17136"/>
    <cellStyle name="Comma 6 2 3 5 8" xfId="13713"/>
    <cellStyle name="Comma 6 2 3 6" xfId="3578"/>
    <cellStyle name="Comma 6 2 3 6 2" xfId="11452"/>
    <cellStyle name="Comma 6 2 3 6 2 2" xfId="17991"/>
    <cellStyle name="Comma 6 2 3 6 3" xfId="15139"/>
    <cellStyle name="Comma 6 2 3 7" xfId="5850"/>
    <cellStyle name="Comma 6 2 3 7 2" xfId="12023"/>
    <cellStyle name="Comma 6 2 3 7 2 2" xfId="18562"/>
    <cellStyle name="Comma 6 2 3 7 3" xfId="15710"/>
    <cellStyle name="Comma 6 2 3 8" xfId="8122"/>
    <cellStyle name="Comma 6 2 3 8 2" xfId="12594"/>
    <cellStyle name="Comma 6 2 3 8 2 2" xfId="19133"/>
    <cellStyle name="Comma 6 2 3 8 3" xfId="16281"/>
    <cellStyle name="Comma 6 2 3 9" xfId="2921"/>
    <cellStyle name="Comma 6 2 3 9 2" xfId="10880"/>
    <cellStyle name="Comma 6 2 3 9 2 2" xfId="17419"/>
    <cellStyle name="Comma 6 2 3 9 3" xfId="14567"/>
    <cellStyle name="Comma 6 2 4" xfId="273"/>
    <cellStyle name="Comma 6 2 4 10" xfId="2384"/>
    <cellStyle name="Comma 6 2 4 10 2" xfId="14032"/>
    <cellStyle name="Comma 6 2 4 11" xfId="10345"/>
    <cellStyle name="Comma 6 2 4 11 2" xfId="16884"/>
    <cellStyle name="Comma 6 2 4 12" xfId="13457"/>
    <cellStyle name="Comma 6 2 4 2" xfId="500"/>
    <cellStyle name="Comma 6 2 4 2 10" xfId="13514"/>
    <cellStyle name="Comma 6 2 4 2 2" xfId="954"/>
    <cellStyle name="Comma 6 2 4 2 2 2" xfId="2089"/>
    <cellStyle name="Comma 6 2 4 2 2 2 2" xfId="5509"/>
    <cellStyle name="Comma 6 2 4 2 2 2 2 2" xfId="11937"/>
    <cellStyle name="Comma 6 2 4 2 2 2 2 2 2" xfId="18476"/>
    <cellStyle name="Comma 6 2 4 2 2 2 2 3" xfId="15624"/>
    <cellStyle name="Comma 6 2 4 2 2 2 3" xfId="7781"/>
    <cellStyle name="Comma 6 2 4 2 2 2 3 2" xfId="12508"/>
    <cellStyle name="Comma 6 2 4 2 2 2 3 2 2" xfId="19047"/>
    <cellStyle name="Comma 6 2 4 2 2 2 3 3" xfId="16195"/>
    <cellStyle name="Comma 6 2 4 2 2 2 4" xfId="10053"/>
    <cellStyle name="Comma 6 2 4 2 2 2 4 2" xfId="13079"/>
    <cellStyle name="Comma 6 2 4 2 2 2 4 2 2" xfId="19618"/>
    <cellStyle name="Comma 6 2 4 2 2 2 4 3" xfId="16766"/>
    <cellStyle name="Comma 6 2 4 2 2 2 5" xfId="3409"/>
    <cellStyle name="Comma 6 2 4 2 2 2 5 2" xfId="11366"/>
    <cellStyle name="Comma 6 2 4 2 2 2 5 2 2" xfId="17905"/>
    <cellStyle name="Comma 6 2 4 2 2 2 5 3" xfId="15053"/>
    <cellStyle name="Comma 6 2 4 2 2 2 6" xfId="2832"/>
    <cellStyle name="Comma 6 2 4 2 2 2 6 2" xfId="14480"/>
    <cellStyle name="Comma 6 2 4 2 2 2 7" xfId="10793"/>
    <cellStyle name="Comma 6 2 4 2 2 2 7 2" xfId="17332"/>
    <cellStyle name="Comma 6 2 4 2 2 2 8" xfId="13913"/>
    <cellStyle name="Comma 6 2 4 2 2 3" xfId="4374"/>
    <cellStyle name="Comma 6 2 4 2 2 3 2" xfId="11652"/>
    <cellStyle name="Comma 6 2 4 2 2 3 2 2" xfId="18191"/>
    <cellStyle name="Comma 6 2 4 2 2 3 3" xfId="15339"/>
    <cellStyle name="Comma 6 2 4 2 2 4" xfId="6646"/>
    <cellStyle name="Comma 6 2 4 2 2 4 2" xfId="12223"/>
    <cellStyle name="Comma 6 2 4 2 2 4 2 2" xfId="18762"/>
    <cellStyle name="Comma 6 2 4 2 2 4 3" xfId="15910"/>
    <cellStyle name="Comma 6 2 4 2 2 5" xfId="8918"/>
    <cellStyle name="Comma 6 2 4 2 2 5 2" xfId="12794"/>
    <cellStyle name="Comma 6 2 4 2 2 5 2 2" xfId="19333"/>
    <cellStyle name="Comma 6 2 4 2 2 5 3" xfId="16481"/>
    <cellStyle name="Comma 6 2 4 2 2 6" xfId="3124"/>
    <cellStyle name="Comma 6 2 4 2 2 6 2" xfId="11081"/>
    <cellStyle name="Comma 6 2 4 2 2 6 2 2" xfId="17620"/>
    <cellStyle name="Comma 6 2 4 2 2 6 3" xfId="14768"/>
    <cellStyle name="Comma 6 2 4 2 2 7" xfId="2552"/>
    <cellStyle name="Comma 6 2 4 2 2 7 2" xfId="14200"/>
    <cellStyle name="Comma 6 2 4 2 2 8" xfId="10513"/>
    <cellStyle name="Comma 6 2 4 2 2 8 2" xfId="17052"/>
    <cellStyle name="Comma 6 2 4 2 2 9" xfId="13628"/>
    <cellStyle name="Comma 6 2 4 2 3" xfId="1635"/>
    <cellStyle name="Comma 6 2 4 2 3 2" xfId="5055"/>
    <cellStyle name="Comma 6 2 4 2 3 2 2" xfId="11823"/>
    <cellStyle name="Comma 6 2 4 2 3 2 2 2" xfId="18362"/>
    <cellStyle name="Comma 6 2 4 2 3 2 3" xfId="15510"/>
    <cellStyle name="Comma 6 2 4 2 3 3" xfId="7327"/>
    <cellStyle name="Comma 6 2 4 2 3 3 2" xfId="12394"/>
    <cellStyle name="Comma 6 2 4 2 3 3 2 2" xfId="18933"/>
    <cellStyle name="Comma 6 2 4 2 3 3 3" xfId="16081"/>
    <cellStyle name="Comma 6 2 4 2 3 4" xfId="9599"/>
    <cellStyle name="Comma 6 2 4 2 3 4 2" xfId="12965"/>
    <cellStyle name="Comma 6 2 4 2 3 4 2 2" xfId="19504"/>
    <cellStyle name="Comma 6 2 4 2 3 4 3" xfId="16652"/>
    <cellStyle name="Comma 6 2 4 2 3 5" xfId="3295"/>
    <cellStyle name="Comma 6 2 4 2 3 5 2" xfId="11252"/>
    <cellStyle name="Comma 6 2 4 2 3 5 2 2" xfId="17791"/>
    <cellStyle name="Comma 6 2 4 2 3 5 3" xfId="14939"/>
    <cellStyle name="Comma 6 2 4 2 3 6" xfId="2720"/>
    <cellStyle name="Comma 6 2 4 2 3 6 2" xfId="14368"/>
    <cellStyle name="Comma 6 2 4 2 3 7" xfId="10681"/>
    <cellStyle name="Comma 6 2 4 2 3 7 2" xfId="17220"/>
    <cellStyle name="Comma 6 2 4 2 3 8" xfId="13799"/>
    <cellStyle name="Comma 6 2 4 2 4" xfId="3920"/>
    <cellStyle name="Comma 6 2 4 2 4 2" xfId="11538"/>
    <cellStyle name="Comma 6 2 4 2 4 2 2" xfId="18077"/>
    <cellStyle name="Comma 6 2 4 2 4 3" xfId="15225"/>
    <cellStyle name="Comma 6 2 4 2 5" xfId="6192"/>
    <cellStyle name="Comma 6 2 4 2 5 2" xfId="12109"/>
    <cellStyle name="Comma 6 2 4 2 5 2 2" xfId="18648"/>
    <cellStyle name="Comma 6 2 4 2 5 3" xfId="15796"/>
    <cellStyle name="Comma 6 2 4 2 6" xfId="8464"/>
    <cellStyle name="Comma 6 2 4 2 6 2" xfId="12680"/>
    <cellStyle name="Comma 6 2 4 2 6 2 2" xfId="19219"/>
    <cellStyle name="Comma 6 2 4 2 6 3" xfId="16367"/>
    <cellStyle name="Comma 6 2 4 2 7" xfId="3010"/>
    <cellStyle name="Comma 6 2 4 2 7 2" xfId="10967"/>
    <cellStyle name="Comma 6 2 4 2 7 2 2" xfId="17506"/>
    <cellStyle name="Comma 6 2 4 2 7 3" xfId="14654"/>
    <cellStyle name="Comma 6 2 4 2 8" xfId="2440"/>
    <cellStyle name="Comma 6 2 4 2 8 2" xfId="14088"/>
    <cellStyle name="Comma 6 2 4 2 9" xfId="10401"/>
    <cellStyle name="Comma 6 2 4 2 9 2" xfId="16940"/>
    <cellStyle name="Comma 6 2 4 3" xfId="1181"/>
    <cellStyle name="Comma 6 2 4 3 2" xfId="2316"/>
    <cellStyle name="Comma 6 2 4 3 2 2" xfId="5736"/>
    <cellStyle name="Comma 6 2 4 3 2 2 2" xfId="11994"/>
    <cellStyle name="Comma 6 2 4 3 2 2 2 2" xfId="18533"/>
    <cellStyle name="Comma 6 2 4 3 2 2 3" xfId="15681"/>
    <cellStyle name="Comma 6 2 4 3 2 3" xfId="8008"/>
    <cellStyle name="Comma 6 2 4 3 2 3 2" xfId="12565"/>
    <cellStyle name="Comma 6 2 4 3 2 3 2 2" xfId="19104"/>
    <cellStyle name="Comma 6 2 4 3 2 3 3" xfId="16252"/>
    <cellStyle name="Comma 6 2 4 3 2 4" xfId="10280"/>
    <cellStyle name="Comma 6 2 4 3 2 4 2" xfId="13136"/>
    <cellStyle name="Comma 6 2 4 3 2 4 2 2" xfId="19675"/>
    <cellStyle name="Comma 6 2 4 3 2 4 3" xfId="16823"/>
    <cellStyle name="Comma 6 2 4 3 2 5" xfId="3466"/>
    <cellStyle name="Comma 6 2 4 3 2 5 2" xfId="11423"/>
    <cellStyle name="Comma 6 2 4 3 2 5 2 2" xfId="17962"/>
    <cellStyle name="Comma 6 2 4 3 2 5 3" xfId="15110"/>
    <cellStyle name="Comma 6 2 4 3 2 6" xfId="2888"/>
    <cellStyle name="Comma 6 2 4 3 2 6 2" xfId="14536"/>
    <cellStyle name="Comma 6 2 4 3 2 7" xfId="10849"/>
    <cellStyle name="Comma 6 2 4 3 2 7 2" xfId="17388"/>
    <cellStyle name="Comma 6 2 4 3 2 8" xfId="13970"/>
    <cellStyle name="Comma 6 2 4 3 3" xfId="4601"/>
    <cellStyle name="Comma 6 2 4 3 3 2" xfId="11709"/>
    <cellStyle name="Comma 6 2 4 3 3 2 2" xfId="18248"/>
    <cellStyle name="Comma 6 2 4 3 3 3" xfId="15396"/>
    <cellStyle name="Comma 6 2 4 3 4" xfId="6873"/>
    <cellStyle name="Comma 6 2 4 3 4 2" xfId="12280"/>
    <cellStyle name="Comma 6 2 4 3 4 2 2" xfId="18819"/>
    <cellStyle name="Comma 6 2 4 3 4 3" xfId="15967"/>
    <cellStyle name="Comma 6 2 4 3 5" xfId="9145"/>
    <cellStyle name="Comma 6 2 4 3 5 2" xfId="12851"/>
    <cellStyle name="Comma 6 2 4 3 5 2 2" xfId="19390"/>
    <cellStyle name="Comma 6 2 4 3 5 3" xfId="16538"/>
    <cellStyle name="Comma 6 2 4 3 6" xfId="3181"/>
    <cellStyle name="Comma 6 2 4 3 6 2" xfId="11138"/>
    <cellStyle name="Comma 6 2 4 3 6 2 2" xfId="17677"/>
    <cellStyle name="Comma 6 2 4 3 6 3" xfId="14825"/>
    <cellStyle name="Comma 6 2 4 3 7" xfId="2608"/>
    <cellStyle name="Comma 6 2 4 3 7 2" xfId="14256"/>
    <cellStyle name="Comma 6 2 4 3 8" xfId="10569"/>
    <cellStyle name="Comma 6 2 4 3 8 2" xfId="17108"/>
    <cellStyle name="Comma 6 2 4 3 9" xfId="13685"/>
    <cellStyle name="Comma 6 2 4 4" xfId="727"/>
    <cellStyle name="Comma 6 2 4 4 2" xfId="1862"/>
    <cellStyle name="Comma 6 2 4 4 2 2" xfId="5282"/>
    <cellStyle name="Comma 6 2 4 4 2 2 2" xfId="11880"/>
    <cellStyle name="Comma 6 2 4 4 2 2 2 2" xfId="18419"/>
    <cellStyle name="Comma 6 2 4 4 2 2 3" xfId="15567"/>
    <cellStyle name="Comma 6 2 4 4 2 3" xfId="7554"/>
    <cellStyle name="Comma 6 2 4 4 2 3 2" xfId="12451"/>
    <cellStyle name="Comma 6 2 4 4 2 3 2 2" xfId="18990"/>
    <cellStyle name="Comma 6 2 4 4 2 3 3" xfId="16138"/>
    <cellStyle name="Comma 6 2 4 4 2 4" xfId="9826"/>
    <cellStyle name="Comma 6 2 4 4 2 4 2" xfId="13022"/>
    <cellStyle name="Comma 6 2 4 4 2 4 2 2" xfId="19561"/>
    <cellStyle name="Comma 6 2 4 4 2 4 3" xfId="16709"/>
    <cellStyle name="Comma 6 2 4 4 2 5" xfId="3352"/>
    <cellStyle name="Comma 6 2 4 4 2 5 2" xfId="11309"/>
    <cellStyle name="Comma 6 2 4 4 2 5 2 2" xfId="17848"/>
    <cellStyle name="Comma 6 2 4 4 2 5 3" xfId="14996"/>
    <cellStyle name="Comma 6 2 4 4 2 6" xfId="2776"/>
    <cellStyle name="Comma 6 2 4 4 2 6 2" xfId="14424"/>
    <cellStyle name="Comma 6 2 4 4 2 7" xfId="10737"/>
    <cellStyle name="Comma 6 2 4 4 2 7 2" xfId="17276"/>
    <cellStyle name="Comma 6 2 4 4 2 8" xfId="13856"/>
    <cellStyle name="Comma 6 2 4 4 3" xfId="4147"/>
    <cellStyle name="Comma 6 2 4 4 3 2" xfId="11595"/>
    <cellStyle name="Comma 6 2 4 4 3 2 2" xfId="18134"/>
    <cellStyle name="Comma 6 2 4 4 3 3" xfId="15282"/>
    <cellStyle name="Comma 6 2 4 4 4" xfId="6419"/>
    <cellStyle name="Comma 6 2 4 4 4 2" xfId="12166"/>
    <cellStyle name="Comma 6 2 4 4 4 2 2" xfId="18705"/>
    <cellStyle name="Comma 6 2 4 4 4 3" xfId="15853"/>
    <cellStyle name="Comma 6 2 4 4 5" xfId="8691"/>
    <cellStyle name="Comma 6 2 4 4 5 2" xfId="12737"/>
    <cellStyle name="Comma 6 2 4 4 5 2 2" xfId="19276"/>
    <cellStyle name="Comma 6 2 4 4 5 3" xfId="16424"/>
    <cellStyle name="Comma 6 2 4 4 6" xfId="3067"/>
    <cellStyle name="Comma 6 2 4 4 6 2" xfId="11024"/>
    <cellStyle name="Comma 6 2 4 4 6 2 2" xfId="17563"/>
    <cellStyle name="Comma 6 2 4 4 6 3" xfId="14711"/>
    <cellStyle name="Comma 6 2 4 4 7" xfId="2496"/>
    <cellStyle name="Comma 6 2 4 4 7 2" xfId="14144"/>
    <cellStyle name="Comma 6 2 4 4 8" xfId="10457"/>
    <cellStyle name="Comma 6 2 4 4 8 2" xfId="16996"/>
    <cellStyle name="Comma 6 2 4 4 9" xfId="13571"/>
    <cellStyle name="Comma 6 2 4 5" xfId="1408"/>
    <cellStyle name="Comma 6 2 4 5 2" xfId="4828"/>
    <cellStyle name="Comma 6 2 4 5 2 2" xfId="11766"/>
    <cellStyle name="Comma 6 2 4 5 2 2 2" xfId="18305"/>
    <cellStyle name="Comma 6 2 4 5 2 3" xfId="15453"/>
    <cellStyle name="Comma 6 2 4 5 3" xfId="7100"/>
    <cellStyle name="Comma 6 2 4 5 3 2" xfId="12337"/>
    <cellStyle name="Comma 6 2 4 5 3 2 2" xfId="18876"/>
    <cellStyle name="Comma 6 2 4 5 3 3" xfId="16024"/>
    <cellStyle name="Comma 6 2 4 5 4" xfId="9372"/>
    <cellStyle name="Comma 6 2 4 5 4 2" xfId="12908"/>
    <cellStyle name="Comma 6 2 4 5 4 2 2" xfId="19447"/>
    <cellStyle name="Comma 6 2 4 5 4 3" xfId="16595"/>
    <cellStyle name="Comma 6 2 4 5 5" xfId="3238"/>
    <cellStyle name="Comma 6 2 4 5 5 2" xfId="11195"/>
    <cellStyle name="Comma 6 2 4 5 5 2 2" xfId="17734"/>
    <cellStyle name="Comma 6 2 4 5 5 3" xfId="14882"/>
    <cellStyle name="Comma 6 2 4 5 6" xfId="2664"/>
    <cellStyle name="Comma 6 2 4 5 6 2" xfId="14312"/>
    <cellStyle name="Comma 6 2 4 5 7" xfId="10625"/>
    <cellStyle name="Comma 6 2 4 5 7 2" xfId="17164"/>
    <cellStyle name="Comma 6 2 4 5 8" xfId="13742"/>
    <cellStyle name="Comma 6 2 4 6" xfId="3693"/>
    <cellStyle name="Comma 6 2 4 6 2" xfId="11481"/>
    <cellStyle name="Comma 6 2 4 6 2 2" xfId="18020"/>
    <cellStyle name="Comma 6 2 4 6 3" xfId="15168"/>
    <cellStyle name="Comma 6 2 4 7" xfId="5965"/>
    <cellStyle name="Comma 6 2 4 7 2" xfId="12052"/>
    <cellStyle name="Comma 6 2 4 7 2 2" xfId="18591"/>
    <cellStyle name="Comma 6 2 4 7 3" xfId="15739"/>
    <cellStyle name="Comma 6 2 4 8" xfId="8237"/>
    <cellStyle name="Comma 6 2 4 8 2" xfId="12623"/>
    <cellStyle name="Comma 6 2 4 8 2 2" xfId="19162"/>
    <cellStyle name="Comma 6 2 4 8 3" xfId="16310"/>
    <cellStyle name="Comma 6 2 4 9" xfId="2953"/>
    <cellStyle name="Comma 6 2 4 9 2" xfId="10910"/>
    <cellStyle name="Comma 6 2 4 9 2 2" xfId="17449"/>
    <cellStyle name="Comma 6 2 4 9 3" xfId="14597"/>
    <cellStyle name="Comma 6 2 5" xfId="329"/>
    <cellStyle name="Comma 6 2 5 10" xfId="13471"/>
    <cellStyle name="Comma 6 2 5 2" xfId="783"/>
    <cellStyle name="Comma 6 2 5 2 2" xfId="1918"/>
    <cellStyle name="Comma 6 2 5 2 2 2" xfId="5338"/>
    <cellStyle name="Comma 6 2 5 2 2 2 2" xfId="11894"/>
    <cellStyle name="Comma 6 2 5 2 2 2 2 2" xfId="18433"/>
    <cellStyle name="Comma 6 2 5 2 2 2 3" xfId="15581"/>
    <cellStyle name="Comma 6 2 5 2 2 3" xfId="7610"/>
    <cellStyle name="Comma 6 2 5 2 2 3 2" xfId="12465"/>
    <cellStyle name="Comma 6 2 5 2 2 3 2 2" xfId="19004"/>
    <cellStyle name="Comma 6 2 5 2 2 3 3" xfId="16152"/>
    <cellStyle name="Comma 6 2 5 2 2 4" xfId="9882"/>
    <cellStyle name="Comma 6 2 5 2 2 4 2" xfId="13036"/>
    <cellStyle name="Comma 6 2 5 2 2 4 2 2" xfId="19575"/>
    <cellStyle name="Comma 6 2 5 2 2 4 3" xfId="16723"/>
    <cellStyle name="Comma 6 2 5 2 2 5" xfId="3366"/>
    <cellStyle name="Comma 6 2 5 2 2 5 2" xfId="11323"/>
    <cellStyle name="Comma 6 2 5 2 2 5 2 2" xfId="17862"/>
    <cellStyle name="Comma 6 2 5 2 2 5 3" xfId="15010"/>
    <cellStyle name="Comma 6 2 5 2 2 6" xfId="2790"/>
    <cellStyle name="Comma 6 2 5 2 2 6 2" xfId="14438"/>
    <cellStyle name="Comma 6 2 5 2 2 7" xfId="10751"/>
    <cellStyle name="Comma 6 2 5 2 2 7 2" xfId="17290"/>
    <cellStyle name="Comma 6 2 5 2 2 8" xfId="13870"/>
    <cellStyle name="Comma 6 2 5 2 3" xfId="4203"/>
    <cellStyle name="Comma 6 2 5 2 3 2" xfId="11609"/>
    <cellStyle name="Comma 6 2 5 2 3 2 2" xfId="18148"/>
    <cellStyle name="Comma 6 2 5 2 3 3" xfId="15296"/>
    <cellStyle name="Comma 6 2 5 2 4" xfId="6475"/>
    <cellStyle name="Comma 6 2 5 2 4 2" xfId="12180"/>
    <cellStyle name="Comma 6 2 5 2 4 2 2" xfId="18719"/>
    <cellStyle name="Comma 6 2 5 2 4 3" xfId="15867"/>
    <cellStyle name="Comma 6 2 5 2 5" xfId="8747"/>
    <cellStyle name="Comma 6 2 5 2 5 2" xfId="12751"/>
    <cellStyle name="Comma 6 2 5 2 5 2 2" xfId="19290"/>
    <cellStyle name="Comma 6 2 5 2 5 3" xfId="16438"/>
    <cellStyle name="Comma 6 2 5 2 6" xfId="3081"/>
    <cellStyle name="Comma 6 2 5 2 6 2" xfId="11038"/>
    <cellStyle name="Comma 6 2 5 2 6 2 2" xfId="17577"/>
    <cellStyle name="Comma 6 2 5 2 6 3" xfId="14725"/>
    <cellStyle name="Comma 6 2 5 2 7" xfId="2510"/>
    <cellStyle name="Comma 6 2 5 2 7 2" xfId="14158"/>
    <cellStyle name="Comma 6 2 5 2 8" xfId="10471"/>
    <cellStyle name="Comma 6 2 5 2 8 2" xfId="17010"/>
    <cellStyle name="Comma 6 2 5 2 9" xfId="13585"/>
    <cellStyle name="Comma 6 2 5 3" xfId="1464"/>
    <cellStyle name="Comma 6 2 5 3 2" xfId="4884"/>
    <cellStyle name="Comma 6 2 5 3 2 2" xfId="11780"/>
    <cellStyle name="Comma 6 2 5 3 2 2 2" xfId="18319"/>
    <cellStyle name="Comma 6 2 5 3 2 3" xfId="15467"/>
    <cellStyle name="Comma 6 2 5 3 3" xfId="7156"/>
    <cellStyle name="Comma 6 2 5 3 3 2" xfId="12351"/>
    <cellStyle name="Comma 6 2 5 3 3 2 2" xfId="18890"/>
    <cellStyle name="Comma 6 2 5 3 3 3" xfId="16038"/>
    <cellStyle name="Comma 6 2 5 3 4" xfId="9428"/>
    <cellStyle name="Comma 6 2 5 3 4 2" xfId="12922"/>
    <cellStyle name="Comma 6 2 5 3 4 2 2" xfId="19461"/>
    <cellStyle name="Comma 6 2 5 3 4 3" xfId="16609"/>
    <cellStyle name="Comma 6 2 5 3 5" xfId="3252"/>
    <cellStyle name="Comma 6 2 5 3 5 2" xfId="11209"/>
    <cellStyle name="Comma 6 2 5 3 5 2 2" xfId="17748"/>
    <cellStyle name="Comma 6 2 5 3 5 3" xfId="14896"/>
    <cellStyle name="Comma 6 2 5 3 6" xfId="2678"/>
    <cellStyle name="Comma 6 2 5 3 6 2" xfId="14326"/>
    <cellStyle name="Comma 6 2 5 3 7" xfId="10639"/>
    <cellStyle name="Comma 6 2 5 3 7 2" xfId="17178"/>
    <cellStyle name="Comma 6 2 5 3 8" xfId="13756"/>
    <cellStyle name="Comma 6 2 5 4" xfId="3749"/>
    <cellStyle name="Comma 6 2 5 4 2" xfId="11495"/>
    <cellStyle name="Comma 6 2 5 4 2 2" xfId="18034"/>
    <cellStyle name="Comma 6 2 5 4 3" xfId="15182"/>
    <cellStyle name="Comma 6 2 5 5" xfId="6021"/>
    <cellStyle name="Comma 6 2 5 5 2" xfId="12066"/>
    <cellStyle name="Comma 6 2 5 5 2 2" xfId="18605"/>
    <cellStyle name="Comma 6 2 5 5 3" xfId="15753"/>
    <cellStyle name="Comma 6 2 5 6" xfId="8293"/>
    <cellStyle name="Comma 6 2 5 6 2" xfId="12637"/>
    <cellStyle name="Comma 6 2 5 6 2 2" xfId="19176"/>
    <cellStyle name="Comma 6 2 5 6 3" xfId="16324"/>
    <cellStyle name="Comma 6 2 5 7" xfId="2967"/>
    <cellStyle name="Comma 6 2 5 7 2" xfId="10924"/>
    <cellStyle name="Comma 6 2 5 7 2 2" xfId="17463"/>
    <cellStyle name="Comma 6 2 5 7 3" xfId="14611"/>
    <cellStyle name="Comma 6 2 5 8" xfId="2398"/>
    <cellStyle name="Comma 6 2 5 8 2" xfId="14046"/>
    <cellStyle name="Comma 6 2 5 9" xfId="10359"/>
    <cellStyle name="Comma 6 2 5 9 2" xfId="16898"/>
    <cellStyle name="Comma 6 2 6" xfId="1010"/>
    <cellStyle name="Comma 6 2 6 2" xfId="2145"/>
    <cellStyle name="Comma 6 2 6 2 2" xfId="5565"/>
    <cellStyle name="Comma 6 2 6 2 2 2" xfId="11951"/>
    <cellStyle name="Comma 6 2 6 2 2 2 2" xfId="18490"/>
    <cellStyle name="Comma 6 2 6 2 2 3" xfId="15638"/>
    <cellStyle name="Comma 6 2 6 2 3" xfId="7837"/>
    <cellStyle name="Comma 6 2 6 2 3 2" xfId="12522"/>
    <cellStyle name="Comma 6 2 6 2 3 2 2" xfId="19061"/>
    <cellStyle name="Comma 6 2 6 2 3 3" xfId="16209"/>
    <cellStyle name="Comma 6 2 6 2 4" xfId="10109"/>
    <cellStyle name="Comma 6 2 6 2 4 2" xfId="13093"/>
    <cellStyle name="Comma 6 2 6 2 4 2 2" xfId="19632"/>
    <cellStyle name="Comma 6 2 6 2 4 3" xfId="16780"/>
    <cellStyle name="Comma 6 2 6 2 5" xfId="3423"/>
    <cellStyle name="Comma 6 2 6 2 5 2" xfId="11380"/>
    <cellStyle name="Comma 6 2 6 2 5 2 2" xfId="17919"/>
    <cellStyle name="Comma 6 2 6 2 5 3" xfId="15067"/>
    <cellStyle name="Comma 6 2 6 2 6" xfId="2846"/>
    <cellStyle name="Comma 6 2 6 2 6 2" xfId="14494"/>
    <cellStyle name="Comma 6 2 6 2 7" xfId="10807"/>
    <cellStyle name="Comma 6 2 6 2 7 2" xfId="17346"/>
    <cellStyle name="Comma 6 2 6 2 8" xfId="13927"/>
    <cellStyle name="Comma 6 2 6 3" xfId="4430"/>
    <cellStyle name="Comma 6 2 6 3 2" xfId="11666"/>
    <cellStyle name="Comma 6 2 6 3 2 2" xfId="18205"/>
    <cellStyle name="Comma 6 2 6 3 3" xfId="15353"/>
    <cellStyle name="Comma 6 2 6 4" xfId="6702"/>
    <cellStyle name="Comma 6 2 6 4 2" xfId="12237"/>
    <cellStyle name="Comma 6 2 6 4 2 2" xfId="18776"/>
    <cellStyle name="Comma 6 2 6 4 3" xfId="15924"/>
    <cellStyle name="Comma 6 2 6 5" xfId="8974"/>
    <cellStyle name="Comma 6 2 6 5 2" xfId="12808"/>
    <cellStyle name="Comma 6 2 6 5 2 2" xfId="19347"/>
    <cellStyle name="Comma 6 2 6 5 3" xfId="16495"/>
    <cellStyle name="Comma 6 2 6 6" xfId="3138"/>
    <cellStyle name="Comma 6 2 6 6 2" xfId="11095"/>
    <cellStyle name="Comma 6 2 6 6 2 2" xfId="17634"/>
    <cellStyle name="Comma 6 2 6 6 3" xfId="14782"/>
    <cellStyle name="Comma 6 2 6 7" xfId="2566"/>
    <cellStyle name="Comma 6 2 6 7 2" xfId="14214"/>
    <cellStyle name="Comma 6 2 6 8" xfId="10527"/>
    <cellStyle name="Comma 6 2 6 8 2" xfId="17066"/>
    <cellStyle name="Comma 6 2 6 9" xfId="13642"/>
    <cellStyle name="Comma 6 2 7" xfId="556"/>
    <cellStyle name="Comma 6 2 7 2" xfId="1691"/>
    <cellStyle name="Comma 6 2 7 2 2" xfId="5111"/>
    <cellStyle name="Comma 6 2 7 2 2 2" xfId="11837"/>
    <cellStyle name="Comma 6 2 7 2 2 2 2" xfId="18376"/>
    <cellStyle name="Comma 6 2 7 2 2 3" xfId="15524"/>
    <cellStyle name="Comma 6 2 7 2 3" xfId="7383"/>
    <cellStyle name="Comma 6 2 7 2 3 2" xfId="12408"/>
    <cellStyle name="Comma 6 2 7 2 3 2 2" xfId="18947"/>
    <cellStyle name="Comma 6 2 7 2 3 3" xfId="16095"/>
    <cellStyle name="Comma 6 2 7 2 4" xfId="9655"/>
    <cellStyle name="Comma 6 2 7 2 4 2" xfId="12979"/>
    <cellStyle name="Comma 6 2 7 2 4 2 2" xfId="19518"/>
    <cellStyle name="Comma 6 2 7 2 4 3" xfId="16666"/>
    <cellStyle name="Comma 6 2 7 2 5" xfId="3309"/>
    <cellStyle name="Comma 6 2 7 2 5 2" xfId="11266"/>
    <cellStyle name="Comma 6 2 7 2 5 2 2" xfId="17805"/>
    <cellStyle name="Comma 6 2 7 2 5 3" xfId="14953"/>
    <cellStyle name="Comma 6 2 7 2 6" xfId="2734"/>
    <cellStyle name="Comma 6 2 7 2 6 2" xfId="14382"/>
    <cellStyle name="Comma 6 2 7 2 7" xfId="10695"/>
    <cellStyle name="Comma 6 2 7 2 7 2" xfId="17234"/>
    <cellStyle name="Comma 6 2 7 2 8" xfId="13813"/>
    <cellStyle name="Comma 6 2 7 3" xfId="3976"/>
    <cellStyle name="Comma 6 2 7 3 2" xfId="11552"/>
    <cellStyle name="Comma 6 2 7 3 2 2" xfId="18091"/>
    <cellStyle name="Comma 6 2 7 3 3" xfId="15239"/>
    <cellStyle name="Comma 6 2 7 4" xfId="6248"/>
    <cellStyle name="Comma 6 2 7 4 2" xfId="12123"/>
    <cellStyle name="Comma 6 2 7 4 2 2" xfId="18662"/>
    <cellStyle name="Comma 6 2 7 4 3" xfId="15810"/>
    <cellStyle name="Comma 6 2 7 5" xfId="8520"/>
    <cellStyle name="Comma 6 2 7 5 2" xfId="12694"/>
    <cellStyle name="Comma 6 2 7 5 2 2" xfId="19233"/>
    <cellStyle name="Comma 6 2 7 5 3" xfId="16381"/>
    <cellStyle name="Comma 6 2 7 6" xfId="3024"/>
    <cellStyle name="Comma 6 2 7 6 2" xfId="10981"/>
    <cellStyle name="Comma 6 2 7 6 2 2" xfId="17520"/>
    <cellStyle name="Comma 6 2 7 6 3" xfId="14668"/>
    <cellStyle name="Comma 6 2 7 7" xfId="2454"/>
    <cellStyle name="Comma 6 2 7 7 2" xfId="14102"/>
    <cellStyle name="Comma 6 2 7 8" xfId="10415"/>
    <cellStyle name="Comma 6 2 7 8 2" xfId="16954"/>
    <cellStyle name="Comma 6 2 7 9" xfId="13528"/>
    <cellStyle name="Comma 6 2 8" xfId="1237"/>
    <cellStyle name="Comma 6 2 8 2" xfId="4657"/>
    <cellStyle name="Comma 6 2 8 2 2" xfId="11723"/>
    <cellStyle name="Comma 6 2 8 2 2 2" xfId="18262"/>
    <cellStyle name="Comma 6 2 8 2 3" xfId="15410"/>
    <cellStyle name="Comma 6 2 8 3" xfId="6929"/>
    <cellStyle name="Comma 6 2 8 3 2" xfId="12294"/>
    <cellStyle name="Comma 6 2 8 3 2 2" xfId="18833"/>
    <cellStyle name="Comma 6 2 8 3 3" xfId="15981"/>
    <cellStyle name="Comma 6 2 8 4" xfId="9201"/>
    <cellStyle name="Comma 6 2 8 4 2" xfId="12865"/>
    <cellStyle name="Comma 6 2 8 4 2 2" xfId="19404"/>
    <cellStyle name="Comma 6 2 8 4 3" xfId="16552"/>
    <cellStyle name="Comma 6 2 8 5" xfId="3195"/>
    <cellStyle name="Comma 6 2 8 5 2" xfId="11152"/>
    <cellStyle name="Comma 6 2 8 5 2 2" xfId="17691"/>
    <cellStyle name="Comma 6 2 8 5 3" xfId="14839"/>
    <cellStyle name="Comma 6 2 8 6" xfId="2622"/>
    <cellStyle name="Comma 6 2 8 6 2" xfId="14270"/>
    <cellStyle name="Comma 6 2 8 7" xfId="10583"/>
    <cellStyle name="Comma 6 2 8 7 2" xfId="17122"/>
    <cellStyle name="Comma 6 2 8 8" xfId="13699"/>
    <cellStyle name="Comma 6 2 9" xfId="3522"/>
    <cellStyle name="Comma 6 2 9 2" xfId="11438"/>
    <cellStyle name="Comma 6 2 9 2 2" xfId="17977"/>
    <cellStyle name="Comma 6 2 9 3" xfId="15125"/>
    <cellStyle name="Comma 6 3" xfId="175"/>
    <cellStyle name="Comma 6 3 10" xfId="2362"/>
    <cellStyle name="Comma 6 3 10 2" xfId="14010"/>
    <cellStyle name="Comma 6 3 11" xfId="10323"/>
    <cellStyle name="Comma 6 3 11 2" xfId="16862"/>
    <cellStyle name="Comma 6 3 12" xfId="13434"/>
    <cellStyle name="Comma 6 3 13" xfId="20202"/>
    <cellStyle name="Comma 6 3 2" xfId="413"/>
    <cellStyle name="Comma 6 3 2 10" xfId="13492"/>
    <cellStyle name="Comma 6 3 2 2" xfId="867"/>
    <cellStyle name="Comma 6 3 2 2 2" xfId="2002"/>
    <cellStyle name="Comma 6 3 2 2 2 2" xfId="5422"/>
    <cellStyle name="Comma 6 3 2 2 2 2 2" xfId="11915"/>
    <cellStyle name="Comma 6 3 2 2 2 2 2 2" xfId="18454"/>
    <cellStyle name="Comma 6 3 2 2 2 2 3" xfId="15602"/>
    <cellStyle name="Comma 6 3 2 2 2 3" xfId="7694"/>
    <cellStyle name="Comma 6 3 2 2 2 3 2" xfId="12486"/>
    <cellStyle name="Comma 6 3 2 2 2 3 2 2" xfId="19025"/>
    <cellStyle name="Comma 6 3 2 2 2 3 3" xfId="16173"/>
    <cellStyle name="Comma 6 3 2 2 2 4" xfId="9966"/>
    <cellStyle name="Comma 6 3 2 2 2 4 2" xfId="13057"/>
    <cellStyle name="Comma 6 3 2 2 2 4 2 2" xfId="19596"/>
    <cellStyle name="Comma 6 3 2 2 2 4 3" xfId="16744"/>
    <cellStyle name="Comma 6 3 2 2 2 5" xfId="3387"/>
    <cellStyle name="Comma 6 3 2 2 2 5 2" xfId="11344"/>
    <cellStyle name="Comma 6 3 2 2 2 5 2 2" xfId="17883"/>
    <cellStyle name="Comma 6 3 2 2 2 5 3" xfId="15031"/>
    <cellStyle name="Comma 6 3 2 2 2 6" xfId="2811"/>
    <cellStyle name="Comma 6 3 2 2 2 6 2" xfId="14459"/>
    <cellStyle name="Comma 6 3 2 2 2 7" xfId="10772"/>
    <cellStyle name="Comma 6 3 2 2 2 7 2" xfId="17311"/>
    <cellStyle name="Comma 6 3 2 2 2 8" xfId="13891"/>
    <cellStyle name="Comma 6 3 2 2 3" xfId="4287"/>
    <cellStyle name="Comma 6 3 2 2 3 2" xfId="11630"/>
    <cellStyle name="Comma 6 3 2 2 3 2 2" xfId="18169"/>
    <cellStyle name="Comma 6 3 2 2 3 3" xfId="15317"/>
    <cellStyle name="Comma 6 3 2 2 4" xfId="6559"/>
    <cellStyle name="Comma 6 3 2 2 4 2" xfId="12201"/>
    <cellStyle name="Comma 6 3 2 2 4 2 2" xfId="18740"/>
    <cellStyle name="Comma 6 3 2 2 4 3" xfId="15888"/>
    <cellStyle name="Comma 6 3 2 2 5" xfId="8831"/>
    <cellStyle name="Comma 6 3 2 2 5 2" xfId="12772"/>
    <cellStyle name="Comma 6 3 2 2 5 2 2" xfId="19311"/>
    <cellStyle name="Comma 6 3 2 2 5 3" xfId="16459"/>
    <cellStyle name="Comma 6 3 2 2 6" xfId="3102"/>
    <cellStyle name="Comma 6 3 2 2 6 2" xfId="11059"/>
    <cellStyle name="Comma 6 3 2 2 6 2 2" xfId="17598"/>
    <cellStyle name="Comma 6 3 2 2 6 3" xfId="14746"/>
    <cellStyle name="Comma 6 3 2 2 7" xfId="2531"/>
    <cellStyle name="Comma 6 3 2 2 7 2" xfId="14179"/>
    <cellStyle name="Comma 6 3 2 2 8" xfId="10492"/>
    <cellStyle name="Comma 6 3 2 2 8 2" xfId="17031"/>
    <cellStyle name="Comma 6 3 2 2 9" xfId="13606"/>
    <cellStyle name="Comma 6 3 2 3" xfId="1548"/>
    <cellStyle name="Comma 6 3 2 3 2" xfId="4968"/>
    <cellStyle name="Comma 6 3 2 3 2 2" xfId="11801"/>
    <cellStyle name="Comma 6 3 2 3 2 2 2" xfId="18340"/>
    <cellStyle name="Comma 6 3 2 3 2 3" xfId="15488"/>
    <cellStyle name="Comma 6 3 2 3 3" xfId="7240"/>
    <cellStyle name="Comma 6 3 2 3 3 2" xfId="12372"/>
    <cellStyle name="Comma 6 3 2 3 3 2 2" xfId="18911"/>
    <cellStyle name="Comma 6 3 2 3 3 3" xfId="16059"/>
    <cellStyle name="Comma 6 3 2 3 4" xfId="9512"/>
    <cellStyle name="Comma 6 3 2 3 4 2" xfId="12943"/>
    <cellStyle name="Comma 6 3 2 3 4 2 2" xfId="19482"/>
    <cellStyle name="Comma 6 3 2 3 4 3" xfId="16630"/>
    <cellStyle name="Comma 6 3 2 3 5" xfId="3273"/>
    <cellStyle name="Comma 6 3 2 3 5 2" xfId="11230"/>
    <cellStyle name="Comma 6 3 2 3 5 2 2" xfId="17769"/>
    <cellStyle name="Comma 6 3 2 3 5 3" xfId="14917"/>
    <cellStyle name="Comma 6 3 2 3 6" xfId="2699"/>
    <cellStyle name="Comma 6 3 2 3 6 2" xfId="14347"/>
    <cellStyle name="Comma 6 3 2 3 7" xfId="10660"/>
    <cellStyle name="Comma 6 3 2 3 7 2" xfId="17199"/>
    <cellStyle name="Comma 6 3 2 3 8" xfId="13777"/>
    <cellStyle name="Comma 6 3 2 4" xfId="3833"/>
    <cellStyle name="Comma 6 3 2 4 2" xfId="11516"/>
    <cellStyle name="Comma 6 3 2 4 2 2" xfId="18055"/>
    <cellStyle name="Comma 6 3 2 4 3" xfId="15203"/>
    <cellStyle name="Comma 6 3 2 5" xfId="6105"/>
    <cellStyle name="Comma 6 3 2 5 2" xfId="12087"/>
    <cellStyle name="Comma 6 3 2 5 2 2" xfId="18626"/>
    <cellStyle name="Comma 6 3 2 5 3" xfId="15774"/>
    <cellStyle name="Comma 6 3 2 6" xfId="8377"/>
    <cellStyle name="Comma 6 3 2 6 2" xfId="12658"/>
    <cellStyle name="Comma 6 3 2 6 2 2" xfId="19197"/>
    <cellStyle name="Comma 6 3 2 6 3" xfId="16345"/>
    <cellStyle name="Comma 6 3 2 7" xfId="2988"/>
    <cellStyle name="Comma 6 3 2 7 2" xfId="10945"/>
    <cellStyle name="Comma 6 3 2 7 2 2" xfId="17484"/>
    <cellStyle name="Comma 6 3 2 7 3" xfId="14632"/>
    <cellStyle name="Comma 6 3 2 8" xfId="2419"/>
    <cellStyle name="Comma 6 3 2 8 2" xfId="14067"/>
    <cellStyle name="Comma 6 3 2 9" xfId="10380"/>
    <cellStyle name="Comma 6 3 2 9 2" xfId="16919"/>
    <cellStyle name="Comma 6 3 3" xfId="1094"/>
    <cellStyle name="Comma 6 3 3 2" xfId="2229"/>
    <cellStyle name="Comma 6 3 3 2 2" xfId="5649"/>
    <cellStyle name="Comma 6 3 3 2 2 2" xfId="11972"/>
    <cellStyle name="Comma 6 3 3 2 2 2 2" xfId="18511"/>
    <cellStyle name="Comma 6 3 3 2 2 3" xfId="15659"/>
    <cellStyle name="Comma 6 3 3 2 3" xfId="7921"/>
    <cellStyle name="Comma 6 3 3 2 3 2" xfId="12543"/>
    <cellStyle name="Comma 6 3 3 2 3 2 2" xfId="19082"/>
    <cellStyle name="Comma 6 3 3 2 3 3" xfId="16230"/>
    <cellStyle name="Comma 6 3 3 2 4" xfId="10193"/>
    <cellStyle name="Comma 6 3 3 2 4 2" xfId="13114"/>
    <cellStyle name="Comma 6 3 3 2 4 2 2" xfId="19653"/>
    <cellStyle name="Comma 6 3 3 2 4 3" xfId="16801"/>
    <cellStyle name="Comma 6 3 3 2 5" xfId="3444"/>
    <cellStyle name="Comma 6 3 3 2 5 2" xfId="11401"/>
    <cellStyle name="Comma 6 3 3 2 5 2 2" xfId="17940"/>
    <cellStyle name="Comma 6 3 3 2 5 3" xfId="15088"/>
    <cellStyle name="Comma 6 3 3 2 6" xfId="2867"/>
    <cellStyle name="Comma 6 3 3 2 6 2" xfId="14515"/>
    <cellStyle name="Comma 6 3 3 2 7" xfId="10828"/>
    <cellStyle name="Comma 6 3 3 2 7 2" xfId="17367"/>
    <cellStyle name="Comma 6 3 3 2 8" xfId="13948"/>
    <cellStyle name="Comma 6 3 3 3" xfId="4514"/>
    <cellStyle name="Comma 6 3 3 3 2" xfId="11687"/>
    <cellStyle name="Comma 6 3 3 3 2 2" xfId="18226"/>
    <cellStyle name="Comma 6 3 3 3 3" xfId="15374"/>
    <cellStyle name="Comma 6 3 3 4" xfId="6786"/>
    <cellStyle name="Comma 6 3 3 4 2" xfId="12258"/>
    <cellStyle name="Comma 6 3 3 4 2 2" xfId="18797"/>
    <cellStyle name="Comma 6 3 3 4 3" xfId="15945"/>
    <cellStyle name="Comma 6 3 3 5" xfId="9058"/>
    <cellStyle name="Comma 6 3 3 5 2" xfId="12829"/>
    <cellStyle name="Comma 6 3 3 5 2 2" xfId="19368"/>
    <cellStyle name="Comma 6 3 3 5 3" xfId="16516"/>
    <cellStyle name="Comma 6 3 3 6" xfId="3159"/>
    <cellStyle name="Comma 6 3 3 6 2" xfId="11116"/>
    <cellStyle name="Comma 6 3 3 6 2 2" xfId="17655"/>
    <cellStyle name="Comma 6 3 3 6 3" xfId="14803"/>
    <cellStyle name="Comma 6 3 3 7" xfId="2587"/>
    <cellStyle name="Comma 6 3 3 7 2" xfId="14235"/>
    <cellStyle name="Comma 6 3 3 8" xfId="10548"/>
    <cellStyle name="Comma 6 3 3 8 2" xfId="17087"/>
    <cellStyle name="Comma 6 3 3 9" xfId="13663"/>
    <cellStyle name="Comma 6 3 4" xfId="640"/>
    <cellStyle name="Comma 6 3 4 2" xfId="1775"/>
    <cellStyle name="Comma 6 3 4 2 2" xfId="5195"/>
    <cellStyle name="Comma 6 3 4 2 2 2" xfId="11858"/>
    <cellStyle name="Comma 6 3 4 2 2 2 2" xfId="18397"/>
    <cellStyle name="Comma 6 3 4 2 2 3" xfId="15545"/>
    <cellStyle name="Comma 6 3 4 2 3" xfId="7467"/>
    <cellStyle name="Comma 6 3 4 2 3 2" xfId="12429"/>
    <cellStyle name="Comma 6 3 4 2 3 2 2" xfId="18968"/>
    <cellStyle name="Comma 6 3 4 2 3 3" xfId="16116"/>
    <cellStyle name="Comma 6 3 4 2 4" xfId="9739"/>
    <cellStyle name="Comma 6 3 4 2 4 2" xfId="13000"/>
    <cellStyle name="Comma 6 3 4 2 4 2 2" xfId="19539"/>
    <cellStyle name="Comma 6 3 4 2 4 3" xfId="16687"/>
    <cellStyle name="Comma 6 3 4 2 5" xfId="3330"/>
    <cellStyle name="Comma 6 3 4 2 5 2" xfId="11287"/>
    <cellStyle name="Comma 6 3 4 2 5 2 2" xfId="17826"/>
    <cellStyle name="Comma 6 3 4 2 5 3" xfId="14974"/>
    <cellStyle name="Comma 6 3 4 2 6" xfId="2755"/>
    <cellStyle name="Comma 6 3 4 2 6 2" xfId="14403"/>
    <cellStyle name="Comma 6 3 4 2 7" xfId="10716"/>
    <cellStyle name="Comma 6 3 4 2 7 2" xfId="17255"/>
    <cellStyle name="Comma 6 3 4 2 8" xfId="13834"/>
    <cellStyle name="Comma 6 3 4 3" xfId="4060"/>
    <cellStyle name="Comma 6 3 4 3 2" xfId="11573"/>
    <cellStyle name="Comma 6 3 4 3 2 2" xfId="18112"/>
    <cellStyle name="Comma 6 3 4 3 3" xfId="15260"/>
    <cellStyle name="Comma 6 3 4 4" xfId="6332"/>
    <cellStyle name="Comma 6 3 4 4 2" xfId="12144"/>
    <cellStyle name="Comma 6 3 4 4 2 2" xfId="18683"/>
    <cellStyle name="Comma 6 3 4 4 3" xfId="15831"/>
    <cellStyle name="Comma 6 3 4 5" xfId="8604"/>
    <cellStyle name="Comma 6 3 4 5 2" xfId="12715"/>
    <cellStyle name="Comma 6 3 4 5 2 2" xfId="19254"/>
    <cellStyle name="Comma 6 3 4 5 3" xfId="16402"/>
    <cellStyle name="Comma 6 3 4 6" xfId="3045"/>
    <cellStyle name="Comma 6 3 4 6 2" xfId="11002"/>
    <cellStyle name="Comma 6 3 4 6 2 2" xfId="17541"/>
    <cellStyle name="Comma 6 3 4 6 3" xfId="14689"/>
    <cellStyle name="Comma 6 3 4 7" xfId="2475"/>
    <cellStyle name="Comma 6 3 4 7 2" xfId="14123"/>
    <cellStyle name="Comma 6 3 4 8" xfId="10436"/>
    <cellStyle name="Comma 6 3 4 8 2" xfId="16975"/>
    <cellStyle name="Comma 6 3 4 9" xfId="13549"/>
    <cellStyle name="Comma 6 3 5" xfId="1321"/>
    <cellStyle name="Comma 6 3 5 2" xfId="4741"/>
    <cellStyle name="Comma 6 3 5 2 2" xfId="11744"/>
    <cellStyle name="Comma 6 3 5 2 2 2" xfId="18283"/>
    <cellStyle name="Comma 6 3 5 2 3" xfId="15431"/>
    <cellStyle name="Comma 6 3 5 3" xfId="7013"/>
    <cellStyle name="Comma 6 3 5 3 2" xfId="12315"/>
    <cellStyle name="Comma 6 3 5 3 2 2" xfId="18854"/>
    <cellStyle name="Comma 6 3 5 3 3" xfId="16002"/>
    <cellStyle name="Comma 6 3 5 4" xfId="9285"/>
    <cellStyle name="Comma 6 3 5 4 2" xfId="12886"/>
    <cellStyle name="Comma 6 3 5 4 2 2" xfId="19425"/>
    <cellStyle name="Comma 6 3 5 4 3" xfId="16573"/>
    <cellStyle name="Comma 6 3 5 5" xfId="3216"/>
    <cellStyle name="Comma 6 3 5 5 2" xfId="11173"/>
    <cellStyle name="Comma 6 3 5 5 2 2" xfId="17712"/>
    <cellStyle name="Comma 6 3 5 5 3" xfId="14860"/>
    <cellStyle name="Comma 6 3 5 6" xfId="2643"/>
    <cellStyle name="Comma 6 3 5 6 2" xfId="14291"/>
    <cellStyle name="Comma 6 3 5 7" xfId="10604"/>
    <cellStyle name="Comma 6 3 5 7 2" xfId="17143"/>
    <cellStyle name="Comma 6 3 5 8" xfId="13720"/>
    <cellStyle name="Comma 6 3 6" xfId="3606"/>
    <cellStyle name="Comma 6 3 6 2" xfId="11459"/>
    <cellStyle name="Comma 6 3 6 2 2" xfId="17998"/>
    <cellStyle name="Comma 6 3 6 3" xfId="15146"/>
    <cellStyle name="Comma 6 3 7" xfId="5878"/>
    <cellStyle name="Comma 6 3 7 2" xfId="12030"/>
    <cellStyle name="Comma 6 3 7 2 2" xfId="18569"/>
    <cellStyle name="Comma 6 3 7 3" xfId="15717"/>
    <cellStyle name="Comma 6 3 8" xfId="8150"/>
    <cellStyle name="Comma 6 3 8 2" xfId="12601"/>
    <cellStyle name="Comma 6 3 8 2 2" xfId="19140"/>
    <cellStyle name="Comma 6 3 8 3" xfId="16288"/>
    <cellStyle name="Comma 6 3 9" xfId="2928"/>
    <cellStyle name="Comma 6 3 9 2" xfId="10887"/>
    <cellStyle name="Comma 6 3 9 2 2" xfId="17426"/>
    <cellStyle name="Comma 6 3 9 3" xfId="14574"/>
    <cellStyle name="Comma 6 4" xfId="119"/>
    <cellStyle name="Comma 6 4 10" xfId="2348"/>
    <cellStyle name="Comma 6 4 10 2" xfId="13996"/>
    <cellStyle name="Comma 6 4 11" xfId="10309"/>
    <cellStyle name="Comma 6 4 11 2" xfId="16848"/>
    <cellStyle name="Comma 6 4 12" xfId="13420"/>
    <cellStyle name="Comma 6 4 13" xfId="20275"/>
    <cellStyle name="Comma 6 4 2" xfId="357"/>
    <cellStyle name="Comma 6 4 2 10" xfId="13478"/>
    <cellStyle name="Comma 6 4 2 2" xfId="811"/>
    <cellStyle name="Comma 6 4 2 2 2" xfId="1946"/>
    <cellStyle name="Comma 6 4 2 2 2 2" xfId="5366"/>
    <cellStyle name="Comma 6 4 2 2 2 2 2" xfId="11901"/>
    <cellStyle name="Comma 6 4 2 2 2 2 2 2" xfId="18440"/>
    <cellStyle name="Comma 6 4 2 2 2 2 3" xfId="15588"/>
    <cellStyle name="Comma 6 4 2 2 2 3" xfId="7638"/>
    <cellStyle name="Comma 6 4 2 2 2 3 2" xfId="12472"/>
    <cellStyle name="Comma 6 4 2 2 2 3 2 2" xfId="19011"/>
    <cellStyle name="Comma 6 4 2 2 2 3 3" xfId="16159"/>
    <cellStyle name="Comma 6 4 2 2 2 4" xfId="9910"/>
    <cellStyle name="Comma 6 4 2 2 2 4 2" xfId="13043"/>
    <cellStyle name="Comma 6 4 2 2 2 4 2 2" xfId="19582"/>
    <cellStyle name="Comma 6 4 2 2 2 4 3" xfId="16730"/>
    <cellStyle name="Comma 6 4 2 2 2 5" xfId="3373"/>
    <cellStyle name="Comma 6 4 2 2 2 5 2" xfId="11330"/>
    <cellStyle name="Comma 6 4 2 2 2 5 2 2" xfId="17869"/>
    <cellStyle name="Comma 6 4 2 2 2 5 3" xfId="15017"/>
    <cellStyle name="Comma 6 4 2 2 2 6" xfId="2797"/>
    <cellStyle name="Comma 6 4 2 2 2 6 2" xfId="14445"/>
    <cellStyle name="Comma 6 4 2 2 2 7" xfId="10758"/>
    <cellStyle name="Comma 6 4 2 2 2 7 2" xfId="17297"/>
    <cellStyle name="Comma 6 4 2 2 2 8" xfId="13877"/>
    <cellStyle name="Comma 6 4 2 2 3" xfId="4231"/>
    <cellStyle name="Comma 6 4 2 2 3 2" xfId="11616"/>
    <cellStyle name="Comma 6 4 2 2 3 2 2" xfId="18155"/>
    <cellStyle name="Comma 6 4 2 2 3 3" xfId="15303"/>
    <cellStyle name="Comma 6 4 2 2 4" xfId="6503"/>
    <cellStyle name="Comma 6 4 2 2 4 2" xfId="12187"/>
    <cellStyle name="Comma 6 4 2 2 4 2 2" xfId="18726"/>
    <cellStyle name="Comma 6 4 2 2 4 3" xfId="15874"/>
    <cellStyle name="Comma 6 4 2 2 5" xfId="8775"/>
    <cellStyle name="Comma 6 4 2 2 5 2" xfId="12758"/>
    <cellStyle name="Comma 6 4 2 2 5 2 2" xfId="19297"/>
    <cellStyle name="Comma 6 4 2 2 5 3" xfId="16445"/>
    <cellStyle name="Comma 6 4 2 2 6" xfId="3088"/>
    <cellStyle name="Comma 6 4 2 2 6 2" xfId="11045"/>
    <cellStyle name="Comma 6 4 2 2 6 2 2" xfId="17584"/>
    <cellStyle name="Comma 6 4 2 2 6 3" xfId="14732"/>
    <cellStyle name="Comma 6 4 2 2 7" xfId="2517"/>
    <cellStyle name="Comma 6 4 2 2 7 2" xfId="14165"/>
    <cellStyle name="Comma 6 4 2 2 8" xfId="10478"/>
    <cellStyle name="Comma 6 4 2 2 8 2" xfId="17017"/>
    <cellStyle name="Comma 6 4 2 2 9" xfId="13592"/>
    <cellStyle name="Comma 6 4 2 3" xfId="1492"/>
    <cellStyle name="Comma 6 4 2 3 2" xfId="4912"/>
    <cellStyle name="Comma 6 4 2 3 2 2" xfId="11787"/>
    <cellStyle name="Comma 6 4 2 3 2 2 2" xfId="18326"/>
    <cellStyle name="Comma 6 4 2 3 2 3" xfId="15474"/>
    <cellStyle name="Comma 6 4 2 3 3" xfId="7184"/>
    <cellStyle name="Comma 6 4 2 3 3 2" xfId="12358"/>
    <cellStyle name="Comma 6 4 2 3 3 2 2" xfId="18897"/>
    <cellStyle name="Comma 6 4 2 3 3 3" xfId="16045"/>
    <cellStyle name="Comma 6 4 2 3 4" xfId="9456"/>
    <cellStyle name="Comma 6 4 2 3 4 2" xfId="12929"/>
    <cellStyle name="Comma 6 4 2 3 4 2 2" xfId="19468"/>
    <cellStyle name="Comma 6 4 2 3 4 3" xfId="16616"/>
    <cellStyle name="Comma 6 4 2 3 5" xfId="3259"/>
    <cellStyle name="Comma 6 4 2 3 5 2" xfId="11216"/>
    <cellStyle name="Comma 6 4 2 3 5 2 2" xfId="17755"/>
    <cellStyle name="Comma 6 4 2 3 5 3" xfId="14903"/>
    <cellStyle name="Comma 6 4 2 3 6" xfId="2685"/>
    <cellStyle name="Comma 6 4 2 3 6 2" xfId="14333"/>
    <cellStyle name="Comma 6 4 2 3 7" xfId="10646"/>
    <cellStyle name="Comma 6 4 2 3 7 2" xfId="17185"/>
    <cellStyle name="Comma 6 4 2 3 8" xfId="13763"/>
    <cellStyle name="Comma 6 4 2 4" xfId="3777"/>
    <cellStyle name="Comma 6 4 2 4 2" xfId="11502"/>
    <cellStyle name="Comma 6 4 2 4 2 2" xfId="18041"/>
    <cellStyle name="Comma 6 4 2 4 3" xfId="15189"/>
    <cellStyle name="Comma 6 4 2 5" xfId="6049"/>
    <cellStyle name="Comma 6 4 2 5 2" xfId="12073"/>
    <cellStyle name="Comma 6 4 2 5 2 2" xfId="18612"/>
    <cellStyle name="Comma 6 4 2 5 3" xfId="15760"/>
    <cellStyle name="Comma 6 4 2 6" xfId="8321"/>
    <cellStyle name="Comma 6 4 2 6 2" xfId="12644"/>
    <cellStyle name="Comma 6 4 2 6 2 2" xfId="19183"/>
    <cellStyle name="Comma 6 4 2 6 3" xfId="16331"/>
    <cellStyle name="Comma 6 4 2 7" xfId="2974"/>
    <cellStyle name="Comma 6 4 2 7 2" xfId="10931"/>
    <cellStyle name="Comma 6 4 2 7 2 2" xfId="17470"/>
    <cellStyle name="Comma 6 4 2 7 3" xfId="14618"/>
    <cellStyle name="Comma 6 4 2 8" xfId="2405"/>
    <cellStyle name="Comma 6 4 2 8 2" xfId="14053"/>
    <cellStyle name="Comma 6 4 2 9" xfId="10366"/>
    <cellStyle name="Comma 6 4 2 9 2" xfId="16905"/>
    <cellStyle name="Comma 6 4 3" xfId="1038"/>
    <cellStyle name="Comma 6 4 3 2" xfId="2173"/>
    <cellStyle name="Comma 6 4 3 2 2" xfId="5593"/>
    <cellStyle name="Comma 6 4 3 2 2 2" xfId="11958"/>
    <cellStyle name="Comma 6 4 3 2 2 2 2" xfId="18497"/>
    <cellStyle name="Comma 6 4 3 2 2 3" xfId="15645"/>
    <cellStyle name="Comma 6 4 3 2 3" xfId="7865"/>
    <cellStyle name="Comma 6 4 3 2 3 2" xfId="12529"/>
    <cellStyle name="Comma 6 4 3 2 3 2 2" xfId="19068"/>
    <cellStyle name="Comma 6 4 3 2 3 3" xfId="16216"/>
    <cellStyle name="Comma 6 4 3 2 4" xfId="10137"/>
    <cellStyle name="Comma 6 4 3 2 4 2" xfId="13100"/>
    <cellStyle name="Comma 6 4 3 2 4 2 2" xfId="19639"/>
    <cellStyle name="Comma 6 4 3 2 4 3" xfId="16787"/>
    <cellStyle name="Comma 6 4 3 2 5" xfId="3430"/>
    <cellStyle name="Comma 6 4 3 2 5 2" xfId="11387"/>
    <cellStyle name="Comma 6 4 3 2 5 2 2" xfId="17926"/>
    <cellStyle name="Comma 6 4 3 2 5 3" xfId="15074"/>
    <cellStyle name="Comma 6 4 3 2 6" xfId="2853"/>
    <cellStyle name="Comma 6 4 3 2 6 2" xfId="14501"/>
    <cellStyle name="Comma 6 4 3 2 7" xfId="10814"/>
    <cellStyle name="Comma 6 4 3 2 7 2" xfId="17353"/>
    <cellStyle name="Comma 6 4 3 2 8" xfId="13934"/>
    <cellStyle name="Comma 6 4 3 3" xfId="4458"/>
    <cellStyle name="Comma 6 4 3 3 2" xfId="11673"/>
    <cellStyle name="Comma 6 4 3 3 2 2" xfId="18212"/>
    <cellStyle name="Comma 6 4 3 3 3" xfId="15360"/>
    <cellStyle name="Comma 6 4 3 4" xfId="6730"/>
    <cellStyle name="Comma 6 4 3 4 2" xfId="12244"/>
    <cellStyle name="Comma 6 4 3 4 2 2" xfId="18783"/>
    <cellStyle name="Comma 6 4 3 4 3" xfId="15931"/>
    <cellStyle name="Comma 6 4 3 5" xfId="9002"/>
    <cellStyle name="Comma 6 4 3 5 2" xfId="12815"/>
    <cellStyle name="Comma 6 4 3 5 2 2" xfId="19354"/>
    <cellStyle name="Comma 6 4 3 5 3" xfId="16502"/>
    <cellStyle name="Comma 6 4 3 6" xfId="3145"/>
    <cellStyle name="Comma 6 4 3 6 2" xfId="11102"/>
    <cellStyle name="Comma 6 4 3 6 2 2" xfId="17641"/>
    <cellStyle name="Comma 6 4 3 6 3" xfId="14789"/>
    <cellStyle name="Comma 6 4 3 7" xfId="2573"/>
    <cellStyle name="Comma 6 4 3 7 2" xfId="14221"/>
    <cellStyle name="Comma 6 4 3 8" xfId="10534"/>
    <cellStyle name="Comma 6 4 3 8 2" xfId="17073"/>
    <cellStyle name="Comma 6 4 3 9" xfId="13649"/>
    <cellStyle name="Comma 6 4 4" xfId="584"/>
    <cellStyle name="Comma 6 4 4 2" xfId="1719"/>
    <cellStyle name="Comma 6 4 4 2 2" xfId="5139"/>
    <cellStyle name="Comma 6 4 4 2 2 2" xfId="11844"/>
    <cellStyle name="Comma 6 4 4 2 2 2 2" xfId="18383"/>
    <cellStyle name="Comma 6 4 4 2 2 3" xfId="15531"/>
    <cellStyle name="Comma 6 4 4 2 3" xfId="7411"/>
    <cellStyle name="Comma 6 4 4 2 3 2" xfId="12415"/>
    <cellStyle name="Comma 6 4 4 2 3 2 2" xfId="18954"/>
    <cellStyle name="Comma 6 4 4 2 3 3" xfId="16102"/>
    <cellStyle name="Comma 6 4 4 2 4" xfId="9683"/>
    <cellStyle name="Comma 6 4 4 2 4 2" xfId="12986"/>
    <cellStyle name="Comma 6 4 4 2 4 2 2" xfId="19525"/>
    <cellStyle name="Comma 6 4 4 2 4 3" xfId="16673"/>
    <cellStyle name="Comma 6 4 4 2 5" xfId="3316"/>
    <cellStyle name="Comma 6 4 4 2 5 2" xfId="11273"/>
    <cellStyle name="Comma 6 4 4 2 5 2 2" xfId="17812"/>
    <cellStyle name="Comma 6 4 4 2 5 3" xfId="14960"/>
    <cellStyle name="Comma 6 4 4 2 6" xfId="2741"/>
    <cellStyle name="Comma 6 4 4 2 6 2" xfId="14389"/>
    <cellStyle name="Comma 6 4 4 2 7" xfId="10702"/>
    <cellStyle name="Comma 6 4 4 2 7 2" xfId="17241"/>
    <cellStyle name="Comma 6 4 4 2 8" xfId="13820"/>
    <cellStyle name="Comma 6 4 4 3" xfId="4004"/>
    <cellStyle name="Comma 6 4 4 3 2" xfId="11559"/>
    <cellStyle name="Comma 6 4 4 3 2 2" xfId="18098"/>
    <cellStyle name="Comma 6 4 4 3 3" xfId="15246"/>
    <cellStyle name="Comma 6 4 4 4" xfId="6276"/>
    <cellStyle name="Comma 6 4 4 4 2" xfId="12130"/>
    <cellStyle name="Comma 6 4 4 4 2 2" xfId="18669"/>
    <cellStyle name="Comma 6 4 4 4 3" xfId="15817"/>
    <cellStyle name="Comma 6 4 4 5" xfId="8548"/>
    <cellStyle name="Comma 6 4 4 5 2" xfId="12701"/>
    <cellStyle name="Comma 6 4 4 5 2 2" xfId="19240"/>
    <cellStyle name="Comma 6 4 4 5 3" xfId="16388"/>
    <cellStyle name="Comma 6 4 4 6" xfId="3031"/>
    <cellStyle name="Comma 6 4 4 6 2" xfId="10988"/>
    <cellStyle name="Comma 6 4 4 6 2 2" xfId="17527"/>
    <cellStyle name="Comma 6 4 4 6 3" xfId="14675"/>
    <cellStyle name="Comma 6 4 4 7" xfId="2461"/>
    <cellStyle name="Comma 6 4 4 7 2" xfId="14109"/>
    <cellStyle name="Comma 6 4 4 8" xfId="10422"/>
    <cellStyle name="Comma 6 4 4 8 2" xfId="16961"/>
    <cellStyle name="Comma 6 4 4 9" xfId="13535"/>
    <cellStyle name="Comma 6 4 5" xfId="1265"/>
    <cellStyle name="Comma 6 4 5 2" xfId="4685"/>
    <cellStyle name="Comma 6 4 5 2 2" xfId="11730"/>
    <cellStyle name="Comma 6 4 5 2 2 2" xfId="18269"/>
    <cellStyle name="Comma 6 4 5 2 3" xfId="15417"/>
    <cellStyle name="Comma 6 4 5 3" xfId="6957"/>
    <cellStyle name="Comma 6 4 5 3 2" xfId="12301"/>
    <cellStyle name="Comma 6 4 5 3 2 2" xfId="18840"/>
    <cellStyle name="Comma 6 4 5 3 3" xfId="15988"/>
    <cellStyle name="Comma 6 4 5 4" xfId="9229"/>
    <cellStyle name="Comma 6 4 5 4 2" xfId="12872"/>
    <cellStyle name="Comma 6 4 5 4 2 2" xfId="19411"/>
    <cellStyle name="Comma 6 4 5 4 3" xfId="16559"/>
    <cellStyle name="Comma 6 4 5 5" xfId="3202"/>
    <cellStyle name="Comma 6 4 5 5 2" xfId="11159"/>
    <cellStyle name="Comma 6 4 5 5 2 2" xfId="17698"/>
    <cellStyle name="Comma 6 4 5 5 3" xfId="14846"/>
    <cellStyle name="Comma 6 4 5 6" xfId="2629"/>
    <cellStyle name="Comma 6 4 5 6 2" xfId="14277"/>
    <cellStyle name="Comma 6 4 5 7" xfId="10590"/>
    <cellStyle name="Comma 6 4 5 7 2" xfId="17129"/>
    <cellStyle name="Comma 6 4 5 8" xfId="13706"/>
    <cellStyle name="Comma 6 4 6" xfId="3550"/>
    <cellStyle name="Comma 6 4 6 2" xfId="11445"/>
    <cellStyle name="Comma 6 4 6 2 2" xfId="17984"/>
    <cellStyle name="Comma 6 4 6 3" xfId="15132"/>
    <cellStyle name="Comma 6 4 7" xfId="5822"/>
    <cellStyle name="Comma 6 4 7 2" xfId="12016"/>
    <cellStyle name="Comma 6 4 7 2 2" xfId="18555"/>
    <cellStyle name="Comma 6 4 7 3" xfId="15703"/>
    <cellStyle name="Comma 6 4 8" xfId="8094"/>
    <cellStyle name="Comma 6 4 8 2" xfId="12587"/>
    <cellStyle name="Comma 6 4 8 2 2" xfId="19126"/>
    <cellStyle name="Comma 6 4 8 3" xfId="16274"/>
    <cellStyle name="Comma 6 4 9" xfId="2914"/>
    <cellStyle name="Comma 6 4 9 2" xfId="10873"/>
    <cellStyle name="Comma 6 4 9 2 2" xfId="17412"/>
    <cellStyle name="Comma 6 4 9 3" xfId="14560"/>
    <cellStyle name="Comma 6 5" xfId="245"/>
    <cellStyle name="Comma 6 5 10" xfId="2377"/>
    <cellStyle name="Comma 6 5 10 2" xfId="14025"/>
    <cellStyle name="Comma 6 5 11" xfId="10338"/>
    <cellStyle name="Comma 6 5 11 2" xfId="16877"/>
    <cellStyle name="Comma 6 5 12" xfId="13450"/>
    <cellStyle name="Comma 6 5 2" xfId="472"/>
    <cellStyle name="Comma 6 5 2 10" xfId="13507"/>
    <cellStyle name="Comma 6 5 2 2" xfId="926"/>
    <cellStyle name="Comma 6 5 2 2 2" xfId="2061"/>
    <cellStyle name="Comma 6 5 2 2 2 2" xfId="5481"/>
    <cellStyle name="Comma 6 5 2 2 2 2 2" xfId="11930"/>
    <cellStyle name="Comma 6 5 2 2 2 2 2 2" xfId="18469"/>
    <cellStyle name="Comma 6 5 2 2 2 2 3" xfId="15617"/>
    <cellStyle name="Comma 6 5 2 2 2 3" xfId="7753"/>
    <cellStyle name="Comma 6 5 2 2 2 3 2" xfId="12501"/>
    <cellStyle name="Comma 6 5 2 2 2 3 2 2" xfId="19040"/>
    <cellStyle name="Comma 6 5 2 2 2 3 3" xfId="16188"/>
    <cellStyle name="Comma 6 5 2 2 2 4" xfId="10025"/>
    <cellStyle name="Comma 6 5 2 2 2 4 2" xfId="13072"/>
    <cellStyle name="Comma 6 5 2 2 2 4 2 2" xfId="19611"/>
    <cellStyle name="Comma 6 5 2 2 2 4 3" xfId="16759"/>
    <cellStyle name="Comma 6 5 2 2 2 5" xfId="3402"/>
    <cellStyle name="Comma 6 5 2 2 2 5 2" xfId="11359"/>
    <cellStyle name="Comma 6 5 2 2 2 5 2 2" xfId="17898"/>
    <cellStyle name="Comma 6 5 2 2 2 5 3" xfId="15046"/>
    <cellStyle name="Comma 6 5 2 2 2 6" xfId="2825"/>
    <cellStyle name="Comma 6 5 2 2 2 6 2" xfId="14473"/>
    <cellStyle name="Comma 6 5 2 2 2 7" xfId="10786"/>
    <cellStyle name="Comma 6 5 2 2 2 7 2" xfId="17325"/>
    <cellStyle name="Comma 6 5 2 2 2 8" xfId="13906"/>
    <cellStyle name="Comma 6 5 2 2 3" xfId="4346"/>
    <cellStyle name="Comma 6 5 2 2 3 2" xfId="11645"/>
    <cellStyle name="Comma 6 5 2 2 3 2 2" xfId="18184"/>
    <cellStyle name="Comma 6 5 2 2 3 3" xfId="15332"/>
    <cellStyle name="Comma 6 5 2 2 4" xfId="6618"/>
    <cellStyle name="Comma 6 5 2 2 4 2" xfId="12216"/>
    <cellStyle name="Comma 6 5 2 2 4 2 2" xfId="18755"/>
    <cellStyle name="Comma 6 5 2 2 4 3" xfId="15903"/>
    <cellStyle name="Comma 6 5 2 2 5" xfId="8890"/>
    <cellStyle name="Comma 6 5 2 2 5 2" xfId="12787"/>
    <cellStyle name="Comma 6 5 2 2 5 2 2" xfId="19326"/>
    <cellStyle name="Comma 6 5 2 2 5 3" xfId="16474"/>
    <cellStyle name="Comma 6 5 2 2 6" xfId="3117"/>
    <cellStyle name="Comma 6 5 2 2 6 2" xfId="11074"/>
    <cellStyle name="Comma 6 5 2 2 6 2 2" xfId="17613"/>
    <cellStyle name="Comma 6 5 2 2 6 3" xfId="14761"/>
    <cellStyle name="Comma 6 5 2 2 7" xfId="2545"/>
    <cellStyle name="Comma 6 5 2 2 7 2" xfId="14193"/>
    <cellStyle name="Comma 6 5 2 2 8" xfId="10506"/>
    <cellStyle name="Comma 6 5 2 2 8 2" xfId="17045"/>
    <cellStyle name="Comma 6 5 2 2 9" xfId="13621"/>
    <cellStyle name="Comma 6 5 2 3" xfId="1607"/>
    <cellStyle name="Comma 6 5 2 3 2" xfId="5027"/>
    <cellStyle name="Comma 6 5 2 3 2 2" xfId="11816"/>
    <cellStyle name="Comma 6 5 2 3 2 2 2" xfId="18355"/>
    <cellStyle name="Comma 6 5 2 3 2 3" xfId="15503"/>
    <cellStyle name="Comma 6 5 2 3 3" xfId="7299"/>
    <cellStyle name="Comma 6 5 2 3 3 2" xfId="12387"/>
    <cellStyle name="Comma 6 5 2 3 3 2 2" xfId="18926"/>
    <cellStyle name="Comma 6 5 2 3 3 3" xfId="16074"/>
    <cellStyle name="Comma 6 5 2 3 4" xfId="9571"/>
    <cellStyle name="Comma 6 5 2 3 4 2" xfId="12958"/>
    <cellStyle name="Comma 6 5 2 3 4 2 2" xfId="19497"/>
    <cellStyle name="Comma 6 5 2 3 4 3" xfId="16645"/>
    <cellStyle name="Comma 6 5 2 3 5" xfId="3288"/>
    <cellStyle name="Comma 6 5 2 3 5 2" xfId="11245"/>
    <cellStyle name="Comma 6 5 2 3 5 2 2" xfId="17784"/>
    <cellStyle name="Comma 6 5 2 3 5 3" xfId="14932"/>
    <cellStyle name="Comma 6 5 2 3 6" xfId="2713"/>
    <cellStyle name="Comma 6 5 2 3 6 2" xfId="14361"/>
    <cellStyle name="Comma 6 5 2 3 7" xfId="10674"/>
    <cellStyle name="Comma 6 5 2 3 7 2" xfId="17213"/>
    <cellStyle name="Comma 6 5 2 3 8" xfId="13792"/>
    <cellStyle name="Comma 6 5 2 4" xfId="3892"/>
    <cellStyle name="Comma 6 5 2 4 2" xfId="11531"/>
    <cellStyle name="Comma 6 5 2 4 2 2" xfId="18070"/>
    <cellStyle name="Comma 6 5 2 4 3" xfId="15218"/>
    <cellStyle name="Comma 6 5 2 5" xfId="6164"/>
    <cellStyle name="Comma 6 5 2 5 2" xfId="12102"/>
    <cellStyle name="Comma 6 5 2 5 2 2" xfId="18641"/>
    <cellStyle name="Comma 6 5 2 5 3" xfId="15789"/>
    <cellStyle name="Comma 6 5 2 6" xfId="8436"/>
    <cellStyle name="Comma 6 5 2 6 2" xfId="12673"/>
    <cellStyle name="Comma 6 5 2 6 2 2" xfId="19212"/>
    <cellStyle name="Comma 6 5 2 6 3" xfId="16360"/>
    <cellStyle name="Comma 6 5 2 7" xfId="3003"/>
    <cellStyle name="Comma 6 5 2 7 2" xfId="10960"/>
    <cellStyle name="Comma 6 5 2 7 2 2" xfId="17499"/>
    <cellStyle name="Comma 6 5 2 7 3" xfId="14647"/>
    <cellStyle name="Comma 6 5 2 8" xfId="2433"/>
    <cellStyle name="Comma 6 5 2 8 2" xfId="14081"/>
    <cellStyle name="Comma 6 5 2 9" xfId="10394"/>
    <cellStyle name="Comma 6 5 2 9 2" xfId="16933"/>
    <cellStyle name="Comma 6 5 3" xfId="1153"/>
    <cellStyle name="Comma 6 5 3 2" xfId="2288"/>
    <cellStyle name="Comma 6 5 3 2 2" xfId="5708"/>
    <cellStyle name="Comma 6 5 3 2 2 2" xfId="11987"/>
    <cellStyle name="Comma 6 5 3 2 2 2 2" xfId="18526"/>
    <cellStyle name="Comma 6 5 3 2 2 3" xfId="15674"/>
    <cellStyle name="Comma 6 5 3 2 3" xfId="7980"/>
    <cellStyle name="Comma 6 5 3 2 3 2" xfId="12558"/>
    <cellStyle name="Comma 6 5 3 2 3 2 2" xfId="19097"/>
    <cellStyle name="Comma 6 5 3 2 3 3" xfId="16245"/>
    <cellStyle name="Comma 6 5 3 2 4" xfId="10252"/>
    <cellStyle name="Comma 6 5 3 2 4 2" xfId="13129"/>
    <cellStyle name="Comma 6 5 3 2 4 2 2" xfId="19668"/>
    <cellStyle name="Comma 6 5 3 2 4 3" xfId="16816"/>
    <cellStyle name="Comma 6 5 3 2 5" xfId="3459"/>
    <cellStyle name="Comma 6 5 3 2 5 2" xfId="11416"/>
    <cellStyle name="Comma 6 5 3 2 5 2 2" xfId="17955"/>
    <cellStyle name="Comma 6 5 3 2 5 3" xfId="15103"/>
    <cellStyle name="Comma 6 5 3 2 6" xfId="2881"/>
    <cellStyle name="Comma 6 5 3 2 6 2" xfId="14529"/>
    <cellStyle name="Comma 6 5 3 2 7" xfId="10842"/>
    <cellStyle name="Comma 6 5 3 2 7 2" xfId="17381"/>
    <cellStyle name="Comma 6 5 3 2 8" xfId="13963"/>
    <cellStyle name="Comma 6 5 3 3" xfId="4573"/>
    <cellStyle name="Comma 6 5 3 3 2" xfId="11702"/>
    <cellStyle name="Comma 6 5 3 3 2 2" xfId="18241"/>
    <cellStyle name="Comma 6 5 3 3 3" xfId="15389"/>
    <cellStyle name="Comma 6 5 3 4" xfId="6845"/>
    <cellStyle name="Comma 6 5 3 4 2" xfId="12273"/>
    <cellStyle name="Comma 6 5 3 4 2 2" xfId="18812"/>
    <cellStyle name="Comma 6 5 3 4 3" xfId="15960"/>
    <cellStyle name="Comma 6 5 3 5" xfId="9117"/>
    <cellStyle name="Comma 6 5 3 5 2" xfId="12844"/>
    <cellStyle name="Comma 6 5 3 5 2 2" xfId="19383"/>
    <cellStyle name="Comma 6 5 3 5 3" xfId="16531"/>
    <cellStyle name="Comma 6 5 3 6" xfId="3174"/>
    <cellStyle name="Comma 6 5 3 6 2" xfId="11131"/>
    <cellStyle name="Comma 6 5 3 6 2 2" xfId="17670"/>
    <cellStyle name="Comma 6 5 3 6 3" xfId="14818"/>
    <cellStyle name="Comma 6 5 3 7" xfId="2601"/>
    <cellStyle name="Comma 6 5 3 7 2" xfId="14249"/>
    <cellStyle name="Comma 6 5 3 8" xfId="10562"/>
    <cellStyle name="Comma 6 5 3 8 2" xfId="17101"/>
    <cellStyle name="Comma 6 5 3 9" xfId="13678"/>
    <cellStyle name="Comma 6 5 4" xfId="699"/>
    <cellStyle name="Comma 6 5 4 2" xfId="1834"/>
    <cellStyle name="Comma 6 5 4 2 2" xfId="5254"/>
    <cellStyle name="Comma 6 5 4 2 2 2" xfId="11873"/>
    <cellStyle name="Comma 6 5 4 2 2 2 2" xfId="18412"/>
    <cellStyle name="Comma 6 5 4 2 2 3" xfId="15560"/>
    <cellStyle name="Comma 6 5 4 2 3" xfId="7526"/>
    <cellStyle name="Comma 6 5 4 2 3 2" xfId="12444"/>
    <cellStyle name="Comma 6 5 4 2 3 2 2" xfId="18983"/>
    <cellStyle name="Comma 6 5 4 2 3 3" xfId="16131"/>
    <cellStyle name="Comma 6 5 4 2 4" xfId="9798"/>
    <cellStyle name="Comma 6 5 4 2 4 2" xfId="13015"/>
    <cellStyle name="Comma 6 5 4 2 4 2 2" xfId="19554"/>
    <cellStyle name="Comma 6 5 4 2 4 3" xfId="16702"/>
    <cellStyle name="Comma 6 5 4 2 5" xfId="3345"/>
    <cellStyle name="Comma 6 5 4 2 5 2" xfId="11302"/>
    <cellStyle name="Comma 6 5 4 2 5 2 2" xfId="17841"/>
    <cellStyle name="Comma 6 5 4 2 5 3" xfId="14989"/>
    <cellStyle name="Comma 6 5 4 2 6" xfId="2769"/>
    <cellStyle name="Comma 6 5 4 2 6 2" xfId="14417"/>
    <cellStyle name="Comma 6 5 4 2 7" xfId="10730"/>
    <cellStyle name="Comma 6 5 4 2 7 2" xfId="17269"/>
    <cellStyle name="Comma 6 5 4 2 8" xfId="13849"/>
    <cellStyle name="Comma 6 5 4 3" xfId="4119"/>
    <cellStyle name="Comma 6 5 4 3 2" xfId="11588"/>
    <cellStyle name="Comma 6 5 4 3 2 2" xfId="18127"/>
    <cellStyle name="Comma 6 5 4 3 3" xfId="15275"/>
    <cellStyle name="Comma 6 5 4 4" xfId="6391"/>
    <cellStyle name="Comma 6 5 4 4 2" xfId="12159"/>
    <cellStyle name="Comma 6 5 4 4 2 2" xfId="18698"/>
    <cellStyle name="Comma 6 5 4 4 3" xfId="15846"/>
    <cellStyle name="Comma 6 5 4 5" xfId="8663"/>
    <cellStyle name="Comma 6 5 4 5 2" xfId="12730"/>
    <cellStyle name="Comma 6 5 4 5 2 2" xfId="19269"/>
    <cellStyle name="Comma 6 5 4 5 3" xfId="16417"/>
    <cellStyle name="Comma 6 5 4 6" xfId="3060"/>
    <cellStyle name="Comma 6 5 4 6 2" xfId="11017"/>
    <cellStyle name="Comma 6 5 4 6 2 2" xfId="17556"/>
    <cellStyle name="Comma 6 5 4 6 3" xfId="14704"/>
    <cellStyle name="Comma 6 5 4 7" xfId="2489"/>
    <cellStyle name="Comma 6 5 4 7 2" xfId="14137"/>
    <cellStyle name="Comma 6 5 4 8" xfId="10450"/>
    <cellStyle name="Comma 6 5 4 8 2" xfId="16989"/>
    <cellStyle name="Comma 6 5 4 9" xfId="13564"/>
    <cellStyle name="Comma 6 5 5" xfId="1380"/>
    <cellStyle name="Comma 6 5 5 2" xfId="4800"/>
    <cellStyle name="Comma 6 5 5 2 2" xfId="11759"/>
    <cellStyle name="Comma 6 5 5 2 2 2" xfId="18298"/>
    <cellStyle name="Comma 6 5 5 2 3" xfId="15446"/>
    <cellStyle name="Comma 6 5 5 3" xfId="7072"/>
    <cellStyle name="Comma 6 5 5 3 2" xfId="12330"/>
    <cellStyle name="Comma 6 5 5 3 2 2" xfId="18869"/>
    <cellStyle name="Comma 6 5 5 3 3" xfId="16017"/>
    <cellStyle name="Comma 6 5 5 4" xfId="9344"/>
    <cellStyle name="Comma 6 5 5 4 2" xfId="12901"/>
    <cellStyle name="Comma 6 5 5 4 2 2" xfId="19440"/>
    <cellStyle name="Comma 6 5 5 4 3" xfId="16588"/>
    <cellStyle name="Comma 6 5 5 5" xfId="3231"/>
    <cellStyle name="Comma 6 5 5 5 2" xfId="11188"/>
    <cellStyle name="Comma 6 5 5 5 2 2" xfId="17727"/>
    <cellStyle name="Comma 6 5 5 5 3" xfId="14875"/>
    <cellStyle name="Comma 6 5 5 6" xfId="2657"/>
    <cellStyle name="Comma 6 5 5 6 2" xfId="14305"/>
    <cellStyle name="Comma 6 5 5 7" xfId="10618"/>
    <cellStyle name="Comma 6 5 5 7 2" xfId="17157"/>
    <cellStyle name="Comma 6 5 5 8" xfId="13735"/>
    <cellStyle name="Comma 6 5 6" xfId="3665"/>
    <cellStyle name="Comma 6 5 6 2" xfId="11474"/>
    <cellStyle name="Comma 6 5 6 2 2" xfId="18013"/>
    <cellStyle name="Comma 6 5 6 3" xfId="15161"/>
    <cellStyle name="Comma 6 5 7" xfId="5937"/>
    <cellStyle name="Comma 6 5 7 2" xfId="12045"/>
    <cellStyle name="Comma 6 5 7 2 2" xfId="18584"/>
    <cellStyle name="Comma 6 5 7 3" xfId="15732"/>
    <cellStyle name="Comma 6 5 8" xfId="8209"/>
    <cellStyle name="Comma 6 5 8 2" xfId="12616"/>
    <cellStyle name="Comma 6 5 8 2 2" xfId="19155"/>
    <cellStyle name="Comma 6 5 8 3" xfId="16303"/>
    <cellStyle name="Comma 6 5 9" xfId="2946"/>
    <cellStyle name="Comma 6 5 9 2" xfId="10903"/>
    <cellStyle name="Comma 6 5 9 2 2" xfId="17442"/>
    <cellStyle name="Comma 6 5 9 3" xfId="14590"/>
    <cellStyle name="Comma 6 6" xfId="301"/>
    <cellStyle name="Comma 6 6 10" xfId="13464"/>
    <cellStyle name="Comma 6 6 2" xfId="755"/>
    <cellStyle name="Comma 6 6 2 2" xfId="1890"/>
    <cellStyle name="Comma 6 6 2 2 2" xfId="5310"/>
    <cellStyle name="Comma 6 6 2 2 2 2" xfId="11887"/>
    <cellStyle name="Comma 6 6 2 2 2 2 2" xfId="18426"/>
    <cellStyle name="Comma 6 6 2 2 2 3" xfId="15574"/>
    <cellStyle name="Comma 6 6 2 2 3" xfId="7582"/>
    <cellStyle name="Comma 6 6 2 2 3 2" xfId="12458"/>
    <cellStyle name="Comma 6 6 2 2 3 2 2" xfId="18997"/>
    <cellStyle name="Comma 6 6 2 2 3 3" xfId="16145"/>
    <cellStyle name="Comma 6 6 2 2 4" xfId="9854"/>
    <cellStyle name="Comma 6 6 2 2 4 2" xfId="13029"/>
    <cellStyle name="Comma 6 6 2 2 4 2 2" xfId="19568"/>
    <cellStyle name="Comma 6 6 2 2 4 3" xfId="16716"/>
    <cellStyle name="Comma 6 6 2 2 5" xfId="3359"/>
    <cellStyle name="Comma 6 6 2 2 5 2" xfId="11316"/>
    <cellStyle name="Comma 6 6 2 2 5 2 2" xfId="17855"/>
    <cellStyle name="Comma 6 6 2 2 5 3" xfId="15003"/>
    <cellStyle name="Comma 6 6 2 2 6" xfId="2783"/>
    <cellStyle name="Comma 6 6 2 2 6 2" xfId="14431"/>
    <cellStyle name="Comma 6 6 2 2 7" xfId="10744"/>
    <cellStyle name="Comma 6 6 2 2 7 2" xfId="17283"/>
    <cellStyle name="Comma 6 6 2 2 8" xfId="13863"/>
    <cellStyle name="Comma 6 6 2 3" xfId="4175"/>
    <cellStyle name="Comma 6 6 2 3 2" xfId="11602"/>
    <cellStyle name="Comma 6 6 2 3 2 2" xfId="18141"/>
    <cellStyle name="Comma 6 6 2 3 3" xfId="15289"/>
    <cellStyle name="Comma 6 6 2 4" xfId="6447"/>
    <cellStyle name="Comma 6 6 2 4 2" xfId="12173"/>
    <cellStyle name="Comma 6 6 2 4 2 2" xfId="18712"/>
    <cellStyle name="Comma 6 6 2 4 3" xfId="15860"/>
    <cellStyle name="Comma 6 6 2 5" xfId="8719"/>
    <cellStyle name="Comma 6 6 2 5 2" xfId="12744"/>
    <cellStyle name="Comma 6 6 2 5 2 2" xfId="19283"/>
    <cellStyle name="Comma 6 6 2 5 3" xfId="16431"/>
    <cellStyle name="Comma 6 6 2 6" xfId="3074"/>
    <cellStyle name="Comma 6 6 2 6 2" xfId="11031"/>
    <cellStyle name="Comma 6 6 2 6 2 2" xfId="17570"/>
    <cellStyle name="Comma 6 6 2 6 3" xfId="14718"/>
    <cellStyle name="Comma 6 6 2 7" xfId="2503"/>
    <cellStyle name="Comma 6 6 2 7 2" xfId="14151"/>
    <cellStyle name="Comma 6 6 2 8" xfId="10464"/>
    <cellStyle name="Comma 6 6 2 8 2" xfId="17003"/>
    <cellStyle name="Comma 6 6 2 9" xfId="13578"/>
    <cellStyle name="Comma 6 6 3" xfId="1436"/>
    <cellStyle name="Comma 6 6 3 2" xfId="4856"/>
    <cellStyle name="Comma 6 6 3 2 2" xfId="11773"/>
    <cellStyle name="Comma 6 6 3 2 2 2" xfId="18312"/>
    <cellStyle name="Comma 6 6 3 2 3" xfId="15460"/>
    <cellStyle name="Comma 6 6 3 3" xfId="7128"/>
    <cellStyle name="Comma 6 6 3 3 2" xfId="12344"/>
    <cellStyle name="Comma 6 6 3 3 2 2" xfId="18883"/>
    <cellStyle name="Comma 6 6 3 3 3" xfId="16031"/>
    <cellStyle name="Comma 6 6 3 4" xfId="9400"/>
    <cellStyle name="Comma 6 6 3 4 2" xfId="12915"/>
    <cellStyle name="Comma 6 6 3 4 2 2" xfId="19454"/>
    <cellStyle name="Comma 6 6 3 4 3" xfId="16602"/>
    <cellStyle name="Comma 6 6 3 5" xfId="3245"/>
    <cellStyle name="Comma 6 6 3 5 2" xfId="11202"/>
    <cellStyle name="Comma 6 6 3 5 2 2" xfId="17741"/>
    <cellStyle name="Comma 6 6 3 5 3" xfId="14889"/>
    <cellStyle name="Comma 6 6 3 6" xfId="2671"/>
    <cellStyle name="Comma 6 6 3 6 2" xfId="14319"/>
    <cellStyle name="Comma 6 6 3 7" xfId="10632"/>
    <cellStyle name="Comma 6 6 3 7 2" xfId="17171"/>
    <cellStyle name="Comma 6 6 3 8" xfId="13749"/>
    <cellStyle name="Comma 6 6 4" xfId="3721"/>
    <cellStyle name="Comma 6 6 4 2" xfId="11488"/>
    <cellStyle name="Comma 6 6 4 2 2" xfId="18027"/>
    <cellStyle name="Comma 6 6 4 3" xfId="15175"/>
    <cellStyle name="Comma 6 6 5" xfId="5993"/>
    <cellStyle name="Comma 6 6 5 2" xfId="12059"/>
    <cellStyle name="Comma 6 6 5 2 2" xfId="18598"/>
    <cellStyle name="Comma 6 6 5 3" xfId="15746"/>
    <cellStyle name="Comma 6 6 6" xfId="8265"/>
    <cellStyle name="Comma 6 6 6 2" xfId="12630"/>
    <cellStyle name="Comma 6 6 6 2 2" xfId="19169"/>
    <cellStyle name="Comma 6 6 6 3" xfId="16317"/>
    <cellStyle name="Comma 6 6 7" xfId="2960"/>
    <cellStyle name="Comma 6 6 7 2" xfId="10917"/>
    <cellStyle name="Comma 6 6 7 2 2" xfId="17456"/>
    <cellStyle name="Comma 6 6 7 3" xfId="14604"/>
    <cellStyle name="Comma 6 6 8" xfId="2391"/>
    <cellStyle name="Comma 6 6 8 2" xfId="14039"/>
    <cellStyle name="Comma 6 6 9" xfId="10352"/>
    <cellStyle name="Comma 6 6 9 2" xfId="16891"/>
    <cellStyle name="Comma 6 7" xfId="982"/>
    <cellStyle name="Comma 6 7 2" xfId="2117"/>
    <cellStyle name="Comma 6 7 2 2" xfId="5537"/>
    <cellStyle name="Comma 6 7 2 2 2" xfId="11944"/>
    <cellStyle name="Comma 6 7 2 2 2 2" xfId="18483"/>
    <cellStyle name="Comma 6 7 2 2 3" xfId="15631"/>
    <cellStyle name="Comma 6 7 2 3" xfId="7809"/>
    <cellStyle name="Comma 6 7 2 3 2" xfId="12515"/>
    <cellStyle name="Comma 6 7 2 3 2 2" xfId="19054"/>
    <cellStyle name="Comma 6 7 2 3 3" xfId="16202"/>
    <cellStyle name="Comma 6 7 2 4" xfId="10081"/>
    <cellStyle name="Comma 6 7 2 4 2" xfId="13086"/>
    <cellStyle name="Comma 6 7 2 4 2 2" xfId="19625"/>
    <cellStyle name="Comma 6 7 2 4 3" xfId="16773"/>
    <cellStyle name="Comma 6 7 2 5" xfId="3416"/>
    <cellStyle name="Comma 6 7 2 5 2" xfId="11373"/>
    <cellStyle name="Comma 6 7 2 5 2 2" xfId="17912"/>
    <cellStyle name="Comma 6 7 2 5 3" xfId="15060"/>
    <cellStyle name="Comma 6 7 2 6" xfId="2839"/>
    <cellStyle name="Comma 6 7 2 6 2" xfId="14487"/>
    <cellStyle name="Comma 6 7 2 7" xfId="10800"/>
    <cellStyle name="Comma 6 7 2 7 2" xfId="17339"/>
    <cellStyle name="Comma 6 7 2 8" xfId="13920"/>
    <cellStyle name="Comma 6 7 3" xfId="4402"/>
    <cellStyle name="Comma 6 7 3 2" xfId="11659"/>
    <cellStyle name="Comma 6 7 3 2 2" xfId="18198"/>
    <cellStyle name="Comma 6 7 3 3" xfId="15346"/>
    <cellStyle name="Comma 6 7 4" xfId="6674"/>
    <cellStyle name="Comma 6 7 4 2" xfId="12230"/>
    <cellStyle name="Comma 6 7 4 2 2" xfId="18769"/>
    <cellStyle name="Comma 6 7 4 3" xfId="15917"/>
    <cellStyle name="Comma 6 7 5" xfId="8946"/>
    <cellStyle name="Comma 6 7 5 2" xfId="12801"/>
    <cellStyle name="Comma 6 7 5 2 2" xfId="19340"/>
    <cellStyle name="Comma 6 7 5 3" xfId="16488"/>
    <cellStyle name="Comma 6 7 6" xfId="3131"/>
    <cellStyle name="Comma 6 7 6 2" xfId="11088"/>
    <cellStyle name="Comma 6 7 6 2 2" xfId="17627"/>
    <cellStyle name="Comma 6 7 6 3" xfId="14775"/>
    <cellStyle name="Comma 6 7 7" xfId="2559"/>
    <cellStyle name="Comma 6 7 7 2" xfId="14207"/>
    <cellStyle name="Comma 6 7 8" xfId="10520"/>
    <cellStyle name="Comma 6 7 8 2" xfId="17059"/>
    <cellStyle name="Comma 6 7 9" xfId="13635"/>
    <cellStyle name="Comma 6 8" xfId="528"/>
    <cellStyle name="Comma 6 8 2" xfId="1663"/>
    <cellStyle name="Comma 6 8 2 2" xfId="5083"/>
    <cellStyle name="Comma 6 8 2 2 2" xfId="11830"/>
    <cellStyle name="Comma 6 8 2 2 2 2" xfId="18369"/>
    <cellStyle name="Comma 6 8 2 2 3" xfId="15517"/>
    <cellStyle name="Comma 6 8 2 3" xfId="7355"/>
    <cellStyle name="Comma 6 8 2 3 2" xfId="12401"/>
    <cellStyle name="Comma 6 8 2 3 2 2" xfId="18940"/>
    <cellStyle name="Comma 6 8 2 3 3" xfId="16088"/>
    <cellStyle name="Comma 6 8 2 4" xfId="9627"/>
    <cellStyle name="Comma 6 8 2 4 2" xfId="12972"/>
    <cellStyle name="Comma 6 8 2 4 2 2" xfId="19511"/>
    <cellStyle name="Comma 6 8 2 4 3" xfId="16659"/>
    <cellStyle name="Comma 6 8 2 5" xfId="3302"/>
    <cellStyle name="Comma 6 8 2 5 2" xfId="11259"/>
    <cellStyle name="Comma 6 8 2 5 2 2" xfId="17798"/>
    <cellStyle name="Comma 6 8 2 5 3" xfId="14946"/>
    <cellStyle name="Comma 6 8 2 6" xfId="2727"/>
    <cellStyle name="Comma 6 8 2 6 2" xfId="14375"/>
    <cellStyle name="Comma 6 8 2 7" xfId="10688"/>
    <cellStyle name="Comma 6 8 2 7 2" xfId="17227"/>
    <cellStyle name="Comma 6 8 2 8" xfId="13806"/>
    <cellStyle name="Comma 6 8 3" xfId="3948"/>
    <cellStyle name="Comma 6 8 3 2" xfId="11545"/>
    <cellStyle name="Comma 6 8 3 2 2" xfId="18084"/>
    <cellStyle name="Comma 6 8 3 3" xfId="15232"/>
    <cellStyle name="Comma 6 8 4" xfId="6220"/>
    <cellStyle name="Comma 6 8 4 2" xfId="12116"/>
    <cellStyle name="Comma 6 8 4 2 2" xfId="18655"/>
    <cellStyle name="Comma 6 8 4 3" xfId="15803"/>
    <cellStyle name="Comma 6 8 5" xfId="8492"/>
    <cellStyle name="Comma 6 8 5 2" xfId="12687"/>
    <cellStyle name="Comma 6 8 5 2 2" xfId="19226"/>
    <cellStyle name="Comma 6 8 5 3" xfId="16374"/>
    <cellStyle name="Comma 6 8 6" xfId="3017"/>
    <cellStyle name="Comma 6 8 6 2" xfId="10974"/>
    <cellStyle name="Comma 6 8 6 2 2" xfId="17513"/>
    <cellStyle name="Comma 6 8 6 3" xfId="14661"/>
    <cellStyle name="Comma 6 8 7" xfId="2447"/>
    <cellStyle name="Comma 6 8 7 2" xfId="14095"/>
    <cellStyle name="Comma 6 8 8" xfId="10408"/>
    <cellStyle name="Comma 6 8 8 2" xfId="16947"/>
    <cellStyle name="Comma 6 8 9" xfId="13521"/>
    <cellStyle name="Comma 6 9" xfId="1209"/>
    <cellStyle name="Comma 6 9 2" xfId="4629"/>
    <cellStyle name="Comma 6 9 2 2" xfId="11716"/>
    <cellStyle name="Comma 6 9 2 2 2" xfId="18255"/>
    <cellStyle name="Comma 6 9 2 3" xfId="15403"/>
    <cellStyle name="Comma 6 9 3" xfId="6901"/>
    <cellStyle name="Comma 6 9 3 2" xfId="12287"/>
    <cellStyle name="Comma 6 9 3 2 2" xfId="18826"/>
    <cellStyle name="Comma 6 9 3 3" xfId="15974"/>
    <cellStyle name="Comma 6 9 4" xfId="9173"/>
    <cellStyle name="Comma 6 9 4 2" xfId="12858"/>
    <cellStyle name="Comma 6 9 4 2 2" xfId="19397"/>
    <cellStyle name="Comma 6 9 4 3" xfId="16545"/>
    <cellStyle name="Comma 6 9 5" xfId="3188"/>
    <cellStyle name="Comma 6 9 5 2" xfId="11145"/>
    <cellStyle name="Comma 6 9 5 2 2" xfId="17684"/>
    <cellStyle name="Comma 6 9 5 3" xfId="14832"/>
    <cellStyle name="Comma 6 9 6" xfId="2615"/>
    <cellStyle name="Comma 6 9 6 2" xfId="14263"/>
    <cellStyle name="Comma 6 9 7" xfId="10576"/>
    <cellStyle name="Comma 6 9 7 2" xfId="17115"/>
    <cellStyle name="Comma 6 9 8" xfId="13692"/>
    <cellStyle name="Comma 60" xfId="19790"/>
    <cellStyle name="Comma 61" xfId="19870"/>
    <cellStyle name="Comma 7" xfId="63"/>
    <cellStyle name="Comma 7 10" xfId="3496"/>
    <cellStyle name="Comma 7 10 2" xfId="11432"/>
    <cellStyle name="Comma 7 10 2 2" xfId="17971"/>
    <cellStyle name="Comma 7 10 3" xfId="15119"/>
    <cellStyle name="Comma 7 11" xfId="5768"/>
    <cellStyle name="Comma 7 11 2" xfId="12003"/>
    <cellStyle name="Comma 7 11 2 2" xfId="18542"/>
    <cellStyle name="Comma 7 11 3" xfId="15690"/>
    <cellStyle name="Comma 7 12" xfId="8040"/>
    <cellStyle name="Comma 7 12 2" xfId="12574"/>
    <cellStyle name="Comma 7 12 2 2" xfId="19113"/>
    <cellStyle name="Comma 7 12 3" xfId="16261"/>
    <cellStyle name="Comma 7 13" xfId="2899"/>
    <cellStyle name="Comma 7 13 2" xfId="10859"/>
    <cellStyle name="Comma 7 13 2 2" xfId="17398"/>
    <cellStyle name="Comma 7 13 3" xfId="14546"/>
    <cellStyle name="Comma 7 14" xfId="2334"/>
    <cellStyle name="Comma 7 14 2" xfId="13982"/>
    <cellStyle name="Comma 7 15" xfId="10295"/>
    <cellStyle name="Comma 7 15 2" xfId="16834"/>
    <cellStyle name="Comma 7 16" xfId="13261"/>
    <cellStyle name="Comma 7 16 2" xfId="19770"/>
    <cellStyle name="Comma 7 17" xfId="13406"/>
    <cellStyle name="Comma 7 18" xfId="19864"/>
    <cellStyle name="Comma 7 19" xfId="20097"/>
    <cellStyle name="Comma 7 2" xfId="93"/>
    <cellStyle name="Comma 7 2 10" xfId="5796"/>
    <cellStyle name="Comma 7 2 10 2" xfId="12010"/>
    <cellStyle name="Comma 7 2 10 2 2" xfId="18549"/>
    <cellStyle name="Comma 7 2 10 3" xfId="15697"/>
    <cellStyle name="Comma 7 2 11" xfId="8068"/>
    <cellStyle name="Comma 7 2 11 2" xfId="12581"/>
    <cellStyle name="Comma 7 2 11 2 2" xfId="19120"/>
    <cellStyle name="Comma 7 2 11 3" xfId="16268"/>
    <cellStyle name="Comma 7 2 12" xfId="2908"/>
    <cellStyle name="Comma 7 2 12 2" xfId="10867"/>
    <cellStyle name="Comma 7 2 12 2 2" xfId="17406"/>
    <cellStyle name="Comma 7 2 12 3" xfId="14554"/>
    <cellStyle name="Comma 7 2 13" xfId="2342"/>
    <cellStyle name="Comma 7 2 13 2" xfId="13990"/>
    <cellStyle name="Comma 7 2 14" xfId="10303"/>
    <cellStyle name="Comma 7 2 14 2" xfId="16842"/>
    <cellStyle name="Comma 7 2 15" xfId="13262"/>
    <cellStyle name="Comma 7 2 15 2" xfId="19771"/>
    <cellStyle name="Comma 7 2 16" xfId="13414"/>
    <cellStyle name="Comma 7 2 17" xfId="19784"/>
    <cellStyle name="Comma 7 2 18" xfId="19865"/>
    <cellStyle name="Comma 7 2 19" xfId="20098"/>
    <cellStyle name="Comma 7 2 2" xfId="205"/>
    <cellStyle name="Comma 7 2 2 10" xfId="2370"/>
    <cellStyle name="Comma 7 2 2 10 2" xfId="14018"/>
    <cellStyle name="Comma 7 2 2 11" xfId="10331"/>
    <cellStyle name="Comma 7 2 2 11 2" xfId="16870"/>
    <cellStyle name="Comma 7 2 2 12" xfId="13442"/>
    <cellStyle name="Comma 7 2 2 2" xfId="443"/>
    <cellStyle name="Comma 7 2 2 2 10" xfId="13500"/>
    <cellStyle name="Comma 7 2 2 2 2" xfId="897"/>
    <cellStyle name="Comma 7 2 2 2 2 2" xfId="2032"/>
    <cellStyle name="Comma 7 2 2 2 2 2 2" xfId="5452"/>
    <cellStyle name="Comma 7 2 2 2 2 2 2 2" xfId="11923"/>
    <cellStyle name="Comma 7 2 2 2 2 2 2 2 2" xfId="18462"/>
    <cellStyle name="Comma 7 2 2 2 2 2 2 3" xfId="15610"/>
    <cellStyle name="Comma 7 2 2 2 2 2 3" xfId="7724"/>
    <cellStyle name="Comma 7 2 2 2 2 2 3 2" xfId="12494"/>
    <cellStyle name="Comma 7 2 2 2 2 2 3 2 2" xfId="19033"/>
    <cellStyle name="Comma 7 2 2 2 2 2 3 3" xfId="16181"/>
    <cellStyle name="Comma 7 2 2 2 2 2 4" xfId="9996"/>
    <cellStyle name="Comma 7 2 2 2 2 2 4 2" xfId="13065"/>
    <cellStyle name="Comma 7 2 2 2 2 2 4 2 2" xfId="19604"/>
    <cellStyle name="Comma 7 2 2 2 2 2 4 3" xfId="16752"/>
    <cellStyle name="Comma 7 2 2 2 2 2 5" xfId="3395"/>
    <cellStyle name="Comma 7 2 2 2 2 2 5 2" xfId="11352"/>
    <cellStyle name="Comma 7 2 2 2 2 2 5 2 2" xfId="17891"/>
    <cellStyle name="Comma 7 2 2 2 2 2 5 3" xfId="15039"/>
    <cellStyle name="Comma 7 2 2 2 2 2 6" xfId="2819"/>
    <cellStyle name="Comma 7 2 2 2 2 2 6 2" xfId="14467"/>
    <cellStyle name="Comma 7 2 2 2 2 2 7" xfId="10780"/>
    <cellStyle name="Comma 7 2 2 2 2 2 7 2" xfId="17319"/>
    <cellStyle name="Comma 7 2 2 2 2 2 8" xfId="13899"/>
    <cellStyle name="Comma 7 2 2 2 2 3" xfId="4317"/>
    <cellStyle name="Comma 7 2 2 2 2 3 2" xfId="11638"/>
    <cellStyle name="Comma 7 2 2 2 2 3 2 2" xfId="18177"/>
    <cellStyle name="Comma 7 2 2 2 2 3 3" xfId="15325"/>
    <cellStyle name="Comma 7 2 2 2 2 4" xfId="6589"/>
    <cellStyle name="Comma 7 2 2 2 2 4 2" xfId="12209"/>
    <cellStyle name="Comma 7 2 2 2 2 4 2 2" xfId="18748"/>
    <cellStyle name="Comma 7 2 2 2 2 4 3" xfId="15896"/>
    <cellStyle name="Comma 7 2 2 2 2 5" xfId="8861"/>
    <cellStyle name="Comma 7 2 2 2 2 5 2" xfId="12780"/>
    <cellStyle name="Comma 7 2 2 2 2 5 2 2" xfId="19319"/>
    <cellStyle name="Comma 7 2 2 2 2 5 3" xfId="16467"/>
    <cellStyle name="Comma 7 2 2 2 2 6" xfId="3110"/>
    <cellStyle name="Comma 7 2 2 2 2 6 2" xfId="11067"/>
    <cellStyle name="Comma 7 2 2 2 2 6 2 2" xfId="17606"/>
    <cellStyle name="Comma 7 2 2 2 2 6 3" xfId="14754"/>
    <cellStyle name="Comma 7 2 2 2 2 7" xfId="2539"/>
    <cellStyle name="Comma 7 2 2 2 2 7 2" xfId="14187"/>
    <cellStyle name="Comma 7 2 2 2 2 8" xfId="10500"/>
    <cellStyle name="Comma 7 2 2 2 2 8 2" xfId="17039"/>
    <cellStyle name="Comma 7 2 2 2 2 9" xfId="13614"/>
    <cellStyle name="Comma 7 2 2 2 3" xfId="1578"/>
    <cellStyle name="Comma 7 2 2 2 3 2" xfId="4998"/>
    <cellStyle name="Comma 7 2 2 2 3 2 2" xfId="11809"/>
    <cellStyle name="Comma 7 2 2 2 3 2 2 2" xfId="18348"/>
    <cellStyle name="Comma 7 2 2 2 3 2 3" xfId="15496"/>
    <cellStyle name="Comma 7 2 2 2 3 3" xfId="7270"/>
    <cellStyle name="Comma 7 2 2 2 3 3 2" xfId="12380"/>
    <cellStyle name="Comma 7 2 2 2 3 3 2 2" xfId="18919"/>
    <cellStyle name="Comma 7 2 2 2 3 3 3" xfId="16067"/>
    <cellStyle name="Comma 7 2 2 2 3 4" xfId="9542"/>
    <cellStyle name="Comma 7 2 2 2 3 4 2" xfId="12951"/>
    <cellStyle name="Comma 7 2 2 2 3 4 2 2" xfId="19490"/>
    <cellStyle name="Comma 7 2 2 2 3 4 3" xfId="16638"/>
    <cellStyle name="Comma 7 2 2 2 3 5" xfId="3281"/>
    <cellStyle name="Comma 7 2 2 2 3 5 2" xfId="11238"/>
    <cellStyle name="Comma 7 2 2 2 3 5 2 2" xfId="17777"/>
    <cellStyle name="Comma 7 2 2 2 3 5 3" xfId="14925"/>
    <cellStyle name="Comma 7 2 2 2 3 6" xfId="2707"/>
    <cellStyle name="Comma 7 2 2 2 3 6 2" xfId="14355"/>
    <cellStyle name="Comma 7 2 2 2 3 7" xfId="10668"/>
    <cellStyle name="Comma 7 2 2 2 3 7 2" xfId="17207"/>
    <cellStyle name="Comma 7 2 2 2 3 8" xfId="13785"/>
    <cellStyle name="Comma 7 2 2 2 4" xfId="3863"/>
    <cellStyle name="Comma 7 2 2 2 4 2" xfId="11524"/>
    <cellStyle name="Comma 7 2 2 2 4 2 2" xfId="18063"/>
    <cellStyle name="Comma 7 2 2 2 4 3" xfId="15211"/>
    <cellStyle name="Comma 7 2 2 2 5" xfId="6135"/>
    <cellStyle name="Comma 7 2 2 2 5 2" xfId="12095"/>
    <cellStyle name="Comma 7 2 2 2 5 2 2" xfId="18634"/>
    <cellStyle name="Comma 7 2 2 2 5 3" xfId="15782"/>
    <cellStyle name="Comma 7 2 2 2 6" xfId="8407"/>
    <cellStyle name="Comma 7 2 2 2 6 2" xfId="12666"/>
    <cellStyle name="Comma 7 2 2 2 6 2 2" xfId="19205"/>
    <cellStyle name="Comma 7 2 2 2 6 3" xfId="16353"/>
    <cellStyle name="Comma 7 2 2 2 7" xfId="2996"/>
    <cellStyle name="Comma 7 2 2 2 7 2" xfId="10953"/>
    <cellStyle name="Comma 7 2 2 2 7 2 2" xfId="17492"/>
    <cellStyle name="Comma 7 2 2 2 7 3" xfId="14640"/>
    <cellStyle name="Comma 7 2 2 2 8" xfId="2427"/>
    <cellStyle name="Comma 7 2 2 2 8 2" xfId="14075"/>
    <cellStyle name="Comma 7 2 2 2 9" xfId="10388"/>
    <cellStyle name="Comma 7 2 2 2 9 2" xfId="16927"/>
    <cellStyle name="Comma 7 2 2 3" xfId="1124"/>
    <cellStyle name="Comma 7 2 2 3 2" xfId="2259"/>
    <cellStyle name="Comma 7 2 2 3 2 2" xfId="5679"/>
    <cellStyle name="Comma 7 2 2 3 2 2 2" xfId="11980"/>
    <cellStyle name="Comma 7 2 2 3 2 2 2 2" xfId="18519"/>
    <cellStyle name="Comma 7 2 2 3 2 2 3" xfId="15667"/>
    <cellStyle name="Comma 7 2 2 3 2 3" xfId="7951"/>
    <cellStyle name="Comma 7 2 2 3 2 3 2" xfId="12551"/>
    <cellStyle name="Comma 7 2 2 3 2 3 2 2" xfId="19090"/>
    <cellStyle name="Comma 7 2 2 3 2 3 3" xfId="16238"/>
    <cellStyle name="Comma 7 2 2 3 2 4" xfId="10223"/>
    <cellStyle name="Comma 7 2 2 3 2 4 2" xfId="13122"/>
    <cellStyle name="Comma 7 2 2 3 2 4 2 2" xfId="19661"/>
    <cellStyle name="Comma 7 2 2 3 2 4 3" xfId="16809"/>
    <cellStyle name="Comma 7 2 2 3 2 5" xfId="3452"/>
    <cellStyle name="Comma 7 2 2 3 2 5 2" xfId="11409"/>
    <cellStyle name="Comma 7 2 2 3 2 5 2 2" xfId="17948"/>
    <cellStyle name="Comma 7 2 2 3 2 5 3" xfId="15096"/>
    <cellStyle name="Comma 7 2 2 3 2 6" xfId="2875"/>
    <cellStyle name="Comma 7 2 2 3 2 6 2" xfId="14523"/>
    <cellStyle name="Comma 7 2 2 3 2 7" xfId="10836"/>
    <cellStyle name="Comma 7 2 2 3 2 7 2" xfId="17375"/>
    <cellStyle name="Comma 7 2 2 3 2 8" xfId="13956"/>
    <cellStyle name="Comma 7 2 2 3 3" xfId="4544"/>
    <cellStyle name="Comma 7 2 2 3 3 2" xfId="11695"/>
    <cellStyle name="Comma 7 2 2 3 3 2 2" xfId="18234"/>
    <cellStyle name="Comma 7 2 2 3 3 3" xfId="15382"/>
    <cellStyle name="Comma 7 2 2 3 4" xfId="6816"/>
    <cellStyle name="Comma 7 2 2 3 4 2" xfId="12266"/>
    <cellStyle name="Comma 7 2 2 3 4 2 2" xfId="18805"/>
    <cellStyle name="Comma 7 2 2 3 4 3" xfId="15953"/>
    <cellStyle name="Comma 7 2 2 3 5" xfId="9088"/>
    <cellStyle name="Comma 7 2 2 3 5 2" xfId="12837"/>
    <cellStyle name="Comma 7 2 2 3 5 2 2" xfId="19376"/>
    <cellStyle name="Comma 7 2 2 3 5 3" xfId="16524"/>
    <cellStyle name="Comma 7 2 2 3 6" xfId="3167"/>
    <cellStyle name="Comma 7 2 2 3 6 2" xfId="11124"/>
    <cellStyle name="Comma 7 2 2 3 6 2 2" xfId="17663"/>
    <cellStyle name="Comma 7 2 2 3 6 3" xfId="14811"/>
    <cellStyle name="Comma 7 2 2 3 7" xfId="2595"/>
    <cellStyle name="Comma 7 2 2 3 7 2" xfId="14243"/>
    <cellStyle name="Comma 7 2 2 3 8" xfId="10556"/>
    <cellStyle name="Comma 7 2 2 3 8 2" xfId="17095"/>
    <cellStyle name="Comma 7 2 2 3 9" xfId="13671"/>
    <cellStyle name="Comma 7 2 2 4" xfId="670"/>
    <cellStyle name="Comma 7 2 2 4 2" xfId="1805"/>
    <cellStyle name="Comma 7 2 2 4 2 2" xfId="5225"/>
    <cellStyle name="Comma 7 2 2 4 2 2 2" xfId="11866"/>
    <cellStyle name="Comma 7 2 2 4 2 2 2 2" xfId="18405"/>
    <cellStyle name="Comma 7 2 2 4 2 2 3" xfId="15553"/>
    <cellStyle name="Comma 7 2 2 4 2 3" xfId="7497"/>
    <cellStyle name="Comma 7 2 2 4 2 3 2" xfId="12437"/>
    <cellStyle name="Comma 7 2 2 4 2 3 2 2" xfId="18976"/>
    <cellStyle name="Comma 7 2 2 4 2 3 3" xfId="16124"/>
    <cellStyle name="Comma 7 2 2 4 2 4" xfId="9769"/>
    <cellStyle name="Comma 7 2 2 4 2 4 2" xfId="13008"/>
    <cellStyle name="Comma 7 2 2 4 2 4 2 2" xfId="19547"/>
    <cellStyle name="Comma 7 2 2 4 2 4 3" xfId="16695"/>
    <cellStyle name="Comma 7 2 2 4 2 5" xfId="3338"/>
    <cellStyle name="Comma 7 2 2 4 2 5 2" xfId="11295"/>
    <cellStyle name="Comma 7 2 2 4 2 5 2 2" xfId="17834"/>
    <cellStyle name="Comma 7 2 2 4 2 5 3" xfId="14982"/>
    <cellStyle name="Comma 7 2 2 4 2 6" xfId="2763"/>
    <cellStyle name="Comma 7 2 2 4 2 6 2" xfId="14411"/>
    <cellStyle name="Comma 7 2 2 4 2 7" xfId="10724"/>
    <cellStyle name="Comma 7 2 2 4 2 7 2" xfId="17263"/>
    <cellStyle name="Comma 7 2 2 4 2 8" xfId="13842"/>
    <cellStyle name="Comma 7 2 2 4 3" xfId="4090"/>
    <cellStyle name="Comma 7 2 2 4 3 2" xfId="11581"/>
    <cellStyle name="Comma 7 2 2 4 3 2 2" xfId="18120"/>
    <cellStyle name="Comma 7 2 2 4 3 3" xfId="15268"/>
    <cellStyle name="Comma 7 2 2 4 4" xfId="6362"/>
    <cellStyle name="Comma 7 2 2 4 4 2" xfId="12152"/>
    <cellStyle name="Comma 7 2 2 4 4 2 2" xfId="18691"/>
    <cellStyle name="Comma 7 2 2 4 4 3" xfId="15839"/>
    <cellStyle name="Comma 7 2 2 4 5" xfId="8634"/>
    <cellStyle name="Comma 7 2 2 4 5 2" xfId="12723"/>
    <cellStyle name="Comma 7 2 2 4 5 2 2" xfId="19262"/>
    <cellStyle name="Comma 7 2 2 4 5 3" xfId="16410"/>
    <cellStyle name="Comma 7 2 2 4 6" xfId="3053"/>
    <cellStyle name="Comma 7 2 2 4 6 2" xfId="11010"/>
    <cellStyle name="Comma 7 2 2 4 6 2 2" xfId="17549"/>
    <cellStyle name="Comma 7 2 2 4 6 3" xfId="14697"/>
    <cellStyle name="Comma 7 2 2 4 7" xfId="2483"/>
    <cellStyle name="Comma 7 2 2 4 7 2" xfId="14131"/>
    <cellStyle name="Comma 7 2 2 4 8" xfId="10444"/>
    <cellStyle name="Comma 7 2 2 4 8 2" xfId="16983"/>
    <cellStyle name="Comma 7 2 2 4 9" xfId="13557"/>
    <cellStyle name="Comma 7 2 2 5" xfId="1351"/>
    <cellStyle name="Comma 7 2 2 5 2" xfId="4771"/>
    <cellStyle name="Comma 7 2 2 5 2 2" xfId="11752"/>
    <cellStyle name="Comma 7 2 2 5 2 2 2" xfId="18291"/>
    <cellStyle name="Comma 7 2 2 5 2 3" xfId="15439"/>
    <cellStyle name="Comma 7 2 2 5 3" xfId="7043"/>
    <cellStyle name="Comma 7 2 2 5 3 2" xfId="12323"/>
    <cellStyle name="Comma 7 2 2 5 3 2 2" xfId="18862"/>
    <cellStyle name="Comma 7 2 2 5 3 3" xfId="16010"/>
    <cellStyle name="Comma 7 2 2 5 4" xfId="9315"/>
    <cellStyle name="Comma 7 2 2 5 4 2" xfId="12894"/>
    <cellStyle name="Comma 7 2 2 5 4 2 2" xfId="19433"/>
    <cellStyle name="Comma 7 2 2 5 4 3" xfId="16581"/>
    <cellStyle name="Comma 7 2 2 5 5" xfId="3224"/>
    <cellStyle name="Comma 7 2 2 5 5 2" xfId="11181"/>
    <cellStyle name="Comma 7 2 2 5 5 2 2" xfId="17720"/>
    <cellStyle name="Comma 7 2 2 5 5 3" xfId="14868"/>
    <cellStyle name="Comma 7 2 2 5 6" xfId="2651"/>
    <cellStyle name="Comma 7 2 2 5 6 2" xfId="14299"/>
    <cellStyle name="Comma 7 2 2 5 7" xfId="10612"/>
    <cellStyle name="Comma 7 2 2 5 7 2" xfId="17151"/>
    <cellStyle name="Comma 7 2 2 5 8" xfId="13728"/>
    <cellStyle name="Comma 7 2 2 6" xfId="3636"/>
    <cellStyle name="Comma 7 2 2 6 2" xfId="11467"/>
    <cellStyle name="Comma 7 2 2 6 2 2" xfId="18006"/>
    <cellStyle name="Comma 7 2 2 6 3" xfId="15154"/>
    <cellStyle name="Comma 7 2 2 7" xfId="5908"/>
    <cellStyle name="Comma 7 2 2 7 2" xfId="12038"/>
    <cellStyle name="Comma 7 2 2 7 2 2" xfId="18577"/>
    <cellStyle name="Comma 7 2 2 7 3" xfId="15725"/>
    <cellStyle name="Comma 7 2 2 8" xfId="8180"/>
    <cellStyle name="Comma 7 2 2 8 2" xfId="12609"/>
    <cellStyle name="Comma 7 2 2 8 2 2" xfId="19148"/>
    <cellStyle name="Comma 7 2 2 8 3" xfId="16296"/>
    <cellStyle name="Comma 7 2 2 9" xfId="2936"/>
    <cellStyle name="Comma 7 2 2 9 2" xfId="10895"/>
    <cellStyle name="Comma 7 2 2 9 2 2" xfId="17434"/>
    <cellStyle name="Comma 7 2 2 9 3" xfId="14582"/>
    <cellStyle name="Comma 7 2 3" xfId="149"/>
    <cellStyle name="Comma 7 2 3 10" xfId="2356"/>
    <cellStyle name="Comma 7 2 3 10 2" xfId="14004"/>
    <cellStyle name="Comma 7 2 3 11" xfId="10317"/>
    <cellStyle name="Comma 7 2 3 11 2" xfId="16856"/>
    <cellStyle name="Comma 7 2 3 12" xfId="13428"/>
    <cellStyle name="Comma 7 2 3 2" xfId="387"/>
    <cellStyle name="Comma 7 2 3 2 10" xfId="13486"/>
    <cellStyle name="Comma 7 2 3 2 2" xfId="841"/>
    <cellStyle name="Comma 7 2 3 2 2 2" xfId="1976"/>
    <cellStyle name="Comma 7 2 3 2 2 2 2" xfId="5396"/>
    <cellStyle name="Comma 7 2 3 2 2 2 2 2" xfId="11909"/>
    <cellStyle name="Comma 7 2 3 2 2 2 2 2 2" xfId="18448"/>
    <cellStyle name="Comma 7 2 3 2 2 2 2 3" xfId="15596"/>
    <cellStyle name="Comma 7 2 3 2 2 2 3" xfId="7668"/>
    <cellStyle name="Comma 7 2 3 2 2 2 3 2" xfId="12480"/>
    <cellStyle name="Comma 7 2 3 2 2 2 3 2 2" xfId="19019"/>
    <cellStyle name="Comma 7 2 3 2 2 2 3 3" xfId="16167"/>
    <cellStyle name="Comma 7 2 3 2 2 2 4" xfId="9940"/>
    <cellStyle name="Comma 7 2 3 2 2 2 4 2" xfId="13051"/>
    <cellStyle name="Comma 7 2 3 2 2 2 4 2 2" xfId="19590"/>
    <cellStyle name="Comma 7 2 3 2 2 2 4 3" xfId="16738"/>
    <cellStyle name="Comma 7 2 3 2 2 2 5" xfId="3381"/>
    <cellStyle name="Comma 7 2 3 2 2 2 5 2" xfId="11338"/>
    <cellStyle name="Comma 7 2 3 2 2 2 5 2 2" xfId="17877"/>
    <cellStyle name="Comma 7 2 3 2 2 2 5 3" xfId="15025"/>
    <cellStyle name="Comma 7 2 3 2 2 2 6" xfId="2805"/>
    <cellStyle name="Comma 7 2 3 2 2 2 6 2" xfId="14453"/>
    <cellStyle name="Comma 7 2 3 2 2 2 7" xfId="10766"/>
    <cellStyle name="Comma 7 2 3 2 2 2 7 2" xfId="17305"/>
    <cellStyle name="Comma 7 2 3 2 2 2 8" xfId="13885"/>
    <cellStyle name="Comma 7 2 3 2 2 3" xfId="4261"/>
    <cellStyle name="Comma 7 2 3 2 2 3 2" xfId="11624"/>
    <cellStyle name="Comma 7 2 3 2 2 3 2 2" xfId="18163"/>
    <cellStyle name="Comma 7 2 3 2 2 3 3" xfId="15311"/>
    <cellStyle name="Comma 7 2 3 2 2 4" xfId="6533"/>
    <cellStyle name="Comma 7 2 3 2 2 4 2" xfId="12195"/>
    <cellStyle name="Comma 7 2 3 2 2 4 2 2" xfId="18734"/>
    <cellStyle name="Comma 7 2 3 2 2 4 3" xfId="15882"/>
    <cellStyle name="Comma 7 2 3 2 2 5" xfId="8805"/>
    <cellStyle name="Comma 7 2 3 2 2 5 2" xfId="12766"/>
    <cellStyle name="Comma 7 2 3 2 2 5 2 2" xfId="19305"/>
    <cellStyle name="Comma 7 2 3 2 2 5 3" xfId="16453"/>
    <cellStyle name="Comma 7 2 3 2 2 6" xfId="3096"/>
    <cellStyle name="Comma 7 2 3 2 2 6 2" xfId="11053"/>
    <cellStyle name="Comma 7 2 3 2 2 6 2 2" xfId="17592"/>
    <cellStyle name="Comma 7 2 3 2 2 6 3" xfId="14740"/>
    <cellStyle name="Comma 7 2 3 2 2 7" xfId="2525"/>
    <cellStyle name="Comma 7 2 3 2 2 7 2" xfId="14173"/>
    <cellStyle name="Comma 7 2 3 2 2 8" xfId="10486"/>
    <cellStyle name="Comma 7 2 3 2 2 8 2" xfId="17025"/>
    <cellStyle name="Comma 7 2 3 2 2 9" xfId="13600"/>
    <cellStyle name="Comma 7 2 3 2 3" xfId="1522"/>
    <cellStyle name="Comma 7 2 3 2 3 2" xfId="4942"/>
    <cellStyle name="Comma 7 2 3 2 3 2 2" xfId="11795"/>
    <cellStyle name="Comma 7 2 3 2 3 2 2 2" xfId="18334"/>
    <cellStyle name="Comma 7 2 3 2 3 2 3" xfId="15482"/>
    <cellStyle name="Comma 7 2 3 2 3 3" xfId="7214"/>
    <cellStyle name="Comma 7 2 3 2 3 3 2" xfId="12366"/>
    <cellStyle name="Comma 7 2 3 2 3 3 2 2" xfId="18905"/>
    <cellStyle name="Comma 7 2 3 2 3 3 3" xfId="16053"/>
    <cellStyle name="Comma 7 2 3 2 3 4" xfId="9486"/>
    <cellStyle name="Comma 7 2 3 2 3 4 2" xfId="12937"/>
    <cellStyle name="Comma 7 2 3 2 3 4 2 2" xfId="19476"/>
    <cellStyle name="Comma 7 2 3 2 3 4 3" xfId="16624"/>
    <cellStyle name="Comma 7 2 3 2 3 5" xfId="3267"/>
    <cellStyle name="Comma 7 2 3 2 3 5 2" xfId="11224"/>
    <cellStyle name="Comma 7 2 3 2 3 5 2 2" xfId="17763"/>
    <cellStyle name="Comma 7 2 3 2 3 5 3" xfId="14911"/>
    <cellStyle name="Comma 7 2 3 2 3 6" xfId="2693"/>
    <cellStyle name="Comma 7 2 3 2 3 6 2" xfId="14341"/>
    <cellStyle name="Comma 7 2 3 2 3 7" xfId="10654"/>
    <cellStyle name="Comma 7 2 3 2 3 7 2" xfId="17193"/>
    <cellStyle name="Comma 7 2 3 2 3 8" xfId="13771"/>
    <cellStyle name="Comma 7 2 3 2 4" xfId="3807"/>
    <cellStyle name="Comma 7 2 3 2 4 2" xfId="11510"/>
    <cellStyle name="Comma 7 2 3 2 4 2 2" xfId="18049"/>
    <cellStyle name="Comma 7 2 3 2 4 3" xfId="15197"/>
    <cellStyle name="Comma 7 2 3 2 5" xfId="6079"/>
    <cellStyle name="Comma 7 2 3 2 5 2" xfId="12081"/>
    <cellStyle name="Comma 7 2 3 2 5 2 2" xfId="18620"/>
    <cellStyle name="Comma 7 2 3 2 5 3" xfId="15768"/>
    <cellStyle name="Comma 7 2 3 2 6" xfId="8351"/>
    <cellStyle name="Comma 7 2 3 2 6 2" xfId="12652"/>
    <cellStyle name="Comma 7 2 3 2 6 2 2" xfId="19191"/>
    <cellStyle name="Comma 7 2 3 2 6 3" xfId="16339"/>
    <cellStyle name="Comma 7 2 3 2 7" xfId="2982"/>
    <cellStyle name="Comma 7 2 3 2 7 2" xfId="10939"/>
    <cellStyle name="Comma 7 2 3 2 7 2 2" xfId="17478"/>
    <cellStyle name="Comma 7 2 3 2 7 3" xfId="14626"/>
    <cellStyle name="Comma 7 2 3 2 8" xfId="2413"/>
    <cellStyle name="Comma 7 2 3 2 8 2" xfId="14061"/>
    <cellStyle name="Comma 7 2 3 2 9" xfId="10374"/>
    <cellStyle name="Comma 7 2 3 2 9 2" xfId="16913"/>
    <cellStyle name="Comma 7 2 3 3" xfId="1068"/>
    <cellStyle name="Comma 7 2 3 3 2" xfId="2203"/>
    <cellStyle name="Comma 7 2 3 3 2 2" xfId="5623"/>
    <cellStyle name="Comma 7 2 3 3 2 2 2" xfId="11966"/>
    <cellStyle name="Comma 7 2 3 3 2 2 2 2" xfId="18505"/>
    <cellStyle name="Comma 7 2 3 3 2 2 3" xfId="15653"/>
    <cellStyle name="Comma 7 2 3 3 2 3" xfId="7895"/>
    <cellStyle name="Comma 7 2 3 3 2 3 2" xfId="12537"/>
    <cellStyle name="Comma 7 2 3 3 2 3 2 2" xfId="19076"/>
    <cellStyle name="Comma 7 2 3 3 2 3 3" xfId="16224"/>
    <cellStyle name="Comma 7 2 3 3 2 4" xfId="10167"/>
    <cellStyle name="Comma 7 2 3 3 2 4 2" xfId="13108"/>
    <cellStyle name="Comma 7 2 3 3 2 4 2 2" xfId="19647"/>
    <cellStyle name="Comma 7 2 3 3 2 4 3" xfId="16795"/>
    <cellStyle name="Comma 7 2 3 3 2 5" xfId="3438"/>
    <cellStyle name="Comma 7 2 3 3 2 5 2" xfId="11395"/>
    <cellStyle name="Comma 7 2 3 3 2 5 2 2" xfId="17934"/>
    <cellStyle name="Comma 7 2 3 3 2 5 3" xfId="15082"/>
    <cellStyle name="Comma 7 2 3 3 2 6" xfId="2861"/>
    <cellStyle name="Comma 7 2 3 3 2 6 2" xfId="14509"/>
    <cellStyle name="Comma 7 2 3 3 2 7" xfId="10822"/>
    <cellStyle name="Comma 7 2 3 3 2 7 2" xfId="17361"/>
    <cellStyle name="Comma 7 2 3 3 2 8" xfId="13942"/>
    <cellStyle name="Comma 7 2 3 3 3" xfId="4488"/>
    <cellStyle name="Comma 7 2 3 3 3 2" xfId="11681"/>
    <cellStyle name="Comma 7 2 3 3 3 2 2" xfId="18220"/>
    <cellStyle name="Comma 7 2 3 3 3 3" xfId="15368"/>
    <cellStyle name="Comma 7 2 3 3 4" xfId="6760"/>
    <cellStyle name="Comma 7 2 3 3 4 2" xfId="12252"/>
    <cellStyle name="Comma 7 2 3 3 4 2 2" xfId="18791"/>
    <cellStyle name="Comma 7 2 3 3 4 3" xfId="15939"/>
    <cellStyle name="Comma 7 2 3 3 5" xfId="9032"/>
    <cellStyle name="Comma 7 2 3 3 5 2" xfId="12823"/>
    <cellStyle name="Comma 7 2 3 3 5 2 2" xfId="19362"/>
    <cellStyle name="Comma 7 2 3 3 5 3" xfId="16510"/>
    <cellStyle name="Comma 7 2 3 3 6" xfId="3153"/>
    <cellStyle name="Comma 7 2 3 3 6 2" xfId="11110"/>
    <cellStyle name="Comma 7 2 3 3 6 2 2" xfId="17649"/>
    <cellStyle name="Comma 7 2 3 3 6 3" xfId="14797"/>
    <cellStyle name="Comma 7 2 3 3 7" xfId="2581"/>
    <cellStyle name="Comma 7 2 3 3 7 2" xfId="14229"/>
    <cellStyle name="Comma 7 2 3 3 8" xfId="10542"/>
    <cellStyle name="Comma 7 2 3 3 8 2" xfId="17081"/>
    <cellStyle name="Comma 7 2 3 3 9" xfId="13657"/>
    <cellStyle name="Comma 7 2 3 4" xfId="614"/>
    <cellStyle name="Comma 7 2 3 4 2" xfId="1749"/>
    <cellStyle name="Comma 7 2 3 4 2 2" xfId="5169"/>
    <cellStyle name="Comma 7 2 3 4 2 2 2" xfId="11852"/>
    <cellStyle name="Comma 7 2 3 4 2 2 2 2" xfId="18391"/>
    <cellStyle name="Comma 7 2 3 4 2 2 3" xfId="15539"/>
    <cellStyle name="Comma 7 2 3 4 2 3" xfId="7441"/>
    <cellStyle name="Comma 7 2 3 4 2 3 2" xfId="12423"/>
    <cellStyle name="Comma 7 2 3 4 2 3 2 2" xfId="18962"/>
    <cellStyle name="Comma 7 2 3 4 2 3 3" xfId="16110"/>
    <cellStyle name="Comma 7 2 3 4 2 4" xfId="9713"/>
    <cellStyle name="Comma 7 2 3 4 2 4 2" xfId="12994"/>
    <cellStyle name="Comma 7 2 3 4 2 4 2 2" xfId="19533"/>
    <cellStyle name="Comma 7 2 3 4 2 4 3" xfId="16681"/>
    <cellStyle name="Comma 7 2 3 4 2 5" xfId="3324"/>
    <cellStyle name="Comma 7 2 3 4 2 5 2" xfId="11281"/>
    <cellStyle name="Comma 7 2 3 4 2 5 2 2" xfId="17820"/>
    <cellStyle name="Comma 7 2 3 4 2 5 3" xfId="14968"/>
    <cellStyle name="Comma 7 2 3 4 2 6" xfId="2749"/>
    <cellStyle name="Comma 7 2 3 4 2 6 2" xfId="14397"/>
    <cellStyle name="Comma 7 2 3 4 2 7" xfId="10710"/>
    <cellStyle name="Comma 7 2 3 4 2 7 2" xfId="17249"/>
    <cellStyle name="Comma 7 2 3 4 2 8" xfId="13828"/>
    <cellStyle name="Comma 7 2 3 4 3" xfId="4034"/>
    <cellStyle name="Comma 7 2 3 4 3 2" xfId="11567"/>
    <cellStyle name="Comma 7 2 3 4 3 2 2" xfId="18106"/>
    <cellStyle name="Comma 7 2 3 4 3 3" xfId="15254"/>
    <cellStyle name="Comma 7 2 3 4 4" xfId="6306"/>
    <cellStyle name="Comma 7 2 3 4 4 2" xfId="12138"/>
    <cellStyle name="Comma 7 2 3 4 4 2 2" xfId="18677"/>
    <cellStyle name="Comma 7 2 3 4 4 3" xfId="15825"/>
    <cellStyle name="Comma 7 2 3 4 5" xfId="8578"/>
    <cellStyle name="Comma 7 2 3 4 5 2" xfId="12709"/>
    <cellStyle name="Comma 7 2 3 4 5 2 2" xfId="19248"/>
    <cellStyle name="Comma 7 2 3 4 5 3" xfId="16396"/>
    <cellStyle name="Comma 7 2 3 4 6" xfId="3039"/>
    <cellStyle name="Comma 7 2 3 4 6 2" xfId="10996"/>
    <cellStyle name="Comma 7 2 3 4 6 2 2" xfId="17535"/>
    <cellStyle name="Comma 7 2 3 4 6 3" xfId="14683"/>
    <cellStyle name="Comma 7 2 3 4 7" xfId="2469"/>
    <cellStyle name="Comma 7 2 3 4 7 2" xfId="14117"/>
    <cellStyle name="Comma 7 2 3 4 8" xfId="10430"/>
    <cellStyle name="Comma 7 2 3 4 8 2" xfId="16969"/>
    <cellStyle name="Comma 7 2 3 4 9" xfId="13543"/>
    <cellStyle name="Comma 7 2 3 5" xfId="1295"/>
    <cellStyle name="Comma 7 2 3 5 2" xfId="4715"/>
    <cellStyle name="Comma 7 2 3 5 2 2" xfId="11738"/>
    <cellStyle name="Comma 7 2 3 5 2 2 2" xfId="18277"/>
    <cellStyle name="Comma 7 2 3 5 2 3" xfId="15425"/>
    <cellStyle name="Comma 7 2 3 5 3" xfId="6987"/>
    <cellStyle name="Comma 7 2 3 5 3 2" xfId="12309"/>
    <cellStyle name="Comma 7 2 3 5 3 2 2" xfId="18848"/>
    <cellStyle name="Comma 7 2 3 5 3 3" xfId="15996"/>
    <cellStyle name="Comma 7 2 3 5 4" xfId="9259"/>
    <cellStyle name="Comma 7 2 3 5 4 2" xfId="12880"/>
    <cellStyle name="Comma 7 2 3 5 4 2 2" xfId="19419"/>
    <cellStyle name="Comma 7 2 3 5 4 3" xfId="16567"/>
    <cellStyle name="Comma 7 2 3 5 5" xfId="3210"/>
    <cellStyle name="Comma 7 2 3 5 5 2" xfId="11167"/>
    <cellStyle name="Comma 7 2 3 5 5 2 2" xfId="17706"/>
    <cellStyle name="Comma 7 2 3 5 5 3" xfId="14854"/>
    <cellStyle name="Comma 7 2 3 5 6" xfId="2637"/>
    <cellStyle name="Comma 7 2 3 5 6 2" xfId="14285"/>
    <cellStyle name="Comma 7 2 3 5 7" xfId="10598"/>
    <cellStyle name="Comma 7 2 3 5 7 2" xfId="17137"/>
    <cellStyle name="Comma 7 2 3 5 8" xfId="13714"/>
    <cellStyle name="Comma 7 2 3 6" xfId="3580"/>
    <cellStyle name="Comma 7 2 3 6 2" xfId="11453"/>
    <cellStyle name="Comma 7 2 3 6 2 2" xfId="17992"/>
    <cellStyle name="Comma 7 2 3 6 3" xfId="15140"/>
    <cellStyle name="Comma 7 2 3 7" xfId="5852"/>
    <cellStyle name="Comma 7 2 3 7 2" xfId="12024"/>
    <cellStyle name="Comma 7 2 3 7 2 2" xfId="18563"/>
    <cellStyle name="Comma 7 2 3 7 3" xfId="15711"/>
    <cellStyle name="Comma 7 2 3 8" xfId="8124"/>
    <cellStyle name="Comma 7 2 3 8 2" xfId="12595"/>
    <cellStyle name="Comma 7 2 3 8 2 2" xfId="19134"/>
    <cellStyle name="Comma 7 2 3 8 3" xfId="16282"/>
    <cellStyle name="Comma 7 2 3 9" xfId="2922"/>
    <cellStyle name="Comma 7 2 3 9 2" xfId="10881"/>
    <cellStyle name="Comma 7 2 3 9 2 2" xfId="17420"/>
    <cellStyle name="Comma 7 2 3 9 3" xfId="14568"/>
    <cellStyle name="Comma 7 2 4" xfId="275"/>
    <cellStyle name="Comma 7 2 4 10" xfId="2385"/>
    <cellStyle name="Comma 7 2 4 10 2" xfId="14033"/>
    <cellStyle name="Comma 7 2 4 11" xfId="10346"/>
    <cellStyle name="Comma 7 2 4 11 2" xfId="16885"/>
    <cellStyle name="Comma 7 2 4 12" xfId="13458"/>
    <cellStyle name="Comma 7 2 4 2" xfId="502"/>
    <cellStyle name="Comma 7 2 4 2 10" xfId="13515"/>
    <cellStyle name="Comma 7 2 4 2 2" xfId="956"/>
    <cellStyle name="Comma 7 2 4 2 2 2" xfId="2091"/>
    <cellStyle name="Comma 7 2 4 2 2 2 2" xfId="5511"/>
    <cellStyle name="Comma 7 2 4 2 2 2 2 2" xfId="11938"/>
    <cellStyle name="Comma 7 2 4 2 2 2 2 2 2" xfId="18477"/>
    <cellStyle name="Comma 7 2 4 2 2 2 2 3" xfId="15625"/>
    <cellStyle name="Comma 7 2 4 2 2 2 3" xfId="7783"/>
    <cellStyle name="Comma 7 2 4 2 2 2 3 2" xfId="12509"/>
    <cellStyle name="Comma 7 2 4 2 2 2 3 2 2" xfId="19048"/>
    <cellStyle name="Comma 7 2 4 2 2 2 3 3" xfId="16196"/>
    <cellStyle name="Comma 7 2 4 2 2 2 4" xfId="10055"/>
    <cellStyle name="Comma 7 2 4 2 2 2 4 2" xfId="13080"/>
    <cellStyle name="Comma 7 2 4 2 2 2 4 2 2" xfId="19619"/>
    <cellStyle name="Comma 7 2 4 2 2 2 4 3" xfId="16767"/>
    <cellStyle name="Comma 7 2 4 2 2 2 5" xfId="3410"/>
    <cellStyle name="Comma 7 2 4 2 2 2 5 2" xfId="11367"/>
    <cellStyle name="Comma 7 2 4 2 2 2 5 2 2" xfId="17906"/>
    <cellStyle name="Comma 7 2 4 2 2 2 5 3" xfId="15054"/>
    <cellStyle name="Comma 7 2 4 2 2 2 6" xfId="2833"/>
    <cellStyle name="Comma 7 2 4 2 2 2 6 2" xfId="14481"/>
    <cellStyle name="Comma 7 2 4 2 2 2 7" xfId="10794"/>
    <cellStyle name="Comma 7 2 4 2 2 2 7 2" xfId="17333"/>
    <cellStyle name="Comma 7 2 4 2 2 2 8" xfId="13914"/>
    <cellStyle name="Comma 7 2 4 2 2 3" xfId="4376"/>
    <cellStyle name="Comma 7 2 4 2 2 3 2" xfId="11653"/>
    <cellStyle name="Comma 7 2 4 2 2 3 2 2" xfId="18192"/>
    <cellStyle name="Comma 7 2 4 2 2 3 3" xfId="15340"/>
    <cellStyle name="Comma 7 2 4 2 2 4" xfId="6648"/>
    <cellStyle name="Comma 7 2 4 2 2 4 2" xfId="12224"/>
    <cellStyle name="Comma 7 2 4 2 2 4 2 2" xfId="18763"/>
    <cellStyle name="Comma 7 2 4 2 2 4 3" xfId="15911"/>
    <cellStyle name="Comma 7 2 4 2 2 5" xfId="8920"/>
    <cellStyle name="Comma 7 2 4 2 2 5 2" xfId="12795"/>
    <cellStyle name="Comma 7 2 4 2 2 5 2 2" xfId="19334"/>
    <cellStyle name="Comma 7 2 4 2 2 5 3" xfId="16482"/>
    <cellStyle name="Comma 7 2 4 2 2 6" xfId="3125"/>
    <cellStyle name="Comma 7 2 4 2 2 6 2" xfId="11082"/>
    <cellStyle name="Comma 7 2 4 2 2 6 2 2" xfId="17621"/>
    <cellStyle name="Comma 7 2 4 2 2 6 3" xfId="14769"/>
    <cellStyle name="Comma 7 2 4 2 2 7" xfId="2553"/>
    <cellStyle name="Comma 7 2 4 2 2 7 2" xfId="14201"/>
    <cellStyle name="Comma 7 2 4 2 2 8" xfId="10514"/>
    <cellStyle name="Comma 7 2 4 2 2 8 2" xfId="17053"/>
    <cellStyle name="Comma 7 2 4 2 2 9" xfId="13629"/>
    <cellStyle name="Comma 7 2 4 2 3" xfId="1637"/>
    <cellStyle name="Comma 7 2 4 2 3 2" xfId="5057"/>
    <cellStyle name="Comma 7 2 4 2 3 2 2" xfId="11824"/>
    <cellStyle name="Comma 7 2 4 2 3 2 2 2" xfId="18363"/>
    <cellStyle name="Comma 7 2 4 2 3 2 3" xfId="15511"/>
    <cellStyle name="Comma 7 2 4 2 3 3" xfId="7329"/>
    <cellStyle name="Comma 7 2 4 2 3 3 2" xfId="12395"/>
    <cellStyle name="Comma 7 2 4 2 3 3 2 2" xfId="18934"/>
    <cellStyle name="Comma 7 2 4 2 3 3 3" xfId="16082"/>
    <cellStyle name="Comma 7 2 4 2 3 4" xfId="9601"/>
    <cellStyle name="Comma 7 2 4 2 3 4 2" xfId="12966"/>
    <cellStyle name="Comma 7 2 4 2 3 4 2 2" xfId="19505"/>
    <cellStyle name="Comma 7 2 4 2 3 4 3" xfId="16653"/>
    <cellStyle name="Comma 7 2 4 2 3 5" xfId="3296"/>
    <cellStyle name="Comma 7 2 4 2 3 5 2" xfId="11253"/>
    <cellStyle name="Comma 7 2 4 2 3 5 2 2" xfId="17792"/>
    <cellStyle name="Comma 7 2 4 2 3 5 3" xfId="14940"/>
    <cellStyle name="Comma 7 2 4 2 3 6" xfId="2721"/>
    <cellStyle name="Comma 7 2 4 2 3 6 2" xfId="14369"/>
    <cellStyle name="Comma 7 2 4 2 3 7" xfId="10682"/>
    <cellStyle name="Comma 7 2 4 2 3 7 2" xfId="17221"/>
    <cellStyle name="Comma 7 2 4 2 3 8" xfId="13800"/>
    <cellStyle name="Comma 7 2 4 2 4" xfId="3922"/>
    <cellStyle name="Comma 7 2 4 2 4 2" xfId="11539"/>
    <cellStyle name="Comma 7 2 4 2 4 2 2" xfId="18078"/>
    <cellStyle name="Comma 7 2 4 2 4 3" xfId="15226"/>
    <cellStyle name="Comma 7 2 4 2 5" xfId="6194"/>
    <cellStyle name="Comma 7 2 4 2 5 2" xfId="12110"/>
    <cellStyle name="Comma 7 2 4 2 5 2 2" xfId="18649"/>
    <cellStyle name="Comma 7 2 4 2 5 3" xfId="15797"/>
    <cellStyle name="Comma 7 2 4 2 6" xfId="8466"/>
    <cellStyle name="Comma 7 2 4 2 6 2" xfId="12681"/>
    <cellStyle name="Comma 7 2 4 2 6 2 2" xfId="19220"/>
    <cellStyle name="Comma 7 2 4 2 6 3" xfId="16368"/>
    <cellStyle name="Comma 7 2 4 2 7" xfId="3011"/>
    <cellStyle name="Comma 7 2 4 2 7 2" xfId="10968"/>
    <cellStyle name="Comma 7 2 4 2 7 2 2" xfId="17507"/>
    <cellStyle name="Comma 7 2 4 2 7 3" xfId="14655"/>
    <cellStyle name="Comma 7 2 4 2 8" xfId="2441"/>
    <cellStyle name="Comma 7 2 4 2 8 2" xfId="14089"/>
    <cellStyle name="Comma 7 2 4 2 9" xfId="10402"/>
    <cellStyle name="Comma 7 2 4 2 9 2" xfId="16941"/>
    <cellStyle name="Comma 7 2 4 3" xfId="1183"/>
    <cellStyle name="Comma 7 2 4 3 2" xfId="2318"/>
    <cellStyle name="Comma 7 2 4 3 2 2" xfId="5738"/>
    <cellStyle name="Comma 7 2 4 3 2 2 2" xfId="11995"/>
    <cellStyle name="Comma 7 2 4 3 2 2 2 2" xfId="18534"/>
    <cellStyle name="Comma 7 2 4 3 2 2 3" xfId="15682"/>
    <cellStyle name="Comma 7 2 4 3 2 3" xfId="8010"/>
    <cellStyle name="Comma 7 2 4 3 2 3 2" xfId="12566"/>
    <cellStyle name="Comma 7 2 4 3 2 3 2 2" xfId="19105"/>
    <cellStyle name="Comma 7 2 4 3 2 3 3" xfId="16253"/>
    <cellStyle name="Comma 7 2 4 3 2 4" xfId="10282"/>
    <cellStyle name="Comma 7 2 4 3 2 4 2" xfId="13137"/>
    <cellStyle name="Comma 7 2 4 3 2 4 2 2" xfId="19676"/>
    <cellStyle name="Comma 7 2 4 3 2 4 3" xfId="16824"/>
    <cellStyle name="Comma 7 2 4 3 2 5" xfId="3467"/>
    <cellStyle name="Comma 7 2 4 3 2 5 2" xfId="11424"/>
    <cellStyle name="Comma 7 2 4 3 2 5 2 2" xfId="17963"/>
    <cellStyle name="Comma 7 2 4 3 2 5 3" xfId="15111"/>
    <cellStyle name="Comma 7 2 4 3 2 6" xfId="2889"/>
    <cellStyle name="Comma 7 2 4 3 2 6 2" xfId="14537"/>
    <cellStyle name="Comma 7 2 4 3 2 7" xfId="10850"/>
    <cellStyle name="Comma 7 2 4 3 2 7 2" xfId="17389"/>
    <cellStyle name="Comma 7 2 4 3 2 8" xfId="13971"/>
    <cellStyle name="Comma 7 2 4 3 3" xfId="4603"/>
    <cellStyle name="Comma 7 2 4 3 3 2" xfId="11710"/>
    <cellStyle name="Comma 7 2 4 3 3 2 2" xfId="18249"/>
    <cellStyle name="Comma 7 2 4 3 3 3" xfId="15397"/>
    <cellStyle name="Comma 7 2 4 3 4" xfId="6875"/>
    <cellStyle name="Comma 7 2 4 3 4 2" xfId="12281"/>
    <cellStyle name="Comma 7 2 4 3 4 2 2" xfId="18820"/>
    <cellStyle name="Comma 7 2 4 3 4 3" xfId="15968"/>
    <cellStyle name="Comma 7 2 4 3 5" xfId="9147"/>
    <cellStyle name="Comma 7 2 4 3 5 2" xfId="12852"/>
    <cellStyle name="Comma 7 2 4 3 5 2 2" xfId="19391"/>
    <cellStyle name="Comma 7 2 4 3 5 3" xfId="16539"/>
    <cellStyle name="Comma 7 2 4 3 6" xfId="3182"/>
    <cellStyle name="Comma 7 2 4 3 6 2" xfId="11139"/>
    <cellStyle name="Comma 7 2 4 3 6 2 2" xfId="17678"/>
    <cellStyle name="Comma 7 2 4 3 6 3" xfId="14826"/>
    <cellStyle name="Comma 7 2 4 3 7" xfId="2609"/>
    <cellStyle name="Comma 7 2 4 3 7 2" xfId="14257"/>
    <cellStyle name="Comma 7 2 4 3 8" xfId="10570"/>
    <cellStyle name="Comma 7 2 4 3 8 2" xfId="17109"/>
    <cellStyle name="Comma 7 2 4 3 9" xfId="13686"/>
    <cellStyle name="Comma 7 2 4 4" xfId="729"/>
    <cellStyle name="Comma 7 2 4 4 2" xfId="1864"/>
    <cellStyle name="Comma 7 2 4 4 2 2" xfId="5284"/>
    <cellStyle name="Comma 7 2 4 4 2 2 2" xfId="11881"/>
    <cellStyle name="Comma 7 2 4 4 2 2 2 2" xfId="18420"/>
    <cellStyle name="Comma 7 2 4 4 2 2 3" xfId="15568"/>
    <cellStyle name="Comma 7 2 4 4 2 3" xfId="7556"/>
    <cellStyle name="Comma 7 2 4 4 2 3 2" xfId="12452"/>
    <cellStyle name="Comma 7 2 4 4 2 3 2 2" xfId="18991"/>
    <cellStyle name="Comma 7 2 4 4 2 3 3" xfId="16139"/>
    <cellStyle name="Comma 7 2 4 4 2 4" xfId="9828"/>
    <cellStyle name="Comma 7 2 4 4 2 4 2" xfId="13023"/>
    <cellStyle name="Comma 7 2 4 4 2 4 2 2" xfId="19562"/>
    <cellStyle name="Comma 7 2 4 4 2 4 3" xfId="16710"/>
    <cellStyle name="Comma 7 2 4 4 2 5" xfId="3353"/>
    <cellStyle name="Comma 7 2 4 4 2 5 2" xfId="11310"/>
    <cellStyle name="Comma 7 2 4 4 2 5 2 2" xfId="17849"/>
    <cellStyle name="Comma 7 2 4 4 2 5 3" xfId="14997"/>
    <cellStyle name="Comma 7 2 4 4 2 6" xfId="2777"/>
    <cellStyle name="Comma 7 2 4 4 2 6 2" xfId="14425"/>
    <cellStyle name="Comma 7 2 4 4 2 7" xfId="10738"/>
    <cellStyle name="Comma 7 2 4 4 2 7 2" xfId="17277"/>
    <cellStyle name="Comma 7 2 4 4 2 8" xfId="13857"/>
    <cellStyle name="Comma 7 2 4 4 3" xfId="4149"/>
    <cellStyle name="Comma 7 2 4 4 3 2" xfId="11596"/>
    <cellStyle name="Comma 7 2 4 4 3 2 2" xfId="18135"/>
    <cellStyle name="Comma 7 2 4 4 3 3" xfId="15283"/>
    <cellStyle name="Comma 7 2 4 4 4" xfId="6421"/>
    <cellStyle name="Comma 7 2 4 4 4 2" xfId="12167"/>
    <cellStyle name="Comma 7 2 4 4 4 2 2" xfId="18706"/>
    <cellStyle name="Comma 7 2 4 4 4 3" xfId="15854"/>
    <cellStyle name="Comma 7 2 4 4 5" xfId="8693"/>
    <cellStyle name="Comma 7 2 4 4 5 2" xfId="12738"/>
    <cellStyle name="Comma 7 2 4 4 5 2 2" xfId="19277"/>
    <cellStyle name="Comma 7 2 4 4 5 3" xfId="16425"/>
    <cellStyle name="Comma 7 2 4 4 6" xfId="3068"/>
    <cellStyle name="Comma 7 2 4 4 6 2" xfId="11025"/>
    <cellStyle name="Comma 7 2 4 4 6 2 2" xfId="17564"/>
    <cellStyle name="Comma 7 2 4 4 6 3" xfId="14712"/>
    <cellStyle name="Comma 7 2 4 4 7" xfId="2497"/>
    <cellStyle name="Comma 7 2 4 4 7 2" xfId="14145"/>
    <cellStyle name="Comma 7 2 4 4 8" xfId="10458"/>
    <cellStyle name="Comma 7 2 4 4 8 2" xfId="16997"/>
    <cellStyle name="Comma 7 2 4 4 9" xfId="13572"/>
    <cellStyle name="Comma 7 2 4 5" xfId="1410"/>
    <cellStyle name="Comma 7 2 4 5 2" xfId="4830"/>
    <cellStyle name="Comma 7 2 4 5 2 2" xfId="11767"/>
    <cellStyle name="Comma 7 2 4 5 2 2 2" xfId="18306"/>
    <cellStyle name="Comma 7 2 4 5 2 3" xfId="15454"/>
    <cellStyle name="Comma 7 2 4 5 3" xfId="7102"/>
    <cellStyle name="Comma 7 2 4 5 3 2" xfId="12338"/>
    <cellStyle name="Comma 7 2 4 5 3 2 2" xfId="18877"/>
    <cellStyle name="Comma 7 2 4 5 3 3" xfId="16025"/>
    <cellStyle name="Comma 7 2 4 5 4" xfId="9374"/>
    <cellStyle name="Comma 7 2 4 5 4 2" xfId="12909"/>
    <cellStyle name="Comma 7 2 4 5 4 2 2" xfId="19448"/>
    <cellStyle name="Comma 7 2 4 5 4 3" xfId="16596"/>
    <cellStyle name="Comma 7 2 4 5 5" xfId="3239"/>
    <cellStyle name="Comma 7 2 4 5 5 2" xfId="11196"/>
    <cellStyle name="Comma 7 2 4 5 5 2 2" xfId="17735"/>
    <cellStyle name="Comma 7 2 4 5 5 3" xfId="14883"/>
    <cellStyle name="Comma 7 2 4 5 6" xfId="2665"/>
    <cellStyle name="Comma 7 2 4 5 6 2" xfId="14313"/>
    <cellStyle name="Comma 7 2 4 5 7" xfId="10626"/>
    <cellStyle name="Comma 7 2 4 5 7 2" xfId="17165"/>
    <cellStyle name="Comma 7 2 4 5 8" xfId="13743"/>
    <cellStyle name="Comma 7 2 4 6" xfId="3695"/>
    <cellStyle name="Comma 7 2 4 6 2" xfId="11482"/>
    <cellStyle name="Comma 7 2 4 6 2 2" xfId="18021"/>
    <cellStyle name="Comma 7 2 4 6 3" xfId="15169"/>
    <cellStyle name="Comma 7 2 4 7" xfId="5967"/>
    <cellStyle name="Comma 7 2 4 7 2" xfId="12053"/>
    <cellStyle name="Comma 7 2 4 7 2 2" xfId="18592"/>
    <cellStyle name="Comma 7 2 4 7 3" xfId="15740"/>
    <cellStyle name="Comma 7 2 4 8" xfId="8239"/>
    <cellStyle name="Comma 7 2 4 8 2" xfId="12624"/>
    <cellStyle name="Comma 7 2 4 8 2 2" xfId="19163"/>
    <cellStyle name="Comma 7 2 4 8 3" xfId="16311"/>
    <cellStyle name="Comma 7 2 4 9" xfId="2954"/>
    <cellStyle name="Comma 7 2 4 9 2" xfId="10911"/>
    <cellStyle name="Comma 7 2 4 9 2 2" xfId="17450"/>
    <cellStyle name="Comma 7 2 4 9 3" xfId="14598"/>
    <cellStyle name="Comma 7 2 5" xfId="331"/>
    <cellStyle name="Comma 7 2 5 10" xfId="13472"/>
    <cellStyle name="Comma 7 2 5 2" xfId="785"/>
    <cellStyle name="Comma 7 2 5 2 2" xfId="1920"/>
    <cellStyle name="Comma 7 2 5 2 2 2" xfId="5340"/>
    <cellStyle name="Comma 7 2 5 2 2 2 2" xfId="11895"/>
    <cellStyle name="Comma 7 2 5 2 2 2 2 2" xfId="18434"/>
    <cellStyle name="Comma 7 2 5 2 2 2 3" xfId="15582"/>
    <cellStyle name="Comma 7 2 5 2 2 3" xfId="7612"/>
    <cellStyle name="Comma 7 2 5 2 2 3 2" xfId="12466"/>
    <cellStyle name="Comma 7 2 5 2 2 3 2 2" xfId="19005"/>
    <cellStyle name="Comma 7 2 5 2 2 3 3" xfId="16153"/>
    <cellStyle name="Comma 7 2 5 2 2 4" xfId="9884"/>
    <cellStyle name="Comma 7 2 5 2 2 4 2" xfId="13037"/>
    <cellStyle name="Comma 7 2 5 2 2 4 2 2" xfId="19576"/>
    <cellStyle name="Comma 7 2 5 2 2 4 3" xfId="16724"/>
    <cellStyle name="Comma 7 2 5 2 2 5" xfId="3367"/>
    <cellStyle name="Comma 7 2 5 2 2 5 2" xfId="11324"/>
    <cellStyle name="Comma 7 2 5 2 2 5 2 2" xfId="17863"/>
    <cellStyle name="Comma 7 2 5 2 2 5 3" xfId="15011"/>
    <cellStyle name="Comma 7 2 5 2 2 6" xfId="2791"/>
    <cellStyle name="Comma 7 2 5 2 2 6 2" xfId="14439"/>
    <cellStyle name="Comma 7 2 5 2 2 7" xfId="10752"/>
    <cellStyle name="Comma 7 2 5 2 2 7 2" xfId="17291"/>
    <cellStyle name="Comma 7 2 5 2 2 8" xfId="13871"/>
    <cellStyle name="Comma 7 2 5 2 3" xfId="4205"/>
    <cellStyle name="Comma 7 2 5 2 3 2" xfId="11610"/>
    <cellStyle name="Comma 7 2 5 2 3 2 2" xfId="18149"/>
    <cellStyle name="Comma 7 2 5 2 3 3" xfId="15297"/>
    <cellStyle name="Comma 7 2 5 2 4" xfId="6477"/>
    <cellStyle name="Comma 7 2 5 2 4 2" xfId="12181"/>
    <cellStyle name="Comma 7 2 5 2 4 2 2" xfId="18720"/>
    <cellStyle name="Comma 7 2 5 2 4 3" xfId="15868"/>
    <cellStyle name="Comma 7 2 5 2 5" xfId="8749"/>
    <cellStyle name="Comma 7 2 5 2 5 2" xfId="12752"/>
    <cellStyle name="Comma 7 2 5 2 5 2 2" xfId="19291"/>
    <cellStyle name="Comma 7 2 5 2 5 3" xfId="16439"/>
    <cellStyle name="Comma 7 2 5 2 6" xfId="3082"/>
    <cellStyle name="Comma 7 2 5 2 6 2" xfId="11039"/>
    <cellStyle name="Comma 7 2 5 2 6 2 2" xfId="17578"/>
    <cellStyle name="Comma 7 2 5 2 6 3" xfId="14726"/>
    <cellStyle name="Comma 7 2 5 2 7" xfId="2511"/>
    <cellStyle name="Comma 7 2 5 2 7 2" xfId="14159"/>
    <cellStyle name="Comma 7 2 5 2 8" xfId="10472"/>
    <cellStyle name="Comma 7 2 5 2 8 2" xfId="17011"/>
    <cellStyle name="Comma 7 2 5 2 9" xfId="13586"/>
    <cellStyle name="Comma 7 2 5 3" xfId="1466"/>
    <cellStyle name="Comma 7 2 5 3 2" xfId="4886"/>
    <cellStyle name="Comma 7 2 5 3 2 2" xfId="11781"/>
    <cellStyle name="Comma 7 2 5 3 2 2 2" xfId="18320"/>
    <cellStyle name="Comma 7 2 5 3 2 3" xfId="15468"/>
    <cellStyle name="Comma 7 2 5 3 3" xfId="7158"/>
    <cellStyle name="Comma 7 2 5 3 3 2" xfId="12352"/>
    <cellStyle name="Comma 7 2 5 3 3 2 2" xfId="18891"/>
    <cellStyle name="Comma 7 2 5 3 3 3" xfId="16039"/>
    <cellStyle name="Comma 7 2 5 3 4" xfId="9430"/>
    <cellStyle name="Comma 7 2 5 3 4 2" xfId="12923"/>
    <cellStyle name="Comma 7 2 5 3 4 2 2" xfId="19462"/>
    <cellStyle name="Comma 7 2 5 3 4 3" xfId="16610"/>
    <cellStyle name="Comma 7 2 5 3 5" xfId="3253"/>
    <cellStyle name="Comma 7 2 5 3 5 2" xfId="11210"/>
    <cellStyle name="Comma 7 2 5 3 5 2 2" xfId="17749"/>
    <cellStyle name="Comma 7 2 5 3 5 3" xfId="14897"/>
    <cellStyle name="Comma 7 2 5 3 6" xfId="2679"/>
    <cellStyle name="Comma 7 2 5 3 6 2" xfId="14327"/>
    <cellStyle name="Comma 7 2 5 3 7" xfId="10640"/>
    <cellStyle name="Comma 7 2 5 3 7 2" xfId="17179"/>
    <cellStyle name="Comma 7 2 5 3 8" xfId="13757"/>
    <cellStyle name="Comma 7 2 5 4" xfId="3751"/>
    <cellStyle name="Comma 7 2 5 4 2" xfId="11496"/>
    <cellStyle name="Comma 7 2 5 4 2 2" xfId="18035"/>
    <cellStyle name="Comma 7 2 5 4 3" xfId="15183"/>
    <cellStyle name="Comma 7 2 5 5" xfId="6023"/>
    <cellStyle name="Comma 7 2 5 5 2" xfId="12067"/>
    <cellStyle name="Comma 7 2 5 5 2 2" xfId="18606"/>
    <cellStyle name="Comma 7 2 5 5 3" xfId="15754"/>
    <cellStyle name="Comma 7 2 5 6" xfId="8295"/>
    <cellStyle name="Comma 7 2 5 6 2" xfId="12638"/>
    <cellStyle name="Comma 7 2 5 6 2 2" xfId="19177"/>
    <cellStyle name="Comma 7 2 5 6 3" xfId="16325"/>
    <cellStyle name="Comma 7 2 5 7" xfId="2968"/>
    <cellStyle name="Comma 7 2 5 7 2" xfId="10925"/>
    <cellStyle name="Comma 7 2 5 7 2 2" xfId="17464"/>
    <cellStyle name="Comma 7 2 5 7 3" xfId="14612"/>
    <cellStyle name="Comma 7 2 5 8" xfId="2399"/>
    <cellStyle name="Comma 7 2 5 8 2" xfId="14047"/>
    <cellStyle name="Comma 7 2 5 9" xfId="10360"/>
    <cellStyle name="Comma 7 2 5 9 2" xfId="16899"/>
    <cellStyle name="Comma 7 2 6" xfId="1012"/>
    <cellStyle name="Comma 7 2 6 2" xfId="2147"/>
    <cellStyle name="Comma 7 2 6 2 2" xfId="5567"/>
    <cellStyle name="Comma 7 2 6 2 2 2" xfId="11952"/>
    <cellStyle name="Comma 7 2 6 2 2 2 2" xfId="18491"/>
    <cellStyle name="Comma 7 2 6 2 2 3" xfId="15639"/>
    <cellStyle name="Comma 7 2 6 2 3" xfId="7839"/>
    <cellStyle name="Comma 7 2 6 2 3 2" xfId="12523"/>
    <cellStyle name="Comma 7 2 6 2 3 2 2" xfId="19062"/>
    <cellStyle name="Comma 7 2 6 2 3 3" xfId="16210"/>
    <cellStyle name="Comma 7 2 6 2 4" xfId="10111"/>
    <cellStyle name="Comma 7 2 6 2 4 2" xfId="13094"/>
    <cellStyle name="Comma 7 2 6 2 4 2 2" xfId="19633"/>
    <cellStyle name="Comma 7 2 6 2 4 3" xfId="16781"/>
    <cellStyle name="Comma 7 2 6 2 5" xfId="3424"/>
    <cellStyle name="Comma 7 2 6 2 5 2" xfId="11381"/>
    <cellStyle name="Comma 7 2 6 2 5 2 2" xfId="17920"/>
    <cellStyle name="Comma 7 2 6 2 5 3" xfId="15068"/>
    <cellStyle name="Comma 7 2 6 2 6" xfId="2847"/>
    <cellStyle name="Comma 7 2 6 2 6 2" xfId="14495"/>
    <cellStyle name="Comma 7 2 6 2 7" xfId="10808"/>
    <cellStyle name="Comma 7 2 6 2 7 2" xfId="17347"/>
    <cellStyle name="Comma 7 2 6 2 8" xfId="13928"/>
    <cellStyle name="Comma 7 2 6 3" xfId="4432"/>
    <cellStyle name="Comma 7 2 6 3 2" xfId="11667"/>
    <cellStyle name="Comma 7 2 6 3 2 2" xfId="18206"/>
    <cellStyle name="Comma 7 2 6 3 3" xfId="15354"/>
    <cellStyle name="Comma 7 2 6 4" xfId="6704"/>
    <cellStyle name="Comma 7 2 6 4 2" xfId="12238"/>
    <cellStyle name="Comma 7 2 6 4 2 2" xfId="18777"/>
    <cellStyle name="Comma 7 2 6 4 3" xfId="15925"/>
    <cellStyle name="Comma 7 2 6 5" xfId="8976"/>
    <cellStyle name="Comma 7 2 6 5 2" xfId="12809"/>
    <cellStyle name="Comma 7 2 6 5 2 2" xfId="19348"/>
    <cellStyle name="Comma 7 2 6 5 3" xfId="16496"/>
    <cellStyle name="Comma 7 2 6 6" xfId="3139"/>
    <cellStyle name="Comma 7 2 6 6 2" xfId="11096"/>
    <cellStyle name="Comma 7 2 6 6 2 2" xfId="17635"/>
    <cellStyle name="Comma 7 2 6 6 3" xfId="14783"/>
    <cellStyle name="Comma 7 2 6 7" xfId="2567"/>
    <cellStyle name="Comma 7 2 6 7 2" xfId="14215"/>
    <cellStyle name="Comma 7 2 6 8" xfId="10528"/>
    <cellStyle name="Comma 7 2 6 8 2" xfId="17067"/>
    <cellStyle name="Comma 7 2 6 9" xfId="13643"/>
    <cellStyle name="Comma 7 2 7" xfId="558"/>
    <cellStyle name="Comma 7 2 7 2" xfId="1693"/>
    <cellStyle name="Comma 7 2 7 2 2" xfId="5113"/>
    <cellStyle name="Comma 7 2 7 2 2 2" xfId="11838"/>
    <cellStyle name="Comma 7 2 7 2 2 2 2" xfId="18377"/>
    <cellStyle name="Comma 7 2 7 2 2 3" xfId="15525"/>
    <cellStyle name="Comma 7 2 7 2 3" xfId="7385"/>
    <cellStyle name="Comma 7 2 7 2 3 2" xfId="12409"/>
    <cellStyle name="Comma 7 2 7 2 3 2 2" xfId="18948"/>
    <cellStyle name="Comma 7 2 7 2 3 3" xfId="16096"/>
    <cellStyle name="Comma 7 2 7 2 4" xfId="9657"/>
    <cellStyle name="Comma 7 2 7 2 4 2" xfId="12980"/>
    <cellStyle name="Comma 7 2 7 2 4 2 2" xfId="19519"/>
    <cellStyle name="Comma 7 2 7 2 4 3" xfId="16667"/>
    <cellStyle name="Comma 7 2 7 2 5" xfId="3310"/>
    <cellStyle name="Comma 7 2 7 2 5 2" xfId="11267"/>
    <cellStyle name="Comma 7 2 7 2 5 2 2" xfId="17806"/>
    <cellStyle name="Comma 7 2 7 2 5 3" xfId="14954"/>
    <cellStyle name="Comma 7 2 7 2 6" xfId="2735"/>
    <cellStyle name="Comma 7 2 7 2 6 2" xfId="14383"/>
    <cellStyle name="Comma 7 2 7 2 7" xfId="10696"/>
    <cellStyle name="Comma 7 2 7 2 7 2" xfId="17235"/>
    <cellStyle name="Comma 7 2 7 2 8" xfId="13814"/>
    <cellStyle name="Comma 7 2 7 3" xfId="3978"/>
    <cellStyle name="Comma 7 2 7 3 2" xfId="11553"/>
    <cellStyle name="Comma 7 2 7 3 2 2" xfId="18092"/>
    <cellStyle name="Comma 7 2 7 3 3" xfId="15240"/>
    <cellStyle name="Comma 7 2 7 4" xfId="6250"/>
    <cellStyle name="Comma 7 2 7 4 2" xfId="12124"/>
    <cellStyle name="Comma 7 2 7 4 2 2" xfId="18663"/>
    <cellStyle name="Comma 7 2 7 4 3" xfId="15811"/>
    <cellStyle name="Comma 7 2 7 5" xfId="8522"/>
    <cellStyle name="Comma 7 2 7 5 2" xfId="12695"/>
    <cellStyle name="Comma 7 2 7 5 2 2" xfId="19234"/>
    <cellStyle name="Comma 7 2 7 5 3" xfId="16382"/>
    <cellStyle name="Comma 7 2 7 6" xfId="3025"/>
    <cellStyle name="Comma 7 2 7 6 2" xfId="10982"/>
    <cellStyle name="Comma 7 2 7 6 2 2" xfId="17521"/>
    <cellStyle name="Comma 7 2 7 6 3" xfId="14669"/>
    <cellStyle name="Comma 7 2 7 7" xfId="2455"/>
    <cellStyle name="Comma 7 2 7 7 2" xfId="14103"/>
    <cellStyle name="Comma 7 2 7 8" xfId="10416"/>
    <cellStyle name="Comma 7 2 7 8 2" xfId="16955"/>
    <cellStyle name="Comma 7 2 7 9" xfId="13529"/>
    <cellStyle name="Comma 7 2 8" xfId="1239"/>
    <cellStyle name="Comma 7 2 8 2" xfId="4659"/>
    <cellStyle name="Comma 7 2 8 2 2" xfId="11724"/>
    <cellStyle name="Comma 7 2 8 2 2 2" xfId="18263"/>
    <cellStyle name="Comma 7 2 8 2 3" xfId="15411"/>
    <cellStyle name="Comma 7 2 8 3" xfId="6931"/>
    <cellStyle name="Comma 7 2 8 3 2" xfId="12295"/>
    <cellStyle name="Comma 7 2 8 3 2 2" xfId="18834"/>
    <cellStyle name="Comma 7 2 8 3 3" xfId="15982"/>
    <cellStyle name="Comma 7 2 8 4" xfId="9203"/>
    <cellStyle name="Comma 7 2 8 4 2" xfId="12866"/>
    <cellStyle name="Comma 7 2 8 4 2 2" xfId="19405"/>
    <cellStyle name="Comma 7 2 8 4 3" xfId="16553"/>
    <cellStyle name="Comma 7 2 8 5" xfId="3196"/>
    <cellStyle name="Comma 7 2 8 5 2" xfId="11153"/>
    <cellStyle name="Comma 7 2 8 5 2 2" xfId="17692"/>
    <cellStyle name="Comma 7 2 8 5 3" xfId="14840"/>
    <cellStyle name="Comma 7 2 8 6" xfId="2623"/>
    <cellStyle name="Comma 7 2 8 6 2" xfId="14271"/>
    <cellStyle name="Comma 7 2 8 7" xfId="10584"/>
    <cellStyle name="Comma 7 2 8 7 2" xfId="17123"/>
    <cellStyle name="Comma 7 2 8 8" xfId="13700"/>
    <cellStyle name="Comma 7 2 9" xfId="3524"/>
    <cellStyle name="Comma 7 2 9 2" xfId="11439"/>
    <cellStyle name="Comma 7 2 9 2 2" xfId="17978"/>
    <cellStyle name="Comma 7 2 9 3" xfId="15126"/>
    <cellStyle name="Comma 7 3" xfId="177"/>
    <cellStyle name="Comma 7 3 10" xfId="2363"/>
    <cellStyle name="Comma 7 3 10 2" xfId="14011"/>
    <cellStyle name="Comma 7 3 11" xfId="10324"/>
    <cellStyle name="Comma 7 3 11 2" xfId="16863"/>
    <cellStyle name="Comma 7 3 12" xfId="13435"/>
    <cellStyle name="Comma 7 3 13" xfId="20099"/>
    <cellStyle name="Comma 7 3 2" xfId="415"/>
    <cellStyle name="Comma 7 3 2 10" xfId="13493"/>
    <cellStyle name="Comma 7 3 2 11" xfId="20100"/>
    <cellStyle name="Comma 7 3 2 2" xfId="869"/>
    <cellStyle name="Comma 7 3 2 2 10" xfId="20262"/>
    <cellStyle name="Comma 7 3 2 2 2" xfId="2004"/>
    <cellStyle name="Comma 7 3 2 2 2 2" xfId="5424"/>
    <cellStyle name="Comma 7 3 2 2 2 2 2" xfId="11916"/>
    <cellStyle name="Comma 7 3 2 2 2 2 2 2" xfId="18455"/>
    <cellStyle name="Comma 7 3 2 2 2 2 3" xfId="15603"/>
    <cellStyle name="Comma 7 3 2 2 2 3" xfId="7696"/>
    <cellStyle name="Comma 7 3 2 2 2 3 2" xfId="12487"/>
    <cellStyle name="Comma 7 3 2 2 2 3 2 2" xfId="19026"/>
    <cellStyle name="Comma 7 3 2 2 2 3 3" xfId="16174"/>
    <cellStyle name="Comma 7 3 2 2 2 4" xfId="9968"/>
    <cellStyle name="Comma 7 3 2 2 2 4 2" xfId="13058"/>
    <cellStyle name="Comma 7 3 2 2 2 4 2 2" xfId="19597"/>
    <cellStyle name="Comma 7 3 2 2 2 4 3" xfId="16745"/>
    <cellStyle name="Comma 7 3 2 2 2 5" xfId="3388"/>
    <cellStyle name="Comma 7 3 2 2 2 5 2" xfId="11345"/>
    <cellStyle name="Comma 7 3 2 2 2 5 2 2" xfId="17884"/>
    <cellStyle name="Comma 7 3 2 2 2 5 3" xfId="15032"/>
    <cellStyle name="Comma 7 3 2 2 2 6" xfId="2812"/>
    <cellStyle name="Comma 7 3 2 2 2 6 2" xfId="14460"/>
    <cellStyle name="Comma 7 3 2 2 2 7" xfId="10773"/>
    <cellStyle name="Comma 7 3 2 2 2 7 2" xfId="17312"/>
    <cellStyle name="Comma 7 3 2 2 2 8" xfId="13892"/>
    <cellStyle name="Comma 7 3 2 2 3" xfId="4289"/>
    <cellStyle name="Comma 7 3 2 2 3 2" xfId="11631"/>
    <cellStyle name="Comma 7 3 2 2 3 2 2" xfId="18170"/>
    <cellStyle name="Comma 7 3 2 2 3 3" xfId="15318"/>
    <cellStyle name="Comma 7 3 2 2 4" xfId="6561"/>
    <cellStyle name="Comma 7 3 2 2 4 2" xfId="12202"/>
    <cellStyle name="Comma 7 3 2 2 4 2 2" xfId="18741"/>
    <cellStyle name="Comma 7 3 2 2 4 3" xfId="15889"/>
    <cellStyle name="Comma 7 3 2 2 5" xfId="8833"/>
    <cellStyle name="Comma 7 3 2 2 5 2" xfId="12773"/>
    <cellStyle name="Comma 7 3 2 2 5 2 2" xfId="19312"/>
    <cellStyle name="Comma 7 3 2 2 5 3" xfId="16460"/>
    <cellStyle name="Comma 7 3 2 2 6" xfId="3103"/>
    <cellStyle name="Comma 7 3 2 2 6 2" xfId="11060"/>
    <cellStyle name="Comma 7 3 2 2 6 2 2" xfId="17599"/>
    <cellStyle name="Comma 7 3 2 2 6 3" xfId="14747"/>
    <cellStyle name="Comma 7 3 2 2 7" xfId="2532"/>
    <cellStyle name="Comma 7 3 2 2 7 2" xfId="14180"/>
    <cellStyle name="Comma 7 3 2 2 8" xfId="10493"/>
    <cellStyle name="Comma 7 3 2 2 8 2" xfId="17032"/>
    <cellStyle name="Comma 7 3 2 2 9" xfId="13607"/>
    <cellStyle name="Comma 7 3 2 3" xfId="1550"/>
    <cellStyle name="Comma 7 3 2 3 2" xfId="4970"/>
    <cellStyle name="Comma 7 3 2 3 2 2" xfId="11802"/>
    <cellStyle name="Comma 7 3 2 3 2 2 2" xfId="18341"/>
    <cellStyle name="Comma 7 3 2 3 2 3" xfId="15489"/>
    <cellStyle name="Comma 7 3 2 3 3" xfId="7242"/>
    <cellStyle name="Comma 7 3 2 3 3 2" xfId="12373"/>
    <cellStyle name="Comma 7 3 2 3 3 2 2" xfId="18912"/>
    <cellStyle name="Comma 7 3 2 3 3 3" xfId="16060"/>
    <cellStyle name="Comma 7 3 2 3 4" xfId="9514"/>
    <cellStyle name="Comma 7 3 2 3 4 2" xfId="12944"/>
    <cellStyle name="Comma 7 3 2 3 4 2 2" xfId="19483"/>
    <cellStyle name="Comma 7 3 2 3 4 3" xfId="16631"/>
    <cellStyle name="Comma 7 3 2 3 5" xfId="3274"/>
    <cellStyle name="Comma 7 3 2 3 5 2" xfId="11231"/>
    <cellStyle name="Comma 7 3 2 3 5 2 2" xfId="17770"/>
    <cellStyle name="Comma 7 3 2 3 5 3" xfId="14918"/>
    <cellStyle name="Comma 7 3 2 3 6" xfId="2700"/>
    <cellStyle name="Comma 7 3 2 3 6 2" xfId="14348"/>
    <cellStyle name="Comma 7 3 2 3 7" xfId="10661"/>
    <cellStyle name="Comma 7 3 2 3 7 2" xfId="17200"/>
    <cellStyle name="Comma 7 3 2 3 8" xfId="13778"/>
    <cellStyle name="Comma 7 3 2 3 9" xfId="20335"/>
    <cellStyle name="Comma 7 3 2 4" xfId="3835"/>
    <cellStyle name="Comma 7 3 2 4 2" xfId="11517"/>
    <cellStyle name="Comma 7 3 2 4 2 2" xfId="18056"/>
    <cellStyle name="Comma 7 3 2 4 3" xfId="15204"/>
    <cellStyle name="Comma 7 3 2 5" xfId="6107"/>
    <cellStyle name="Comma 7 3 2 5 2" xfId="12088"/>
    <cellStyle name="Comma 7 3 2 5 2 2" xfId="18627"/>
    <cellStyle name="Comma 7 3 2 5 3" xfId="15775"/>
    <cellStyle name="Comma 7 3 2 6" xfId="8379"/>
    <cellStyle name="Comma 7 3 2 6 2" xfId="12659"/>
    <cellStyle name="Comma 7 3 2 6 2 2" xfId="19198"/>
    <cellStyle name="Comma 7 3 2 6 3" xfId="16346"/>
    <cellStyle name="Comma 7 3 2 7" xfId="2989"/>
    <cellStyle name="Comma 7 3 2 7 2" xfId="10946"/>
    <cellStyle name="Comma 7 3 2 7 2 2" xfId="17485"/>
    <cellStyle name="Comma 7 3 2 7 3" xfId="14633"/>
    <cellStyle name="Comma 7 3 2 8" xfId="2420"/>
    <cellStyle name="Comma 7 3 2 8 2" xfId="14068"/>
    <cellStyle name="Comma 7 3 2 9" xfId="10381"/>
    <cellStyle name="Comma 7 3 2 9 2" xfId="16920"/>
    <cellStyle name="Comma 7 3 3" xfId="1096"/>
    <cellStyle name="Comma 7 3 3 10" xfId="20101"/>
    <cellStyle name="Comma 7 3 3 2" xfId="2231"/>
    <cellStyle name="Comma 7 3 3 2 2" xfId="5651"/>
    <cellStyle name="Comma 7 3 3 2 2 2" xfId="11973"/>
    <cellStyle name="Comma 7 3 3 2 2 2 2" xfId="18512"/>
    <cellStyle name="Comma 7 3 3 2 2 3" xfId="15660"/>
    <cellStyle name="Comma 7 3 3 2 3" xfId="7923"/>
    <cellStyle name="Comma 7 3 3 2 3 2" xfId="12544"/>
    <cellStyle name="Comma 7 3 3 2 3 2 2" xfId="19083"/>
    <cellStyle name="Comma 7 3 3 2 3 3" xfId="16231"/>
    <cellStyle name="Comma 7 3 3 2 4" xfId="10195"/>
    <cellStyle name="Comma 7 3 3 2 4 2" xfId="13115"/>
    <cellStyle name="Comma 7 3 3 2 4 2 2" xfId="19654"/>
    <cellStyle name="Comma 7 3 3 2 4 3" xfId="16802"/>
    <cellStyle name="Comma 7 3 3 2 5" xfId="3445"/>
    <cellStyle name="Comma 7 3 3 2 5 2" xfId="11402"/>
    <cellStyle name="Comma 7 3 3 2 5 2 2" xfId="17941"/>
    <cellStyle name="Comma 7 3 3 2 5 3" xfId="15089"/>
    <cellStyle name="Comma 7 3 3 2 6" xfId="2868"/>
    <cellStyle name="Comma 7 3 3 2 6 2" xfId="14516"/>
    <cellStyle name="Comma 7 3 3 2 7" xfId="10829"/>
    <cellStyle name="Comma 7 3 3 2 7 2" xfId="17368"/>
    <cellStyle name="Comma 7 3 3 2 8" xfId="13949"/>
    <cellStyle name="Comma 7 3 3 2 9" xfId="20263"/>
    <cellStyle name="Comma 7 3 3 3" xfId="4516"/>
    <cellStyle name="Comma 7 3 3 3 2" xfId="11688"/>
    <cellStyle name="Comma 7 3 3 3 2 2" xfId="18227"/>
    <cellStyle name="Comma 7 3 3 3 3" xfId="15375"/>
    <cellStyle name="Comma 7 3 3 3 4" xfId="20336"/>
    <cellStyle name="Comma 7 3 3 4" xfId="6788"/>
    <cellStyle name="Comma 7 3 3 4 2" xfId="12259"/>
    <cellStyle name="Comma 7 3 3 4 2 2" xfId="18798"/>
    <cellStyle name="Comma 7 3 3 4 3" xfId="15946"/>
    <cellStyle name="Comma 7 3 3 5" xfId="9060"/>
    <cellStyle name="Comma 7 3 3 5 2" xfId="12830"/>
    <cellStyle name="Comma 7 3 3 5 2 2" xfId="19369"/>
    <cellStyle name="Comma 7 3 3 5 3" xfId="16517"/>
    <cellStyle name="Comma 7 3 3 6" xfId="3160"/>
    <cellStyle name="Comma 7 3 3 6 2" xfId="11117"/>
    <cellStyle name="Comma 7 3 3 6 2 2" xfId="17656"/>
    <cellStyle name="Comma 7 3 3 6 3" xfId="14804"/>
    <cellStyle name="Comma 7 3 3 7" xfId="2588"/>
    <cellStyle name="Comma 7 3 3 7 2" xfId="14236"/>
    <cellStyle name="Comma 7 3 3 8" xfId="10549"/>
    <cellStyle name="Comma 7 3 3 8 2" xfId="17088"/>
    <cellStyle name="Comma 7 3 3 9" xfId="13664"/>
    <cellStyle name="Comma 7 3 4" xfId="642"/>
    <cellStyle name="Comma 7 3 4 10" xfId="20102"/>
    <cellStyle name="Comma 7 3 4 2" xfId="1777"/>
    <cellStyle name="Comma 7 3 4 2 2" xfId="5197"/>
    <cellStyle name="Comma 7 3 4 2 2 2" xfId="11859"/>
    <cellStyle name="Comma 7 3 4 2 2 2 2" xfId="18398"/>
    <cellStyle name="Comma 7 3 4 2 2 3" xfId="15546"/>
    <cellStyle name="Comma 7 3 4 2 3" xfId="7469"/>
    <cellStyle name="Comma 7 3 4 2 3 2" xfId="12430"/>
    <cellStyle name="Comma 7 3 4 2 3 2 2" xfId="18969"/>
    <cellStyle name="Comma 7 3 4 2 3 3" xfId="16117"/>
    <cellStyle name="Comma 7 3 4 2 4" xfId="9741"/>
    <cellStyle name="Comma 7 3 4 2 4 2" xfId="13001"/>
    <cellStyle name="Comma 7 3 4 2 4 2 2" xfId="19540"/>
    <cellStyle name="Comma 7 3 4 2 4 3" xfId="16688"/>
    <cellStyle name="Comma 7 3 4 2 5" xfId="3331"/>
    <cellStyle name="Comma 7 3 4 2 5 2" xfId="11288"/>
    <cellStyle name="Comma 7 3 4 2 5 2 2" xfId="17827"/>
    <cellStyle name="Comma 7 3 4 2 5 3" xfId="14975"/>
    <cellStyle name="Comma 7 3 4 2 6" xfId="2756"/>
    <cellStyle name="Comma 7 3 4 2 6 2" xfId="14404"/>
    <cellStyle name="Comma 7 3 4 2 7" xfId="10717"/>
    <cellStyle name="Comma 7 3 4 2 7 2" xfId="17256"/>
    <cellStyle name="Comma 7 3 4 2 8" xfId="13835"/>
    <cellStyle name="Comma 7 3 4 2 9" xfId="20264"/>
    <cellStyle name="Comma 7 3 4 3" xfId="4062"/>
    <cellStyle name="Comma 7 3 4 3 2" xfId="11574"/>
    <cellStyle name="Comma 7 3 4 3 2 2" xfId="18113"/>
    <cellStyle name="Comma 7 3 4 3 3" xfId="15261"/>
    <cellStyle name="Comma 7 3 4 3 4" xfId="20337"/>
    <cellStyle name="Comma 7 3 4 4" xfId="6334"/>
    <cellStyle name="Comma 7 3 4 4 2" xfId="12145"/>
    <cellStyle name="Comma 7 3 4 4 2 2" xfId="18684"/>
    <cellStyle name="Comma 7 3 4 4 3" xfId="15832"/>
    <cellStyle name="Comma 7 3 4 5" xfId="8606"/>
    <cellStyle name="Comma 7 3 4 5 2" xfId="12716"/>
    <cellStyle name="Comma 7 3 4 5 2 2" xfId="19255"/>
    <cellStyle name="Comma 7 3 4 5 3" xfId="16403"/>
    <cellStyle name="Comma 7 3 4 6" xfId="3046"/>
    <cellStyle name="Comma 7 3 4 6 2" xfId="11003"/>
    <cellStyle name="Comma 7 3 4 6 2 2" xfId="17542"/>
    <cellStyle name="Comma 7 3 4 6 3" xfId="14690"/>
    <cellStyle name="Comma 7 3 4 7" xfId="2476"/>
    <cellStyle name="Comma 7 3 4 7 2" xfId="14124"/>
    <cellStyle name="Comma 7 3 4 8" xfId="10437"/>
    <cellStyle name="Comma 7 3 4 8 2" xfId="16976"/>
    <cellStyle name="Comma 7 3 4 9" xfId="13550"/>
    <cellStyle name="Comma 7 3 5" xfId="1323"/>
    <cellStyle name="Comma 7 3 5 2" xfId="4743"/>
    <cellStyle name="Comma 7 3 5 2 2" xfId="11745"/>
    <cellStyle name="Comma 7 3 5 2 2 2" xfId="18284"/>
    <cellStyle name="Comma 7 3 5 2 3" xfId="15432"/>
    <cellStyle name="Comma 7 3 5 2 4" xfId="20265"/>
    <cellStyle name="Comma 7 3 5 3" xfId="7015"/>
    <cellStyle name="Comma 7 3 5 3 2" xfId="12316"/>
    <cellStyle name="Comma 7 3 5 3 2 2" xfId="18855"/>
    <cellStyle name="Comma 7 3 5 3 3" xfId="16003"/>
    <cellStyle name="Comma 7 3 5 3 4" xfId="20338"/>
    <cellStyle name="Comma 7 3 5 4" xfId="9287"/>
    <cellStyle name="Comma 7 3 5 4 2" xfId="12887"/>
    <cellStyle name="Comma 7 3 5 4 2 2" xfId="19426"/>
    <cellStyle name="Comma 7 3 5 4 3" xfId="16574"/>
    <cellStyle name="Comma 7 3 5 5" xfId="3217"/>
    <cellStyle name="Comma 7 3 5 5 2" xfId="11174"/>
    <cellStyle name="Comma 7 3 5 5 2 2" xfId="17713"/>
    <cellStyle name="Comma 7 3 5 5 3" xfId="14861"/>
    <cellStyle name="Comma 7 3 5 6" xfId="2644"/>
    <cellStyle name="Comma 7 3 5 6 2" xfId="14292"/>
    <cellStyle name="Comma 7 3 5 7" xfId="10605"/>
    <cellStyle name="Comma 7 3 5 7 2" xfId="17144"/>
    <cellStyle name="Comma 7 3 5 8" xfId="13721"/>
    <cellStyle name="Comma 7 3 5 9" xfId="20103"/>
    <cellStyle name="Comma 7 3 6" xfId="3608"/>
    <cellStyle name="Comma 7 3 6 2" xfId="11460"/>
    <cellStyle name="Comma 7 3 6 2 2" xfId="17999"/>
    <cellStyle name="Comma 7 3 6 3" xfId="15147"/>
    <cellStyle name="Comma 7 3 6 4" xfId="20261"/>
    <cellStyle name="Comma 7 3 7" xfId="5880"/>
    <cellStyle name="Comma 7 3 7 2" xfId="12031"/>
    <cellStyle name="Comma 7 3 7 2 2" xfId="18570"/>
    <cellStyle name="Comma 7 3 7 3" xfId="15718"/>
    <cellStyle name="Comma 7 3 7 4" xfId="20334"/>
    <cellStyle name="Comma 7 3 8" xfId="8152"/>
    <cellStyle name="Comma 7 3 8 2" xfId="12602"/>
    <cellStyle name="Comma 7 3 8 2 2" xfId="19141"/>
    <cellStyle name="Comma 7 3 8 3" xfId="16289"/>
    <cellStyle name="Comma 7 3 9" xfId="2929"/>
    <cellStyle name="Comma 7 3 9 2" xfId="10888"/>
    <cellStyle name="Comma 7 3 9 2 2" xfId="17427"/>
    <cellStyle name="Comma 7 3 9 3" xfId="14575"/>
    <cellStyle name="Comma 7 4" xfId="121"/>
    <cellStyle name="Comma 7 4 10" xfId="2349"/>
    <cellStyle name="Comma 7 4 10 2" xfId="13997"/>
    <cellStyle name="Comma 7 4 11" xfId="10310"/>
    <cellStyle name="Comma 7 4 11 2" xfId="16849"/>
    <cellStyle name="Comma 7 4 12" xfId="13421"/>
    <cellStyle name="Comma 7 4 13" xfId="20104"/>
    <cellStyle name="Comma 7 4 2" xfId="359"/>
    <cellStyle name="Comma 7 4 2 10" xfId="13479"/>
    <cellStyle name="Comma 7 4 2 11" xfId="20266"/>
    <cellStyle name="Comma 7 4 2 2" xfId="813"/>
    <cellStyle name="Comma 7 4 2 2 2" xfId="1948"/>
    <cellStyle name="Comma 7 4 2 2 2 2" xfId="5368"/>
    <cellStyle name="Comma 7 4 2 2 2 2 2" xfId="11902"/>
    <cellStyle name="Comma 7 4 2 2 2 2 2 2" xfId="18441"/>
    <cellStyle name="Comma 7 4 2 2 2 2 3" xfId="15589"/>
    <cellStyle name="Comma 7 4 2 2 2 3" xfId="7640"/>
    <cellStyle name="Comma 7 4 2 2 2 3 2" xfId="12473"/>
    <cellStyle name="Comma 7 4 2 2 2 3 2 2" xfId="19012"/>
    <cellStyle name="Comma 7 4 2 2 2 3 3" xfId="16160"/>
    <cellStyle name="Comma 7 4 2 2 2 4" xfId="9912"/>
    <cellStyle name="Comma 7 4 2 2 2 4 2" xfId="13044"/>
    <cellStyle name="Comma 7 4 2 2 2 4 2 2" xfId="19583"/>
    <cellStyle name="Comma 7 4 2 2 2 4 3" xfId="16731"/>
    <cellStyle name="Comma 7 4 2 2 2 5" xfId="3374"/>
    <cellStyle name="Comma 7 4 2 2 2 5 2" xfId="11331"/>
    <cellStyle name="Comma 7 4 2 2 2 5 2 2" xfId="17870"/>
    <cellStyle name="Comma 7 4 2 2 2 5 3" xfId="15018"/>
    <cellStyle name="Comma 7 4 2 2 2 6" xfId="2798"/>
    <cellStyle name="Comma 7 4 2 2 2 6 2" xfId="14446"/>
    <cellStyle name="Comma 7 4 2 2 2 7" xfId="10759"/>
    <cellStyle name="Comma 7 4 2 2 2 7 2" xfId="17298"/>
    <cellStyle name="Comma 7 4 2 2 2 8" xfId="13878"/>
    <cellStyle name="Comma 7 4 2 2 3" xfId="4233"/>
    <cellStyle name="Comma 7 4 2 2 3 2" xfId="11617"/>
    <cellStyle name="Comma 7 4 2 2 3 2 2" xfId="18156"/>
    <cellStyle name="Comma 7 4 2 2 3 3" xfId="15304"/>
    <cellStyle name="Comma 7 4 2 2 4" xfId="6505"/>
    <cellStyle name="Comma 7 4 2 2 4 2" xfId="12188"/>
    <cellStyle name="Comma 7 4 2 2 4 2 2" xfId="18727"/>
    <cellStyle name="Comma 7 4 2 2 4 3" xfId="15875"/>
    <cellStyle name="Comma 7 4 2 2 5" xfId="8777"/>
    <cellStyle name="Comma 7 4 2 2 5 2" xfId="12759"/>
    <cellStyle name="Comma 7 4 2 2 5 2 2" xfId="19298"/>
    <cellStyle name="Comma 7 4 2 2 5 3" xfId="16446"/>
    <cellStyle name="Comma 7 4 2 2 6" xfId="3089"/>
    <cellStyle name="Comma 7 4 2 2 6 2" xfId="11046"/>
    <cellStyle name="Comma 7 4 2 2 6 2 2" xfId="17585"/>
    <cellStyle name="Comma 7 4 2 2 6 3" xfId="14733"/>
    <cellStyle name="Comma 7 4 2 2 7" xfId="2518"/>
    <cellStyle name="Comma 7 4 2 2 7 2" xfId="14166"/>
    <cellStyle name="Comma 7 4 2 2 8" xfId="10479"/>
    <cellStyle name="Comma 7 4 2 2 8 2" xfId="17018"/>
    <cellStyle name="Comma 7 4 2 2 9" xfId="13593"/>
    <cellStyle name="Comma 7 4 2 3" xfId="1494"/>
    <cellStyle name="Comma 7 4 2 3 2" xfId="4914"/>
    <cellStyle name="Comma 7 4 2 3 2 2" xfId="11788"/>
    <cellStyle name="Comma 7 4 2 3 2 2 2" xfId="18327"/>
    <cellStyle name="Comma 7 4 2 3 2 3" xfId="15475"/>
    <cellStyle name="Comma 7 4 2 3 3" xfId="7186"/>
    <cellStyle name="Comma 7 4 2 3 3 2" xfId="12359"/>
    <cellStyle name="Comma 7 4 2 3 3 2 2" xfId="18898"/>
    <cellStyle name="Comma 7 4 2 3 3 3" xfId="16046"/>
    <cellStyle name="Comma 7 4 2 3 4" xfId="9458"/>
    <cellStyle name="Comma 7 4 2 3 4 2" xfId="12930"/>
    <cellStyle name="Comma 7 4 2 3 4 2 2" xfId="19469"/>
    <cellStyle name="Comma 7 4 2 3 4 3" xfId="16617"/>
    <cellStyle name="Comma 7 4 2 3 5" xfId="3260"/>
    <cellStyle name="Comma 7 4 2 3 5 2" xfId="11217"/>
    <cellStyle name="Comma 7 4 2 3 5 2 2" xfId="17756"/>
    <cellStyle name="Comma 7 4 2 3 5 3" xfId="14904"/>
    <cellStyle name="Comma 7 4 2 3 6" xfId="2686"/>
    <cellStyle name="Comma 7 4 2 3 6 2" xfId="14334"/>
    <cellStyle name="Comma 7 4 2 3 7" xfId="10647"/>
    <cellStyle name="Comma 7 4 2 3 7 2" xfId="17186"/>
    <cellStyle name="Comma 7 4 2 3 8" xfId="13764"/>
    <cellStyle name="Comma 7 4 2 4" xfId="3779"/>
    <cellStyle name="Comma 7 4 2 4 2" xfId="11503"/>
    <cellStyle name="Comma 7 4 2 4 2 2" xfId="18042"/>
    <cellStyle name="Comma 7 4 2 4 3" xfId="15190"/>
    <cellStyle name="Comma 7 4 2 5" xfId="6051"/>
    <cellStyle name="Comma 7 4 2 5 2" xfId="12074"/>
    <cellStyle name="Comma 7 4 2 5 2 2" xfId="18613"/>
    <cellStyle name="Comma 7 4 2 5 3" xfId="15761"/>
    <cellStyle name="Comma 7 4 2 6" xfId="8323"/>
    <cellStyle name="Comma 7 4 2 6 2" xfId="12645"/>
    <cellStyle name="Comma 7 4 2 6 2 2" xfId="19184"/>
    <cellStyle name="Comma 7 4 2 6 3" xfId="16332"/>
    <cellStyle name="Comma 7 4 2 7" xfId="2975"/>
    <cellStyle name="Comma 7 4 2 7 2" xfId="10932"/>
    <cellStyle name="Comma 7 4 2 7 2 2" xfId="17471"/>
    <cellStyle name="Comma 7 4 2 7 3" xfId="14619"/>
    <cellStyle name="Comma 7 4 2 8" xfId="2406"/>
    <cellStyle name="Comma 7 4 2 8 2" xfId="14054"/>
    <cellStyle name="Comma 7 4 2 9" xfId="10367"/>
    <cellStyle name="Comma 7 4 2 9 2" xfId="16906"/>
    <cellStyle name="Comma 7 4 3" xfId="1040"/>
    <cellStyle name="Comma 7 4 3 10" xfId="20339"/>
    <cellStyle name="Comma 7 4 3 2" xfId="2175"/>
    <cellStyle name="Comma 7 4 3 2 2" xfId="5595"/>
    <cellStyle name="Comma 7 4 3 2 2 2" xfId="11959"/>
    <cellStyle name="Comma 7 4 3 2 2 2 2" xfId="18498"/>
    <cellStyle name="Comma 7 4 3 2 2 3" xfId="15646"/>
    <cellStyle name="Comma 7 4 3 2 3" xfId="7867"/>
    <cellStyle name="Comma 7 4 3 2 3 2" xfId="12530"/>
    <cellStyle name="Comma 7 4 3 2 3 2 2" xfId="19069"/>
    <cellStyle name="Comma 7 4 3 2 3 3" xfId="16217"/>
    <cellStyle name="Comma 7 4 3 2 4" xfId="10139"/>
    <cellStyle name="Comma 7 4 3 2 4 2" xfId="13101"/>
    <cellStyle name="Comma 7 4 3 2 4 2 2" xfId="19640"/>
    <cellStyle name="Comma 7 4 3 2 4 3" xfId="16788"/>
    <cellStyle name="Comma 7 4 3 2 5" xfId="3431"/>
    <cellStyle name="Comma 7 4 3 2 5 2" xfId="11388"/>
    <cellStyle name="Comma 7 4 3 2 5 2 2" xfId="17927"/>
    <cellStyle name="Comma 7 4 3 2 5 3" xfId="15075"/>
    <cellStyle name="Comma 7 4 3 2 6" xfId="2854"/>
    <cellStyle name="Comma 7 4 3 2 6 2" xfId="14502"/>
    <cellStyle name="Comma 7 4 3 2 7" xfId="10815"/>
    <cellStyle name="Comma 7 4 3 2 7 2" xfId="17354"/>
    <cellStyle name="Comma 7 4 3 2 8" xfId="13935"/>
    <cellStyle name="Comma 7 4 3 3" xfId="4460"/>
    <cellStyle name="Comma 7 4 3 3 2" xfId="11674"/>
    <cellStyle name="Comma 7 4 3 3 2 2" xfId="18213"/>
    <cellStyle name="Comma 7 4 3 3 3" xfId="15361"/>
    <cellStyle name="Comma 7 4 3 4" xfId="6732"/>
    <cellStyle name="Comma 7 4 3 4 2" xfId="12245"/>
    <cellStyle name="Comma 7 4 3 4 2 2" xfId="18784"/>
    <cellStyle name="Comma 7 4 3 4 3" xfId="15932"/>
    <cellStyle name="Comma 7 4 3 5" xfId="9004"/>
    <cellStyle name="Comma 7 4 3 5 2" xfId="12816"/>
    <cellStyle name="Comma 7 4 3 5 2 2" xfId="19355"/>
    <cellStyle name="Comma 7 4 3 5 3" xfId="16503"/>
    <cellStyle name="Comma 7 4 3 6" xfId="3146"/>
    <cellStyle name="Comma 7 4 3 6 2" xfId="11103"/>
    <cellStyle name="Comma 7 4 3 6 2 2" xfId="17642"/>
    <cellStyle name="Comma 7 4 3 6 3" xfId="14790"/>
    <cellStyle name="Comma 7 4 3 7" xfId="2574"/>
    <cellStyle name="Comma 7 4 3 7 2" xfId="14222"/>
    <cellStyle name="Comma 7 4 3 8" xfId="10535"/>
    <cellStyle name="Comma 7 4 3 8 2" xfId="17074"/>
    <cellStyle name="Comma 7 4 3 9" xfId="13650"/>
    <cellStyle name="Comma 7 4 4" xfId="586"/>
    <cellStyle name="Comma 7 4 4 2" xfId="1721"/>
    <cellStyle name="Comma 7 4 4 2 2" xfId="5141"/>
    <cellStyle name="Comma 7 4 4 2 2 2" xfId="11845"/>
    <cellStyle name="Comma 7 4 4 2 2 2 2" xfId="18384"/>
    <cellStyle name="Comma 7 4 4 2 2 3" xfId="15532"/>
    <cellStyle name="Comma 7 4 4 2 3" xfId="7413"/>
    <cellStyle name="Comma 7 4 4 2 3 2" xfId="12416"/>
    <cellStyle name="Comma 7 4 4 2 3 2 2" xfId="18955"/>
    <cellStyle name="Comma 7 4 4 2 3 3" xfId="16103"/>
    <cellStyle name="Comma 7 4 4 2 4" xfId="9685"/>
    <cellStyle name="Comma 7 4 4 2 4 2" xfId="12987"/>
    <cellStyle name="Comma 7 4 4 2 4 2 2" xfId="19526"/>
    <cellStyle name="Comma 7 4 4 2 4 3" xfId="16674"/>
    <cellStyle name="Comma 7 4 4 2 5" xfId="3317"/>
    <cellStyle name="Comma 7 4 4 2 5 2" xfId="11274"/>
    <cellStyle name="Comma 7 4 4 2 5 2 2" xfId="17813"/>
    <cellStyle name="Comma 7 4 4 2 5 3" xfId="14961"/>
    <cellStyle name="Comma 7 4 4 2 6" xfId="2742"/>
    <cellStyle name="Comma 7 4 4 2 6 2" xfId="14390"/>
    <cellStyle name="Comma 7 4 4 2 7" xfId="10703"/>
    <cellStyle name="Comma 7 4 4 2 7 2" xfId="17242"/>
    <cellStyle name="Comma 7 4 4 2 8" xfId="13821"/>
    <cellStyle name="Comma 7 4 4 3" xfId="4006"/>
    <cellStyle name="Comma 7 4 4 3 2" xfId="11560"/>
    <cellStyle name="Comma 7 4 4 3 2 2" xfId="18099"/>
    <cellStyle name="Comma 7 4 4 3 3" xfId="15247"/>
    <cellStyle name="Comma 7 4 4 4" xfId="6278"/>
    <cellStyle name="Comma 7 4 4 4 2" xfId="12131"/>
    <cellStyle name="Comma 7 4 4 4 2 2" xfId="18670"/>
    <cellStyle name="Comma 7 4 4 4 3" xfId="15818"/>
    <cellStyle name="Comma 7 4 4 5" xfId="8550"/>
    <cellStyle name="Comma 7 4 4 5 2" xfId="12702"/>
    <cellStyle name="Comma 7 4 4 5 2 2" xfId="19241"/>
    <cellStyle name="Comma 7 4 4 5 3" xfId="16389"/>
    <cellStyle name="Comma 7 4 4 6" xfId="3032"/>
    <cellStyle name="Comma 7 4 4 6 2" xfId="10989"/>
    <cellStyle name="Comma 7 4 4 6 2 2" xfId="17528"/>
    <cellStyle name="Comma 7 4 4 6 3" xfId="14676"/>
    <cellStyle name="Comma 7 4 4 7" xfId="2462"/>
    <cellStyle name="Comma 7 4 4 7 2" xfId="14110"/>
    <cellStyle name="Comma 7 4 4 8" xfId="10423"/>
    <cellStyle name="Comma 7 4 4 8 2" xfId="16962"/>
    <cellStyle name="Comma 7 4 4 9" xfId="13536"/>
    <cellStyle name="Comma 7 4 5" xfId="1267"/>
    <cellStyle name="Comma 7 4 5 2" xfId="4687"/>
    <cellStyle name="Comma 7 4 5 2 2" xfId="11731"/>
    <cellStyle name="Comma 7 4 5 2 2 2" xfId="18270"/>
    <cellStyle name="Comma 7 4 5 2 3" xfId="15418"/>
    <cellStyle name="Comma 7 4 5 3" xfId="6959"/>
    <cellStyle name="Comma 7 4 5 3 2" xfId="12302"/>
    <cellStyle name="Comma 7 4 5 3 2 2" xfId="18841"/>
    <cellStyle name="Comma 7 4 5 3 3" xfId="15989"/>
    <cellStyle name="Comma 7 4 5 4" xfId="9231"/>
    <cellStyle name="Comma 7 4 5 4 2" xfId="12873"/>
    <cellStyle name="Comma 7 4 5 4 2 2" xfId="19412"/>
    <cellStyle name="Comma 7 4 5 4 3" xfId="16560"/>
    <cellStyle name="Comma 7 4 5 5" xfId="3203"/>
    <cellStyle name="Comma 7 4 5 5 2" xfId="11160"/>
    <cellStyle name="Comma 7 4 5 5 2 2" xfId="17699"/>
    <cellStyle name="Comma 7 4 5 5 3" xfId="14847"/>
    <cellStyle name="Comma 7 4 5 6" xfId="2630"/>
    <cellStyle name="Comma 7 4 5 6 2" xfId="14278"/>
    <cellStyle name="Comma 7 4 5 7" xfId="10591"/>
    <cellStyle name="Comma 7 4 5 7 2" xfId="17130"/>
    <cellStyle name="Comma 7 4 5 8" xfId="13707"/>
    <cellStyle name="Comma 7 4 6" xfId="3552"/>
    <cellStyle name="Comma 7 4 6 2" xfId="11446"/>
    <cellStyle name="Comma 7 4 6 2 2" xfId="17985"/>
    <cellStyle name="Comma 7 4 6 3" xfId="15133"/>
    <cellStyle name="Comma 7 4 7" xfId="5824"/>
    <cellStyle name="Comma 7 4 7 2" xfId="12017"/>
    <cellStyle name="Comma 7 4 7 2 2" xfId="18556"/>
    <cellStyle name="Comma 7 4 7 3" xfId="15704"/>
    <cellStyle name="Comma 7 4 8" xfId="8096"/>
    <cellStyle name="Comma 7 4 8 2" xfId="12588"/>
    <cellStyle name="Comma 7 4 8 2 2" xfId="19127"/>
    <cellStyle name="Comma 7 4 8 3" xfId="16275"/>
    <cellStyle name="Comma 7 4 9" xfId="2915"/>
    <cellStyle name="Comma 7 4 9 2" xfId="10874"/>
    <cellStyle name="Comma 7 4 9 2 2" xfId="17413"/>
    <cellStyle name="Comma 7 4 9 3" xfId="14561"/>
    <cellStyle name="Comma 7 5" xfId="247"/>
    <cellStyle name="Comma 7 5 10" xfId="2378"/>
    <cellStyle name="Comma 7 5 10 2" xfId="14026"/>
    <cellStyle name="Comma 7 5 11" xfId="10339"/>
    <cellStyle name="Comma 7 5 11 2" xfId="16878"/>
    <cellStyle name="Comma 7 5 12" xfId="13451"/>
    <cellStyle name="Comma 7 5 13" xfId="20105"/>
    <cellStyle name="Comma 7 5 2" xfId="474"/>
    <cellStyle name="Comma 7 5 2 10" xfId="13508"/>
    <cellStyle name="Comma 7 5 2 11" xfId="20267"/>
    <cellStyle name="Comma 7 5 2 2" xfId="928"/>
    <cellStyle name="Comma 7 5 2 2 2" xfId="2063"/>
    <cellStyle name="Comma 7 5 2 2 2 2" xfId="5483"/>
    <cellStyle name="Comma 7 5 2 2 2 2 2" xfId="11931"/>
    <cellStyle name="Comma 7 5 2 2 2 2 2 2" xfId="18470"/>
    <cellStyle name="Comma 7 5 2 2 2 2 3" xfId="15618"/>
    <cellStyle name="Comma 7 5 2 2 2 3" xfId="7755"/>
    <cellStyle name="Comma 7 5 2 2 2 3 2" xfId="12502"/>
    <cellStyle name="Comma 7 5 2 2 2 3 2 2" xfId="19041"/>
    <cellStyle name="Comma 7 5 2 2 2 3 3" xfId="16189"/>
    <cellStyle name="Comma 7 5 2 2 2 4" xfId="10027"/>
    <cellStyle name="Comma 7 5 2 2 2 4 2" xfId="13073"/>
    <cellStyle name="Comma 7 5 2 2 2 4 2 2" xfId="19612"/>
    <cellStyle name="Comma 7 5 2 2 2 4 3" xfId="16760"/>
    <cellStyle name="Comma 7 5 2 2 2 5" xfId="3403"/>
    <cellStyle name="Comma 7 5 2 2 2 5 2" xfId="11360"/>
    <cellStyle name="Comma 7 5 2 2 2 5 2 2" xfId="17899"/>
    <cellStyle name="Comma 7 5 2 2 2 5 3" xfId="15047"/>
    <cellStyle name="Comma 7 5 2 2 2 6" xfId="2826"/>
    <cellStyle name="Comma 7 5 2 2 2 6 2" xfId="14474"/>
    <cellStyle name="Comma 7 5 2 2 2 7" xfId="10787"/>
    <cellStyle name="Comma 7 5 2 2 2 7 2" xfId="17326"/>
    <cellStyle name="Comma 7 5 2 2 2 8" xfId="13907"/>
    <cellStyle name="Comma 7 5 2 2 3" xfId="4348"/>
    <cellStyle name="Comma 7 5 2 2 3 2" xfId="11646"/>
    <cellStyle name="Comma 7 5 2 2 3 2 2" xfId="18185"/>
    <cellStyle name="Comma 7 5 2 2 3 3" xfId="15333"/>
    <cellStyle name="Comma 7 5 2 2 4" xfId="6620"/>
    <cellStyle name="Comma 7 5 2 2 4 2" xfId="12217"/>
    <cellStyle name="Comma 7 5 2 2 4 2 2" xfId="18756"/>
    <cellStyle name="Comma 7 5 2 2 4 3" xfId="15904"/>
    <cellStyle name="Comma 7 5 2 2 5" xfId="8892"/>
    <cellStyle name="Comma 7 5 2 2 5 2" xfId="12788"/>
    <cellStyle name="Comma 7 5 2 2 5 2 2" xfId="19327"/>
    <cellStyle name="Comma 7 5 2 2 5 3" xfId="16475"/>
    <cellStyle name="Comma 7 5 2 2 6" xfId="3118"/>
    <cellStyle name="Comma 7 5 2 2 6 2" xfId="11075"/>
    <cellStyle name="Comma 7 5 2 2 6 2 2" xfId="17614"/>
    <cellStyle name="Comma 7 5 2 2 6 3" xfId="14762"/>
    <cellStyle name="Comma 7 5 2 2 7" xfId="2546"/>
    <cellStyle name="Comma 7 5 2 2 7 2" xfId="14194"/>
    <cellStyle name="Comma 7 5 2 2 8" xfId="10507"/>
    <cellStyle name="Comma 7 5 2 2 8 2" xfId="17046"/>
    <cellStyle name="Comma 7 5 2 2 9" xfId="13622"/>
    <cellStyle name="Comma 7 5 2 3" xfId="1609"/>
    <cellStyle name="Comma 7 5 2 3 2" xfId="5029"/>
    <cellStyle name="Comma 7 5 2 3 2 2" xfId="11817"/>
    <cellStyle name="Comma 7 5 2 3 2 2 2" xfId="18356"/>
    <cellStyle name="Comma 7 5 2 3 2 3" xfId="15504"/>
    <cellStyle name="Comma 7 5 2 3 3" xfId="7301"/>
    <cellStyle name="Comma 7 5 2 3 3 2" xfId="12388"/>
    <cellStyle name="Comma 7 5 2 3 3 2 2" xfId="18927"/>
    <cellStyle name="Comma 7 5 2 3 3 3" xfId="16075"/>
    <cellStyle name="Comma 7 5 2 3 4" xfId="9573"/>
    <cellStyle name="Comma 7 5 2 3 4 2" xfId="12959"/>
    <cellStyle name="Comma 7 5 2 3 4 2 2" xfId="19498"/>
    <cellStyle name="Comma 7 5 2 3 4 3" xfId="16646"/>
    <cellStyle name="Comma 7 5 2 3 5" xfId="3289"/>
    <cellStyle name="Comma 7 5 2 3 5 2" xfId="11246"/>
    <cellStyle name="Comma 7 5 2 3 5 2 2" xfId="17785"/>
    <cellStyle name="Comma 7 5 2 3 5 3" xfId="14933"/>
    <cellStyle name="Comma 7 5 2 3 6" xfId="2714"/>
    <cellStyle name="Comma 7 5 2 3 6 2" xfId="14362"/>
    <cellStyle name="Comma 7 5 2 3 7" xfId="10675"/>
    <cellStyle name="Comma 7 5 2 3 7 2" xfId="17214"/>
    <cellStyle name="Comma 7 5 2 3 8" xfId="13793"/>
    <cellStyle name="Comma 7 5 2 4" xfId="3894"/>
    <cellStyle name="Comma 7 5 2 4 2" xfId="11532"/>
    <cellStyle name="Comma 7 5 2 4 2 2" xfId="18071"/>
    <cellStyle name="Comma 7 5 2 4 3" xfId="15219"/>
    <cellStyle name="Comma 7 5 2 5" xfId="6166"/>
    <cellStyle name="Comma 7 5 2 5 2" xfId="12103"/>
    <cellStyle name="Comma 7 5 2 5 2 2" xfId="18642"/>
    <cellStyle name="Comma 7 5 2 5 3" xfId="15790"/>
    <cellStyle name="Comma 7 5 2 6" xfId="8438"/>
    <cellStyle name="Comma 7 5 2 6 2" xfId="12674"/>
    <cellStyle name="Comma 7 5 2 6 2 2" xfId="19213"/>
    <cellStyle name="Comma 7 5 2 6 3" xfId="16361"/>
    <cellStyle name="Comma 7 5 2 7" xfId="3004"/>
    <cellStyle name="Comma 7 5 2 7 2" xfId="10961"/>
    <cellStyle name="Comma 7 5 2 7 2 2" xfId="17500"/>
    <cellStyle name="Comma 7 5 2 7 3" xfId="14648"/>
    <cellStyle name="Comma 7 5 2 8" xfId="2434"/>
    <cellStyle name="Comma 7 5 2 8 2" xfId="14082"/>
    <cellStyle name="Comma 7 5 2 9" xfId="10395"/>
    <cellStyle name="Comma 7 5 2 9 2" xfId="16934"/>
    <cellStyle name="Comma 7 5 3" xfId="1155"/>
    <cellStyle name="Comma 7 5 3 10" xfId="20340"/>
    <cellStyle name="Comma 7 5 3 2" xfId="2290"/>
    <cellStyle name="Comma 7 5 3 2 2" xfId="5710"/>
    <cellStyle name="Comma 7 5 3 2 2 2" xfId="11988"/>
    <cellStyle name="Comma 7 5 3 2 2 2 2" xfId="18527"/>
    <cellStyle name="Comma 7 5 3 2 2 3" xfId="15675"/>
    <cellStyle name="Comma 7 5 3 2 3" xfId="7982"/>
    <cellStyle name="Comma 7 5 3 2 3 2" xfId="12559"/>
    <cellStyle name="Comma 7 5 3 2 3 2 2" xfId="19098"/>
    <cellStyle name="Comma 7 5 3 2 3 3" xfId="16246"/>
    <cellStyle name="Comma 7 5 3 2 4" xfId="10254"/>
    <cellStyle name="Comma 7 5 3 2 4 2" xfId="13130"/>
    <cellStyle name="Comma 7 5 3 2 4 2 2" xfId="19669"/>
    <cellStyle name="Comma 7 5 3 2 4 3" xfId="16817"/>
    <cellStyle name="Comma 7 5 3 2 5" xfId="3460"/>
    <cellStyle name="Comma 7 5 3 2 5 2" xfId="11417"/>
    <cellStyle name="Comma 7 5 3 2 5 2 2" xfId="17956"/>
    <cellStyle name="Comma 7 5 3 2 5 3" xfId="15104"/>
    <cellStyle name="Comma 7 5 3 2 6" xfId="2882"/>
    <cellStyle name="Comma 7 5 3 2 6 2" xfId="14530"/>
    <cellStyle name="Comma 7 5 3 2 7" xfId="10843"/>
    <cellStyle name="Comma 7 5 3 2 7 2" xfId="17382"/>
    <cellStyle name="Comma 7 5 3 2 8" xfId="13964"/>
    <cellStyle name="Comma 7 5 3 3" xfId="4575"/>
    <cellStyle name="Comma 7 5 3 3 2" xfId="11703"/>
    <cellStyle name="Comma 7 5 3 3 2 2" xfId="18242"/>
    <cellStyle name="Comma 7 5 3 3 3" xfId="15390"/>
    <cellStyle name="Comma 7 5 3 4" xfId="6847"/>
    <cellStyle name="Comma 7 5 3 4 2" xfId="12274"/>
    <cellStyle name="Comma 7 5 3 4 2 2" xfId="18813"/>
    <cellStyle name="Comma 7 5 3 4 3" xfId="15961"/>
    <cellStyle name="Comma 7 5 3 5" xfId="9119"/>
    <cellStyle name="Comma 7 5 3 5 2" xfId="12845"/>
    <cellStyle name="Comma 7 5 3 5 2 2" xfId="19384"/>
    <cellStyle name="Comma 7 5 3 5 3" xfId="16532"/>
    <cellStyle name="Comma 7 5 3 6" xfId="3175"/>
    <cellStyle name="Comma 7 5 3 6 2" xfId="11132"/>
    <cellStyle name="Comma 7 5 3 6 2 2" xfId="17671"/>
    <cellStyle name="Comma 7 5 3 6 3" xfId="14819"/>
    <cellStyle name="Comma 7 5 3 7" xfId="2602"/>
    <cellStyle name="Comma 7 5 3 7 2" xfId="14250"/>
    <cellStyle name="Comma 7 5 3 8" xfId="10563"/>
    <cellStyle name="Comma 7 5 3 8 2" xfId="17102"/>
    <cellStyle name="Comma 7 5 3 9" xfId="13679"/>
    <cellStyle name="Comma 7 5 4" xfId="701"/>
    <cellStyle name="Comma 7 5 4 2" xfId="1836"/>
    <cellStyle name="Comma 7 5 4 2 2" xfId="5256"/>
    <cellStyle name="Comma 7 5 4 2 2 2" xfId="11874"/>
    <cellStyle name="Comma 7 5 4 2 2 2 2" xfId="18413"/>
    <cellStyle name="Comma 7 5 4 2 2 3" xfId="15561"/>
    <cellStyle name="Comma 7 5 4 2 3" xfId="7528"/>
    <cellStyle name="Comma 7 5 4 2 3 2" xfId="12445"/>
    <cellStyle name="Comma 7 5 4 2 3 2 2" xfId="18984"/>
    <cellStyle name="Comma 7 5 4 2 3 3" xfId="16132"/>
    <cellStyle name="Comma 7 5 4 2 4" xfId="9800"/>
    <cellStyle name="Comma 7 5 4 2 4 2" xfId="13016"/>
    <cellStyle name="Comma 7 5 4 2 4 2 2" xfId="19555"/>
    <cellStyle name="Comma 7 5 4 2 4 3" xfId="16703"/>
    <cellStyle name="Comma 7 5 4 2 5" xfId="3346"/>
    <cellStyle name="Comma 7 5 4 2 5 2" xfId="11303"/>
    <cellStyle name="Comma 7 5 4 2 5 2 2" xfId="17842"/>
    <cellStyle name="Comma 7 5 4 2 5 3" xfId="14990"/>
    <cellStyle name="Comma 7 5 4 2 6" xfId="2770"/>
    <cellStyle name="Comma 7 5 4 2 6 2" xfId="14418"/>
    <cellStyle name="Comma 7 5 4 2 7" xfId="10731"/>
    <cellStyle name="Comma 7 5 4 2 7 2" xfId="17270"/>
    <cellStyle name="Comma 7 5 4 2 8" xfId="13850"/>
    <cellStyle name="Comma 7 5 4 3" xfId="4121"/>
    <cellStyle name="Comma 7 5 4 3 2" xfId="11589"/>
    <cellStyle name="Comma 7 5 4 3 2 2" xfId="18128"/>
    <cellStyle name="Comma 7 5 4 3 3" xfId="15276"/>
    <cellStyle name="Comma 7 5 4 4" xfId="6393"/>
    <cellStyle name="Comma 7 5 4 4 2" xfId="12160"/>
    <cellStyle name="Comma 7 5 4 4 2 2" xfId="18699"/>
    <cellStyle name="Comma 7 5 4 4 3" xfId="15847"/>
    <cellStyle name="Comma 7 5 4 5" xfId="8665"/>
    <cellStyle name="Comma 7 5 4 5 2" xfId="12731"/>
    <cellStyle name="Comma 7 5 4 5 2 2" xfId="19270"/>
    <cellStyle name="Comma 7 5 4 5 3" xfId="16418"/>
    <cellStyle name="Comma 7 5 4 6" xfId="3061"/>
    <cellStyle name="Comma 7 5 4 6 2" xfId="11018"/>
    <cellStyle name="Comma 7 5 4 6 2 2" xfId="17557"/>
    <cellStyle name="Comma 7 5 4 6 3" xfId="14705"/>
    <cellStyle name="Comma 7 5 4 7" xfId="2490"/>
    <cellStyle name="Comma 7 5 4 7 2" xfId="14138"/>
    <cellStyle name="Comma 7 5 4 8" xfId="10451"/>
    <cellStyle name="Comma 7 5 4 8 2" xfId="16990"/>
    <cellStyle name="Comma 7 5 4 9" xfId="13565"/>
    <cellStyle name="Comma 7 5 5" xfId="1382"/>
    <cellStyle name="Comma 7 5 5 2" xfId="4802"/>
    <cellStyle name="Comma 7 5 5 2 2" xfId="11760"/>
    <cellStyle name="Comma 7 5 5 2 2 2" xfId="18299"/>
    <cellStyle name="Comma 7 5 5 2 3" xfId="15447"/>
    <cellStyle name="Comma 7 5 5 3" xfId="7074"/>
    <cellStyle name="Comma 7 5 5 3 2" xfId="12331"/>
    <cellStyle name="Comma 7 5 5 3 2 2" xfId="18870"/>
    <cellStyle name="Comma 7 5 5 3 3" xfId="16018"/>
    <cellStyle name="Comma 7 5 5 4" xfId="9346"/>
    <cellStyle name="Comma 7 5 5 4 2" xfId="12902"/>
    <cellStyle name="Comma 7 5 5 4 2 2" xfId="19441"/>
    <cellStyle name="Comma 7 5 5 4 3" xfId="16589"/>
    <cellStyle name="Comma 7 5 5 5" xfId="3232"/>
    <cellStyle name="Comma 7 5 5 5 2" xfId="11189"/>
    <cellStyle name="Comma 7 5 5 5 2 2" xfId="17728"/>
    <cellStyle name="Comma 7 5 5 5 3" xfId="14876"/>
    <cellStyle name="Comma 7 5 5 6" xfId="2658"/>
    <cellStyle name="Comma 7 5 5 6 2" xfId="14306"/>
    <cellStyle name="Comma 7 5 5 7" xfId="10619"/>
    <cellStyle name="Comma 7 5 5 7 2" xfId="17158"/>
    <cellStyle name="Comma 7 5 5 8" xfId="13736"/>
    <cellStyle name="Comma 7 5 6" xfId="3667"/>
    <cellStyle name="Comma 7 5 6 2" xfId="11475"/>
    <cellStyle name="Comma 7 5 6 2 2" xfId="18014"/>
    <cellStyle name="Comma 7 5 6 3" xfId="15162"/>
    <cellStyle name="Comma 7 5 7" xfId="5939"/>
    <cellStyle name="Comma 7 5 7 2" xfId="12046"/>
    <cellStyle name="Comma 7 5 7 2 2" xfId="18585"/>
    <cellStyle name="Comma 7 5 7 3" xfId="15733"/>
    <cellStyle name="Comma 7 5 8" xfId="8211"/>
    <cellStyle name="Comma 7 5 8 2" xfId="12617"/>
    <cellStyle name="Comma 7 5 8 2 2" xfId="19156"/>
    <cellStyle name="Comma 7 5 8 3" xfId="16304"/>
    <cellStyle name="Comma 7 5 9" xfId="2947"/>
    <cellStyle name="Comma 7 5 9 2" xfId="10904"/>
    <cellStyle name="Comma 7 5 9 2 2" xfId="17443"/>
    <cellStyle name="Comma 7 5 9 3" xfId="14591"/>
    <cellStyle name="Comma 7 6" xfId="303"/>
    <cellStyle name="Comma 7 6 10" xfId="13465"/>
    <cellStyle name="Comma 7 6 2" xfId="757"/>
    <cellStyle name="Comma 7 6 2 2" xfId="1892"/>
    <cellStyle name="Comma 7 6 2 2 2" xfId="5312"/>
    <cellStyle name="Comma 7 6 2 2 2 2" xfId="11888"/>
    <cellStyle name="Comma 7 6 2 2 2 2 2" xfId="18427"/>
    <cellStyle name="Comma 7 6 2 2 2 3" xfId="15575"/>
    <cellStyle name="Comma 7 6 2 2 3" xfId="7584"/>
    <cellStyle name="Comma 7 6 2 2 3 2" xfId="12459"/>
    <cellStyle name="Comma 7 6 2 2 3 2 2" xfId="18998"/>
    <cellStyle name="Comma 7 6 2 2 3 3" xfId="16146"/>
    <cellStyle name="Comma 7 6 2 2 4" xfId="9856"/>
    <cellStyle name="Comma 7 6 2 2 4 2" xfId="13030"/>
    <cellStyle name="Comma 7 6 2 2 4 2 2" xfId="19569"/>
    <cellStyle name="Comma 7 6 2 2 4 3" xfId="16717"/>
    <cellStyle name="Comma 7 6 2 2 5" xfId="3360"/>
    <cellStyle name="Comma 7 6 2 2 5 2" xfId="11317"/>
    <cellStyle name="Comma 7 6 2 2 5 2 2" xfId="17856"/>
    <cellStyle name="Comma 7 6 2 2 5 3" xfId="15004"/>
    <cellStyle name="Comma 7 6 2 2 6" xfId="2784"/>
    <cellStyle name="Comma 7 6 2 2 6 2" xfId="14432"/>
    <cellStyle name="Comma 7 6 2 2 7" xfId="10745"/>
    <cellStyle name="Comma 7 6 2 2 7 2" xfId="17284"/>
    <cellStyle name="Comma 7 6 2 2 8" xfId="13864"/>
    <cellStyle name="Comma 7 6 2 3" xfId="4177"/>
    <cellStyle name="Comma 7 6 2 3 2" xfId="11603"/>
    <cellStyle name="Comma 7 6 2 3 2 2" xfId="18142"/>
    <cellStyle name="Comma 7 6 2 3 3" xfId="15290"/>
    <cellStyle name="Comma 7 6 2 4" xfId="6449"/>
    <cellStyle name="Comma 7 6 2 4 2" xfId="12174"/>
    <cellStyle name="Comma 7 6 2 4 2 2" xfId="18713"/>
    <cellStyle name="Comma 7 6 2 4 3" xfId="15861"/>
    <cellStyle name="Comma 7 6 2 5" xfId="8721"/>
    <cellStyle name="Comma 7 6 2 5 2" xfId="12745"/>
    <cellStyle name="Comma 7 6 2 5 2 2" xfId="19284"/>
    <cellStyle name="Comma 7 6 2 5 3" xfId="16432"/>
    <cellStyle name="Comma 7 6 2 6" xfId="3075"/>
    <cellStyle name="Comma 7 6 2 6 2" xfId="11032"/>
    <cellStyle name="Comma 7 6 2 6 2 2" xfId="17571"/>
    <cellStyle name="Comma 7 6 2 6 3" xfId="14719"/>
    <cellStyle name="Comma 7 6 2 7" xfId="2504"/>
    <cellStyle name="Comma 7 6 2 7 2" xfId="14152"/>
    <cellStyle name="Comma 7 6 2 8" xfId="10465"/>
    <cellStyle name="Comma 7 6 2 8 2" xfId="17004"/>
    <cellStyle name="Comma 7 6 2 9" xfId="13579"/>
    <cellStyle name="Comma 7 6 3" xfId="1438"/>
    <cellStyle name="Comma 7 6 3 2" xfId="4858"/>
    <cellStyle name="Comma 7 6 3 2 2" xfId="11774"/>
    <cellStyle name="Comma 7 6 3 2 2 2" xfId="18313"/>
    <cellStyle name="Comma 7 6 3 2 3" xfId="15461"/>
    <cellStyle name="Comma 7 6 3 3" xfId="7130"/>
    <cellStyle name="Comma 7 6 3 3 2" xfId="12345"/>
    <cellStyle name="Comma 7 6 3 3 2 2" xfId="18884"/>
    <cellStyle name="Comma 7 6 3 3 3" xfId="16032"/>
    <cellStyle name="Comma 7 6 3 4" xfId="9402"/>
    <cellStyle name="Comma 7 6 3 4 2" xfId="12916"/>
    <cellStyle name="Comma 7 6 3 4 2 2" xfId="19455"/>
    <cellStyle name="Comma 7 6 3 4 3" xfId="16603"/>
    <cellStyle name="Comma 7 6 3 5" xfId="3246"/>
    <cellStyle name="Comma 7 6 3 5 2" xfId="11203"/>
    <cellStyle name="Comma 7 6 3 5 2 2" xfId="17742"/>
    <cellStyle name="Comma 7 6 3 5 3" xfId="14890"/>
    <cellStyle name="Comma 7 6 3 6" xfId="2672"/>
    <cellStyle name="Comma 7 6 3 6 2" xfId="14320"/>
    <cellStyle name="Comma 7 6 3 7" xfId="10633"/>
    <cellStyle name="Comma 7 6 3 7 2" xfId="17172"/>
    <cellStyle name="Comma 7 6 3 8" xfId="13750"/>
    <cellStyle name="Comma 7 6 4" xfId="3723"/>
    <cellStyle name="Comma 7 6 4 2" xfId="11489"/>
    <cellStyle name="Comma 7 6 4 2 2" xfId="18028"/>
    <cellStyle name="Comma 7 6 4 3" xfId="15176"/>
    <cellStyle name="Comma 7 6 5" xfId="5995"/>
    <cellStyle name="Comma 7 6 5 2" xfId="12060"/>
    <cellStyle name="Comma 7 6 5 2 2" xfId="18599"/>
    <cellStyle name="Comma 7 6 5 3" xfId="15747"/>
    <cellStyle name="Comma 7 6 6" xfId="8267"/>
    <cellStyle name="Comma 7 6 6 2" xfId="12631"/>
    <cellStyle name="Comma 7 6 6 2 2" xfId="19170"/>
    <cellStyle name="Comma 7 6 6 3" xfId="16318"/>
    <cellStyle name="Comma 7 6 7" xfId="2961"/>
    <cellStyle name="Comma 7 6 7 2" xfId="10918"/>
    <cellStyle name="Comma 7 6 7 2 2" xfId="17457"/>
    <cellStyle name="Comma 7 6 7 3" xfId="14605"/>
    <cellStyle name="Comma 7 6 8" xfId="2392"/>
    <cellStyle name="Comma 7 6 8 2" xfId="14040"/>
    <cellStyle name="Comma 7 6 9" xfId="10353"/>
    <cellStyle name="Comma 7 6 9 2" xfId="16892"/>
    <cellStyle name="Comma 7 7" xfId="984"/>
    <cellStyle name="Comma 7 7 2" xfId="2119"/>
    <cellStyle name="Comma 7 7 2 2" xfId="5539"/>
    <cellStyle name="Comma 7 7 2 2 2" xfId="11945"/>
    <cellStyle name="Comma 7 7 2 2 2 2" xfId="18484"/>
    <cellStyle name="Comma 7 7 2 2 3" xfId="15632"/>
    <cellStyle name="Comma 7 7 2 3" xfId="7811"/>
    <cellStyle name="Comma 7 7 2 3 2" xfId="12516"/>
    <cellStyle name="Comma 7 7 2 3 2 2" xfId="19055"/>
    <cellStyle name="Comma 7 7 2 3 3" xfId="16203"/>
    <cellStyle name="Comma 7 7 2 4" xfId="10083"/>
    <cellStyle name="Comma 7 7 2 4 2" xfId="13087"/>
    <cellStyle name="Comma 7 7 2 4 2 2" xfId="19626"/>
    <cellStyle name="Comma 7 7 2 4 3" xfId="16774"/>
    <cellStyle name="Comma 7 7 2 5" xfId="3417"/>
    <cellStyle name="Comma 7 7 2 5 2" xfId="11374"/>
    <cellStyle name="Comma 7 7 2 5 2 2" xfId="17913"/>
    <cellStyle name="Comma 7 7 2 5 3" xfId="15061"/>
    <cellStyle name="Comma 7 7 2 6" xfId="2840"/>
    <cellStyle name="Comma 7 7 2 6 2" xfId="14488"/>
    <cellStyle name="Comma 7 7 2 7" xfId="10801"/>
    <cellStyle name="Comma 7 7 2 7 2" xfId="17340"/>
    <cellStyle name="Comma 7 7 2 8" xfId="13921"/>
    <cellStyle name="Comma 7 7 3" xfId="4404"/>
    <cellStyle name="Comma 7 7 3 2" xfId="11660"/>
    <cellStyle name="Comma 7 7 3 2 2" xfId="18199"/>
    <cellStyle name="Comma 7 7 3 3" xfId="15347"/>
    <cellStyle name="Comma 7 7 4" xfId="6676"/>
    <cellStyle name="Comma 7 7 4 2" xfId="12231"/>
    <cellStyle name="Comma 7 7 4 2 2" xfId="18770"/>
    <cellStyle name="Comma 7 7 4 3" xfId="15918"/>
    <cellStyle name="Comma 7 7 5" xfId="8948"/>
    <cellStyle name="Comma 7 7 5 2" xfId="12802"/>
    <cellStyle name="Comma 7 7 5 2 2" xfId="19341"/>
    <cellStyle name="Comma 7 7 5 3" xfId="16489"/>
    <cellStyle name="Comma 7 7 6" xfId="3132"/>
    <cellStyle name="Comma 7 7 6 2" xfId="11089"/>
    <cellStyle name="Comma 7 7 6 2 2" xfId="17628"/>
    <cellStyle name="Comma 7 7 6 3" xfId="14776"/>
    <cellStyle name="Comma 7 7 7" xfId="2560"/>
    <cellStyle name="Comma 7 7 7 2" xfId="14208"/>
    <cellStyle name="Comma 7 7 8" xfId="10521"/>
    <cellStyle name="Comma 7 7 8 2" xfId="17060"/>
    <cellStyle name="Comma 7 7 9" xfId="13636"/>
    <cellStyle name="Comma 7 8" xfId="530"/>
    <cellStyle name="Comma 7 8 2" xfId="1665"/>
    <cellStyle name="Comma 7 8 2 2" xfId="5085"/>
    <cellStyle name="Comma 7 8 2 2 2" xfId="11831"/>
    <cellStyle name="Comma 7 8 2 2 2 2" xfId="18370"/>
    <cellStyle name="Comma 7 8 2 2 3" xfId="15518"/>
    <cellStyle name="Comma 7 8 2 3" xfId="7357"/>
    <cellStyle name="Comma 7 8 2 3 2" xfId="12402"/>
    <cellStyle name="Comma 7 8 2 3 2 2" xfId="18941"/>
    <cellStyle name="Comma 7 8 2 3 3" xfId="16089"/>
    <cellStyle name="Comma 7 8 2 4" xfId="9629"/>
    <cellStyle name="Comma 7 8 2 4 2" xfId="12973"/>
    <cellStyle name="Comma 7 8 2 4 2 2" xfId="19512"/>
    <cellStyle name="Comma 7 8 2 4 3" xfId="16660"/>
    <cellStyle name="Comma 7 8 2 5" xfId="3303"/>
    <cellStyle name="Comma 7 8 2 5 2" xfId="11260"/>
    <cellStyle name="Comma 7 8 2 5 2 2" xfId="17799"/>
    <cellStyle name="Comma 7 8 2 5 3" xfId="14947"/>
    <cellStyle name="Comma 7 8 2 6" xfId="2728"/>
    <cellStyle name="Comma 7 8 2 6 2" xfId="14376"/>
    <cellStyle name="Comma 7 8 2 7" xfId="10689"/>
    <cellStyle name="Comma 7 8 2 7 2" xfId="17228"/>
    <cellStyle name="Comma 7 8 2 8" xfId="13807"/>
    <cellStyle name="Comma 7 8 3" xfId="3950"/>
    <cellStyle name="Comma 7 8 3 2" xfId="11546"/>
    <cellStyle name="Comma 7 8 3 2 2" xfId="18085"/>
    <cellStyle name="Comma 7 8 3 3" xfId="15233"/>
    <cellStyle name="Comma 7 8 4" xfId="6222"/>
    <cellStyle name="Comma 7 8 4 2" xfId="12117"/>
    <cellStyle name="Comma 7 8 4 2 2" xfId="18656"/>
    <cellStyle name="Comma 7 8 4 3" xfId="15804"/>
    <cellStyle name="Comma 7 8 5" xfId="8494"/>
    <cellStyle name="Comma 7 8 5 2" xfId="12688"/>
    <cellStyle name="Comma 7 8 5 2 2" xfId="19227"/>
    <cellStyle name="Comma 7 8 5 3" xfId="16375"/>
    <cellStyle name="Comma 7 8 6" xfId="3018"/>
    <cellStyle name="Comma 7 8 6 2" xfId="10975"/>
    <cellStyle name="Comma 7 8 6 2 2" xfId="17514"/>
    <cellStyle name="Comma 7 8 6 3" xfId="14662"/>
    <cellStyle name="Comma 7 8 7" xfId="2448"/>
    <cellStyle name="Comma 7 8 7 2" xfId="14096"/>
    <cellStyle name="Comma 7 8 8" xfId="10409"/>
    <cellStyle name="Comma 7 8 8 2" xfId="16948"/>
    <cellStyle name="Comma 7 8 9" xfId="13522"/>
    <cellStyle name="Comma 7 9" xfId="1211"/>
    <cellStyle name="Comma 7 9 2" xfId="4631"/>
    <cellStyle name="Comma 7 9 2 2" xfId="11717"/>
    <cellStyle name="Comma 7 9 2 2 2" xfId="18256"/>
    <cellStyle name="Comma 7 9 2 3" xfId="15404"/>
    <cellStyle name="Comma 7 9 3" xfId="6903"/>
    <cellStyle name="Comma 7 9 3 2" xfId="12288"/>
    <cellStyle name="Comma 7 9 3 2 2" xfId="18827"/>
    <cellStyle name="Comma 7 9 3 3" xfId="15975"/>
    <cellStyle name="Comma 7 9 4" xfId="9175"/>
    <cellStyle name="Comma 7 9 4 2" xfId="12859"/>
    <cellStyle name="Comma 7 9 4 2 2" xfId="19398"/>
    <cellStyle name="Comma 7 9 4 3" xfId="16546"/>
    <cellStyle name="Comma 7 9 5" xfId="3189"/>
    <cellStyle name="Comma 7 9 5 2" xfId="11146"/>
    <cellStyle name="Comma 7 9 5 2 2" xfId="17685"/>
    <cellStyle name="Comma 7 9 5 3" xfId="14833"/>
    <cellStyle name="Comma 7 9 6" xfId="2616"/>
    <cellStyle name="Comma 7 9 6 2" xfId="14264"/>
    <cellStyle name="Comma 7 9 7" xfId="10577"/>
    <cellStyle name="Comma 7 9 7 2" xfId="17116"/>
    <cellStyle name="Comma 7 9 8" xfId="13693"/>
    <cellStyle name="Comma 8" xfId="65"/>
    <cellStyle name="Comma 8 10" xfId="3498"/>
    <cellStyle name="Comma 8 10 2" xfId="11433"/>
    <cellStyle name="Comma 8 10 2 2" xfId="17972"/>
    <cellStyle name="Comma 8 10 3" xfId="15120"/>
    <cellStyle name="Comma 8 11" xfId="5770"/>
    <cellStyle name="Comma 8 11 2" xfId="12004"/>
    <cellStyle name="Comma 8 11 2 2" xfId="18543"/>
    <cellStyle name="Comma 8 11 3" xfId="15691"/>
    <cellStyle name="Comma 8 12" xfId="8042"/>
    <cellStyle name="Comma 8 12 2" xfId="12575"/>
    <cellStyle name="Comma 8 12 2 2" xfId="19114"/>
    <cellStyle name="Comma 8 12 3" xfId="16262"/>
    <cellStyle name="Comma 8 13" xfId="2900"/>
    <cellStyle name="Comma 8 13 2" xfId="10860"/>
    <cellStyle name="Comma 8 13 2 2" xfId="17399"/>
    <cellStyle name="Comma 8 13 3" xfId="14547"/>
    <cellStyle name="Comma 8 14" xfId="2335"/>
    <cellStyle name="Comma 8 14 2" xfId="13983"/>
    <cellStyle name="Comma 8 15" xfId="10296"/>
    <cellStyle name="Comma 8 15 2" xfId="16835"/>
    <cellStyle name="Comma 8 16" xfId="13263"/>
    <cellStyle name="Comma 8 16 2" xfId="19772"/>
    <cellStyle name="Comma 8 17" xfId="13407"/>
    <cellStyle name="Comma 8 18" xfId="19866"/>
    <cellStyle name="Comma 8 19" xfId="20106"/>
    <cellStyle name="Comma 8 2" xfId="95"/>
    <cellStyle name="Comma 8 2 10" xfId="5798"/>
    <cellStyle name="Comma 8 2 10 2" xfId="12011"/>
    <cellStyle name="Comma 8 2 10 2 2" xfId="18550"/>
    <cellStyle name="Comma 8 2 10 3" xfId="15698"/>
    <cellStyle name="Comma 8 2 11" xfId="8070"/>
    <cellStyle name="Comma 8 2 11 2" xfId="12582"/>
    <cellStyle name="Comma 8 2 11 2 2" xfId="19121"/>
    <cellStyle name="Comma 8 2 11 3" xfId="16269"/>
    <cellStyle name="Comma 8 2 12" xfId="2909"/>
    <cellStyle name="Comma 8 2 12 2" xfId="10868"/>
    <cellStyle name="Comma 8 2 12 2 2" xfId="17407"/>
    <cellStyle name="Comma 8 2 12 3" xfId="14555"/>
    <cellStyle name="Comma 8 2 13" xfId="2343"/>
    <cellStyle name="Comma 8 2 13 2" xfId="13991"/>
    <cellStyle name="Comma 8 2 14" xfId="10304"/>
    <cellStyle name="Comma 8 2 14 2" xfId="16843"/>
    <cellStyle name="Comma 8 2 15" xfId="13264"/>
    <cellStyle name="Comma 8 2 15 2" xfId="19773"/>
    <cellStyle name="Comma 8 2 16" xfId="13415"/>
    <cellStyle name="Comma 8 2 17" xfId="19867"/>
    <cellStyle name="Comma 8 2 18" xfId="20268"/>
    <cellStyle name="Comma 8 2 2" xfId="207"/>
    <cellStyle name="Comma 8 2 2 10" xfId="2371"/>
    <cellStyle name="Comma 8 2 2 10 2" xfId="14019"/>
    <cellStyle name="Comma 8 2 2 11" xfId="10332"/>
    <cellStyle name="Comma 8 2 2 11 2" xfId="16871"/>
    <cellStyle name="Comma 8 2 2 12" xfId="13443"/>
    <cellStyle name="Comma 8 2 2 2" xfId="445"/>
    <cellStyle name="Comma 8 2 2 2 10" xfId="13501"/>
    <cellStyle name="Comma 8 2 2 2 2" xfId="899"/>
    <cellStyle name="Comma 8 2 2 2 2 2" xfId="2034"/>
    <cellStyle name="Comma 8 2 2 2 2 2 2" xfId="5454"/>
    <cellStyle name="Comma 8 2 2 2 2 2 2 2" xfId="11924"/>
    <cellStyle name="Comma 8 2 2 2 2 2 2 2 2" xfId="18463"/>
    <cellStyle name="Comma 8 2 2 2 2 2 2 3" xfId="15611"/>
    <cellStyle name="Comma 8 2 2 2 2 2 3" xfId="7726"/>
    <cellStyle name="Comma 8 2 2 2 2 2 3 2" xfId="12495"/>
    <cellStyle name="Comma 8 2 2 2 2 2 3 2 2" xfId="19034"/>
    <cellStyle name="Comma 8 2 2 2 2 2 3 3" xfId="16182"/>
    <cellStyle name="Comma 8 2 2 2 2 2 4" xfId="9998"/>
    <cellStyle name="Comma 8 2 2 2 2 2 4 2" xfId="13066"/>
    <cellStyle name="Comma 8 2 2 2 2 2 4 2 2" xfId="19605"/>
    <cellStyle name="Comma 8 2 2 2 2 2 4 3" xfId="16753"/>
    <cellStyle name="Comma 8 2 2 2 2 2 5" xfId="3396"/>
    <cellStyle name="Comma 8 2 2 2 2 2 5 2" xfId="11353"/>
    <cellStyle name="Comma 8 2 2 2 2 2 5 2 2" xfId="17892"/>
    <cellStyle name="Comma 8 2 2 2 2 2 5 3" xfId="15040"/>
    <cellStyle name="Comma 8 2 2 2 2 2 6" xfId="2820"/>
    <cellStyle name="Comma 8 2 2 2 2 2 6 2" xfId="14468"/>
    <cellStyle name="Comma 8 2 2 2 2 2 7" xfId="10781"/>
    <cellStyle name="Comma 8 2 2 2 2 2 7 2" xfId="17320"/>
    <cellStyle name="Comma 8 2 2 2 2 2 8" xfId="13900"/>
    <cellStyle name="Comma 8 2 2 2 2 3" xfId="4319"/>
    <cellStyle name="Comma 8 2 2 2 2 3 2" xfId="11639"/>
    <cellStyle name="Comma 8 2 2 2 2 3 2 2" xfId="18178"/>
    <cellStyle name="Comma 8 2 2 2 2 3 3" xfId="15326"/>
    <cellStyle name="Comma 8 2 2 2 2 4" xfId="6591"/>
    <cellStyle name="Comma 8 2 2 2 2 4 2" xfId="12210"/>
    <cellStyle name="Comma 8 2 2 2 2 4 2 2" xfId="18749"/>
    <cellStyle name="Comma 8 2 2 2 2 4 3" xfId="15897"/>
    <cellStyle name="Comma 8 2 2 2 2 5" xfId="8863"/>
    <cellStyle name="Comma 8 2 2 2 2 5 2" xfId="12781"/>
    <cellStyle name="Comma 8 2 2 2 2 5 2 2" xfId="19320"/>
    <cellStyle name="Comma 8 2 2 2 2 5 3" xfId="16468"/>
    <cellStyle name="Comma 8 2 2 2 2 6" xfId="3111"/>
    <cellStyle name="Comma 8 2 2 2 2 6 2" xfId="11068"/>
    <cellStyle name="Comma 8 2 2 2 2 6 2 2" xfId="17607"/>
    <cellStyle name="Comma 8 2 2 2 2 6 3" xfId="14755"/>
    <cellStyle name="Comma 8 2 2 2 2 7" xfId="2540"/>
    <cellStyle name="Comma 8 2 2 2 2 7 2" xfId="14188"/>
    <cellStyle name="Comma 8 2 2 2 2 8" xfId="10501"/>
    <cellStyle name="Comma 8 2 2 2 2 8 2" xfId="17040"/>
    <cellStyle name="Comma 8 2 2 2 2 9" xfId="13615"/>
    <cellStyle name="Comma 8 2 2 2 3" xfId="1580"/>
    <cellStyle name="Comma 8 2 2 2 3 2" xfId="5000"/>
    <cellStyle name="Comma 8 2 2 2 3 2 2" xfId="11810"/>
    <cellStyle name="Comma 8 2 2 2 3 2 2 2" xfId="18349"/>
    <cellStyle name="Comma 8 2 2 2 3 2 3" xfId="15497"/>
    <cellStyle name="Comma 8 2 2 2 3 3" xfId="7272"/>
    <cellStyle name="Comma 8 2 2 2 3 3 2" xfId="12381"/>
    <cellStyle name="Comma 8 2 2 2 3 3 2 2" xfId="18920"/>
    <cellStyle name="Comma 8 2 2 2 3 3 3" xfId="16068"/>
    <cellStyle name="Comma 8 2 2 2 3 4" xfId="9544"/>
    <cellStyle name="Comma 8 2 2 2 3 4 2" xfId="12952"/>
    <cellStyle name="Comma 8 2 2 2 3 4 2 2" xfId="19491"/>
    <cellStyle name="Comma 8 2 2 2 3 4 3" xfId="16639"/>
    <cellStyle name="Comma 8 2 2 2 3 5" xfId="3282"/>
    <cellStyle name="Comma 8 2 2 2 3 5 2" xfId="11239"/>
    <cellStyle name="Comma 8 2 2 2 3 5 2 2" xfId="17778"/>
    <cellStyle name="Comma 8 2 2 2 3 5 3" xfId="14926"/>
    <cellStyle name="Comma 8 2 2 2 3 6" xfId="2708"/>
    <cellStyle name="Comma 8 2 2 2 3 6 2" xfId="14356"/>
    <cellStyle name="Comma 8 2 2 2 3 7" xfId="10669"/>
    <cellStyle name="Comma 8 2 2 2 3 7 2" xfId="17208"/>
    <cellStyle name="Comma 8 2 2 2 3 8" xfId="13786"/>
    <cellStyle name="Comma 8 2 2 2 4" xfId="3865"/>
    <cellStyle name="Comma 8 2 2 2 4 2" xfId="11525"/>
    <cellStyle name="Comma 8 2 2 2 4 2 2" xfId="18064"/>
    <cellStyle name="Comma 8 2 2 2 4 3" xfId="15212"/>
    <cellStyle name="Comma 8 2 2 2 5" xfId="6137"/>
    <cellStyle name="Comma 8 2 2 2 5 2" xfId="12096"/>
    <cellStyle name="Comma 8 2 2 2 5 2 2" xfId="18635"/>
    <cellStyle name="Comma 8 2 2 2 5 3" xfId="15783"/>
    <cellStyle name="Comma 8 2 2 2 6" xfId="8409"/>
    <cellStyle name="Comma 8 2 2 2 6 2" xfId="12667"/>
    <cellStyle name="Comma 8 2 2 2 6 2 2" xfId="19206"/>
    <cellStyle name="Comma 8 2 2 2 6 3" xfId="16354"/>
    <cellStyle name="Comma 8 2 2 2 7" xfId="2997"/>
    <cellStyle name="Comma 8 2 2 2 7 2" xfId="10954"/>
    <cellStyle name="Comma 8 2 2 2 7 2 2" xfId="17493"/>
    <cellStyle name="Comma 8 2 2 2 7 3" xfId="14641"/>
    <cellStyle name="Comma 8 2 2 2 8" xfId="2428"/>
    <cellStyle name="Comma 8 2 2 2 8 2" xfId="14076"/>
    <cellStyle name="Comma 8 2 2 2 9" xfId="10389"/>
    <cellStyle name="Comma 8 2 2 2 9 2" xfId="16928"/>
    <cellStyle name="Comma 8 2 2 3" xfId="1126"/>
    <cellStyle name="Comma 8 2 2 3 2" xfId="2261"/>
    <cellStyle name="Comma 8 2 2 3 2 2" xfId="5681"/>
    <cellStyle name="Comma 8 2 2 3 2 2 2" xfId="11981"/>
    <cellStyle name="Comma 8 2 2 3 2 2 2 2" xfId="18520"/>
    <cellStyle name="Comma 8 2 2 3 2 2 3" xfId="15668"/>
    <cellStyle name="Comma 8 2 2 3 2 3" xfId="7953"/>
    <cellStyle name="Comma 8 2 2 3 2 3 2" xfId="12552"/>
    <cellStyle name="Comma 8 2 2 3 2 3 2 2" xfId="19091"/>
    <cellStyle name="Comma 8 2 2 3 2 3 3" xfId="16239"/>
    <cellStyle name="Comma 8 2 2 3 2 4" xfId="10225"/>
    <cellStyle name="Comma 8 2 2 3 2 4 2" xfId="13123"/>
    <cellStyle name="Comma 8 2 2 3 2 4 2 2" xfId="19662"/>
    <cellStyle name="Comma 8 2 2 3 2 4 3" xfId="16810"/>
    <cellStyle name="Comma 8 2 2 3 2 5" xfId="3453"/>
    <cellStyle name="Comma 8 2 2 3 2 5 2" xfId="11410"/>
    <cellStyle name="Comma 8 2 2 3 2 5 2 2" xfId="17949"/>
    <cellStyle name="Comma 8 2 2 3 2 5 3" xfId="15097"/>
    <cellStyle name="Comma 8 2 2 3 2 6" xfId="2876"/>
    <cellStyle name="Comma 8 2 2 3 2 6 2" xfId="14524"/>
    <cellStyle name="Comma 8 2 2 3 2 7" xfId="10837"/>
    <cellStyle name="Comma 8 2 2 3 2 7 2" xfId="17376"/>
    <cellStyle name="Comma 8 2 2 3 2 8" xfId="13957"/>
    <cellStyle name="Comma 8 2 2 3 3" xfId="4546"/>
    <cellStyle name="Comma 8 2 2 3 3 2" xfId="11696"/>
    <cellStyle name="Comma 8 2 2 3 3 2 2" xfId="18235"/>
    <cellStyle name="Comma 8 2 2 3 3 3" xfId="15383"/>
    <cellStyle name="Comma 8 2 2 3 4" xfId="6818"/>
    <cellStyle name="Comma 8 2 2 3 4 2" xfId="12267"/>
    <cellStyle name="Comma 8 2 2 3 4 2 2" xfId="18806"/>
    <cellStyle name="Comma 8 2 2 3 4 3" xfId="15954"/>
    <cellStyle name="Comma 8 2 2 3 5" xfId="9090"/>
    <cellStyle name="Comma 8 2 2 3 5 2" xfId="12838"/>
    <cellStyle name="Comma 8 2 2 3 5 2 2" xfId="19377"/>
    <cellStyle name="Comma 8 2 2 3 5 3" xfId="16525"/>
    <cellStyle name="Comma 8 2 2 3 6" xfId="3168"/>
    <cellStyle name="Comma 8 2 2 3 6 2" xfId="11125"/>
    <cellStyle name="Comma 8 2 2 3 6 2 2" xfId="17664"/>
    <cellStyle name="Comma 8 2 2 3 6 3" xfId="14812"/>
    <cellStyle name="Comma 8 2 2 3 7" xfId="2596"/>
    <cellStyle name="Comma 8 2 2 3 7 2" xfId="14244"/>
    <cellStyle name="Comma 8 2 2 3 8" xfId="10557"/>
    <cellStyle name="Comma 8 2 2 3 8 2" xfId="17096"/>
    <cellStyle name="Comma 8 2 2 3 9" xfId="13672"/>
    <cellStyle name="Comma 8 2 2 4" xfId="672"/>
    <cellStyle name="Comma 8 2 2 4 2" xfId="1807"/>
    <cellStyle name="Comma 8 2 2 4 2 2" xfId="5227"/>
    <cellStyle name="Comma 8 2 2 4 2 2 2" xfId="11867"/>
    <cellStyle name="Comma 8 2 2 4 2 2 2 2" xfId="18406"/>
    <cellStyle name="Comma 8 2 2 4 2 2 3" xfId="15554"/>
    <cellStyle name="Comma 8 2 2 4 2 3" xfId="7499"/>
    <cellStyle name="Comma 8 2 2 4 2 3 2" xfId="12438"/>
    <cellStyle name="Comma 8 2 2 4 2 3 2 2" xfId="18977"/>
    <cellStyle name="Comma 8 2 2 4 2 3 3" xfId="16125"/>
    <cellStyle name="Comma 8 2 2 4 2 4" xfId="9771"/>
    <cellStyle name="Comma 8 2 2 4 2 4 2" xfId="13009"/>
    <cellStyle name="Comma 8 2 2 4 2 4 2 2" xfId="19548"/>
    <cellStyle name="Comma 8 2 2 4 2 4 3" xfId="16696"/>
    <cellStyle name="Comma 8 2 2 4 2 5" xfId="3339"/>
    <cellStyle name="Comma 8 2 2 4 2 5 2" xfId="11296"/>
    <cellStyle name="Comma 8 2 2 4 2 5 2 2" xfId="17835"/>
    <cellStyle name="Comma 8 2 2 4 2 5 3" xfId="14983"/>
    <cellStyle name="Comma 8 2 2 4 2 6" xfId="2764"/>
    <cellStyle name="Comma 8 2 2 4 2 6 2" xfId="14412"/>
    <cellStyle name="Comma 8 2 2 4 2 7" xfId="10725"/>
    <cellStyle name="Comma 8 2 2 4 2 7 2" xfId="17264"/>
    <cellStyle name="Comma 8 2 2 4 2 8" xfId="13843"/>
    <cellStyle name="Comma 8 2 2 4 3" xfId="4092"/>
    <cellStyle name="Comma 8 2 2 4 3 2" xfId="11582"/>
    <cellStyle name="Comma 8 2 2 4 3 2 2" xfId="18121"/>
    <cellStyle name="Comma 8 2 2 4 3 3" xfId="15269"/>
    <cellStyle name="Comma 8 2 2 4 4" xfId="6364"/>
    <cellStyle name="Comma 8 2 2 4 4 2" xfId="12153"/>
    <cellStyle name="Comma 8 2 2 4 4 2 2" xfId="18692"/>
    <cellStyle name="Comma 8 2 2 4 4 3" xfId="15840"/>
    <cellStyle name="Comma 8 2 2 4 5" xfId="8636"/>
    <cellStyle name="Comma 8 2 2 4 5 2" xfId="12724"/>
    <cellStyle name="Comma 8 2 2 4 5 2 2" xfId="19263"/>
    <cellStyle name="Comma 8 2 2 4 5 3" xfId="16411"/>
    <cellStyle name="Comma 8 2 2 4 6" xfId="3054"/>
    <cellStyle name="Comma 8 2 2 4 6 2" xfId="11011"/>
    <cellStyle name="Comma 8 2 2 4 6 2 2" xfId="17550"/>
    <cellStyle name="Comma 8 2 2 4 6 3" xfId="14698"/>
    <cellStyle name="Comma 8 2 2 4 7" xfId="2484"/>
    <cellStyle name="Comma 8 2 2 4 7 2" xfId="14132"/>
    <cellStyle name="Comma 8 2 2 4 8" xfId="10445"/>
    <cellStyle name="Comma 8 2 2 4 8 2" xfId="16984"/>
    <cellStyle name="Comma 8 2 2 4 9" xfId="13558"/>
    <cellStyle name="Comma 8 2 2 5" xfId="1353"/>
    <cellStyle name="Comma 8 2 2 5 2" xfId="4773"/>
    <cellStyle name="Comma 8 2 2 5 2 2" xfId="11753"/>
    <cellStyle name="Comma 8 2 2 5 2 2 2" xfId="18292"/>
    <cellStyle name="Comma 8 2 2 5 2 3" xfId="15440"/>
    <cellStyle name="Comma 8 2 2 5 3" xfId="7045"/>
    <cellStyle name="Comma 8 2 2 5 3 2" xfId="12324"/>
    <cellStyle name="Comma 8 2 2 5 3 2 2" xfId="18863"/>
    <cellStyle name="Comma 8 2 2 5 3 3" xfId="16011"/>
    <cellStyle name="Comma 8 2 2 5 4" xfId="9317"/>
    <cellStyle name="Comma 8 2 2 5 4 2" xfId="12895"/>
    <cellStyle name="Comma 8 2 2 5 4 2 2" xfId="19434"/>
    <cellStyle name="Comma 8 2 2 5 4 3" xfId="16582"/>
    <cellStyle name="Comma 8 2 2 5 5" xfId="3225"/>
    <cellStyle name="Comma 8 2 2 5 5 2" xfId="11182"/>
    <cellStyle name="Comma 8 2 2 5 5 2 2" xfId="17721"/>
    <cellStyle name="Comma 8 2 2 5 5 3" xfId="14869"/>
    <cellStyle name="Comma 8 2 2 5 6" xfId="2652"/>
    <cellStyle name="Comma 8 2 2 5 6 2" xfId="14300"/>
    <cellStyle name="Comma 8 2 2 5 7" xfId="10613"/>
    <cellStyle name="Comma 8 2 2 5 7 2" xfId="17152"/>
    <cellStyle name="Comma 8 2 2 5 8" xfId="13729"/>
    <cellStyle name="Comma 8 2 2 6" xfId="3638"/>
    <cellStyle name="Comma 8 2 2 6 2" xfId="11468"/>
    <cellStyle name="Comma 8 2 2 6 2 2" xfId="18007"/>
    <cellStyle name="Comma 8 2 2 6 3" xfId="15155"/>
    <cellStyle name="Comma 8 2 2 7" xfId="5910"/>
    <cellStyle name="Comma 8 2 2 7 2" xfId="12039"/>
    <cellStyle name="Comma 8 2 2 7 2 2" xfId="18578"/>
    <cellStyle name="Comma 8 2 2 7 3" xfId="15726"/>
    <cellStyle name="Comma 8 2 2 8" xfId="8182"/>
    <cellStyle name="Comma 8 2 2 8 2" xfId="12610"/>
    <cellStyle name="Comma 8 2 2 8 2 2" xfId="19149"/>
    <cellStyle name="Comma 8 2 2 8 3" xfId="16297"/>
    <cellStyle name="Comma 8 2 2 9" xfId="2937"/>
    <cellStyle name="Comma 8 2 2 9 2" xfId="10896"/>
    <cellStyle name="Comma 8 2 2 9 2 2" xfId="17435"/>
    <cellStyle name="Comma 8 2 2 9 3" xfId="14583"/>
    <cellStyle name="Comma 8 2 3" xfId="151"/>
    <cellStyle name="Comma 8 2 3 10" xfId="2357"/>
    <cellStyle name="Comma 8 2 3 10 2" xfId="14005"/>
    <cellStyle name="Comma 8 2 3 11" xfId="10318"/>
    <cellStyle name="Comma 8 2 3 11 2" xfId="16857"/>
    <cellStyle name="Comma 8 2 3 12" xfId="13429"/>
    <cellStyle name="Comma 8 2 3 2" xfId="389"/>
    <cellStyle name="Comma 8 2 3 2 10" xfId="13487"/>
    <cellStyle name="Comma 8 2 3 2 2" xfId="843"/>
    <cellStyle name="Comma 8 2 3 2 2 2" xfId="1978"/>
    <cellStyle name="Comma 8 2 3 2 2 2 2" xfId="5398"/>
    <cellStyle name="Comma 8 2 3 2 2 2 2 2" xfId="11910"/>
    <cellStyle name="Comma 8 2 3 2 2 2 2 2 2" xfId="18449"/>
    <cellStyle name="Comma 8 2 3 2 2 2 2 3" xfId="15597"/>
    <cellStyle name="Comma 8 2 3 2 2 2 3" xfId="7670"/>
    <cellStyle name="Comma 8 2 3 2 2 2 3 2" xfId="12481"/>
    <cellStyle name="Comma 8 2 3 2 2 2 3 2 2" xfId="19020"/>
    <cellStyle name="Comma 8 2 3 2 2 2 3 3" xfId="16168"/>
    <cellStyle name="Comma 8 2 3 2 2 2 4" xfId="9942"/>
    <cellStyle name="Comma 8 2 3 2 2 2 4 2" xfId="13052"/>
    <cellStyle name="Comma 8 2 3 2 2 2 4 2 2" xfId="19591"/>
    <cellStyle name="Comma 8 2 3 2 2 2 4 3" xfId="16739"/>
    <cellStyle name="Comma 8 2 3 2 2 2 5" xfId="3382"/>
    <cellStyle name="Comma 8 2 3 2 2 2 5 2" xfId="11339"/>
    <cellStyle name="Comma 8 2 3 2 2 2 5 2 2" xfId="17878"/>
    <cellStyle name="Comma 8 2 3 2 2 2 5 3" xfId="15026"/>
    <cellStyle name="Comma 8 2 3 2 2 2 6" xfId="2806"/>
    <cellStyle name="Comma 8 2 3 2 2 2 6 2" xfId="14454"/>
    <cellStyle name="Comma 8 2 3 2 2 2 7" xfId="10767"/>
    <cellStyle name="Comma 8 2 3 2 2 2 7 2" xfId="17306"/>
    <cellStyle name="Comma 8 2 3 2 2 2 8" xfId="13886"/>
    <cellStyle name="Comma 8 2 3 2 2 3" xfId="4263"/>
    <cellStyle name="Comma 8 2 3 2 2 3 2" xfId="11625"/>
    <cellStyle name="Comma 8 2 3 2 2 3 2 2" xfId="18164"/>
    <cellStyle name="Comma 8 2 3 2 2 3 3" xfId="15312"/>
    <cellStyle name="Comma 8 2 3 2 2 4" xfId="6535"/>
    <cellStyle name="Comma 8 2 3 2 2 4 2" xfId="12196"/>
    <cellStyle name="Comma 8 2 3 2 2 4 2 2" xfId="18735"/>
    <cellStyle name="Comma 8 2 3 2 2 4 3" xfId="15883"/>
    <cellStyle name="Comma 8 2 3 2 2 5" xfId="8807"/>
    <cellStyle name="Comma 8 2 3 2 2 5 2" xfId="12767"/>
    <cellStyle name="Comma 8 2 3 2 2 5 2 2" xfId="19306"/>
    <cellStyle name="Comma 8 2 3 2 2 5 3" xfId="16454"/>
    <cellStyle name="Comma 8 2 3 2 2 6" xfId="3097"/>
    <cellStyle name="Comma 8 2 3 2 2 6 2" xfId="11054"/>
    <cellStyle name="Comma 8 2 3 2 2 6 2 2" xfId="17593"/>
    <cellStyle name="Comma 8 2 3 2 2 6 3" xfId="14741"/>
    <cellStyle name="Comma 8 2 3 2 2 7" xfId="2526"/>
    <cellStyle name="Comma 8 2 3 2 2 7 2" xfId="14174"/>
    <cellStyle name="Comma 8 2 3 2 2 8" xfId="10487"/>
    <cellStyle name="Comma 8 2 3 2 2 8 2" xfId="17026"/>
    <cellStyle name="Comma 8 2 3 2 2 9" xfId="13601"/>
    <cellStyle name="Comma 8 2 3 2 3" xfId="1524"/>
    <cellStyle name="Comma 8 2 3 2 3 2" xfId="4944"/>
    <cellStyle name="Comma 8 2 3 2 3 2 2" xfId="11796"/>
    <cellStyle name="Comma 8 2 3 2 3 2 2 2" xfId="18335"/>
    <cellStyle name="Comma 8 2 3 2 3 2 3" xfId="15483"/>
    <cellStyle name="Comma 8 2 3 2 3 3" xfId="7216"/>
    <cellStyle name="Comma 8 2 3 2 3 3 2" xfId="12367"/>
    <cellStyle name="Comma 8 2 3 2 3 3 2 2" xfId="18906"/>
    <cellStyle name="Comma 8 2 3 2 3 3 3" xfId="16054"/>
    <cellStyle name="Comma 8 2 3 2 3 4" xfId="9488"/>
    <cellStyle name="Comma 8 2 3 2 3 4 2" xfId="12938"/>
    <cellStyle name="Comma 8 2 3 2 3 4 2 2" xfId="19477"/>
    <cellStyle name="Comma 8 2 3 2 3 4 3" xfId="16625"/>
    <cellStyle name="Comma 8 2 3 2 3 5" xfId="3268"/>
    <cellStyle name="Comma 8 2 3 2 3 5 2" xfId="11225"/>
    <cellStyle name="Comma 8 2 3 2 3 5 2 2" xfId="17764"/>
    <cellStyle name="Comma 8 2 3 2 3 5 3" xfId="14912"/>
    <cellStyle name="Comma 8 2 3 2 3 6" xfId="2694"/>
    <cellStyle name="Comma 8 2 3 2 3 6 2" xfId="14342"/>
    <cellStyle name="Comma 8 2 3 2 3 7" xfId="10655"/>
    <cellStyle name="Comma 8 2 3 2 3 7 2" xfId="17194"/>
    <cellStyle name="Comma 8 2 3 2 3 8" xfId="13772"/>
    <cellStyle name="Comma 8 2 3 2 4" xfId="3809"/>
    <cellStyle name="Comma 8 2 3 2 4 2" xfId="11511"/>
    <cellStyle name="Comma 8 2 3 2 4 2 2" xfId="18050"/>
    <cellStyle name="Comma 8 2 3 2 4 3" xfId="15198"/>
    <cellStyle name="Comma 8 2 3 2 5" xfId="6081"/>
    <cellStyle name="Comma 8 2 3 2 5 2" xfId="12082"/>
    <cellStyle name="Comma 8 2 3 2 5 2 2" xfId="18621"/>
    <cellStyle name="Comma 8 2 3 2 5 3" xfId="15769"/>
    <cellStyle name="Comma 8 2 3 2 6" xfId="8353"/>
    <cellStyle name="Comma 8 2 3 2 6 2" xfId="12653"/>
    <cellStyle name="Comma 8 2 3 2 6 2 2" xfId="19192"/>
    <cellStyle name="Comma 8 2 3 2 6 3" xfId="16340"/>
    <cellStyle name="Comma 8 2 3 2 7" xfId="2983"/>
    <cellStyle name="Comma 8 2 3 2 7 2" xfId="10940"/>
    <cellStyle name="Comma 8 2 3 2 7 2 2" xfId="17479"/>
    <cellStyle name="Comma 8 2 3 2 7 3" xfId="14627"/>
    <cellStyle name="Comma 8 2 3 2 8" xfId="2414"/>
    <cellStyle name="Comma 8 2 3 2 8 2" xfId="14062"/>
    <cellStyle name="Comma 8 2 3 2 9" xfId="10375"/>
    <cellStyle name="Comma 8 2 3 2 9 2" xfId="16914"/>
    <cellStyle name="Comma 8 2 3 3" xfId="1070"/>
    <cellStyle name="Comma 8 2 3 3 2" xfId="2205"/>
    <cellStyle name="Comma 8 2 3 3 2 2" xfId="5625"/>
    <cellStyle name="Comma 8 2 3 3 2 2 2" xfId="11967"/>
    <cellStyle name="Comma 8 2 3 3 2 2 2 2" xfId="18506"/>
    <cellStyle name="Comma 8 2 3 3 2 2 3" xfId="15654"/>
    <cellStyle name="Comma 8 2 3 3 2 3" xfId="7897"/>
    <cellStyle name="Comma 8 2 3 3 2 3 2" xfId="12538"/>
    <cellStyle name="Comma 8 2 3 3 2 3 2 2" xfId="19077"/>
    <cellStyle name="Comma 8 2 3 3 2 3 3" xfId="16225"/>
    <cellStyle name="Comma 8 2 3 3 2 4" xfId="10169"/>
    <cellStyle name="Comma 8 2 3 3 2 4 2" xfId="13109"/>
    <cellStyle name="Comma 8 2 3 3 2 4 2 2" xfId="19648"/>
    <cellStyle name="Comma 8 2 3 3 2 4 3" xfId="16796"/>
    <cellStyle name="Comma 8 2 3 3 2 5" xfId="3439"/>
    <cellStyle name="Comma 8 2 3 3 2 5 2" xfId="11396"/>
    <cellStyle name="Comma 8 2 3 3 2 5 2 2" xfId="17935"/>
    <cellStyle name="Comma 8 2 3 3 2 5 3" xfId="15083"/>
    <cellStyle name="Comma 8 2 3 3 2 6" xfId="2862"/>
    <cellStyle name="Comma 8 2 3 3 2 6 2" xfId="14510"/>
    <cellStyle name="Comma 8 2 3 3 2 7" xfId="10823"/>
    <cellStyle name="Comma 8 2 3 3 2 7 2" xfId="17362"/>
    <cellStyle name="Comma 8 2 3 3 2 8" xfId="13943"/>
    <cellStyle name="Comma 8 2 3 3 3" xfId="4490"/>
    <cellStyle name="Comma 8 2 3 3 3 2" xfId="11682"/>
    <cellStyle name="Comma 8 2 3 3 3 2 2" xfId="18221"/>
    <cellStyle name="Comma 8 2 3 3 3 3" xfId="15369"/>
    <cellStyle name="Comma 8 2 3 3 4" xfId="6762"/>
    <cellStyle name="Comma 8 2 3 3 4 2" xfId="12253"/>
    <cellStyle name="Comma 8 2 3 3 4 2 2" xfId="18792"/>
    <cellStyle name="Comma 8 2 3 3 4 3" xfId="15940"/>
    <cellStyle name="Comma 8 2 3 3 5" xfId="9034"/>
    <cellStyle name="Comma 8 2 3 3 5 2" xfId="12824"/>
    <cellStyle name="Comma 8 2 3 3 5 2 2" xfId="19363"/>
    <cellStyle name="Comma 8 2 3 3 5 3" xfId="16511"/>
    <cellStyle name="Comma 8 2 3 3 6" xfId="3154"/>
    <cellStyle name="Comma 8 2 3 3 6 2" xfId="11111"/>
    <cellStyle name="Comma 8 2 3 3 6 2 2" xfId="17650"/>
    <cellStyle name="Comma 8 2 3 3 6 3" xfId="14798"/>
    <cellStyle name="Comma 8 2 3 3 7" xfId="2582"/>
    <cellStyle name="Comma 8 2 3 3 7 2" xfId="14230"/>
    <cellStyle name="Comma 8 2 3 3 8" xfId="10543"/>
    <cellStyle name="Comma 8 2 3 3 8 2" xfId="17082"/>
    <cellStyle name="Comma 8 2 3 3 9" xfId="13658"/>
    <cellStyle name="Comma 8 2 3 4" xfId="616"/>
    <cellStyle name="Comma 8 2 3 4 2" xfId="1751"/>
    <cellStyle name="Comma 8 2 3 4 2 2" xfId="5171"/>
    <cellStyle name="Comma 8 2 3 4 2 2 2" xfId="11853"/>
    <cellStyle name="Comma 8 2 3 4 2 2 2 2" xfId="18392"/>
    <cellStyle name="Comma 8 2 3 4 2 2 3" xfId="15540"/>
    <cellStyle name="Comma 8 2 3 4 2 3" xfId="7443"/>
    <cellStyle name="Comma 8 2 3 4 2 3 2" xfId="12424"/>
    <cellStyle name="Comma 8 2 3 4 2 3 2 2" xfId="18963"/>
    <cellStyle name="Comma 8 2 3 4 2 3 3" xfId="16111"/>
    <cellStyle name="Comma 8 2 3 4 2 4" xfId="9715"/>
    <cellStyle name="Comma 8 2 3 4 2 4 2" xfId="12995"/>
    <cellStyle name="Comma 8 2 3 4 2 4 2 2" xfId="19534"/>
    <cellStyle name="Comma 8 2 3 4 2 4 3" xfId="16682"/>
    <cellStyle name="Comma 8 2 3 4 2 5" xfId="3325"/>
    <cellStyle name="Comma 8 2 3 4 2 5 2" xfId="11282"/>
    <cellStyle name="Comma 8 2 3 4 2 5 2 2" xfId="17821"/>
    <cellStyle name="Comma 8 2 3 4 2 5 3" xfId="14969"/>
    <cellStyle name="Comma 8 2 3 4 2 6" xfId="2750"/>
    <cellStyle name="Comma 8 2 3 4 2 6 2" xfId="14398"/>
    <cellStyle name="Comma 8 2 3 4 2 7" xfId="10711"/>
    <cellStyle name="Comma 8 2 3 4 2 7 2" xfId="17250"/>
    <cellStyle name="Comma 8 2 3 4 2 8" xfId="13829"/>
    <cellStyle name="Comma 8 2 3 4 3" xfId="4036"/>
    <cellStyle name="Comma 8 2 3 4 3 2" xfId="11568"/>
    <cellStyle name="Comma 8 2 3 4 3 2 2" xfId="18107"/>
    <cellStyle name="Comma 8 2 3 4 3 3" xfId="15255"/>
    <cellStyle name="Comma 8 2 3 4 4" xfId="6308"/>
    <cellStyle name="Comma 8 2 3 4 4 2" xfId="12139"/>
    <cellStyle name="Comma 8 2 3 4 4 2 2" xfId="18678"/>
    <cellStyle name="Comma 8 2 3 4 4 3" xfId="15826"/>
    <cellStyle name="Comma 8 2 3 4 5" xfId="8580"/>
    <cellStyle name="Comma 8 2 3 4 5 2" xfId="12710"/>
    <cellStyle name="Comma 8 2 3 4 5 2 2" xfId="19249"/>
    <cellStyle name="Comma 8 2 3 4 5 3" xfId="16397"/>
    <cellStyle name="Comma 8 2 3 4 6" xfId="3040"/>
    <cellStyle name="Comma 8 2 3 4 6 2" xfId="10997"/>
    <cellStyle name="Comma 8 2 3 4 6 2 2" xfId="17536"/>
    <cellStyle name="Comma 8 2 3 4 6 3" xfId="14684"/>
    <cellStyle name="Comma 8 2 3 4 7" xfId="2470"/>
    <cellStyle name="Comma 8 2 3 4 7 2" xfId="14118"/>
    <cellStyle name="Comma 8 2 3 4 8" xfId="10431"/>
    <cellStyle name="Comma 8 2 3 4 8 2" xfId="16970"/>
    <cellStyle name="Comma 8 2 3 4 9" xfId="13544"/>
    <cellStyle name="Comma 8 2 3 5" xfId="1297"/>
    <cellStyle name="Comma 8 2 3 5 2" xfId="4717"/>
    <cellStyle name="Comma 8 2 3 5 2 2" xfId="11739"/>
    <cellStyle name="Comma 8 2 3 5 2 2 2" xfId="18278"/>
    <cellStyle name="Comma 8 2 3 5 2 3" xfId="15426"/>
    <cellStyle name="Comma 8 2 3 5 3" xfId="6989"/>
    <cellStyle name="Comma 8 2 3 5 3 2" xfId="12310"/>
    <cellStyle name="Comma 8 2 3 5 3 2 2" xfId="18849"/>
    <cellStyle name="Comma 8 2 3 5 3 3" xfId="15997"/>
    <cellStyle name="Comma 8 2 3 5 4" xfId="9261"/>
    <cellStyle name="Comma 8 2 3 5 4 2" xfId="12881"/>
    <cellStyle name="Comma 8 2 3 5 4 2 2" xfId="19420"/>
    <cellStyle name="Comma 8 2 3 5 4 3" xfId="16568"/>
    <cellStyle name="Comma 8 2 3 5 5" xfId="3211"/>
    <cellStyle name="Comma 8 2 3 5 5 2" xfId="11168"/>
    <cellStyle name="Comma 8 2 3 5 5 2 2" xfId="17707"/>
    <cellStyle name="Comma 8 2 3 5 5 3" xfId="14855"/>
    <cellStyle name="Comma 8 2 3 5 6" xfId="2638"/>
    <cellStyle name="Comma 8 2 3 5 6 2" xfId="14286"/>
    <cellStyle name="Comma 8 2 3 5 7" xfId="10599"/>
    <cellStyle name="Comma 8 2 3 5 7 2" xfId="17138"/>
    <cellStyle name="Comma 8 2 3 5 8" xfId="13715"/>
    <cellStyle name="Comma 8 2 3 6" xfId="3582"/>
    <cellStyle name="Comma 8 2 3 6 2" xfId="11454"/>
    <cellStyle name="Comma 8 2 3 6 2 2" xfId="17993"/>
    <cellStyle name="Comma 8 2 3 6 3" xfId="15141"/>
    <cellStyle name="Comma 8 2 3 7" xfId="5854"/>
    <cellStyle name="Comma 8 2 3 7 2" xfId="12025"/>
    <cellStyle name="Comma 8 2 3 7 2 2" xfId="18564"/>
    <cellStyle name="Comma 8 2 3 7 3" xfId="15712"/>
    <cellStyle name="Comma 8 2 3 8" xfId="8126"/>
    <cellStyle name="Comma 8 2 3 8 2" xfId="12596"/>
    <cellStyle name="Comma 8 2 3 8 2 2" xfId="19135"/>
    <cellStyle name="Comma 8 2 3 8 3" xfId="16283"/>
    <cellStyle name="Comma 8 2 3 9" xfId="2923"/>
    <cellStyle name="Comma 8 2 3 9 2" xfId="10882"/>
    <cellStyle name="Comma 8 2 3 9 2 2" xfId="17421"/>
    <cellStyle name="Comma 8 2 3 9 3" xfId="14569"/>
    <cellStyle name="Comma 8 2 4" xfId="277"/>
    <cellStyle name="Comma 8 2 4 10" xfId="2386"/>
    <cellStyle name="Comma 8 2 4 10 2" xfId="14034"/>
    <cellStyle name="Comma 8 2 4 11" xfId="10347"/>
    <cellStyle name="Comma 8 2 4 11 2" xfId="16886"/>
    <cellStyle name="Comma 8 2 4 12" xfId="13459"/>
    <cellStyle name="Comma 8 2 4 2" xfId="504"/>
    <cellStyle name="Comma 8 2 4 2 10" xfId="13516"/>
    <cellStyle name="Comma 8 2 4 2 2" xfId="958"/>
    <cellStyle name="Comma 8 2 4 2 2 2" xfId="2093"/>
    <cellStyle name="Comma 8 2 4 2 2 2 2" xfId="5513"/>
    <cellStyle name="Comma 8 2 4 2 2 2 2 2" xfId="11939"/>
    <cellStyle name="Comma 8 2 4 2 2 2 2 2 2" xfId="18478"/>
    <cellStyle name="Comma 8 2 4 2 2 2 2 3" xfId="15626"/>
    <cellStyle name="Comma 8 2 4 2 2 2 3" xfId="7785"/>
    <cellStyle name="Comma 8 2 4 2 2 2 3 2" xfId="12510"/>
    <cellStyle name="Comma 8 2 4 2 2 2 3 2 2" xfId="19049"/>
    <cellStyle name="Comma 8 2 4 2 2 2 3 3" xfId="16197"/>
    <cellStyle name="Comma 8 2 4 2 2 2 4" xfId="10057"/>
    <cellStyle name="Comma 8 2 4 2 2 2 4 2" xfId="13081"/>
    <cellStyle name="Comma 8 2 4 2 2 2 4 2 2" xfId="19620"/>
    <cellStyle name="Comma 8 2 4 2 2 2 4 3" xfId="16768"/>
    <cellStyle name="Comma 8 2 4 2 2 2 5" xfId="3411"/>
    <cellStyle name="Comma 8 2 4 2 2 2 5 2" xfId="11368"/>
    <cellStyle name="Comma 8 2 4 2 2 2 5 2 2" xfId="17907"/>
    <cellStyle name="Comma 8 2 4 2 2 2 5 3" xfId="15055"/>
    <cellStyle name="Comma 8 2 4 2 2 2 6" xfId="2834"/>
    <cellStyle name="Comma 8 2 4 2 2 2 6 2" xfId="14482"/>
    <cellStyle name="Comma 8 2 4 2 2 2 7" xfId="10795"/>
    <cellStyle name="Comma 8 2 4 2 2 2 7 2" xfId="17334"/>
    <cellStyle name="Comma 8 2 4 2 2 2 8" xfId="13915"/>
    <cellStyle name="Comma 8 2 4 2 2 3" xfId="4378"/>
    <cellStyle name="Comma 8 2 4 2 2 3 2" xfId="11654"/>
    <cellStyle name="Comma 8 2 4 2 2 3 2 2" xfId="18193"/>
    <cellStyle name="Comma 8 2 4 2 2 3 3" xfId="15341"/>
    <cellStyle name="Comma 8 2 4 2 2 4" xfId="6650"/>
    <cellStyle name="Comma 8 2 4 2 2 4 2" xfId="12225"/>
    <cellStyle name="Comma 8 2 4 2 2 4 2 2" xfId="18764"/>
    <cellStyle name="Comma 8 2 4 2 2 4 3" xfId="15912"/>
    <cellStyle name="Comma 8 2 4 2 2 5" xfId="8922"/>
    <cellStyle name="Comma 8 2 4 2 2 5 2" xfId="12796"/>
    <cellStyle name="Comma 8 2 4 2 2 5 2 2" xfId="19335"/>
    <cellStyle name="Comma 8 2 4 2 2 5 3" xfId="16483"/>
    <cellStyle name="Comma 8 2 4 2 2 6" xfId="3126"/>
    <cellStyle name="Comma 8 2 4 2 2 6 2" xfId="11083"/>
    <cellStyle name="Comma 8 2 4 2 2 6 2 2" xfId="17622"/>
    <cellStyle name="Comma 8 2 4 2 2 6 3" xfId="14770"/>
    <cellStyle name="Comma 8 2 4 2 2 7" xfId="2554"/>
    <cellStyle name="Comma 8 2 4 2 2 7 2" xfId="14202"/>
    <cellStyle name="Comma 8 2 4 2 2 8" xfId="10515"/>
    <cellStyle name="Comma 8 2 4 2 2 8 2" xfId="17054"/>
    <cellStyle name="Comma 8 2 4 2 2 9" xfId="13630"/>
    <cellStyle name="Comma 8 2 4 2 3" xfId="1639"/>
    <cellStyle name="Comma 8 2 4 2 3 2" xfId="5059"/>
    <cellStyle name="Comma 8 2 4 2 3 2 2" xfId="11825"/>
    <cellStyle name="Comma 8 2 4 2 3 2 2 2" xfId="18364"/>
    <cellStyle name="Comma 8 2 4 2 3 2 3" xfId="15512"/>
    <cellStyle name="Comma 8 2 4 2 3 3" xfId="7331"/>
    <cellStyle name="Comma 8 2 4 2 3 3 2" xfId="12396"/>
    <cellStyle name="Comma 8 2 4 2 3 3 2 2" xfId="18935"/>
    <cellStyle name="Comma 8 2 4 2 3 3 3" xfId="16083"/>
    <cellStyle name="Comma 8 2 4 2 3 4" xfId="9603"/>
    <cellStyle name="Comma 8 2 4 2 3 4 2" xfId="12967"/>
    <cellStyle name="Comma 8 2 4 2 3 4 2 2" xfId="19506"/>
    <cellStyle name="Comma 8 2 4 2 3 4 3" xfId="16654"/>
    <cellStyle name="Comma 8 2 4 2 3 5" xfId="3297"/>
    <cellStyle name="Comma 8 2 4 2 3 5 2" xfId="11254"/>
    <cellStyle name="Comma 8 2 4 2 3 5 2 2" xfId="17793"/>
    <cellStyle name="Comma 8 2 4 2 3 5 3" xfId="14941"/>
    <cellStyle name="Comma 8 2 4 2 3 6" xfId="2722"/>
    <cellStyle name="Comma 8 2 4 2 3 6 2" xfId="14370"/>
    <cellStyle name="Comma 8 2 4 2 3 7" xfId="10683"/>
    <cellStyle name="Comma 8 2 4 2 3 7 2" xfId="17222"/>
    <cellStyle name="Comma 8 2 4 2 3 8" xfId="13801"/>
    <cellStyle name="Comma 8 2 4 2 4" xfId="3924"/>
    <cellStyle name="Comma 8 2 4 2 4 2" xfId="11540"/>
    <cellStyle name="Comma 8 2 4 2 4 2 2" xfId="18079"/>
    <cellStyle name="Comma 8 2 4 2 4 3" xfId="15227"/>
    <cellStyle name="Comma 8 2 4 2 5" xfId="6196"/>
    <cellStyle name="Comma 8 2 4 2 5 2" xfId="12111"/>
    <cellStyle name="Comma 8 2 4 2 5 2 2" xfId="18650"/>
    <cellStyle name="Comma 8 2 4 2 5 3" xfId="15798"/>
    <cellStyle name="Comma 8 2 4 2 6" xfId="8468"/>
    <cellStyle name="Comma 8 2 4 2 6 2" xfId="12682"/>
    <cellStyle name="Comma 8 2 4 2 6 2 2" xfId="19221"/>
    <cellStyle name="Comma 8 2 4 2 6 3" xfId="16369"/>
    <cellStyle name="Comma 8 2 4 2 7" xfId="3012"/>
    <cellStyle name="Comma 8 2 4 2 7 2" xfId="10969"/>
    <cellStyle name="Comma 8 2 4 2 7 2 2" xfId="17508"/>
    <cellStyle name="Comma 8 2 4 2 7 3" xfId="14656"/>
    <cellStyle name="Comma 8 2 4 2 8" xfId="2442"/>
    <cellStyle name="Comma 8 2 4 2 8 2" xfId="14090"/>
    <cellStyle name="Comma 8 2 4 2 9" xfId="10403"/>
    <cellStyle name="Comma 8 2 4 2 9 2" xfId="16942"/>
    <cellStyle name="Comma 8 2 4 3" xfId="1185"/>
    <cellStyle name="Comma 8 2 4 3 2" xfId="2320"/>
    <cellStyle name="Comma 8 2 4 3 2 2" xfId="5740"/>
    <cellStyle name="Comma 8 2 4 3 2 2 2" xfId="11996"/>
    <cellStyle name="Comma 8 2 4 3 2 2 2 2" xfId="18535"/>
    <cellStyle name="Comma 8 2 4 3 2 2 3" xfId="15683"/>
    <cellStyle name="Comma 8 2 4 3 2 3" xfId="8012"/>
    <cellStyle name="Comma 8 2 4 3 2 3 2" xfId="12567"/>
    <cellStyle name="Comma 8 2 4 3 2 3 2 2" xfId="19106"/>
    <cellStyle name="Comma 8 2 4 3 2 3 3" xfId="16254"/>
    <cellStyle name="Comma 8 2 4 3 2 4" xfId="10284"/>
    <cellStyle name="Comma 8 2 4 3 2 4 2" xfId="13138"/>
    <cellStyle name="Comma 8 2 4 3 2 4 2 2" xfId="19677"/>
    <cellStyle name="Comma 8 2 4 3 2 4 3" xfId="16825"/>
    <cellStyle name="Comma 8 2 4 3 2 5" xfId="3468"/>
    <cellStyle name="Comma 8 2 4 3 2 5 2" xfId="11425"/>
    <cellStyle name="Comma 8 2 4 3 2 5 2 2" xfId="17964"/>
    <cellStyle name="Comma 8 2 4 3 2 5 3" xfId="15112"/>
    <cellStyle name="Comma 8 2 4 3 2 6" xfId="2890"/>
    <cellStyle name="Comma 8 2 4 3 2 6 2" xfId="14538"/>
    <cellStyle name="Comma 8 2 4 3 2 7" xfId="10851"/>
    <cellStyle name="Comma 8 2 4 3 2 7 2" xfId="17390"/>
    <cellStyle name="Comma 8 2 4 3 2 8" xfId="13972"/>
    <cellStyle name="Comma 8 2 4 3 3" xfId="4605"/>
    <cellStyle name="Comma 8 2 4 3 3 2" xfId="11711"/>
    <cellStyle name="Comma 8 2 4 3 3 2 2" xfId="18250"/>
    <cellStyle name="Comma 8 2 4 3 3 3" xfId="15398"/>
    <cellStyle name="Comma 8 2 4 3 4" xfId="6877"/>
    <cellStyle name="Comma 8 2 4 3 4 2" xfId="12282"/>
    <cellStyle name="Comma 8 2 4 3 4 2 2" xfId="18821"/>
    <cellStyle name="Comma 8 2 4 3 4 3" xfId="15969"/>
    <cellStyle name="Comma 8 2 4 3 5" xfId="9149"/>
    <cellStyle name="Comma 8 2 4 3 5 2" xfId="12853"/>
    <cellStyle name="Comma 8 2 4 3 5 2 2" xfId="19392"/>
    <cellStyle name="Comma 8 2 4 3 5 3" xfId="16540"/>
    <cellStyle name="Comma 8 2 4 3 6" xfId="3183"/>
    <cellStyle name="Comma 8 2 4 3 6 2" xfId="11140"/>
    <cellStyle name="Comma 8 2 4 3 6 2 2" xfId="17679"/>
    <cellStyle name="Comma 8 2 4 3 6 3" xfId="14827"/>
    <cellStyle name="Comma 8 2 4 3 7" xfId="2610"/>
    <cellStyle name="Comma 8 2 4 3 7 2" xfId="14258"/>
    <cellStyle name="Comma 8 2 4 3 8" xfId="10571"/>
    <cellStyle name="Comma 8 2 4 3 8 2" xfId="17110"/>
    <cellStyle name="Comma 8 2 4 3 9" xfId="13687"/>
    <cellStyle name="Comma 8 2 4 4" xfId="731"/>
    <cellStyle name="Comma 8 2 4 4 2" xfId="1866"/>
    <cellStyle name="Comma 8 2 4 4 2 2" xfId="5286"/>
    <cellStyle name="Comma 8 2 4 4 2 2 2" xfId="11882"/>
    <cellStyle name="Comma 8 2 4 4 2 2 2 2" xfId="18421"/>
    <cellStyle name="Comma 8 2 4 4 2 2 3" xfId="15569"/>
    <cellStyle name="Comma 8 2 4 4 2 3" xfId="7558"/>
    <cellStyle name="Comma 8 2 4 4 2 3 2" xfId="12453"/>
    <cellStyle name="Comma 8 2 4 4 2 3 2 2" xfId="18992"/>
    <cellStyle name="Comma 8 2 4 4 2 3 3" xfId="16140"/>
    <cellStyle name="Comma 8 2 4 4 2 4" xfId="9830"/>
    <cellStyle name="Comma 8 2 4 4 2 4 2" xfId="13024"/>
    <cellStyle name="Comma 8 2 4 4 2 4 2 2" xfId="19563"/>
    <cellStyle name="Comma 8 2 4 4 2 4 3" xfId="16711"/>
    <cellStyle name="Comma 8 2 4 4 2 5" xfId="3354"/>
    <cellStyle name="Comma 8 2 4 4 2 5 2" xfId="11311"/>
    <cellStyle name="Comma 8 2 4 4 2 5 2 2" xfId="17850"/>
    <cellStyle name="Comma 8 2 4 4 2 5 3" xfId="14998"/>
    <cellStyle name="Comma 8 2 4 4 2 6" xfId="2778"/>
    <cellStyle name="Comma 8 2 4 4 2 6 2" xfId="14426"/>
    <cellStyle name="Comma 8 2 4 4 2 7" xfId="10739"/>
    <cellStyle name="Comma 8 2 4 4 2 7 2" xfId="17278"/>
    <cellStyle name="Comma 8 2 4 4 2 8" xfId="13858"/>
    <cellStyle name="Comma 8 2 4 4 3" xfId="4151"/>
    <cellStyle name="Comma 8 2 4 4 3 2" xfId="11597"/>
    <cellStyle name="Comma 8 2 4 4 3 2 2" xfId="18136"/>
    <cellStyle name="Comma 8 2 4 4 3 3" xfId="15284"/>
    <cellStyle name="Comma 8 2 4 4 4" xfId="6423"/>
    <cellStyle name="Comma 8 2 4 4 4 2" xfId="12168"/>
    <cellStyle name="Comma 8 2 4 4 4 2 2" xfId="18707"/>
    <cellStyle name="Comma 8 2 4 4 4 3" xfId="15855"/>
    <cellStyle name="Comma 8 2 4 4 5" xfId="8695"/>
    <cellStyle name="Comma 8 2 4 4 5 2" xfId="12739"/>
    <cellStyle name="Comma 8 2 4 4 5 2 2" xfId="19278"/>
    <cellStyle name="Comma 8 2 4 4 5 3" xfId="16426"/>
    <cellStyle name="Comma 8 2 4 4 6" xfId="3069"/>
    <cellStyle name="Comma 8 2 4 4 6 2" xfId="11026"/>
    <cellStyle name="Comma 8 2 4 4 6 2 2" xfId="17565"/>
    <cellStyle name="Comma 8 2 4 4 6 3" xfId="14713"/>
    <cellStyle name="Comma 8 2 4 4 7" xfId="2498"/>
    <cellStyle name="Comma 8 2 4 4 7 2" xfId="14146"/>
    <cellStyle name="Comma 8 2 4 4 8" xfId="10459"/>
    <cellStyle name="Comma 8 2 4 4 8 2" xfId="16998"/>
    <cellStyle name="Comma 8 2 4 4 9" xfId="13573"/>
    <cellStyle name="Comma 8 2 4 5" xfId="1412"/>
    <cellStyle name="Comma 8 2 4 5 2" xfId="4832"/>
    <cellStyle name="Comma 8 2 4 5 2 2" xfId="11768"/>
    <cellStyle name="Comma 8 2 4 5 2 2 2" xfId="18307"/>
    <cellStyle name="Comma 8 2 4 5 2 3" xfId="15455"/>
    <cellStyle name="Comma 8 2 4 5 3" xfId="7104"/>
    <cellStyle name="Comma 8 2 4 5 3 2" xfId="12339"/>
    <cellStyle name="Comma 8 2 4 5 3 2 2" xfId="18878"/>
    <cellStyle name="Comma 8 2 4 5 3 3" xfId="16026"/>
    <cellStyle name="Comma 8 2 4 5 4" xfId="9376"/>
    <cellStyle name="Comma 8 2 4 5 4 2" xfId="12910"/>
    <cellStyle name="Comma 8 2 4 5 4 2 2" xfId="19449"/>
    <cellStyle name="Comma 8 2 4 5 4 3" xfId="16597"/>
    <cellStyle name="Comma 8 2 4 5 5" xfId="3240"/>
    <cellStyle name="Comma 8 2 4 5 5 2" xfId="11197"/>
    <cellStyle name="Comma 8 2 4 5 5 2 2" xfId="17736"/>
    <cellStyle name="Comma 8 2 4 5 5 3" xfId="14884"/>
    <cellStyle name="Comma 8 2 4 5 6" xfId="2666"/>
    <cellStyle name="Comma 8 2 4 5 6 2" xfId="14314"/>
    <cellStyle name="Comma 8 2 4 5 7" xfId="10627"/>
    <cellStyle name="Comma 8 2 4 5 7 2" xfId="17166"/>
    <cellStyle name="Comma 8 2 4 5 8" xfId="13744"/>
    <cellStyle name="Comma 8 2 4 6" xfId="3697"/>
    <cellStyle name="Comma 8 2 4 6 2" xfId="11483"/>
    <cellStyle name="Comma 8 2 4 6 2 2" xfId="18022"/>
    <cellStyle name="Comma 8 2 4 6 3" xfId="15170"/>
    <cellStyle name="Comma 8 2 4 7" xfId="5969"/>
    <cellStyle name="Comma 8 2 4 7 2" xfId="12054"/>
    <cellStyle name="Comma 8 2 4 7 2 2" xfId="18593"/>
    <cellStyle name="Comma 8 2 4 7 3" xfId="15741"/>
    <cellStyle name="Comma 8 2 4 8" xfId="8241"/>
    <cellStyle name="Comma 8 2 4 8 2" xfId="12625"/>
    <cellStyle name="Comma 8 2 4 8 2 2" xfId="19164"/>
    <cellStyle name="Comma 8 2 4 8 3" xfId="16312"/>
    <cellStyle name="Comma 8 2 4 9" xfId="2955"/>
    <cellStyle name="Comma 8 2 4 9 2" xfId="10912"/>
    <cellStyle name="Comma 8 2 4 9 2 2" xfId="17451"/>
    <cellStyle name="Comma 8 2 4 9 3" xfId="14599"/>
    <cellStyle name="Comma 8 2 5" xfId="333"/>
    <cellStyle name="Comma 8 2 5 10" xfId="13473"/>
    <cellStyle name="Comma 8 2 5 2" xfId="787"/>
    <cellStyle name="Comma 8 2 5 2 2" xfId="1922"/>
    <cellStyle name="Comma 8 2 5 2 2 2" xfId="5342"/>
    <cellStyle name="Comma 8 2 5 2 2 2 2" xfId="11896"/>
    <cellStyle name="Comma 8 2 5 2 2 2 2 2" xfId="18435"/>
    <cellStyle name="Comma 8 2 5 2 2 2 3" xfId="15583"/>
    <cellStyle name="Comma 8 2 5 2 2 3" xfId="7614"/>
    <cellStyle name="Comma 8 2 5 2 2 3 2" xfId="12467"/>
    <cellStyle name="Comma 8 2 5 2 2 3 2 2" xfId="19006"/>
    <cellStyle name="Comma 8 2 5 2 2 3 3" xfId="16154"/>
    <cellStyle name="Comma 8 2 5 2 2 4" xfId="9886"/>
    <cellStyle name="Comma 8 2 5 2 2 4 2" xfId="13038"/>
    <cellStyle name="Comma 8 2 5 2 2 4 2 2" xfId="19577"/>
    <cellStyle name="Comma 8 2 5 2 2 4 3" xfId="16725"/>
    <cellStyle name="Comma 8 2 5 2 2 5" xfId="3368"/>
    <cellStyle name="Comma 8 2 5 2 2 5 2" xfId="11325"/>
    <cellStyle name="Comma 8 2 5 2 2 5 2 2" xfId="17864"/>
    <cellStyle name="Comma 8 2 5 2 2 5 3" xfId="15012"/>
    <cellStyle name="Comma 8 2 5 2 2 6" xfId="2792"/>
    <cellStyle name="Comma 8 2 5 2 2 6 2" xfId="14440"/>
    <cellStyle name="Comma 8 2 5 2 2 7" xfId="10753"/>
    <cellStyle name="Comma 8 2 5 2 2 7 2" xfId="17292"/>
    <cellStyle name="Comma 8 2 5 2 2 8" xfId="13872"/>
    <cellStyle name="Comma 8 2 5 2 3" xfId="4207"/>
    <cellStyle name="Comma 8 2 5 2 3 2" xfId="11611"/>
    <cellStyle name="Comma 8 2 5 2 3 2 2" xfId="18150"/>
    <cellStyle name="Comma 8 2 5 2 3 3" xfId="15298"/>
    <cellStyle name="Comma 8 2 5 2 4" xfId="6479"/>
    <cellStyle name="Comma 8 2 5 2 4 2" xfId="12182"/>
    <cellStyle name="Comma 8 2 5 2 4 2 2" xfId="18721"/>
    <cellStyle name="Comma 8 2 5 2 4 3" xfId="15869"/>
    <cellStyle name="Comma 8 2 5 2 5" xfId="8751"/>
    <cellStyle name="Comma 8 2 5 2 5 2" xfId="12753"/>
    <cellStyle name="Comma 8 2 5 2 5 2 2" xfId="19292"/>
    <cellStyle name="Comma 8 2 5 2 5 3" xfId="16440"/>
    <cellStyle name="Comma 8 2 5 2 6" xfId="3083"/>
    <cellStyle name="Comma 8 2 5 2 6 2" xfId="11040"/>
    <cellStyle name="Comma 8 2 5 2 6 2 2" xfId="17579"/>
    <cellStyle name="Comma 8 2 5 2 6 3" xfId="14727"/>
    <cellStyle name="Comma 8 2 5 2 7" xfId="2512"/>
    <cellStyle name="Comma 8 2 5 2 7 2" xfId="14160"/>
    <cellStyle name="Comma 8 2 5 2 8" xfId="10473"/>
    <cellStyle name="Comma 8 2 5 2 8 2" xfId="17012"/>
    <cellStyle name="Comma 8 2 5 2 9" xfId="13587"/>
    <cellStyle name="Comma 8 2 5 3" xfId="1468"/>
    <cellStyle name="Comma 8 2 5 3 2" xfId="4888"/>
    <cellStyle name="Comma 8 2 5 3 2 2" xfId="11782"/>
    <cellStyle name="Comma 8 2 5 3 2 2 2" xfId="18321"/>
    <cellStyle name="Comma 8 2 5 3 2 3" xfId="15469"/>
    <cellStyle name="Comma 8 2 5 3 3" xfId="7160"/>
    <cellStyle name="Comma 8 2 5 3 3 2" xfId="12353"/>
    <cellStyle name="Comma 8 2 5 3 3 2 2" xfId="18892"/>
    <cellStyle name="Comma 8 2 5 3 3 3" xfId="16040"/>
    <cellStyle name="Comma 8 2 5 3 4" xfId="9432"/>
    <cellStyle name="Comma 8 2 5 3 4 2" xfId="12924"/>
    <cellStyle name="Comma 8 2 5 3 4 2 2" xfId="19463"/>
    <cellStyle name="Comma 8 2 5 3 4 3" xfId="16611"/>
    <cellStyle name="Comma 8 2 5 3 5" xfId="3254"/>
    <cellStyle name="Comma 8 2 5 3 5 2" xfId="11211"/>
    <cellStyle name="Comma 8 2 5 3 5 2 2" xfId="17750"/>
    <cellStyle name="Comma 8 2 5 3 5 3" xfId="14898"/>
    <cellStyle name="Comma 8 2 5 3 6" xfId="2680"/>
    <cellStyle name="Comma 8 2 5 3 6 2" xfId="14328"/>
    <cellStyle name="Comma 8 2 5 3 7" xfId="10641"/>
    <cellStyle name="Comma 8 2 5 3 7 2" xfId="17180"/>
    <cellStyle name="Comma 8 2 5 3 8" xfId="13758"/>
    <cellStyle name="Comma 8 2 5 4" xfId="3753"/>
    <cellStyle name="Comma 8 2 5 4 2" xfId="11497"/>
    <cellStyle name="Comma 8 2 5 4 2 2" xfId="18036"/>
    <cellStyle name="Comma 8 2 5 4 3" xfId="15184"/>
    <cellStyle name="Comma 8 2 5 5" xfId="6025"/>
    <cellStyle name="Comma 8 2 5 5 2" xfId="12068"/>
    <cellStyle name="Comma 8 2 5 5 2 2" xfId="18607"/>
    <cellStyle name="Comma 8 2 5 5 3" xfId="15755"/>
    <cellStyle name="Comma 8 2 5 6" xfId="8297"/>
    <cellStyle name="Comma 8 2 5 6 2" xfId="12639"/>
    <cellStyle name="Comma 8 2 5 6 2 2" xfId="19178"/>
    <cellStyle name="Comma 8 2 5 6 3" xfId="16326"/>
    <cellStyle name="Comma 8 2 5 7" xfId="2969"/>
    <cellStyle name="Comma 8 2 5 7 2" xfId="10926"/>
    <cellStyle name="Comma 8 2 5 7 2 2" xfId="17465"/>
    <cellStyle name="Comma 8 2 5 7 3" xfId="14613"/>
    <cellStyle name="Comma 8 2 5 8" xfId="2400"/>
    <cellStyle name="Comma 8 2 5 8 2" xfId="14048"/>
    <cellStyle name="Comma 8 2 5 9" xfId="10361"/>
    <cellStyle name="Comma 8 2 5 9 2" xfId="16900"/>
    <cellStyle name="Comma 8 2 6" xfId="1014"/>
    <cellStyle name="Comma 8 2 6 2" xfId="2149"/>
    <cellStyle name="Comma 8 2 6 2 2" xfId="5569"/>
    <cellStyle name="Comma 8 2 6 2 2 2" xfId="11953"/>
    <cellStyle name="Comma 8 2 6 2 2 2 2" xfId="18492"/>
    <cellStyle name="Comma 8 2 6 2 2 3" xfId="15640"/>
    <cellStyle name="Comma 8 2 6 2 3" xfId="7841"/>
    <cellStyle name="Comma 8 2 6 2 3 2" xfId="12524"/>
    <cellStyle name="Comma 8 2 6 2 3 2 2" xfId="19063"/>
    <cellStyle name="Comma 8 2 6 2 3 3" xfId="16211"/>
    <cellStyle name="Comma 8 2 6 2 4" xfId="10113"/>
    <cellStyle name="Comma 8 2 6 2 4 2" xfId="13095"/>
    <cellStyle name="Comma 8 2 6 2 4 2 2" xfId="19634"/>
    <cellStyle name="Comma 8 2 6 2 4 3" xfId="16782"/>
    <cellStyle name="Comma 8 2 6 2 5" xfId="3425"/>
    <cellStyle name="Comma 8 2 6 2 5 2" xfId="11382"/>
    <cellStyle name="Comma 8 2 6 2 5 2 2" xfId="17921"/>
    <cellStyle name="Comma 8 2 6 2 5 3" xfId="15069"/>
    <cellStyle name="Comma 8 2 6 2 6" xfId="2848"/>
    <cellStyle name="Comma 8 2 6 2 6 2" xfId="14496"/>
    <cellStyle name="Comma 8 2 6 2 7" xfId="10809"/>
    <cellStyle name="Comma 8 2 6 2 7 2" xfId="17348"/>
    <cellStyle name="Comma 8 2 6 2 8" xfId="13929"/>
    <cellStyle name="Comma 8 2 6 3" xfId="4434"/>
    <cellStyle name="Comma 8 2 6 3 2" xfId="11668"/>
    <cellStyle name="Comma 8 2 6 3 2 2" xfId="18207"/>
    <cellStyle name="Comma 8 2 6 3 3" xfId="15355"/>
    <cellStyle name="Comma 8 2 6 4" xfId="6706"/>
    <cellStyle name="Comma 8 2 6 4 2" xfId="12239"/>
    <cellStyle name="Comma 8 2 6 4 2 2" xfId="18778"/>
    <cellStyle name="Comma 8 2 6 4 3" xfId="15926"/>
    <cellStyle name="Comma 8 2 6 5" xfId="8978"/>
    <cellStyle name="Comma 8 2 6 5 2" xfId="12810"/>
    <cellStyle name="Comma 8 2 6 5 2 2" xfId="19349"/>
    <cellStyle name="Comma 8 2 6 5 3" xfId="16497"/>
    <cellStyle name="Comma 8 2 6 6" xfId="3140"/>
    <cellStyle name="Comma 8 2 6 6 2" xfId="11097"/>
    <cellStyle name="Comma 8 2 6 6 2 2" xfId="17636"/>
    <cellStyle name="Comma 8 2 6 6 3" xfId="14784"/>
    <cellStyle name="Comma 8 2 6 7" xfId="2568"/>
    <cellStyle name="Comma 8 2 6 7 2" xfId="14216"/>
    <cellStyle name="Comma 8 2 6 8" xfId="10529"/>
    <cellStyle name="Comma 8 2 6 8 2" xfId="17068"/>
    <cellStyle name="Comma 8 2 6 9" xfId="13644"/>
    <cellStyle name="Comma 8 2 7" xfId="560"/>
    <cellStyle name="Comma 8 2 7 2" xfId="1695"/>
    <cellStyle name="Comma 8 2 7 2 2" xfId="5115"/>
    <cellStyle name="Comma 8 2 7 2 2 2" xfId="11839"/>
    <cellStyle name="Comma 8 2 7 2 2 2 2" xfId="18378"/>
    <cellStyle name="Comma 8 2 7 2 2 3" xfId="15526"/>
    <cellStyle name="Comma 8 2 7 2 3" xfId="7387"/>
    <cellStyle name="Comma 8 2 7 2 3 2" xfId="12410"/>
    <cellStyle name="Comma 8 2 7 2 3 2 2" xfId="18949"/>
    <cellStyle name="Comma 8 2 7 2 3 3" xfId="16097"/>
    <cellStyle name="Comma 8 2 7 2 4" xfId="9659"/>
    <cellStyle name="Comma 8 2 7 2 4 2" xfId="12981"/>
    <cellStyle name="Comma 8 2 7 2 4 2 2" xfId="19520"/>
    <cellStyle name="Comma 8 2 7 2 4 3" xfId="16668"/>
    <cellStyle name="Comma 8 2 7 2 5" xfId="3311"/>
    <cellStyle name="Comma 8 2 7 2 5 2" xfId="11268"/>
    <cellStyle name="Comma 8 2 7 2 5 2 2" xfId="17807"/>
    <cellStyle name="Comma 8 2 7 2 5 3" xfId="14955"/>
    <cellStyle name="Comma 8 2 7 2 6" xfId="2736"/>
    <cellStyle name="Comma 8 2 7 2 6 2" xfId="14384"/>
    <cellStyle name="Comma 8 2 7 2 7" xfId="10697"/>
    <cellStyle name="Comma 8 2 7 2 7 2" xfId="17236"/>
    <cellStyle name="Comma 8 2 7 2 8" xfId="13815"/>
    <cellStyle name="Comma 8 2 7 3" xfId="3980"/>
    <cellStyle name="Comma 8 2 7 3 2" xfId="11554"/>
    <cellStyle name="Comma 8 2 7 3 2 2" xfId="18093"/>
    <cellStyle name="Comma 8 2 7 3 3" xfId="15241"/>
    <cellStyle name="Comma 8 2 7 4" xfId="6252"/>
    <cellStyle name="Comma 8 2 7 4 2" xfId="12125"/>
    <cellStyle name="Comma 8 2 7 4 2 2" xfId="18664"/>
    <cellStyle name="Comma 8 2 7 4 3" xfId="15812"/>
    <cellStyle name="Comma 8 2 7 5" xfId="8524"/>
    <cellStyle name="Comma 8 2 7 5 2" xfId="12696"/>
    <cellStyle name="Comma 8 2 7 5 2 2" xfId="19235"/>
    <cellStyle name="Comma 8 2 7 5 3" xfId="16383"/>
    <cellStyle name="Comma 8 2 7 6" xfId="3026"/>
    <cellStyle name="Comma 8 2 7 6 2" xfId="10983"/>
    <cellStyle name="Comma 8 2 7 6 2 2" xfId="17522"/>
    <cellStyle name="Comma 8 2 7 6 3" xfId="14670"/>
    <cellStyle name="Comma 8 2 7 7" xfId="2456"/>
    <cellStyle name="Comma 8 2 7 7 2" xfId="14104"/>
    <cellStyle name="Comma 8 2 7 8" xfId="10417"/>
    <cellStyle name="Comma 8 2 7 8 2" xfId="16956"/>
    <cellStyle name="Comma 8 2 7 9" xfId="13530"/>
    <cellStyle name="Comma 8 2 8" xfId="1241"/>
    <cellStyle name="Comma 8 2 8 2" xfId="4661"/>
    <cellStyle name="Comma 8 2 8 2 2" xfId="11725"/>
    <cellStyle name="Comma 8 2 8 2 2 2" xfId="18264"/>
    <cellStyle name="Comma 8 2 8 2 3" xfId="15412"/>
    <cellStyle name="Comma 8 2 8 3" xfId="6933"/>
    <cellStyle name="Comma 8 2 8 3 2" xfId="12296"/>
    <cellStyle name="Comma 8 2 8 3 2 2" xfId="18835"/>
    <cellStyle name="Comma 8 2 8 3 3" xfId="15983"/>
    <cellStyle name="Comma 8 2 8 4" xfId="9205"/>
    <cellStyle name="Comma 8 2 8 4 2" xfId="12867"/>
    <cellStyle name="Comma 8 2 8 4 2 2" xfId="19406"/>
    <cellStyle name="Comma 8 2 8 4 3" xfId="16554"/>
    <cellStyle name="Comma 8 2 8 5" xfId="3197"/>
    <cellStyle name="Comma 8 2 8 5 2" xfId="11154"/>
    <cellStyle name="Comma 8 2 8 5 2 2" xfId="17693"/>
    <cellStyle name="Comma 8 2 8 5 3" xfId="14841"/>
    <cellStyle name="Comma 8 2 8 6" xfId="2624"/>
    <cellStyle name="Comma 8 2 8 6 2" xfId="14272"/>
    <cellStyle name="Comma 8 2 8 7" xfId="10585"/>
    <cellStyle name="Comma 8 2 8 7 2" xfId="17124"/>
    <cellStyle name="Comma 8 2 8 8" xfId="13701"/>
    <cellStyle name="Comma 8 2 9" xfId="3526"/>
    <cellStyle name="Comma 8 2 9 2" xfId="11440"/>
    <cellStyle name="Comma 8 2 9 2 2" xfId="17979"/>
    <cellStyle name="Comma 8 2 9 3" xfId="15127"/>
    <cellStyle name="Comma 8 3" xfId="179"/>
    <cellStyle name="Comma 8 3 10" xfId="2364"/>
    <cellStyle name="Comma 8 3 10 2" xfId="14012"/>
    <cellStyle name="Comma 8 3 11" xfId="10325"/>
    <cellStyle name="Comma 8 3 11 2" xfId="16864"/>
    <cellStyle name="Comma 8 3 12" xfId="13436"/>
    <cellStyle name="Comma 8 3 13" xfId="20341"/>
    <cellStyle name="Comma 8 3 2" xfId="417"/>
    <cellStyle name="Comma 8 3 2 10" xfId="13494"/>
    <cellStyle name="Comma 8 3 2 2" xfId="871"/>
    <cellStyle name="Comma 8 3 2 2 2" xfId="2006"/>
    <cellStyle name="Comma 8 3 2 2 2 2" xfId="5426"/>
    <cellStyle name="Comma 8 3 2 2 2 2 2" xfId="11917"/>
    <cellStyle name="Comma 8 3 2 2 2 2 2 2" xfId="18456"/>
    <cellStyle name="Comma 8 3 2 2 2 2 3" xfId="15604"/>
    <cellStyle name="Comma 8 3 2 2 2 3" xfId="7698"/>
    <cellStyle name="Comma 8 3 2 2 2 3 2" xfId="12488"/>
    <cellStyle name="Comma 8 3 2 2 2 3 2 2" xfId="19027"/>
    <cellStyle name="Comma 8 3 2 2 2 3 3" xfId="16175"/>
    <cellStyle name="Comma 8 3 2 2 2 4" xfId="9970"/>
    <cellStyle name="Comma 8 3 2 2 2 4 2" xfId="13059"/>
    <cellStyle name="Comma 8 3 2 2 2 4 2 2" xfId="19598"/>
    <cellStyle name="Comma 8 3 2 2 2 4 3" xfId="16746"/>
    <cellStyle name="Comma 8 3 2 2 2 5" xfId="3389"/>
    <cellStyle name="Comma 8 3 2 2 2 5 2" xfId="11346"/>
    <cellStyle name="Comma 8 3 2 2 2 5 2 2" xfId="17885"/>
    <cellStyle name="Comma 8 3 2 2 2 5 3" xfId="15033"/>
    <cellStyle name="Comma 8 3 2 2 2 6" xfId="2813"/>
    <cellStyle name="Comma 8 3 2 2 2 6 2" xfId="14461"/>
    <cellStyle name="Comma 8 3 2 2 2 7" xfId="10774"/>
    <cellStyle name="Comma 8 3 2 2 2 7 2" xfId="17313"/>
    <cellStyle name="Comma 8 3 2 2 2 8" xfId="13893"/>
    <cellStyle name="Comma 8 3 2 2 3" xfId="4291"/>
    <cellStyle name="Comma 8 3 2 2 3 2" xfId="11632"/>
    <cellStyle name="Comma 8 3 2 2 3 2 2" xfId="18171"/>
    <cellStyle name="Comma 8 3 2 2 3 3" xfId="15319"/>
    <cellStyle name="Comma 8 3 2 2 4" xfId="6563"/>
    <cellStyle name="Comma 8 3 2 2 4 2" xfId="12203"/>
    <cellStyle name="Comma 8 3 2 2 4 2 2" xfId="18742"/>
    <cellStyle name="Comma 8 3 2 2 4 3" xfId="15890"/>
    <cellStyle name="Comma 8 3 2 2 5" xfId="8835"/>
    <cellStyle name="Comma 8 3 2 2 5 2" xfId="12774"/>
    <cellStyle name="Comma 8 3 2 2 5 2 2" xfId="19313"/>
    <cellStyle name="Comma 8 3 2 2 5 3" xfId="16461"/>
    <cellStyle name="Comma 8 3 2 2 6" xfId="3104"/>
    <cellStyle name="Comma 8 3 2 2 6 2" xfId="11061"/>
    <cellStyle name="Comma 8 3 2 2 6 2 2" xfId="17600"/>
    <cellStyle name="Comma 8 3 2 2 6 3" xfId="14748"/>
    <cellStyle name="Comma 8 3 2 2 7" xfId="2533"/>
    <cellStyle name="Comma 8 3 2 2 7 2" xfId="14181"/>
    <cellStyle name="Comma 8 3 2 2 8" xfId="10494"/>
    <cellStyle name="Comma 8 3 2 2 8 2" xfId="17033"/>
    <cellStyle name="Comma 8 3 2 2 9" xfId="13608"/>
    <cellStyle name="Comma 8 3 2 3" xfId="1552"/>
    <cellStyle name="Comma 8 3 2 3 2" xfId="4972"/>
    <cellStyle name="Comma 8 3 2 3 2 2" xfId="11803"/>
    <cellStyle name="Comma 8 3 2 3 2 2 2" xfId="18342"/>
    <cellStyle name="Comma 8 3 2 3 2 3" xfId="15490"/>
    <cellStyle name="Comma 8 3 2 3 3" xfId="7244"/>
    <cellStyle name="Comma 8 3 2 3 3 2" xfId="12374"/>
    <cellStyle name="Comma 8 3 2 3 3 2 2" xfId="18913"/>
    <cellStyle name="Comma 8 3 2 3 3 3" xfId="16061"/>
    <cellStyle name="Comma 8 3 2 3 4" xfId="9516"/>
    <cellStyle name="Comma 8 3 2 3 4 2" xfId="12945"/>
    <cellStyle name="Comma 8 3 2 3 4 2 2" xfId="19484"/>
    <cellStyle name="Comma 8 3 2 3 4 3" xfId="16632"/>
    <cellStyle name="Comma 8 3 2 3 5" xfId="3275"/>
    <cellStyle name="Comma 8 3 2 3 5 2" xfId="11232"/>
    <cellStyle name="Comma 8 3 2 3 5 2 2" xfId="17771"/>
    <cellStyle name="Comma 8 3 2 3 5 3" xfId="14919"/>
    <cellStyle name="Comma 8 3 2 3 6" xfId="2701"/>
    <cellStyle name="Comma 8 3 2 3 6 2" xfId="14349"/>
    <cellStyle name="Comma 8 3 2 3 7" xfId="10662"/>
    <cellStyle name="Comma 8 3 2 3 7 2" xfId="17201"/>
    <cellStyle name="Comma 8 3 2 3 8" xfId="13779"/>
    <cellStyle name="Comma 8 3 2 4" xfId="3837"/>
    <cellStyle name="Comma 8 3 2 4 2" xfId="11518"/>
    <cellStyle name="Comma 8 3 2 4 2 2" xfId="18057"/>
    <cellStyle name="Comma 8 3 2 4 3" xfId="15205"/>
    <cellStyle name="Comma 8 3 2 5" xfId="6109"/>
    <cellStyle name="Comma 8 3 2 5 2" xfId="12089"/>
    <cellStyle name="Comma 8 3 2 5 2 2" xfId="18628"/>
    <cellStyle name="Comma 8 3 2 5 3" xfId="15776"/>
    <cellStyle name="Comma 8 3 2 6" xfId="8381"/>
    <cellStyle name="Comma 8 3 2 6 2" xfId="12660"/>
    <cellStyle name="Comma 8 3 2 6 2 2" xfId="19199"/>
    <cellStyle name="Comma 8 3 2 6 3" xfId="16347"/>
    <cellStyle name="Comma 8 3 2 7" xfId="2990"/>
    <cellStyle name="Comma 8 3 2 7 2" xfId="10947"/>
    <cellStyle name="Comma 8 3 2 7 2 2" xfId="17486"/>
    <cellStyle name="Comma 8 3 2 7 3" xfId="14634"/>
    <cellStyle name="Comma 8 3 2 8" xfId="2421"/>
    <cellStyle name="Comma 8 3 2 8 2" xfId="14069"/>
    <cellStyle name="Comma 8 3 2 9" xfId="10382"/>
    <cellStyle name="Comma 8 3 2 9 2" xfId="16921"/>
    <cellStyle name="Comma 8 3 3" xfId="1098"/>
    <cellStyle name="Comma 8 3 3 2" xfId="2233"/>
    <cellStyle name="Comma 8 3 3 2 2" xfId="5653"/>
    <cellStyle name="Comma 8 3 3 2 2 2" xfId="11974"/>
    <cellStyle name="Comma 8 3 3 2 2 2 2" xfId="18513"/>
    <cellStyle name="Comma 8 3 3 2 2 3" xfId="15661"/>
    <cellStyle name="Comma 8 3 3 2 3" xfId="7925"/>
    <cellStyle name="Comma 8 3 3 2 3 2" xfId="12545"/>
    <cellStyle name="Comma 8 3 3 2 3 2 2" xfId="19084"/>
    <cellStyle name="Comma 8 3 3 2 3 3" xfId="16232"/>
    <cellStyle name="Comma 8 3 3 2 4" xfId="10197"/>
    <cellStyle name="Comma 8 3 3 2 4 2" xfId="13116"/>
    <cellStyle name="Comma 8 3 3 2 4 2 2" xfId="19655"/>
    <cellStyle name="Comma 8 3 3 2 4 3" xfId="16803"/>
    <cellStyle name="Comma 8 3 3 2 5" xfId="3446"/>
    <cellStyle name="Comma 8 3 3 2 5 2" xfId="11403"/>
    <cellStyle name="Comma 8 3 3 2 5 2 2" xfId="17942"/>
    <cellStyle name="Comma 8 3 3 2 5 3" xfId="15090"/>
    <cellStyle name="Comma 8 3 3 2 6" xfId="2869"/>
    <cellStyle name="Comma 8 3 3 2 6 2" xfId="14517"/>
    <cellStyle name="Comma 8 3 3 2 7" xfId="10830"/>
    <cellStyle name="Comma 8 3 3 2 7 2" xfId="17369"/>
    <cellStyle name="Comma 8 3 3 2 8" xfId="13950"/>
    <cellStyle name="Comma 8 3 3 3" xfId="4518"/>
    <cellStyle name="Comma 8 3 3 3 2" xfId="11689"/>
    <cellStyle name="Comma 8 3 3 3 2 2" xfId="18228"/>
    <cellStyle name="Comma 8 3 3 3 3" xfId="15376"/>
    <cellStyle name="Comma 8 3 3 4" xfId="6790"/>
    <cellStyle name="Comma 8 3 3 4 2" xfId="12260"/>
    <cellStyle name="Comma 8 3 3 4 2 2" xfId="18799"/>
    <cellStyle name="Comma 8 3 3 4 3" xfId="15947"/>
    <cellStyle name="Comma 8 3 3 5" xfId="9062"/>
    <cellStyle name="Comma 8 3 3 5 2" xfId="12831"/>
    <cellStyle name="Comma 8 3 3 5 2 2" xfId="19370"/>
    <cellStyle name="Comma 8 3 3 5 3" xfId="16518"/>
    <cellStyle name="Comma 8 3 3 6" xfId="3161"/>
    <cellStyle name="Comma 8 3 3 6 2" xfId="11118"/>
    <cellStyle name="Comma 8 3 3 6 2 2" xfId="17657"/>
    <cellStyle name="Comma 8 3 3 6 3" xfId="14805"/>
    <cellStyle name="Comma 8 3 3 7" xfId="2589"/>
    <cellStyle name="Comma 8 3 3 7 2" xfId="14237"/>
    <cellStyle name="Comma 8 3 3 8" xfId="10550"/>
    <cellStyle name="Comma 8 3 3 8 2" xfId="17089"/>
    <cellStyle name="Comma 8 3 3 9" xfId="13665"/>
    <cellStyle name="Comma 8 3 4" xfId="644"/>
    <cellStyle name="Comma 8 3 4 2" xfId="1779"/>
    <cellStyle name="Comma 8 3 4 2 2" xfId="5199"/>
    <cellStyle name="Comma 8 3 4 2 2 2" xfId="11860"/>
    <cellStyle name="Comma 8 3 4 2 2 2 2" xfId="18399"/>
    <cellStyle name="Comma 8 3 4 2 2 3" xfId="15547"/>
    <cellStyle name="Comma 8 3 4 2 3" xfId="7471"/>
    <cellStyle name="Comma 8 3 4 2 3 2" xfId="12431"/>
    <cellStyle name="Comma 8 3 4 2 3 2 2" xfId="18970"/>
    <cellStyle name="Comma 8 3 4 2 3 3" xfId="16118"/>
    <cellStyle name="Comma 8 3 4 2 4" xfId="9743"/>
    <cellStyle name="Comma 8 3 4 2 4 2" xfId="13002"/>
    <cellStyle name="Comma 8 3 4 2 4 2 2" xfId="19541"/>
    <cellStyle name="Comma 8 3 4 2 4 3" xfId="16689"/>
    <cellStyle name="Comma 8 3 4 2 5" xfId="3332"/>
    <cellStyle name="Comma 8 3 4 2 5 2" xfId="11289"/>
    <cellStyle name="Comma 8 3 4 2 5 2 2" xfId="17828"/>
    <cellStyle name="Comma 8 3 4 2 5 3" xfId="14976"/>
    <cellStyle name="Comma 8 3 4 2 6" xfId="2757"/>
    <cellStyle name="Comma 8 3 4 2 6 2" xfId="14405"/>
    <cellStyle name="Comma 8 3 4 2 7" xfId="10718"/>
    <cellStyle name="Comma 8 3 4 2 7 2" xfId="17257"/>
    <cellStyle name="Comma 8 3 4 2 8" xfId="13836"/>
    <cellStyle name="Comma 8 3 4 3" xfId="4064"/>
    <cellStyle name="Comma 8 3 4 3 2" xfId="11575"/>
    <cellStyle name="Comma 8 3 4 3 2 2" xfId="18114"/>
    <cellStyle name="Comma 8 3 4 3 3" xfId="15262"/>
    <cellStyle name="Comma 8 3 4 4" xfId="6336"/>
    <cellStyle name="Comma 8 3 4 4 2" xfId="12146"/>
    <cellStyle name="Comma 8 3 4 4 2 2" xfId="18685"/>
    <cellStyle name="Comma 8 3 4 4 3" xfId="15833"/>
    <cellStyle name="Comma 8 3 4 5" xfId="8608"/>
    <cellStyle name="Comma 8 3 4 5 2" xfId="12717"/>
    <cellStyle name="Comma 8 3 4 5 2 2" xfId="19256"/>
    <cellStyle name="Comma 8 3 4 5 3" xfId="16404"/>
    <cellStyle name="Comma 8 3 4 6" xfId="3047"/>
    <cellStyle name="Comma 8 3 4 6 2" xfId="11004"/>
    <cellStyle name="Comma 8 3 4 6 2 2" xfId="17543"/>
    <cellStyle name="Comma 8 3 4 6 3" xfId="14691"/>
    <cellStyle name="Comma 8 3 4 7" xfId="2477"/>
    <cellStyle name="Comma 8 3 4 7 2" xfId="14125"/>
    <cellStyle name="Comma 8 3 4 8" xfId="10438"/>
    <cellStyle name="Comma 8 3 4 8 2" xfId="16977"/>
    <cellStyle name="Comma 8 3 4 9" xfId="13551"/>
    <cellStyle name="Comma 8 3 5" xfId="1325"/>
    <cellStyle name="Comma 8 3 5 2" xfId="4745"/>
    <cellStyle name="Comma 8 3 5 2 2" xfId="11746"/>
    <cellStyle name="Comma 8 3 5 2 2 2" xfId="18285"/>
    <cellStyle name="Comma 8 3 5 2 3" xfId="15433"/>
    <cellStyle name="Comma 8 3 5 3" xfId="7017"/>
    <cellStyle name="Comma 8 3 5 3 2" xfId="12317"/>
    <cellStyle name="Comma 8 3 5 3 2 2" xfId="18856"/>
    <cellStyle name="Comma 8 3 5 3 3" xfId="16004"/>
    <cellStyle name="Comma 8 3 5 4" xfId="9289"/>
    <cellStyle name="Comma 8 3 5 4 2" xfId="12888"/>
    <cellStyle name="Comma 8 3 5 4 2 2" xfId="19427"/>
    <cellStyle name="Comma 8 3 5 4 3" xfId="16575"/>
    <cellStyle name="Comma 8 3 5 5" xfId="3218"/>
    <cellStyle name="Comma 8 3 5 5 2" xfId="11175"/>
    <cellStyle name="Comma 8 3 5 5 2 2" xfId="17714"/>
    <cellStyle name="Comma 8 3 5 5 3" xfId="14862"/>
    <cellStyle name="Comma 8 3 5 6" xfId="2645"/>
    <cellStyle name="Comma 8 3 5 6 2" xfId="14293"/>
    <cellStyle name="Comma 8 3 5 7" xfId="10606"/>
    <cellStyle name="Comma 8 3 5 7 2" xfId="17145"/>
    <cellStyle name="Comma 8 3 5 8" xfId="13722"/>
    <cellStyle name="Comma 8 3 6" xfId="3610"/>
    <cellStyle name="Comma 8 3 6 2" xfId="11461"/>
    <cellStyle name="Comma 8 3 6 2 2" xfId="18000"/>
    <cellStyle name="Comma 8 3 6 3" xfId="15148"/>
    <cellStyle name="Comma 8 3 7" xfId="5882"/>
    <cellStyle name="Comma 8 3 7 2" xfId="12032"/>
    <cellStyle name="Comma 8 3 7 2 2" xfId="18571"/>
    <cellStyle name="Comma 8 3 7 3" xfId="15719"/>
    <cellStyle name="Comma 8 3 8" xfId="8154"/>
    <cellStyle name="Comma 8 3 8 2" xfId="12603"/>
    <cellStyle name="Comma 8 3 8 2 2" xfId="19142"/>
    <cellStyle name="Comma 8 3 8 3" xfId="16290"/>
    <cellStyle name="Comma 8 3 9" xfId="2930"/>
    <cellStyle name="Comma 8 3 9 2" xfId="10889"/>
    <cellStyle name="Comma 8 3 9 2 2" xfId="17428"/>
    <cellStyle name="Comma 8 3 9 3" xfId="14576"/>
    <cellStyle name="Comma 8 4" xfId="123"/>
    <cellStyle name="Comma 8 4 10" xfId="2350"/>
    <cellStyle name="Comma 8 4 10 2" xfId="13998"/>
    <cellStyle name="Comma 8 4 11" xfId="10311"/>
    <cellStyle name="Comma 8 4 11 2" xfId="16850"/>
    <cellStyle name="Comma 8 4 12" xfId="13422"/>
    <cellStyle name="Comma 8 4 2" xfId="361"/>
    <cellStyle name="Comma 8 4 2 10" xfId="13480"/>
    <cellStyle name="Comma 8 4 2 2" xfId="815"/>
    <cellStyle name="Comma 8 4 2 2 2" xfId="1950"/>
    <cellStyle name="Comma 8 4 2 2 2 2" xfId="5370"/>
    <cellStyle name="Comma 8 4 2 2 2 2 2" xfId="11903"/>
    <cellStyle name="Comma 8 4 2 2 2 2 2 2" xfId="18442"/>
    <cellStyle name="Comma 8 4 2 2 2 2 3" xfId="15590"/>
    <cellStyle name="Comma 8 4 2 2 2 3" xfId="7642"/>
    <cellStyle name="Comma 8 4 2 2 2 3 2" xfId="12474"/>
    <cellStyle name="Comma 8 4 2 2 2 3 2 2" xfId="19013"/>
    <cellStyle name="Comma 8 4 2 2 2 3 3" xfId="16161"/>
    <cellStyle name="Comma 8 4 2 2 2 4" xfId="9914"/>
    <cellStyle name="Comma 8 4 2 2 2 4 2" xfId="13045"/>
    <cellStyle name="Comma 8 4 2 2 2 4 2 2" xfId="19584"/>
    <cellStyle name="Comma 8 4 2 2 2 4 3" xfId="16732"/>
    <cellStyle name="Comma 8 4 2 2 2 5" xfId="3375"/>
    <cellStyle name="Comma 8 4 2 2 2 5 2" xfId="11332"/>
    <cellStyle name="Comma 8 4 2 2 2 5 2 2" xfId="17871"/>
    <cellStyle name="Comma 8 4 2 2 2 5 3" xfId="15019"/>
    <cellStyle name="Comma 8 4 2 2 2 6" xfId="2799"/>
    <cellStyle name="Comma 8 4 2 2 2 6 2" xfId="14447"/>
    <cellStyle name="Comma 8 4 2 2 2 7" xfId="10760"/>
    <cellStyle name="Comma 8 4 2 2 2 7 2" xfId="17299"/>
    <cellStyle name="Comma 8 4 2 2 2 8" xfId="13879"/>
    <cellStyle name="Comma 8 4 2 2 3" xfId="4235"/>
    <cellStyle name="Comma 8 4 2 2 3 2" xfId="11618"/>
    <cellStyle name="Comma 8 4 2 2 3 2 2" xfId="18157"/>
    <cellStyle name="Comma 8 4 2 2 3 3" xfId="15305"/>
    <cellStyle name="Comma 8 4 2 2 4" xfId="6507"/>
    <cellStyle name="Comma 8 4 2 2 4 2" xfId="12189"/>
    <cellStyle name="Comma 8 4 2 2 4 2 2" xfId="18728"/>
    <cellStyle name="Comma 8 4 2 2 4 3" xfId="15876"/>
    <cellStyle name="Comma 8 4 2 2 5" xfId="8779"/>
    <cellStyle name="Comma 8 4 2 2 5 2" xfId="12760"/>
    <cellStyle name="Comma 8 4 2 2 5 2 2" xfId="19299"/>
    <cellStyle name="Comma 8 4 2 2 5 3" xfId="16447"/>
    <cellStyle name="Comma 8 4 2 2 6" xfId="3090"/>
    <cellStyle name="Comma 8 4 2 2 6 2" xfId="11047"/>
    <cellStyle name="Comma 8 4 2 2 6 2 2" xfId="17586"/>
    <cellStyle name="Comma 8 4 2 2 6 3" xfId="14734"/>
    <cellStyle name="Comma 8 4 2 2 7" xfId="2519"/>
    <cellStyle name="Comma 8 4 2 2 7 2" xfId="14167"/>
    <cellStyle name="Comma 8 4 2 2 8" xfId="10480"/>
    <cellStyle name="Comma 8 4 2 2 8 2" xfId="17019"/>
    <cellStyle name="Comma 8 4 2 2 9" xfId="13594"/>
    <cellStyle name="Comma 8 4 2 3" xfId="1496"/>
    <cellStyle name="Comma 8 4 2 3 2" xfId="4916"/>
    <cellStyle name="Comma 8 4 2 3 2 2" xfId="11789"/>
    <cellStyle name="Comma 8 4 2 3 2 2 2" xfId="18328"/>
    <cellStyle name="Comma 8 4 2 3 2 3" xfId="15476"/>
    <cellStyle name="Comma 8 4 2 3 3" xfId="7188"/>
    <cellStyle name="Comma 8 4 2 3 3 2" xfId="12360"/>
    <cellStyle name="Comma 8 4 2 3 3 2 2" xfId="18899"/>
    <cellStyle name="Comma 8 4 2 3 3 3" xfId="16047"/>
    <cellStyle name="Comma 8 4 2 3 4" xfId="9460"/>
    <cellStyle name="Comma 8 4 2 3 4 2" xfId="12931"/>
    <cellStyle name="Comma 8 4 2 3 4 2 2" xfId="19470"/>
    <cellStyle name="Comma 8 4 2 3 4 3" xfId="16618"/>
    <cellStyle name="Comma 8 4 2 3 5" xfId="3261"/>
    <cellStyle name="Comma 8 4 2 3 5 2" xfId="11218"/>
    <cellStyle name="Comma 8 4 2 3 5 2 2" xfId="17757"/>
    <cellStyle name="Comma 8 4 2 3 5 3" xfId="14905"/>
    <cellStyle name="Comma 8 4 2 3 6" xfId="2687"/>
    <cellStyle name="Comma 8 4 2 3 6 2" xfId="14335"/>
    <cellStyle name="Comma 8 4 2 3 7" xfId="10648"/>
    <cellStyle name="Comma 8 4 2 3 7 2" xfId="17187"/>
    <cellStyle name="Comma 8 4 2 3 8" xfId="13765"/>
    <cellStyle name="Comma 8 4 2 4" xfId="3781"/>
    <cellStyle name="Comma 8 4 2 4 2" xfId="11504"/>
    <cellStyle name="Comma 8 4 2 4 2 2" xfId="18043"/>
    <cellStyle name="Comma 8 4 2 4 3" xfId="15191"/>
    <cellStyle name="Comma 8 4 2 5" xfId="6053"/>
    <cellStyle name="Comma 8 4 2 5 2" xfId="12075"/>
    <cellStyle name="Comma 8 4 2 5 2 2" xfId="18614"/>
    <cellStyle name="Comma 8 4 2 5 3" xfId="15762"/>
    <cellStyle name="Comma 8 4 2 6" xfId="8325"/>
    <cellStyle name="Comma 8 4 2 6 2" xfId="12646"/>
    <cellStyle name="Comma 8 4 2 6 2 2" xfId="19185"/>
    <cellStyle name="Comma 8 4 2 6 3" xfId="16333"/>
    <cellStyle name="Comma 8 4 2 7" xfId="2976"/>
    <cellStyle name="Comma 8 4 2 7 2" xfId="10933"/>
    <cellStyle name="Comma 8 4 2 7 2 2" xfId="17472"/>
    <cellStyle name="Comma 8 4 2 7 3" xfId="14620"/>
    <cellStyle name="Comma 8 4 2 8" xfId="2407"/>
    <cellStyle name="Comma 8 4 2 8 2" xfId="14055"/>
    <cellStyle name="Comma 8 4 2 9" xfId="10368"/>
    <cellStyle name="Comma 8 4 2 9 2" xfId="16907"/>
    <cellStyle name="Comma 8 4 3" xfId="1042"/>
    <cellStyle name="Comma 8 4 3 2" xfId="2177"/>
    <cellStyle name="Comma 8 4 3 2 2" xfId="5597"/>
    <cellStyle name="Comma 8 4 3 2 2 2" xfId="11960"/>
    <cellStyle name="Comma 8 4 3 2 2 2 2" xfId="18499"/>
    <cellStyle name="Comma 8 4 3 2 2 3" xfId="15647"/>
    <cellStyle name="Comma 8 4 3 2 3" xfId="7869"/>
    <cellStyle name="Comma 8 4 3 2 3 2" xfId="12531"/>
    <cellStyle name="Comma 8 4 3 2 3 2 2" xfId="19070"/>
    <cellStyle name="Comma 8 4 3 2 3 3" xfId="16218"/>
    <cellStyle name="Comma 8 4 3 2 4" xfId="10141"/>
    <cellStyle name="Comma 8 4 3 2 4 2" xfId="13102"/>
    <cellStyle name="Comma 8 4 3 2 4 2 2" xfId="19641"/>
    <cellStyle name="Comma 8 4 3 2 4 3" xfId="16789"/>
    <cellStyle name="Comma 8 4 3 2 5" xfId="3432"/>
    <cellStyle name="Comma 8 4 3 2 5 2" xfId="11389"/>
    <cellStyle name="Comma 8 4 3 2 5 2 2" xfId="17928"/>
    <cellStyle name="Comma 8 4 3 2 5 3" xfId="15076"/>
    <cellStyle name="Comma 8 4 3 2 6" xfId="2855"/>
    <cellStyle name="Comma 8 4 3 2 6 2" xfId="14503"/>
    <cellStyle name="Comma 8 4 3 2 7" xfId="10816"/>
    <cellStyle name="Comma 8 4 3 2 7 2" xfId="17355"/>
    <cellStyle name="Comma 8 4 3 2 8" xfId="13936"/>
    <cellStyle name="Comma 8 4 3 3" xfId="4462"/>
    <cellStyle name="Comma 8 4 3 3 2" xfId="11675"/>
    <cellStyle name="Comma 8 4 3 3 2 2" xfId="18214"/>
    <cellStyle name="Comma 8 4 3 3 3" xfId="15362"/>
    <cellStyle name="Comma 8 4 3 4" xfId="6734"/>
    <cellStyle name="Comma 8 4 3 4 2" xfId="12246"/>
    <cellStyle name="Comma 8 4 3 4 2 2" xfId="18785"/>
    <cellStyle name="Comma 8 4 3 4 3" xfId="15933"/>
    <cellStyle name="Comma 8 4 3 5" xfId="9006"/>
    <cellStyle name="Comma 8 4 3 5 2" xfId="12817"/>
    <cellStyle name="Comma 8 4 3 5 2 2" xfId="19356"/>
    <cellStyle name="Comma 8 4 3 5 3" xfId="16504"/>
    <cellStyle name="Comma 8 4 3 6" xfId="3147"/>
    <cellStyle name="Comma 8 4 3 6 2" xfId="11104"/>
    <cellStyle name="Comma 8 4 3 6 2 2" xfId="17643"/>
    <cellStyle name="Comma 8 4 3 6 3" xfId="14791"/>
    <cellStyle name="Comma 8 4 3 7" xfId="2575"/>
    <cellStyle name="Comma 8 4 3 7 2" xfId="14223"/>
    <cellStyle name="Comma 8 4 3 8" xfId="10536"/>
    <cellStyle name="Comma 8 4 3 8 2" xfId="17075"/>
    <cellStyle name="Comma 8 4 3 9" xfId="13651"/>
    <cellStyle name="Comma 8 4 4" xfId="588"/>
    <cellStyle name="Comma 8 4 4 2" xfId="1723"/>
    <cellStyle name="Comma 8 4 4 2 2" xfId="5143"/>
    <cellStyle name="Comma 8 4 4 2 2 2" xfId="11846"/>
    <cellStyle name="Comma 8 4 4 2 2 2 2" xfId="18385"/>
    <cellStyle name="Comma 8 4 4 2 2 3" xfId="15533"/>
    <cellStyle name="Comma 8 4 4 2 3" xfId="7415"/>
    <cellStyle name="Comma 8 4 4 2 3 2" xfId="12417"/>
    <cellStyle name="Comma 8 4 4 2 3 2 2" xfId="18956"/>
    <cellStyle name="Comma 8 4 4 2 3 3" xfId="16104"/>
    <cellStyle name="Comma 8 4 4 2 4" xfId="9687"/>
    <cellStyle name="Comma 8 4 4 2 4 2" xfId="12988"/>
    <cellStyle name="Comma 8 4 4 2 4 2 2" xfId="19527"/>
    <cellStyle name="Comma 8 4 4 2 4 3" xfId="16675"/>
    <cellStyle name="Comma 8 4 4 2 5" xfId="3318"/>
    <cellStyle name="Comma 8 4 4 2 5 2" xfId="11275"/>
    <cellStyle name="Comma 8 4 4 2 5 2 2" xfId="17814"/>
    <cellStyle name="Comma 8 4 4 2 5 3" xfId="14962"/>
    <cellStyle name="Comma 8 4 4 2 6" xfId="2743"/>
    <cellStyle name="Comma 8 4 4 2 6 2" xfId="14391"/>
    <cellStyle name="Comma 8 4 4 2 7" xfId="10704"/>
    <cellStyle name="Comma 8 4 4 2 7 2" xfId="17243"/>
    <cellStyle name="Comma 8 4 4 2 8" xfId="13822"/>
    <cellStyle name="Comma 8 4 4 3" xfId="4008"/>
    <cellStyle name="Comma 8 4 4 3 2" xfId="11561"/>
    <cellStyle name="Comma 8 4 4 3 2 2" xfId="18100"/>
    <cellStyle name="Comma 8 4 4 3 3" xfId="15248"/>
    <cellStyle name="Comma 8 4 4 4" xfId="6280"/>
    <cellStyle name="Comma 8 4 4 4 2" xfId="12132"/>
    <cellStyle name="Comma 8 4 4 4 2 2" xfId="18671"/>
    <cellStyle name="Comma 8 4 4 4 3" xfId="15819"/>
    <cellStyle name="Comma 8 4 4 5" xfId="8552"/>
    <cellStyle name="Comma 8 4 4 5 2" xfId="12703"/>
    <cellStyle name="Comma 8 4 4 5 2 2" xfId="19242"/>
    <cellStyle name="Comma 8 4 4 5 3" xfId="16390"/>
    <cellStyle name="Comma 8 4 4 6" xfId="3033"/>
    <cellStyle name="Comma 8 4 4 6 2" xfId="10990"/>
    <cellStyle name="Comma 8 4 4 6 2 2" xfId="17529"/>
    <cellStyle name="Comma 8 4 4 6 3" xfId="14677"/>
    <cellStyle name="Comma 8 4 4 7" xfId="2463"/>
    <cellStyle name="Comma 8 4 4 7 2" xfId="14111"/>
    <cellStyle name="Comma 8 4 4 8" xfId="10424"/>
    <cellStyle name="Comma 8 4 4 8 2" xfId="16963"/>
    <cellStyle name="Comma 8 4 4 9" xfId="13537"/>
    <cellStyle name="Comma 8 4 5" xfId="1269"/>
    <cellStyle name="Comma 8 4 5 2" xfId="4689"/>
    <cellStyle name="Comma 8 4 5 2 2" xfId="11732"/>
    <cellStyle name="Comma 8 4 5 2 2 2" xfId="18271"/>
    <cellStyle name="Comma 8 4 5 2 3" xfId="15419"/>
    <cellStyle name="Comma 8 4 5 3" xfId="6961"/>
    <cellStyle name="Comma 8 4 5 3 2" xfId="12303"/>
    <cellStyle name="Comma 8 4 5 3 2 2" xfId="18842"/>
    <cellStyle name="Comma 8 4 5 3 3" xfId="15990"/>
    <cellStyle name="Comma 8 4 5 4" xfId="9233"/>
    <cellStyle name="Comma 8 4 5 4 2" xfId="12874"/>
    <cellStyle name="Comma 8 4 5 4 2 2" xfId="19413"/>
    <cellStyle name="Comma 8 4 5 4 3" xfId="16561"/>
    <cellStyle name="Comma 8 4 5 5" xfId="3204"/>
    <cellStyle name="Comma 8 4 5 5 2" xfId="11161"/>
    <cellStyle name="Comma 8 4 5 5 2 2" xfId="17700"/>
    <cellStyle name="Comma 8 4 5 5 3" xfId="14848"/>
    <cellStyle name="Comma 8 4 5 6" xfId="2631"/>
    <cellStyle name="Comma 8 4 5 6 2" xfId="14279"/>
    <cellStyle name="Comma 8 4 5 7" xfId="10592"/>
    <cellStyle name="Comma 8 4 5 7 2" xfId="17131"/>
    <cellStyle name="Comma 8 4 5 8" xfId="13708"/>
    <cellStyle name="Comma 8 4 6" xfId="3554"/>
    <cellStyle name="Comma 8 4 6 2" xfId="11447"/>
    <cellStyle name="Comma 8 4 6 2 2" xfId="17986"/>
    <cellStyle name="Comma 8 4 6 3" xfId="15134"/>
    <cellStyle name="Comma 8 4 7" xfId="5826"/>
    <cellStyle name="Comma 8 4 7 2" xfId="12018"/>
    <cellStyle name="Comma 8 4 7 2 2" xfId="18557"/>
    <cellStyle name="Comma 8 4 7 3" xfId="15705"/>
    <cellStyle name="Comma 8 4 8" xfId="8098"/>
    <cellStyle name="Comma 8 4 8 2" xfId="12589"/>
    <cellStyle name="Comma 8 4 8 2 2" xfId="19128"/>
    <cellStyle name="Comma 8 4 8 3" xfId="16276"/>
    <cellStyle name="Comma 8 4 9" xfId="2916"/>
    <cellStyle name="Comma 8 4 9 2" xfId="10875"/>
    <cellStyle name="Comma 8 4 9 2 2" xfId="17414"/>
    <cellStyle name="Comma 8 4 9 3" xfId="14562"/>
    <cellStyle name="Comma 8 5" xfId="249"/>
    <cellStyle name="Comma 8 5 10" xfId="2379"/>
    <cellStyle name="Comma 8 5 10 2" xfId="14027"/>
    <cellStyle name="Comma 8 5 11" xfId="10340"/>
    <cellStyle name="Comma 8 5 11 2" xfId="16879"/>
    <cellStyle name="Comma 8 5 12" xfId="13452"/>
    <cellStyle name="Comma 8 5 2" xfId="476"/>
    <cellStyle name="Comma 8 5 2 10" xfId="13509"/>
    <cellStyle name="Comma 8 5 2 2" xfId="930"/>
    <cellStyle name="Comma 8 5 2 2 2" xfId="2065"/>
    <cellStyle name="Comma 8 5 2 2 2 2" xfId="5485"/>
    <cellStyle name="Comma 8 5 2 2 2 2 2" xfId="11932"/>
    <cellStyle name="Comma 8 5 2 2 2 2 2 2" xfId="18471"/>
    <cellStyle name="Comma 8 5 2 2 2 2 3" xfId="15619"/>
    <cellStyle name="Comma 8 5 2 2 2 3" xfId="7757"/>
    <cellStyle name="Comma 8 5 2 2 2 3 2" xfId="12503"/>
    <cellStyle name="Comma 8 5 2 2 2 3 2 2" xfId="19042"/>
    <cellStyle name="Comma 8 5 2 2 2 3 3" xfId="16190"/>
    <cellStyle name="Comma 8 5 2 2 2 4" xfId="10029"/>
    <cellStyle name="Comma 8 5 2 2 2 4 2" xfId="13074"/>
    <cellStyle name="Comma 8 5 2 2 2 4 2 2" xfId="19613"/>
    <cellStyle name="Comma 8 5 2 2 2 4 3" xfId="16761"/>
    <cellStyle name="Comma 8 5 2 2 2 5" xfId="3404"/>
    <cellStyle name="Comma 8 5 2 2 2 5 2" xfId="11361"/>
    <cellStyle name="Comma 8 5 2 2 2 5 2 2" xfId="17900"/>
    <cellStyle name="Comma 8 5 2 2 2 5 3" xfId="15048"/>
    <cellStyle name="Comma 8 5 2 2 2 6" xfId="2827"/>
    <cellStyle name="Comma 8 5 2 2 2 6 2" xfId="14475"/>
    <cellStyle name="Comma 8 5 2 2 2 7" xfId="10788"/>
    <cellStyle name="Comma 8 5 2 2 2 7 2" xfId="17327"/>
    <cellStyle name="Comma 8 5 2 2 2 8" xfId="13908"/>
    <cellStyle name="Comma 8 5 2 2 3" xfId="4350"/>
    <cellStyle name="Comma 8 5 2 2 3 2" xfId="11647"/>
    <cellStyle name="Comma 8 5 2 2 3 2 2" xfId="18186"/>
    <cellStyle name="Comma 8 5 2 2 3 3" xfId="15334"/>
    <cellStyle name="Comma 8 5 2 2 4" xfId="6622"/>
    <cellStyle name="Comma 8 5 2 2 4 2" xfId="12218"/>
    <cellStyle name="Comma 8 5 2 2 4 2 2" xfId="18757"/>
    <cellStyle name="Comma 8 5 2 2 4 3" xfId="15905"/>
    <cellStyle name="Comma 8 5 2 2 5" xfId="8894"/>
    <cellStyle name="Comma 8 5 2 2 5 2" xfId="12789"/>
    <cellStyle name="Comma 8 5 2 2 5 2 2" xfId="19328"/>
    <cellStyle name="Comma 8 5 2 2 5 3" xfId="16476"/>
    <cellStyle name="Comma 8 5 2 2 6" xfId="3119"/>
    <cellStyle name="Comma 8 5 2 2 6 2" xfId="11076"/>
    <cellStyle name="Comma 8 5 2 2 6 2 2" xfId="17615"/>
    <cellStyle name="Comma 8 5 2 2 6 3" xfId="14763"/>
    <cellStyle name="Comma 8 5 2 2 7" xfId="2547"/>
    <cellStyle name="Comma 8 5 2 2 7 2" xfId="14195"/>
    <cellStyle name="Comma 8 5 2 2 8" xfId="10508"/>
    <cellStyle name="Comma 8 5 2 2 8 2" xfId="17047"/>
    <cellStyle name="Comma 8 5 2 2 9" xfId="13623"/>
    <cellStyle name="Comma 8 5 2 3" xfId="1611"/>
    <cellStyle name="Comma 8 5 2 3 2" xfId="5031"/>
    <cellStyle name="Comma 8 5 2 3 2 2" xfId="11818"/>
    <cellStyle name="Comma 8 5 2 3 2 2 2" xfId="18357"/>
    <cellStyle name="Comma 8 5 2 3 2 3" xfId="15505"/>
    <cellStyle name="Comma 8 5 2 3 3" xfId="7303"/>
    <cellStyle name="Comma 8 5 2 3 3 2" xfId="12389"/>
    <cellStyle name="Comma 8 5 2 3 3 2 2" xfId="18928"/>
    <cellStyle name="Comma 8 5 2 3 3 3" xfId="16076"/>
    <cellStyle name="Comma 8 5 2 3 4" xfId="9575"/>
    <cellStyle name="Comma 8 5 2 3 4 2" xfId="12960"/>
    <cellStyle name="Comma 8 5 2 3 4 2 2" xfId="19499"/>
    <cellStyle name="Comma 8 5 2 3 4 3" xfId="16647"/>
    <cellStyle name="Comma 8 5 2 3 5" xfId="3290"/>
    <cellStyle name="Comma 8 5 2 3 5 2" xfId="11247"/>
    <cellStyle name="Comma 8 5 2 3 5 2 2" xfId="17786"/>
    <cellStyle name="Comma 8 5 2 3 5 3" xfId="14934"/>
    <cellStyle name="Comma 8 5 2 3 6" xfId="2715"/>
    <cellStyle name="Comma 8 5 2 3 6 2" xfId="14363"/>
    <cellStyle name="Comma 8 5 2 3 7" xfId="10676"/>
    <cellStyle name="Comma 8 5 2 3 7 2" xfId="17215"/>
    <cellStyle name="Comma 8 5 2 3 8" xfId="13794"/>
    <cellStyle name="Comma 8 5 2 4" xfId="3896"/>
    <cellStyle name="Comma 8 5 2 4 2" xfId="11533"/>
    <cellStyle name="Comma 8 5 2 4 2 2" xfId="18072"/>
    <cellStyle name="Comma 8 5 2 4 3" xfId="15220"/>
    <cellStyle name="Comma 8 5 2 5" xfId="6168"/>
    <cellStyle name="Comma 8 5 2 5 2" xfId="12104"/>
    <cellStyle name="Comma 8 5 2 5 2 2" xfId="18643"/>
    <cellStyle name="Comma 8 5 2 5 3" xfId="15791"/>
    <cellStyle name="Comma 8 5 2 6" xfId="8440"/>
    <cellStyle name="Comma 8 5 2 6 2" xfId="12675"/>
    <cellStyle name="Comma 8 5 2 6 2 2" xfId="19214"/>
    <cellStyle name="Comma 8 5 2 6 3" xfId="16362"/>
    <cellStyle name="Comma 8 5 2 7" xfId="3005"/>
    <cellStyle name="Comma 8 5 2 7 2" xfId="10962"/>
    <cellStyle name="Comma 8 5 2 7 2 2" xfId="17501"/>
    <cellStyle name="Comma 8 5 2 7 3" xfId="14649"/>
    <cellStyle name="Comma 8 5 2 8" xfId="2435"/>
    <cellStyle name="Comma 8 5 2 8 2" xfId="14083"/>
    <cellStyle name="Comma 8 5 2 9" xfId="10396"/>
    <cellStyle name="Comma 8 5 2 9 2" xfId="16935"/>
    <cellStyle name="Comma 8 5 3" xfId="1157"/>
    <cellStyle name="Comma 8 5 3 2" xfId="2292"/>
    <cellStyle name="Comma 8 5 3 2 2" xfId="5712"/>
    <cellStyle name="Comma 8 5 3 2 2 2" xfId="11989"/>
    <cellStyle name="Comma 8 5 3 2 2 2 2" xfId="18528"/>
    <cellStyle name="Comma 8 5 3 2 2 3" xfId="15676"/>
    <cellStyle name="Comma 8 5 3 2 3" xfId="7984"/>
    <cellStyle name="Comma 8 5 3 2 3 2" xfId="12560"/>
    <cellStyle name="Comma 8 5 3 2 3 2 2" xfId="19099"/>
    <cellStyle name="Comma 8 5 3 2 3 3" xfId="16247"/>
    <cellStyle name="Comma 8 5 3 2 4" xfId="10256"/>
    <cellStyle name="Comma 8 5 3 2 4 2" xfId="13131"/>
    <cellStyle name="Comma 8 5 3 2 4 2 2" xfId="19670"/>
    <cellStyle name="Comma 8 5 3 2 4 3" xfId="16818"/>
    <cellStyle name="Comma 8 5 3 2 5" xfId="3461"/>
    <cellStyle name="Comma 8 5 3 2 5 2" xfId="11418"/>
    <cellStyle name="Comma 8 5 3 2 5 2 2" xfId="17957"/>
    <cellStyle name="Comma 8 5 3 2 5 3" xfId="15105"/>
    <cellStyle name="Comma 8 5 3 2 6" xfId="2883"/>
    <cellStyle name="Comma 8 5 3 2 6 2" xfId="14531"/>
    <cellStyle name="Comma 8 5 3 2 7" xfId="10844"/>
    <cellStyle name="Comma 8 5 3 2 7 2" xfId="17383"/>
    <cellStyle name="Comma 8 5 3 2 8" xfId="13965"/>
    <cellStyle name="Comma 8 5 3 3" xfId="4577"/>
    <cellStyle name="Comma 8 5 3 3 2" xfId="11704"/>
    <cellStyle name="Comma 8 5 3 3 2 2" xfId="18243"/>
    <cellStyle name="Comma 8 5 3 3 3" xfId="15391"/>
    <cellStyle name="Comma 8 5 3 4" xfId="6849"/>
    <cellStyle name="Comma 8 5 3 4 2" xfId="12275"/>
    <cellStyle name="Comma 8 5 3 4 2 2" xfId="18814"/>
    <cellStyle name="Comma 8 5 3 4 3" xfId="15962"/>
    <cellStyle name="Comma 8 5 3 5" xfId="9121"/>
    <cellStyle name="Comma 8 5 3 5 2" xfId="12846"/>
    <cellStyle name="Comma 8 5 3 5 2 2" xfId="19385"/>
    <cellStyle name="Comma 8 5 3 5 3" xfId="16533"/>
    <cellStyle name="Comma 8 5 3 6" xfId="3176"/>
    <cellStyle name="Comma 8 5 3 6 2" xfId="11133"/>
    <cellStyle name="Comma 8 5 3 6 2 2" xfId="17672"/>
    <cellStyle name="Comma 8 5 3 6 3" xfId="14820"/>
    <cellStyle name="Comma 8 5 3 7" xfId="2603"/>
    <cellStyle name="Comma 8 5 3 7 2" xfId="14251"/>
    <cellStyle name="Comma 8 5 3 8" xfId="10564"/>
    <cellStyle name="Comma 8 5 3 8 2" xfId="17103"/>
    <cellStyle name="Comma 8 5 3 9" xfId="13680"/>
    <cellStyle name="Comma 8 5 4" xfId="703"/>
    <cellStyle name="Comma 8 5 4 2" xfId="1838"/>
    <cellStyle name="Comma 8 5 4 2 2" xfId="5258"/>
    <cellStyle name="Comma 8 5 4 2 2 2" xfId="11875"/>
    <cellStyle name="Comma 8 5 4 2 2 2 2" xfId="18414"/>
    <cellStyle name="Comma 8 5 4 2 2 3" xfId="15562"/>
    <cellStyle name="Comma 8 5 4 2 3" xfId="7530"/>
    <cellStyle name="Comma 8 5 4 2 3 2" xfId="12446"/>
    <cellStyle name="Comma 8 5 4 2 3 2 2" xfId="18985"/>
    <cellStyle name="Comma 8 5 4 2 3 3" xfId="16133"/>
    <cellStyle name="Comma 8 5 4 2 4" xfId="9802"/>
    <cellStyle name="Comma 8 5 4 2 4 2" xfId="13017"/>
    <cellStyle name="Comma 8 5 4 2 4 2 2" xfId="19556"/>
    <cellStyle name="Comma 8 5 4 2 4 3" xfId="16704"/>
    <cellStyle name="Comma 8 5 4 2 5" xfId="3347"/>
    <cellStyle name="Comma 8 5 4 2 5 2" xfId="11304"/>
    <cellStyle name="Comma 8 5 4 2 5 2 2" xfId="17843"/>
    <cellStyle name="Comma 8 5 4 2 5 3" xfId="14991"/>
    <cellStyle name="Comma 8 5 4 2 6" xfId="2771"/>
    <cellStyle name="Comma 8 5 4 2 6 2" xfId="14419"/>
    <cellStyle name="Comma 8 5 4 2 7" xfId="10732"/>
    <cellStyle name="Comma 8 5 4 2 7 2" xfId="17271"/>
    <cellStyle name="Comma 8 5 4 2 8" xfId="13851"/>
    <cellStyle name="Comma 8 5 4 3" xfId="4123"/>
    <cellStyle name="Comma 8 5 4 3 2" xfId="11590"/>
    <cellStyle name="Comma 8 5 4 3 2 2" xfId="18129"/>
    <cellStyle name="Comma 8 5 4 3 3" xfId="15277"/>
    <cellStyle name="Comma 8 5 4 4" xfId="6395"/>
    <cellStyle name="Comma 8 5 4 4 2" xfId="12161"/>
    <cellStyle name="Comma 8 5 4 4 2 2" xfId="18700"/>
    <cellStyle name="Comma 8 5 4 4 3" xfId="15848"/>
    <cellStyle name="Comma 8 5 4 5" xfId="8667"/>
    <cellStyle name="Comma 8 5 4 5 2" xfId="12732"/>
    <cellStyle name="Comma 8 5 4 5 2 2" xfId="19271"/>
    <cellStyle name="Comma 8 5 4 5 3" xfId="16419"/>
    <cellStyle name="Comma 8 5 4 6" xfId="3062"/>
    <cellStyle name="Comma 8 5 4 6 2" xfId="11019"/>
    <cellStyle name="Comma 8 5 4 6 2 2" xfId="17558"/>
    <cellStyle name="Comma 8 5 4 6 3" xfId="14706"/>
    <cellStyle name="Comma 8 5 4 7" xfId="2491"/>
    <cellStyle name="Comma 8 5 4 7 2" xfId="14139"/>
    <cellStyle name="Comma 8 5 4 8" xfId="10452"/>
    <cellStyle name="Comma 8 5 4 8 2" xfId="16991"/>
    <cellStyle name="Comma 8 5 4 9" xfId="13566"/>
    <cellStyle name="Comma 8 5 5" xfId="1384"/>
    <cellStyle name="Comma 8 5 5 2" xfId="4804"/>
    <cellStyle name="Comma 8 5 5 2 2" xfId="11761"/>
    <cellStyle name="Comma 8 5 5 2 2 2" xfId="18300"/>
    <cellStyle name="Comma 8 5 5 2 3" xfId="15448"/>
    <cellStyle name="Comma 8 5 5 3" xfId="7076"/>
    <cellStyle name="Comma 8 5 5 3 2" xfId="12332"/>
    <cellStyle name="Comma 8 5 5 3 2 2" xfId="18871"/>
    <cellStyle name="Comma 8 5 5 3 3" xfId="16019"/>
    <cellStyle name="Comma 8 5 5 4" xfId="9348"/>
    <cellStyle name="Comma 8 5 5 4 2" xfId="12903"/>
    <cellStyle name="Comma 8 5 5 4 2 2" xfId="19442"/>
    <cellStyle name="Comma 8 5 5 4 3" xfId="16590"/>
    <cellStyle name="Comma 8 5 5 5" xfId="3233"/>
    <cellStyle name="Comma 8 5 5 5 2" xfId="11190"/>
    <cellStyle name="Comma 8 5 5 5 2 2" xfId="17729"/>
    <cellStyle name="Comma 8 5 5 5 3" xfId="14877"/>
    <cellStyle name="Comma 8 5 5 6" xfId="2659"/>
    <cellStyle name="Comma 8 5 5 6 2" xfId="14307"/>
    <cellStyle name="Comma 8 5 5 7" xfId="10620"/>
    <cellStyle name="Comma 8 5 5 7 2" xfId="17159"/>
    <cellStyle name="Comma 8 5 5 8" xfId="13737"/>
    <cellStyle name="Comma 8 5 6" xfId="3669"/>
    <cellStyle name="Comma 8 5 6 2" xfId="11476"/>
    <cellStyle name="Comma 8 5 6 2 2" xfId="18015"/>
    <cellStyle name="Comma 8 5 6 3" xfId="15163"/>
    <cellStyle name="Comma 8 5 7" xfId="5941"/>
    <cellStyle name="Comma 8 5 7 2" xfId="12047"/>
    <cellStyle name="Comma 8 5 7 2 2" xfId="18586"/>
    <cellStyle name="Comma 8 5 7 3" xfId="15734"/>
    <cellStyle name="Comma 8 5 8" xfId="8213"/>
    <cellStyle name="Comma 8 5 8 2" xfId="12618"/>
    <cellStyle name="Comma 8 5 8 2 2" xfId="19157"/>
    <cellStyle name="Comma 8 5 8 3" xfId="16305"/>
    <cellStyle name="Comma 8 5 9" xfId="2948"/>
    <cellStyle name="Comma 8 5 9 2" xfId="10905"/>
    <cellStyle name="Comma 8 5 9 2 2" xfId="17444"/>
    <cellStyle name="Comma 8 5 9 3" xfId="14592"/>
    <cellStyle name="Comma 8 6" xfId="305"/>
    <cellStyle name="Comma 8 6 10" xfId="13466"/>
    <cellStyle name="Comma 8 6 2" xfId="759"/>
    <cellStyle name="Comma 8 6 2 2" xfId="1894"/>
    <cellStyle name="Comma 8 6 2 2 2" xfId="5314"/>
    <cellStyle name="Comma 8 6 2 2 2 2" xfId="11889"/>
    <cellStyle name="Comma 8 6 2 2 2 2 2" xfId="18428"/>
    <cellStyle name="Comma 8 6 2 2 2 3" xfId="15576"/>
    <cellStyle name="Comma 8 6 2 2 3" xfId="7586"/>
    <cellStyle name="Comma 8 6 2 2 3 2" xfId="12460"/>
    <cellStyle name="Comma 8 6 2 2 3 2 2" xfId="18999"/>
    <cellStyle name="Comma 8 6 2 2 3 3" xfId="16147"/>
    <cellStyle name="Comma 8 6 2 2 4" xfId="9858"/>
    <cellStyle name="Comma 8 6 2 2 4 2" xfId="13031"/>
    <cellStyle name="Comma 8 6 2 2 4 2 2" xfId="19570"/>
    <cellStyle name="Comma 8 6 2 2 4 3" xfId="16718"/>
    <cellStyle name="Comma 8 6 2 2 5" xfId="3361"/>
    <cellStyle name="Comma 8 6 2 2 5 2" xfId="11318"/>
    <cellStyle name="Comma 8 6 2 2 5 2 2" xfId="17857"/>
    <cellStyle name="Comma 8 6 2 2 5 3" xfId="15005"/>
    <cellStyle name="Comma 8 6 2 2 6" xfId="2785"/>
    <cellStyle name="Comma 8 6 2 2 6 2" xfId="14433"/>
    <cellStyle name="Comma 8 6 2 2 7" xfId="10746"/>
    <cellStyle name="Comma 8 6 2 2 7 2" xfId="17285"/>
    <cellStyle name="Comma 8 6 2 2 8" xfId="13865"/>
    <cellStyle name="Comma 8 6 2 3" xfId="4179"/>
    <cellStyle name="Comma 8 6 2 3 2" xfId="11604"/>
    <cellStyle name="Comma 8 6 2 3 2 2" xfId="18143"/>
    <cellStyle name="Comma 8 6 2 3 3" xfId="15291"/>
    <cellStyle name="Comma 8 6 2 4" xfId="6451"/>
    <cellStyle name="Comma 8 6 2 4 2" xfId="12175"/>
    <cellStyle name="Comma 8 6 2 4 2 2" xfId="18714"/>
    <cellStyle name="Comma 8 6 2 4 3" xfId="15862"/>
    <cellStyle name="Comma 8 6 2 5" xfId="8723"/>
    <cellStyle name="Comma 8 6 2 5 2" xfId="12746"/>
    <cellStyle name="Comma 8 6 2 5 2 2" xfId="19285"/>
    <cellStyle name="Comma 8 6 2 5 3" xfId="16433"/>
    <cellStyle name="Comma 8 6 2 6" xfId="3076"/>
    <cellStyle name="Comma 8 6 2 6 2" xfId="11033"/>
    <cellStyle name="Comma 8 6 2 6 2 2" xfId="17572"/>
    <cellStyle name="Comma 8 6 2 6 3" xfId="14720"/>
    <cellStyle name="Comma 8 6 2 7" xfId="2505"/>
    <cellStyle name="Comma 8 6 2 7 2" xfId="14153"/>
    <cellStyle name="Comma 8 6 2 8" xfId="10466"/>
    <cellStyle name="Comma 8 6 2 8 2" xfId="17005"/>
    <cellStyle name="Comma 8 6 2 9" xfId="13580"/>
    <cellStyle name="Comma 8 6 3" xfId="1440"/>
    <cellStyle name="Comma 8 6 3 2" xfId="4860"/>
    <cellStyle name="Comma 8 6 3 2 2" xfId="11775"/>
    <cellStyle name="Comma 8 6 3 2 2 2" xfId="18314"/>
    <cellStyle name="Comma 8 6 3 2 3" xfId="15462"/>
    <cellStyle name="Comma 8 6 3 3" xfId="7132"/>
    <cellStyle name="Comma 8 6 3 3 2" xfId="12346"/>
    <cellStyle name="Comma 8 6 3 3 2 2" xfId="18885"/>
    <cellStyle name="Comma 8 6 3 3 3" xfId="16033"/>
    <cellStyle name="Comma 8 6 3 4" xfId="9404"/>
    <cellStyle name="Comma 8 6 3 4 2" xfId="12917"/>
    <cellStyle name="Comma 8 6 3 4 2 2" xfId="19456"/>
    <cellStyle name="Comma 8 6 3 4 3" xfId="16604"/>
    <cellStyle name="Comma 8 6 3 5" xfId="3247"/>
    <cellStyle name="Comma 8 6 3 5 2" xfId="11204"/>
    <cellStyle name="Comma 8 6 3 5 2 2" xfId="17743"/>
    <cellStyle name="Comma 8 6 3 5 3" xfId="14891"/>
    <cellStyle name="Comma 8 6 3 6" xfId="2673"/>
    <cellStyle name="Comma 8 6 3 6 2" xfId="14321"/>
    <cellStyle name="Comma 8 6 3 7" xfId="10634"/>
    <cellStyle name="Comma 8 6 3 7 2" xfId="17173"/>
    <cellStyle name="Comma 8 6 3 8" xfId="13751"/>
    <cellStyle name="Comma 8 6 4" xfId="3725"/>
    <cellStyle name="Comma 8 6 4 2" xfId="11490"/>
    <cellStyle name="Comma 8 6 4 2 2" xfId="18029"/>
    <cellStyle name="Comma 8 6 4 3" xfId="15177"/>
    <cellStyle name="Comma 8 6 5" xfId="5997"/>
    <cellStyle name="Comma 8 6 5 2" xfId="12061"/>
    <cellStyle name="Comma 8 6 5 2 2" xfId="18600"/>
    <cellStyle name="Comma 8 6 5 3" xfId="15748"/>
    <cellStyle name="Comma 8 6 6" xfId="8269"/>
    <cellStyle name="Comma 8 6 6 2" xfId="12632"/>
    <cellStyle name="Comma 8 6 6 2 2" xfId="19171"/>
    <cellStyle name="Comma 8 6 6 3" xfId="16319"/>
    <cellStyle name="Comma 8 6 7" xfId="2962"/>
    <cellStyle name="Comma 8 6 7 2" xfId="10919"/>
    <cellStyle name="Comma 8 6 7 2 2" xfId="17458"/>
    <cellStyle name="Comma 8 6 7 3" xfId="14606"/>
    <cellStyle name="Comma 8 6 8" xfId="2393"/>
    <cellStyle name="Comma 8 6 8 2" xfId="14041"/>
    <cellStyle name="Comma 8 6 9" xfId="10354"/>
    <cellStyle name="Comma 8 6 9 2" xfId="16893"/>
    <cellStyle name="Comma 8 7" xfId="986"/>
    <cellStyle name="Comma 8 7 2" xfId="2121"/>
    <cellStyle name="Comma 8 7 2 2" xfId="5541"/>
    <cellStyle name="Comma 8 7 2 2 2" xfId="11946"/>
    <cellStyle name="Comma 8 7 2 2 2 2" xfId="18485"/>
    <cellStyle name="Comma 8 7 2 2 3" xfId="15633"/>
    <cellStyle name="Comma 8 7 2 3" xfId="7813"/>
    <cellStyle name="Comma 8 7 2 3 2" xfId="12517"/>
    <cellStyle name="Comma 8 7 2 3 2 2" xfId="19056"/>
    <cellStyle name="Comma 8 7 2 3 3" xfId="16204"/>
    <cellStyle name="Comma 8 7 2 4" xfId="10085"/>
    <cellStyle name="Comma 8 7 2 4 2" xfId="13088"/>
    <cellStyle name="Comma 8 7 2 4 2 2" xfId="19627"/>
    <cellStyle name="Comma 8 7 2 4 3" xfId="16775"/>
    <cellStyle name="Comma 8 7 2 5" xfId="3418"/>
    <cellStyle name="Comma 8 7 2 5 2" xfId="11375"/>
    <cellStyle name="Comma 8 7 2 5 2 2" xfId="17914"/>
    <cellStyle name="Comma 8 7 2 5 3" xfId="15062"/>
    <cellStyle name="Comma 8 7 2 6" xfId="2841"/>
    <cellStyle name="Comma 8 7 2 6 2" xfId="14489"/>
    <cellStyle name="Comma 8 7 2 7" xfId="10802"/>
    <cellStyle name="Comma 8 7 2 7 2" xfId="17341"/>
    <cellStyle name="Comma 8 7 2 8" xfId="13922"/>
    <cellStyle name="Comma 8 7 3" xfId="4406"/>
    <cellStyle name="Comma 8 7 3 2" xfId="11661"/>
    <cellStyle name="Comma 8 7 3 2 2" xfId="18200"/>
    <cellStyle name="Comma 8 7 3 3" xfId="15348"/>
    <cellStyle name="Comma 8 7 4" xfId="6678"/>
    <cellStyle name="Comma 8 7 4 2" xfId="12232"/>
    <cellStyle name="Comma 8 7 4 2 2" xfId="18771"/>
    <cellStyle name="Comma 8 7 4 3" xfId="15919"/>
    <cellStyle name="Comma 8 7 5" xfId="8950"/>
    <cellStyle name="Comma 8 7 5 2" xfId="12803"/>
    <cellStyle name="Comma 8 7 5 2 2" xfId="19342"/>
    <cellStyle name="Comma 8 7 5 3" xfId="16490"/>
    <cellStyle name="Comma 8 7 6" xfId="3133"/>
    <cellStyle name="Comma 8 7 6 2" xfId="11090"/>
    <cellStyle name="Comma 8 7 6 2 2" xfId="17629"/>
    <cellStyle name="Comma 8 7 6 3" xfId="14777"/>
    <cellStyle name="Comma 8 7 7" xfId="2561"/>
    <cellStyle name="Comma 8 7 7 2" xfId="14209"/>
    <cellStyle name="Comma 8 7 8" xfId="10522"/>
    <cellStyle name="Comma 8 7 8 2" xfId="17061"/>
    <cellStyle name="Comma 8 7 9" xfId="13637"/>
    <cellStyle name="Comma 8 8" xfId="532"/>
    <cellStyle name="Comma 8 8 2" xfId="1667"/>
    <cellStyle name="Comma 8 8 2 2" xfId="5087"/>
    <cellStyle name="Comma 8 8 2 2 2" xfId="11832"/>
    <cellStyle name="Comma 8 8 2 2 2 2" xfId="18371"/>
    <cellStyle name="Comma 8 8 2 2 3" xfId="15519"/>
    <cellStyle name="Comma 8 8 2 3" xfId="7359"/>
    <cellStyle name="Comma 8 8 2 3 2" xfId="12403"/>
    <cellStyle name="Comma 8 8 2 3 2 2" xfId="18942"/>
    <cellStyle name="Comma 8 8 2 3 3" xfId="16090"/>
    <cellStyle name="Comma 8 8 2 4" xfId="9631"/>
    <cellStyle name="Comma 8 8 2 4 2" xfId="12974"/>
    <cellStyle name="Comma 8 8 2 4 2 2" xfId="19513"/>
    <cellStyle name="Comma 8 8 2 4 3" xfId="16661"/>
    <cellStyle name="Comma 8 8 2 5" xfId="3304"/>
    <cellStyle name="Comma 8 8 2 5 2" xfId="11261"/>
    <cellStyle name="Comma 8 8 2 5 2 2" xfId="17800"/>
    <cellStyle name="Comma 8 8 2 5 3" xfId="14948"/>
    <cellStyle name="Comma 8 8 2 6" xfId="2729"/>
    <cellStyle name="Comma 8 8 2 6 2" xfId="14377"/>
    <cellStyle name="Comma 8 8 2 7" xfId="10690"/>
    <cellStyle name="Comma 8 8 2 7 2" xfId="17229"/>
    <cellStyle name="Comma 8 8 2 8" xfId="13808"/>
    <cellStyle name="Comma 8 8 3" xfId="3952"/>
    <cellStyle name="Comma 8 8 3 2" xfId="11547"/>
    <cellStyle name="Comma 8 8 3 2 2" xfId="18086"/>
    <cellStyle name="Comma 8 8 3 3" xfId="15234"/>
    <cellStyle name="Comma 8 8 4" xfId="6224"/>
    <cellStyle name="Comma 8 8 4 2" xfId="12118"/>
    <cellStyle name="Comma 8 8 4 2 2" xfId="18657"/>
    <cellStyle name="Comma 8 8 4 3" xfId="15805"/>
    <cellStyle name="Comma 8 8 5" xfId="8496"/>
    <cellStyle name="Comma 8 8 5 2" xfId="12689"/>
    <cellStyle name="Comma 8 8 5 2 2" xfId="19228"/>
    <cellStyle name="Comma 8 8 5 3" xfId="16376"/>
    <cellStyle name="Comma 8 8 6" xfId="3019"/>
    <cellStyle name="Comma 8 8 6 2" xfId="10976"/>
    <cellStyle name="Comma 8 8 6 2 2" xfId="17515"/>
    <cellStyle name="Comma 8 8 6 3" xfId="14663"/>
    <cellStyle name="Comma 8 8 7" xfId="2449"/>
    <cellStyle name="Comma 8 8 7 2" xfId="14097"/>
    <cellStyle name="Comma 8 8 8" xfId="10410"/>
    <cellStyle name="Comma 8 8 8 2" xfId="16949"/>
    <cellStyle name="Comma 8 8 9" xfId="13523"/>
    <cellStyle name="Comma 8 9" xfId="1213"/>
    <cellStyle name="Comma 8 9 2" xfId="4633"/>
    <cellStyle name="Comma 8 9 2 2" xfId="11718"/>
    <cellStyle name="Comma 8 9 2 2 2" xfId="18257"/>
    <cellStyle name="Comma 8 9 2 3" xfId="15405"/>
    <cellStyle name="Comma 8 9 3" xfId="6905"/>
    <cellStyle name="Comma 8 9 3 2" xfId="12289"/>
    <cellStyle name="Comma 8 9 3 2 2" xfId="18828"/>
    <cellStyle name="Comma 8 9 3 3" xfId="15976"/>
    <cellStyle name="Comma 8 9 4" xfId="9177"/>
    <cellStyle name="Comma 8 9 4 2" xfId="12860"/>
    <cellStyle name="Comma 8 9 4 2 2" xfId="19399"/>
    <cellStyle name="Comma 8 9 4 3" xfId="16547"/>
    <cellStyle name="Comma 8 9 5" xfId="3190"/>
    <cellStyle name="Comma 8 9 5 2" xfId="11147"/>
    <cellStyle name="Comma 8 9 5 2 2" xfId="17686"/>
    <cellStyle name="Comma 8 9 5 3" xfId="14834"/>
    <cellStyle name="Comma 8 9 6" xfId="2617"/>
    <cellStyle name="Comma 8 9 6 2" xfId="14265"/>
    <cellStyle name="Comma 8 9 7" xfId="10578"/>
    <cellStyle name="Comma 8 9 7 2" xfId="17117"/>
    <cellStyle name="Comma 8 9 8" xfId="13694"/>
    <cellStyle name="Comma 9" xfId="67"/>
    <cellStyle name="Comma 9 10" xfId="3500"/>
    <cellStyle name="Comma 9 10 2" xfId="11434"/>
    <cellStyle name="Comma 9 10 2 2" xfId="17973"/>
    <cellStyle name="Comma 9 10 3" xfId="15121"/>
    <cellStyle name="Comma 9 11" xfId="5772"/>
    <cellStyle name="Comma 9 11 2" xfId="12005"/>
    <cellStyle name="Comma 9 11 2 2" xfId="18544"/>
    <cellStyle name="Comma 9 11 3" xfId="15692"/>
    <cellStyle name="Comma 9 12" xfId="8044"/>
    <cellStyle name="Comma 9 12 2" xfId="12576"/>
    <cellStyle name="Comma 9 12 2 2" xfId="19115"/>
    <cellStyle name="Comma 9 12 3" xfId="16263"/>
    <cellStyle name="Comma 9 13" xfId="2901"/>
    <cellStyle name="Comma 9 13 2" xfId="10861"/>
    <cellStyle name="Comma 9 13 2 2" xfId="17400"/>
    <cellStyle name="Comma 9 13 3" xfId="14548"/>
    <cellStyle name="Comma 9 14" xfId="2336"/>
    <cellStyle name="Comma 9 14 2" xfId="13984"/>
    <cellStyle name="Comma 9 15" xfId="10297"/>
    <cellStyle name="Comma 9 15 2" xfId="16836"/>
    <cellStyle name="Comma 9 16" xfId="13265"/>
    <cellStyle name="Comma 9 16 2" xfId="19774"/>
    <cellStyle name="Comma 9 17" xfId="13408"/>
    <cellStyle name="Comma 9 18" xfId="19868"/>
    <cellStyle name="Comma 9 19" xfId="20107"/>
    <cellStyle name="Comma 9 2" xfId="97"/>
    <cellStyle name="Comma 9 2 10" xfId="5800"/>
    <cellStyle name="Comma 9 2 10 2" xfId="12012"/>
    <cellStyle name="Comma 9 2 10 2 2" xfId="18551"/>
    <cellStyle name="Comma 9 2 10 3" xfId="15699"/>
    <cellStyle name="Comma 9 2 11" xfId="8072"/>
    <cellStyle name="Comma 9 2 11 2" xfId="12583"/>
    <cellStyle name="Comma 9 2 11 2 2" xfId="19122"/>
    <cellStyle name="Comma 9 2 11 3" xfId="16270"/>
    <cellStyle name="Comma 9 2 12" xfId="2910"/>
    <cellStyle name="Comma 9 2 12 2" xfId="10869"/>
    <cellStyle name="Comma 9 2 12 2 2" xfId="17408"/>
    <cellStyle name="Comma 9 2 12 3" xfId="14556"/>
    <cellStyle name="Comma 9 2 13" xfId="2344"/>
    <cellStyle name="Comma 9 2 13 2" xfId="13992"/>
    <cellStyle name="Comma 9 2 14" xfId="10305"/>
    <cellStyle name="Comma 9 2 14 2" xfId="16844"/>
    <cellStyle name="Comma 9 2 15" xfId="13266"/>
    <cellStyle name="Comma 9 2 15 2" xfId="19775"/>
    <cellStyle name="Comma 9 2 16" xfId="13416"/>
    <cellStyle name="Comma 9 2 17" xfId="19869"/>
    <cellStyle name="Comma 9 2 18" xfId="20269"/>
    <cellStyle name="Comma 9 2 2" xfId="209"/>
    <cellStyle name="Comma 9 2 2 10" xfId="2372"/>
    <cellStyle name="Comma 9 2 2 10 2" xfId="14020"/>
    <cellStyle name="Comma 9 2 2 11" xfId="10333"/>
    <cellStyle name="Comma 9 2 2 11 2" xfId="16872"/>
    <cellStyle name="Comma 9 2 2 12" xfId="13444"/>
    <cellStyle name="Comma 9 2 2 2" xfId="447"/>
    <cellStyle name="Comma 9 2 2 2 10" xfId="13502"/>
    <cellStyle name="Comma 9 2 2 2 2" xfId="901"/>
    <cellStyle name="Comma 9 2 2 2 2 2" xfId="2036"/>
    <cellStyle name="Comma 9 2 2 2 2 2 2" xfId="5456"/>
    <cellStyle name="Comma 9 2 2 2 2 2 2 2" xfId="11925"/>
    <cellStyle name="Comma 9 2 2 2 2 2 2 2 2" xfId="18464"/>
    <cellStyle name="Comma 9 2 2 2 2 2 2 3" xfId="15612"/>
    <cellStyle name="Comma 9 2 2 2 2 2 3" xfId="7728"/>
    <cellStyle name="Comma 9 2 2 2 2 2 3 2" xfId="12496"/>
    <cellStyle name="Comma 9 2 2 2 2 2 3 2 2" xfId="19035"/>
    <cellStyle name="Comma 9 2 2 2 2 2 3 3" xfId="16183"/>
    <cellStyle name="Comma 9 2 2 2 2 2 4" xfId="10000"/>
    <cellStyle name="Comma 9 2 2 2 2 2 4 2" xfId="13067"/>
    <cellStyle name="Comma 9 2 2 2 2 2 4 2 2" xfId="19606"/>
    <cellStyle name="Comma 9 2 2 2 2 2 4 3" xfId="16754"/>
    <cellStyle name="Comma 9 2 2 2 2 2 5" xfId="3397"/>
    <cellStyle name="Comma 9 2 2 2 2 2 5 2" xfId="11354"/>
    <cellStyle name="Comma 9 2 2 2 2 2 5 2 2" xfId="17893"/>
    <cellStyle name="Comma 9 2 2 2 2 2 5 3" xfId="15041"/>
    <cellStyle name="Comma 9 2 2 2 2 2 6" xfId="2821"/>
    <cellStyle name="Comma 9 2 2 2 2 2 6 2" xfId="14469"/>
    <cellStyle name="Comma 9 2 2 2 2 2 7" xfId="10782"/>
    <cellStyle name="Comma 9 2 2 2 2 2 7 2" xfId="17321"/>
    <cellStyle name="Comma 9 2 2 2 2 2 8" xfId="13901"/>
    <cellStyle name="Comma 9 2 2 2 2 3" xfId="4321"/>
    <cellStyle name="Comma 9 2 2 2 2 3 2" xfId="11640"/>
    <cellStyle name="Comma 9 2 2 2 2 3 2 2" xfId="18179"/>
    <cellStyle name="Comma 9 2 2 2 2 3 3" xfId="15327"/>
    <cellStyle name="Comma 9 2 2 2 2 4" xfId="6593"/>
    <cellStyle name="Comma 9 2 2 2 2 4 2" xfId="12211"/>
    <cellStyle name="Comma 9 2 2 2 2 4 2 2" xfId="18750"/>
    <cellStyle name="Comma 9 2 2 2 2 4 3" xfId="15898"/>
    <cellStyle name="Comma 9 2 2 2 2 5" xfId="8865"/>
    <cellStyle name="Comma 9 2 2 2 2 5 2" xfId="12782"/>
    <cellStyle name="Comma 9 2 2 2 2 5 2 2" xfId="19321"/>
    <cellStyle name="Comma 9 2 2 2 2 5 3" xfId="16469"/>
    <cellStyle name="Comma 9 2 2 2 2 6" xfId="3112"/>
    <cellStyle name="Comma 9 2 2 2 2 6 2" xfId="11069"/>
    <cellStyle name="Comma 9 2 2 2 2 6 2 2" xfId="17608"/>
    <cellStyle name="Comma 9 2 2 2 2 6 3" xfId="14756"/>
    <cellStyle name="Comma 9 2 2 2 2 7" xfId="2541"/>
    <cellStyle name="Comma 9 2 2 2 2 7 2" xfId="14189"/>
    <cellStyle name="Comma 9 2 2 2 2 8" xfId="10502"/>
    <cellStyle name="Comma 9 2 2 2 2 8 2" xfId="17041"/>
    <cellStyle name="Comma 9 2 2 2 2 9" xfId="13616"/>
    <cellStyle name="Comma 9 2 2 2 3" xfId="1582"/>
    <cellStyle name="Comma 9 2 2 2 3 2" xfId="5002"/>
    <cellStyle name="Comma 9 2 2 2 3 2 2" xfId="11811"/>
    <cellStyle name="Comma 9 2 2 2 3 2 2 2" xfId="18350"/>
    <cellStyle name="Comma 9 2 2 2 3 2 3" xfId="15498"/>
    <cellStyle name="Comma 9 2 2 2 3 3" xfId="7274"/>
    <cellStyle name="Comma 9 2 2 2 3 3 2" xfId="12382"/>
    <cellStyle name="Comma 9 2 2 2 3 3 2 2" xfId="18921"/>
    <cellStyle name="Comma 9 2 2 2 3 3 3" xfId="16069"/>
    <cellStyle name="Comma 9 2 2 2 3 4" xfId="9546"/>
    <cellStyle name="Comma 9 2 2 2 3 4 2" xfId="12953"/>
    <cellStyle name="Comma 9 2 2 2 3 4 2 2" xfId="19492"/>
    <cellStyle name="Comma 9 2 2 2 3 4 3" xfId="16640"/>
    <cellStyle name="Comma 9 2 2 2 3 5" xfId="3283"/>
    <cellStyle name="Comma 9 2 2 2 3 5 2" xfId="11240"/>
    <cellStyle name="Comma 9 2 2 2 3 5 2 2" xfId="17779"/>
    <cellStyle name="Comma 9 2 2 2 3 5 3" xfId="14927"/>
    <cellStyle name="Comma 9 2 2 2 3 6" xfId="2709"/>
    <cellStyle name="Comma 9 2 2 2 3 6 2" xfId="14357"/>
    <cellStyle name="Comma 9 2 2 2 3 7" xfId="10670"/>
    <cellStyle name="Comma 9 2 2 2 3 7 2" xfId="17209"/>
    <cellStyle name="Comma 9 2 2 2 3 8" xfId="13787"/>
    <cellStyle name="Comma 9 2 2 2 4" xfId="3867"/>
    <cellStyle name="Comma 9 2 2 2 4 2" xfId="11526"/>
    <cellStyle name="Comma 9 2 2 2 4 2 2" xfId="18065"/>
    <cellStyle name="Comma 9 2 2 2 4 3" xfId="15213"/>
    <cellStyle name="Comma 9 2 2 2 5" xfId="6139"/>
    <cellStyle name="Comma 9 2 2 2 5 2" xfId="12097"/>
    <cellStyle name="Comma 9 2 2 2 5 2 2" xfId="18636"/>
    <cellStyle name="Comma 9 2 2 2 5 3" xfId="15784"/>
    <cellStyle name="Comma 9 2 2 2 6" xfId="8411"/>
    <cellStyle name="Comma 9 2 2 2 6 2" xfId="12668"/>
    <cellStyle name="Comma 9 2 2 2 6 2 2" xfId="19207"/>
    <cellStyle name="Comma 9 2 2 2 6 3" xfId="16355"/>
    <cellStyle name="Comma 9 2 2 2 7" xfId="2998"/>
    <cellStyle name="Comma 9 2 2 2 7 2" xfId="10955"/>
    <cellStyle name="Comma 9 2 2 2 7 2 2" xfId="17494"/>
    <cellStyle name="Comma 9 2 2 2 7 3" xfId="14642"/>
    <cellStyle name="Comma 9 2 2 2 8" xfId="2429"/>
    <cellStyle name="Comma 9 2 2 2 8 2" xfId="14077"/>
    <cellStyle name="Comma 9 2 2 2 9" xfId="10390"/>
    <cellStyle name="Comma 9 2 2 2 9 2" xfId="16929"/>
    <cellStyle name="Comma 9 2 2 3" xfId="1128"/>
    <cellStyle name="Comma 9 2 2 3 2" xfId="2263"/>
    <cellStyle name="Comma 9 2 2 3 2 2" xfId="5683"/>
    <cellStyle name="Comma 9 2 2 3 2 2 2" xfId="11982"/>
    <cellStyle name="Comma 9 2 2 3 2 2 2 2" xfId="18521"/>
    <cellStyle name="Comma 9 2 2 3 2 2 3" xfId="15669"/>
    <cellStyle name="Comma 9 2 2 3 2 3" xfId="7955"/>
    <cellStyle name="Comma 9 2 2 3 2 3 2" xfId="12553"/>
    <cellStyle name="Comma 9 2 2 3 2 3 2 2" xfId="19092"/>
    <cellStyle name="Comma 9 2 2 3 2 3 3" xfId="16240"/>
    <cellStyle name="Comma 9 2 2 3 2 4" xfId="10227"/>
    <cellStyle name="Comma 9 2 2 3 2 4 2" xfId="13124"/>
    <cellStyle name="Comma 9 2 2 3 2 4 2 2" xfId="19663"/>
    <cellStyle name="Comma 9 2 2 3 2 4 3" xfId="16811"/>
    <cellStyle name="Comma 9 2 2 3 2 5" xfId="3454"/>
    <cellStyle name="Comma 9 2 2 3 2 5 2" xfId="11411"/>
    <cellStyle name="Comma 9 2 2 3 2 5 2 2" xfId="17950"/>
    <cellStyle name="Comma 9 2 2 3 2 5 3" xfId="15098"/>
    <cellStyle name="Comma 9 2 2 3 2 6" xfId="2877"/>
    <cellStyle name="Comma 9 2 2 3 2 6 2" xfId="14525"/>
    <cellStyle name="Comma 9 2 2 3 2 7" xfId="10838"/>
    <cellStyle name="Comma 9 2 2 3 2 7 2" xfId="17377"/>
    <cellStyle name="Comma 9 2 2 3 2 8" xfId="13958"/>
    <cellStyle name="Comma 9 2 2 3 3" xfId="4548"/>
    <cellStyle name="Comma 9 2 2 3 3 2" xfId="11697"/>
    <cellStyle name="Comma 9 2 2 3 3 2 2" xfId="18236"/>
    <cellStyle name="Comma 9 2 2 3 3 3" xfId="15384"/>
    <cellStyle name="Comma 9 2 2 3 4" xfId="6820"/>
    <cellStyle name="Comma 9 2 2 3 4 2" xfId="12268"/>
    <cellStyle name="Comma 9 2 2 3 4 2 2" xfId="18807"/>
    <cellStyle name="Comma 9 2 2 3 4 3" xfId="15955"/>
    <cellStyle name="Comma 9 2 2 3 5" xfId="9092"/>
    <cellStyle name="Comma 9 2 2 3 5 2" xfId="12839"/>
    <cellStyle name="Comma 9 2 2 3 5 2 2" xfId="19378"/>
    <cellStyle name="Comma 9 2 2 3 5 3" xfId="16526"/>
    <cellStyle name="Comma 9 2 2 3 6" xfId="3169"/>
    <cellStyle name="Comma 9 2 2 3 6 2" xfId="11126"/>
    <cellStyle name="Comma 9 2 2 3 6 2 2" xfId="17665"/>
    <cellStyle name="Comma 9 2 2 3 6 3" xfId="14813"/>
    <cellStyle name="Comma 9 2 2 3 7" xfId="2597"/>
    <cellStyle name="Comma 9 2 2 3 7 2" xfId="14245"/>
    <cellStyle name="Comma 9 2 2 3 8" xfId="10558"/>
    <cellStyle name="Comma 9 2 2 3 8 2" xfId="17097"/>
    <cellStyle name="Comma 9 2 2 3 9" xfId="13673"/>
    <cellStyle name="Comma 9 2 2 4" xfId="674"/>
    <cellStyle name="Comma 9 2 2 4 2" xfId="1809"/>
    <cellStyle name="Comma 9 2 2 4 2 2" xfId="5229"/>
    <cellStyle name="Comma 9 2 2 4 2 2 2" xfId="11868"/>
    <cellStyle name="Comma 9 2 2 4 2 2 2 2" xfId="18407"/>
    <cellStyle name="Comma 9 2 2 4 2 2 3" xfId="15555"/>
    <cellStyle name="Comma 9 2 2 4 2 3" xfId="7501"/>
    <cellStyle name="Comma 9 2 2 4 2 3 2" xfId="12439"/>
    <cellStyle name="Comma 9 2 2 4 2 3 2 2" xfId="18978"/>
    <cellStyle name="Comma 9 2 2 4 2 3 3" xfId="16126"/>
    <cellStyle name="Comma 9 2 2 4 2 4" xfId="9773"/>
    <cellStyle name="Comma 9 2 2 4 2 4 2" xfId="13010"/>
    <cellStyle name="Comma 9 2 2 4 2 4 2 2" xfId="19549"/>
    <cellStyle name="Comma 9 2 2 4 2 4 3" xfId="16697"/>
    <cellStyle name="Comma 9 2 2 4 2 5" xfId="3340"/>
    <cellStyle name="Comma 9 2 2 4 2 5 2" xfId="11297"/>
    <cellStyle name="Comma 9 2 2 4 2 5 2 2" xfId="17836"/>
    <cellStyle name="Comma 9 2 2 4 2 5 3" xfId="14984"/>
    <cellStyle name="Comma 9 2 2 4 2 6" xfId="2765"/>
    <cellStyle name="Comma 9 2 2 4 2 6 2" xfId="14413"/>
    <cellStyle name="Comma 9 2 2 4 2 7" xfId="10726"/>
    <cellStyle name="Comma 9 2 2 4 2 7 2" xfId="17265"/>
    <cellStyle name="Comma 9 2 2 4 2 8" xfId="13844"/>
    <cellStyle name="Comma 9 2 2 4 3" xfId="4094"/>
    <cellStyle name="Comma 9 2 2 4 3 2" xfId="11583"/>
    <cellStyle name="Comma 9 2 2 4 3 2 2" xfId="18122"/>
    <cellStyle name="Comma 9 2 2 4 3 3" xfId="15270"/>
    <cellStyle name="Comma 9 2 2 4 4" xfId="6366"/>
    <cellStyle name="Comma 9 2 2 4 4 2" xfId="12154"/>
    <cellStyle name="Comma 9 2 2 4 4 2 2" xfId="18693"/>
    <cellStyle name="Comma 9 2 2 4 4 3" xfId="15841"/>
    <cellStyle name="Comma 9 2 2 4 5" xfId="8638"/>
    <cellStyle name="Comma 9 2 2 4 5 2" xfId="12725"/>
    <cellStyle name="Comma 9 2 2 4 5 2 2" xfId="19264"/>
    <cellStyle name="Comma 9 2 2 4 5 3" xfId="16412"/>
    <cellStyle name="Comma 9 2 2 4 6" xfId="3055"/>
    <cellStyle name="Comma 9 2 2 4 6 2" xfId="11012"/>
    <cellStyle name="Comma 9 2 2 4 6 2 2" xfId="17551"/>
    <cellStyle name="Comma 9 2 2 4 6 3" xfId="14699"/>
    <cellStyle name="Comma 9 2 2 4 7" xfId="2485"/>
    <cellStyle name="Comma 9 2 2 4 7 2" xfId="14133"/>
    <cellStyle name="Comma 9 2 2 4 8" xfId="10446"/>
    <cellStyle name="Comma 9 2 2 4 8 2" xfId="16985"/>
    <cellStyle name="Comma 9 2 2 4 9" xfId="13559"/>
    <cellStyle name="Comma 9 2 2 5" xfId="1355"/>
    <cellStyle name="Comma 9 2 2 5 2" xfId="4775"/>
    <cellStyle name="Comma 9 2 2 5 2 2" xfId="11754"/>
    <cellStyle name="Comma 9 2 2 5 2 2 2" xfId="18293"/>
    <cellStyle name="Comma 9 2 2 5 2 3" xfId="15441"/>
    <cellStyle name="Comma 9 2 2 5 3" xfId="7047"/>
    <cellStyle name="Comma 9 2 2 5 3 2" xfId="12325"/>
    <cellStyle name="Comma 9 2 2 5 3 2 2" xfId="18864"/>
    <cellStyle name="Comma 9 2 2 5 3 3" xfId="16012"/>
    <cellStyle name="Comma 9 2 2 5 4" xfId="9319"/>
    <cellStyle name="Comma 9 2 2 5 4 2" xfId="12896"/>
    <cellStyle name="Comma 9 2 2 5 4 2 2" xfId="19435"/>
    <cellStyle name="Comma 9 2 2 5 4 3" xfId="16583"/>
    <cellStyle name="Comma 9 2 2 5 5" xfId="3226"/>
    <cellStyle name="Comma 9 2 2 5 5 2" xfId="11183"/>
    <cellStyle name="Comma 9 2 2 5 5 2 2" xfId="17722"/>
    <cellStyle name="Comma 9 2 2 5 5 3" xfId="14870"/>
    <cellStyle name="Comma 9 2 2 5 6" xfId="2653"/>
    <cellStyle name="Comma 9 2 2 5 6 2" xfId="14301"/>
    <cellStyle name="Comma 9 2 2 5 7" xfId="10614"/>
    <cellStyle name="Comma 9 2 2 5 7 2" xfId="17153"/>
    <cellStyle name="Comma 9 2 2 5 8" xfId="13730"/>
    <cellStyle name="Comma 9 2 2 6" xfId="3640"/>
    <cellStyle name="Comma 9 2 2 6 2" xfId="11469"/>
    <cellStyle name="Comma 9 2 2 6 2 2" xfId="18008"/>
    <cellStyle name="Comma 9 2 2 6 3" xfId="15156"/>
    <cellStyle name="Comma 9 2 2 7" xfId="5912"/>
    <cellStyle name="Comma 9 2 2 7 2" xfId="12040"/>
    <cellStyle name="Comma 9 2 2 7 2 2" xfId="18579"/>
    <cellStyle name="Comma 9 2 2 7 3" xfId="15727"/>
    <cellStyle name="Comma 9 2 2 8" xfId="8184"/>
    <cellStyle name="Comma 9 2 2 8 2" xfId="12611"/>
    <cellStyle name="Comma 9 2 2 8 2 2" xfId="19150"/>
    <cellStyle name="Comma 9 2 2 8 3" xfId="16298"/>
    <cellStyle name="Comma 9 2 2 9" xfId="2938"/>
    <cellStyle name="Comma 9 2 2 9 2" xfId="10897"/>
    <cellStyle name="Comma 9 2 2 9 2 2" xfId="17436"/>
    <cellStyle name="Comma 9 2 2 9 3" xfId="14584"/>
    <cellStyle name="Comma 9 2 3" xfId="153"/>
    <cellStyle name="Comma 9 2 3 10" xfId="2358"/>
    <cellStyle name="Comma 9 2 3 10 2" xfId="14006"/>
    <cellStyle name="Comma 9 2 3 11" xfId="10319"/>
    <cellStyle name="Comma 9 2 3 11 2" xfId="16858"/>
    <cellStyle name="Comma 9 2 3 12" xfId="13430"/>
    <cellStyle name="Comma 9 2 3 2" xfId="391"/>
    <cellStyle name="Comma 9 2 3 2 10" xfId="13488"/>
    <cellStyle name="Comma 9 2 3 2 2" xfId="845"/>
    <cellStyle name="Comma 9 2 3 2 2 2" xfId="1980"/>
    <cellStyle name="Comma 9 2 3 2 2 2 2" xfId="5400"/>
    <cellStyle name="Comma 9 2 3 2 2 2 2 2" xfId="11911"/>
    <cellStyle name="Comma 9 2 3 2 2 2 2 2 2" xfId="18450"/>
    <cellStyle name="Comma 9 2 3 2 2 2 2 3" xfId="15598"/>
    <cellStyle name="Comma 9 2 3 2 2 2 3" xfId="7672"/>
    <cellStyle name="Comma 9 2 3 2 2 2 3 2" xfId="12482"/>
    <cellStyle name="Comma 9 2 3 2 2 2 3 2 2" xfId="19021"/>
    <cellStyle name="Comma 9 2 3 2 2 2 3 3" xfId="16169"/>
    <cellStyle name="Comma 9 2 3 2 2 2 4" xfId="9944"/>
    <cellStyle name="Comma 9 2 3 2 2 2 4 2" xfId="13053"/>
    <cellStyle name="Comma 9 2 3 2 2 2 4 2 2" xfId="19592"/>
    <cellStyle name="Comma 9 2 3 2 2 2 4 3" xfId="16740"/>
    <cellStyle name="Comma 9 2 3 2 2 2 5" xfId="3383"/>
    <cellStyle name="Comma 9 2 3 2 2 2 5 2" xfId="11340"/>
    <cellStyle name="Comma 9 2 3 2 2 2 5 2 2" xfId="17879"/>
    <cellStyle name="Comma 9 2 3 2 2 2 5 3" xfId="15027"/>
    <cellStyle name="Comma 9 2 3 2 2 2 6" xfId="2807"/>
    <cellStyle name="Comma 9 2 3 2 2 2 6 2" xfId="14455"/>
    <cellStyle name="Comma 9 2 3 2 2 2 7" xfId="10768"/>
    <cellStyle name="Comma 9 2 3 2 2 2 7 2" xfId="17307"/>
    <cellStyle name="Comma 9 2 3 2 2 2 8" xfId="13887"/>
    <cellStyle name="Comma 9 2 3 2 2 3" xfId="4265"/>
    <cellStyle name="Comma 9 2 3 2 2 3 2" xfId="11626"/>
    <cellStyle name="Comma 9 2 3 2 2 3 2 2" xfId="18165"/>
    <cellStyle name="Comma 9 2 3 2 2 3 3" xfId="15313"/>
    <cellStyle name="Comma 9 2 3 2 2 4" xfId="6537"/>
    <cellStyle name="Comma 9 2 3 2 2 4 2" xfId="12197"/>
    <cellStyle name="Comma 9 2 3 2 2 4 2 2" xfId="18736"/>
    <cellStyle name="Comma 9 2 3 2 2 4 3" xfId="15884"/>
    <cellStyle name="Comma 9 2 3 2 2 5" xfId="8809"/>
    <cellStyle name="Comma 9 2 3 2 2 5 2" xfId="12768"/>
    <cellStyle name="Comma 9 2 3 2 2 5 2 2" xfId="19307"/>
    <cellStyle name="Comma 9 2 3 2 2 5 3" xfId="16455"/>
    <cellStyle name="Comma 9 2 3 2 2 6" xfId="3098"/>
    <cellStyle name="Comma 9 2 3 2 2 6 2" xfId="11055"/>
    <cellStyle name="Comma 9 2 3 2 2 6 2 2" xfId="17594"/>
    <cellStyle name="Comma 9 2 3 2 2 6 3" xfId="14742"/>
    <cellStyle name="Comma 9 2 3 2 2 7" xfId="2527"/>
    <cellStyle name="Comma 9 2 3 2 2 7 2" xfId="14175"/>
    <cellStyle name="Comma 9 2 3 2 2 8" xfId="10488"/>
    <cellStyle name="Comma 9 2 3 2 2 8 2" xfId="17027"/>
    <cellStyle name="Comma 9 2 3 2 2 9" xfId="13602"/>
    <cellStyle name="Comma 9 2 3 2 3" xfId="1526"/>
    <cellStyle name="Comma 9 2 3 2 3 2" xfId="4946"/>
    <cellStyle name="Comma 9 2 3 2 3 2 2" xfId="11797"/>
    <cellStyle name="Comma 9 2 3 2 3 2 2 2" xfId="18336"/>
    <cellStyle name="Comma 9 2 3 2 3 2 3" xfId="15484"/>
    <cellStyle name="Comma 9 2 3 2 3 3" xfId="7218"/>
    <cellStyle name="Comma 9 2 3 2 3 3 2" xfId="12368"/>
    <cellStyle name="Comma 9 2 3 2 3 3 2 2" xfId="18907"/>
    <cellStyle name="Comma 9 2 3 2 3 3 3" xfId="16055"/>
    <cellStyle name="Comma 9 2 3 2 3 4" xfId="9490"/>
    <cellStyle name="Comma 9 2 3 2 3 4 2" xfId="12939"/>
    <cellStyle name="Comma 9 2 3 2 3 4 2 2" xfId="19478"/>
    <cellStyle name="Comma 9 2 3 2 3 4 3" xfId="16626"/>
    <cellStyle name="Comma 9 2 3 2 3 5" xfId="3269"/>
    <cellStyle name="Comma 9 2 3 2 3 5 2" xfId="11226"/>
    <cellStyle name="Comma 9 2 3 2 3 5 2 2" xfId="17765"/>
    <cellStyle name="Comma 9 2 3 2 3 5 3" xfId="14913"/>
    <cellStyle name="Comma 9 2 3 2 3 6" xfId="2695"/>
    <cellStyle name="Comma 9 2 3 2 3 6 2" xfId="14343"/>
    <cellStyle name="Comma 9 2 3 2 3 7" xfId="10656"/>
    <cellStyle name="Comma 9 2 3 2 3 7 2" xfId="17195"/>
    <cellStyle name="Comma 9 2 3 2 3 8" xfId="13773"/>
    <cellStyle name="Comma 9 2 3 2 4" xfId="3811"/>
    <cellStyle name="Comma 9 2 3 2 4 2" xfId="11512"/>
    <cellStyle name="Comma 9 2 3 2 4 2 2" xfId="18051"/>
    <cellStyle name="Comma 9 2 3 2 4 3" xfId="15199"/>
    <cellStyle name="Comma 9 2 3 2 5" xfId="6083"/>
    <cellStyle name="Comma 9 2 3 2 5 2" xfId="12083"/>
    <cellStyle name="Comma 9 2 3 2 5 2 2" xfId="18622"/>
    <cellStyle name="Comma 9 2 3 2 5 3" xfId="15770"/>
    <cellStyle name="Comma 9 2 3 2 6" xfId="8355"/>
    <cellStyle name="Comma 9 2 3 2 6 2" xfId="12654"/>
    <cellStyle name="Comma 9 2 3 2 6 2 2" xfId="19193"/>
    <cellStyle name="Comma 9 2 3 2 6 3" xfId="16341"/>
    <cellStyle name="Comma 9 2 3 2 7" xfId="2984"/>
    <cellStyle name="Comma 9 2 3 2 7 2" xfId="10941"/>
    <cellStyle name="Comma 9 2 3 2 7 2 2" xfId="17480"/>
    <cellStyle name="Comma 9 2 3 2 7 3" xfId="14628"/>
    <cellStyle name="Comma 9 2 3 2 8" xfId="2415"/>
    <cellStyle name="Comma 9 2 3 2 8 2" xfId="14063"/>
    <cellStyle name="Comma 9 2 3 2 9" xfId="10376"/>
    <cellStyle name="Comma 9 2 3 2 9 2" xfId="16915"/>
    <cellStyle name="Comma 9 2 3 3" xfId="1072"/>
    <cellStyle name="Comma 9 2 3 3 2" xfId="2207"/>
    <cellStyle name="Comma 9 2 3 3 2 2" xfId="5627"/>
    <cellStyle name="Comma 9 2 3 3 2 2 2" xfId="11968"/>
    <cellStyle name="Comma 9 2 3 3 2 2 2 2" xfId="18507"/>
    <cellStyle name="Comma 9 2 3 3 2 2 3" xfId="15655"/>
    <cellStyle name="Comma 9 2 3 3 2 3" xfId="7899"/>
    <cellStyle name="Comma 9 2 3 3 2 3 2" xfId="12539"/>
    <cellStyle name="Comma 9 2 3 3 2 3 2 2" xfId="19078"/>
    <cellStyle name="Comma 9 2 3 3 2 3 3" xfId="16226"/>
    <cellStyle name="Comma 9 2 3 3 2 4" xfId="10171"/>
    <cellStyle name="Comma 9 2 3 3 2 4 2" xfId="13110"/>
    <cellStyle name="Comma 9 2 3 3 2 4 2 2" xfId="19649"/>
    <cellStyle name="Comma 9 2 3 3 2 4 3" xfId="16797"/>
    <cellStyle name="Comma 9 2 3 3 2 5" xfId="3440"/>
    <cellStyle name="Comma 9 2 3 3 2 5 2" xfId="11397"/>
    <cellStyle name="Comma 9 2 3 3 2 5 2 2" xfId="17936"/>
    <cellStyle name="Comma 9 2 3 3 2 5 3" xfId="15084"/>
    <cellStyle name="Comma 9 2 3 3 2 6" xfId="2863"/>
    <cellStyle name="Comma 9 2 3 3 2 6 2" xfId="14511"/>
    <cellStyle name="Comma 9 2 3 3 2 7" xfId="10824"/>
    <cellStyle name="Comma 9 2 3 3 2 7 2" xfId="17363"/>
    <cellStyle name="Comma 9 2 3 3 2 8" xfId="13944"/>
    <cellStyle name="Comma 9 2 3 3 3" xfId="4492"/>
    <cellStyle name="Comma 9 2 3 3 3 2" xfId="11683"/>
    <cellStyle name="Comma 9 2 3 3 3 2 2" xfId="18222"/>
    <cellStyle name="Comma 9 2 3 3 3 3" xfId="15370"/>
    <cellStyle name="Comma 9 2 3 3 4" xfId="6764"/>
    <cellStyle name="Comma 9 2 3 3 4 2" xfId="12254"/>
    <cellStyle name="Comma 9 2 3 3 4 2 2" xfId="18793"/>
    <cellStyle name="Comma 9 2 3 3 4 3" xfId="15941"/>
    <cellStyle name="Comma 9 2 3 3 5" xfId="9036"/>
    <cellStyle name="Comma 9 2 3 3 5 2" xfId="12825"/>
    <cellStyle name="Comma 9 2 3 3 5 2 2" xfId="19364"/>
    <cellStyle name="Comma 9 2 3 3 5 3" xfId="16512"/>
    <cellStyle name="Comma 9 2 3 3 6" xfId="3155"/>
    <cellStyle name="Comma 9 2 3 3 6 2" xfId="11112"/>
    <cellStyle name="Comma 9 2 3 3 6 2 2" xfId="17651"/>
    <cellStyle name="Comma 9 2 3 3 6 3" xfId="14799"/>
    <cellStyle name="Comma 9 2 3 3 7" xfId="2583"/>
    <cellStyle name="Comma 9 2 3 3 7 2" xfId="14231"/>
    <cellStyle name="Comma 9 2 3 3 8" xfId="10544"/>
    <cellStyle name="Comma 9 2 3 3 8 2" xfId="17083"/>
    <cellStyle name="Comma 9 2 3 3 9" xfId="13659"/>
    <cellStyle name="Comma 9 2 3 4" xfId="618"/>
    <cellStyle name="Comma 9 2 3 4 2" xfId="1753"/>
    <cellStyle name="Comma 9 2 3 4 2 2" xfId="5173"/>
    <cellStyle name="Comma 9 2 3 4 2 2 2" xfId="11854"/>
    <cellStyle name="Comma 9 2 3 4 2 2 2 2" xfId="18393"/>
    <cellStyle name="Comma 9 2 3 4 2 2 3" xfId="15541"/>
    <cellStyle name="Comma 9 2 3 4 2 3" xfId="7445"/>
    <cellStyle name="Comma 9 2 3 4 2 3 2" xfId="12425"/>
    <cellStyle name="Comma 9 2 3 4 2 3 2 2" xfId="18964"/>
    <cellStyle name="Comma 9 2 3 4 2 3 3" xfId="16112"/>
    <cellStyle name="Comma 9 2 3 4 2 4" xfId="9717"/>
    <cellStyle name="Comma 9 2 3 4 2 4 2" xfId="12996"/>
    <cellStyle name="Comma 9 2 3 4 2 4 2 2" xfId="19535"/>
    <cellStyle name="Comma 9 2 3 4 2 4 3" xfId="16683"/>
    <cellStyle name="Comma 9 2 3 4 2 5" xfId="3326"/>
    <cellStyle name="Comma 9 2 3 4 2 5 2" xfId="11283"/>
    <cellStyle name="Comma 9 2 3 4 2 5 2 2" xfId="17822"/>
    <cellStyle name="Comma 9 2 3 4 2 5 3" xfId="14970"/>
    <cellStyle name="Comma 9 2 3 4 2 6" xfId="2751"/>
    <cellStyle name="Comma 9 2 3 4 2 6 2" xfId="14399"/>
    <cellStyle name="Comma 9 2 3 4 2 7" xfId="10712"/>
    <cellStyle name="Comma 9 2 3 4 2 7 2" xfId="17251"/>
    <cellStyle name="Comma 9 2 3 4 2 8" xfId="13830"/>
    <cellStyle name="Comma 9 2 3 4 3" xfId="4038"/>
    <cellStyle name="Comma 9 2 3 4 3 2" xfId="11569"/>
    <cellStyle name="Comma 9 2 3 4 3 2 2" xfId="18108"/>
    <cellStyle name="Comma 9 2 3 4 3 3" xfId="15256"/>
    <cellStyle name="Comma 9 2 3 4 4" xfId="6310"/>
    <cellStyle name="Comma 9 2 3 4 4 2" xfId="12140"/>
    <cellStyle name="Comma 9 2 3 4 4 2 2" xfId="18679"/>
    <cellStyle name="Comma 9 2 3 4 4 3" xfId="15827"/>
    <cellStyle name="Comma 9 2 3 4 5" xfId="8582"/>
    <cellStyle name="Comma 9 2 3 4 5 2" xfId="12711"/>
    <cellStyle name="Comma 9 2 3 4 5 2 2" xfId="19250"/>
    <cellStyle name="Comma 9 2 3 4 5 3" xfId="16398"/>
    <cellStyle name="Comma 9 2 3 4 6" xfId="3041"/>
    <cellStyle name="Comma 9 2 3 4 6 2" xfId="10998"/>
    <cellStyle name="Comma 9 2 3 4 6 2 2" xfId="17537"/>
    <cellStyle name="Comma 9 2 3 4 6 3" xfId="14685"/>
    <cellStyle name="Comma 9 2 3 4 7" xfId="2471"/>
    <cellStyle name="Comma 9 2 3 4 7 2" xfId="14119"/>
    <cellStyle name="Comma 9 2 3 4 8" xfId="10432"/>
    <cellStyle name="Comma 9 2 3 4 8 2" xfId="16971"/>
    <cellStyle name="Comma 9 2 3 4 9" xfId="13545"/>
    <cellStyle name="Comma 9 2 3 5" xfId="1299"/>
    <cellStyle name="Comma 9 2 3 5 2" xfId="4719"/>
    <cellStyle name="Comma 9 2 3 5 2 2" xfId="11740"/>
    <cellStyle name="Comma 9 2 3 5 2 2 2" xfId="18279"/>
    <cellStyle name="Comma 9 2 3 5 2 3" xfId="15427"/>
    <cellStyle name="Comma 9 2 3 5 3" xfId="6991"/>
    <cellStyle name="Comma 9 2 3 5 3 2" xfId="12311"/>
    <cellStyle name="Comma 9 2 3 5 3 2 2" xfId="18850"/>
    <cellStyle name="Comma 9 2 3 5 3 3" xfId="15998"/>
    <cellStyle name="Comma 9 2 3 5 4" xfId="9263"/>
    <cellStyle name="Comma 9 2 3 5 4 2" xfId="12882"/>
    <cellStyle name="Comma 9 2 3 5 4 2 2" xfId="19421"/>
    <cellStyle name="Comma 9 2 3 5 4 3" xfId="16569"/>
    <cellStyle name="Comma 9 2 3 5 5" xfId="3212"/>
    <cellStyle name="Comma 9 2 3 5 5 2" xfId="11169"/>
    <cellStyle name="Comma 9 2 3 5 5 2 2" xfId="17708"/>
    <cellStyle name="Comma 9 2 3 5 5 3" xfId="14856"/>
    <cellStyle name="Comma 9 2 3 5 6" xfId="2639"/>
    <cellStyle name="Comma 9 2 3 5 6 2" xfId="14287"/>
    <cellStyle name="Comma 9 2 3 5 7" xfId="10600"/>
    <cellStyle name="Comma 9 2 3 5 7 2" xfId="17139"/>
    <cellStyle name="Comma 9 2 3 5 8" xfId="13716"/>
    <cellStyle name="Comma 9 2 3 6" xfId="3584"/>
    <cellStyle name="Comma 9 2 3 6 2" xfId="11455"/>
    <cellStyle name="Comma 9 2 3 6 2 2" xfId="17994"/>
    <cellStyle name="Comma 9 2 3 6 3" xfId="15142"/>
    <cellStyle name="Comma 9 2 3 7" xfId="5856"/>
    <cellStyle name="Comma 9 2 3 7 2" xfId="12026"/>
    <cellStyle name="Comma 9 2 3 7 2 2" xfId="18565"/>
    <cellStyle name="Comma 9 2 3 7 3" xfId="15713"/>
    <cellStyle name="Comma 9 2 3 8" xfId="8128"/>
    <cellStyle name="Comma 9 2 3 8 2" xfId="12597"/>
    <cellStyle name="Comma 9 2 3 8 2 2" xfId="19136"/>
    <cellStyle name="Comma 9 2 3 8 3" xfId="16284"/>
    <cellStyle name="Comma 9 2 3 9" xfId="2924"/>
    <cellStyle name="Comma 9 2 3 9 2" xfId="10883"/>
    <cellStyle name="Comma 9 2 3 9 2 2" xfId="17422"/>
    <cellStyle name="Comma 9 2 3 9 3" xfId="14570"/>
    <cellStyle name="Comma 9 2 4" xfId="279"/>
    <cellStyle name="Comma 9 2 4 10" xfId="2387"/>
    <cellStyle name="Comma 9 2 4 10 2" xfId="14035"/>
    <cellStyle name="Comma 9 2 4 11" xfId="10348"/>
    <cellStyle name="Comma 9 2 4 11 2" xfId="16887"/>
    <cellStyle name="Comma 9 2 4 12" xfId="13460"/>
    <cellStyle name="Comma 9 2 4 2" xfId="506"/>
    <cellStyle name="Comma 9 2 4 2 10" xfId="13517"/>
    <cellStyle name="Comma 9 2 4 2 2" xfId="960"/>
    <cellStyle name="Comma 9 2 4 2 2 2" xfId="2095"/>
    <cellStyle name="Comma 9 2 4 2 2 2 2" xfId="5515"/>
    <cellStyle name="Comma 9 2 4 2 2 2 2 2" xfId="11940"/>
    <cellStyle name="Comma 9 2 4 2 2 2 2 2 2" xfId="18479"/>
    <cellStyle name="Comma 9 2 4 2 2 2 2 3" xfId="15627"/>
    <cellStyle name="Comma 9 2 4 2 2 2 3" xfId="7787"/>
    <cellStyle name="Comma 9 2 4 2 2 2 3 2" xfId="12511"/>
    <cellStyle name="Comma 9 2 4 2 2 2 3 2 2" xfId="19050"/>
    <cellStyle name="Comma 9 2 4 2 2 2 3 3" xfId="16198"/>
    <cellStyle name="Comma 9 2 4 2 2 2 4" xfId="10059"/>
    <cellStyle name="Comma 9 2 4 2 2 2 4 2" xfId="13082"/>
    <cellStyle name="Comma 9 2 4 2 2 2 4 2 2" xfId="19621"/>
    <cellStyle name="Comma 9 2 4 2 2 2 4 3" xfId="16769"/>
    <cellStyle name="Comma 9 2 4 2 2 2 5" xfId="3412"/>
    <cellStyle name="Comma 9 2 4 2 2 2 5 2" xfId="11369"/>
    <cellStyle name="Comma 9 2 4 2 2 2 5 2 2" xfId="17908"/>
    <cellStyle name="Comma 9 2 4 2 2 2 5 3" xfId="15056"/>
    <cellStyle name="Comma 9 2 4 2 2 2 6" xfId="2835"/>
    <cellStyle name="Comma 9 2 4 2 2 2 6 2" xfId="14483"/>
    <cellStyle name="Comma 9 2 4 2 2 2 7" xfId="10796"/>
    <cellStyle name="Comma 9 2 4 2 2 2 7 2" xfId="17335"/>
    <cellStyle name="Comma 9 2 4 2 2 2 8" xfId="13916"/>
    <cellStyle name="Comma 9 2 4 2 2 3" xfId="4380"/>
    <cellStyle name="Comma 9 2 4 2 2 3 2" xfId="11655"/>
    <cellStyle name="Comma 9 2 4 2 2 3 2 2" xfId="18194"/>
    <cellStyle name="Comma 9 2 4 2 2 3 3" xfId="15342"/>
    <cellStyle name="Comma 9 2 4 2 2 4" xfId="6652"/>
    <cellStyle name="Comma 9 2 4 2 2 4 2" xfId="12226"/>
    <cellStyle name="Comma 9 2 4 2 2 4 2 2" xfId="18765"/>
    <cellStyle name="Comma 9 2 4 2 2 4 3" xfId="15913"/>
    <cellStyle name="Comma 9 2 4 2 2 5" xfId="8924"/>
    <cellStyle name="Comma 9 2 4 2 2 5 2" xfId="12797"/>
    <cellStyle name="Comma 9 2 4 2 2 5 2 2" xfId="19336"/>
    <cellStyle name="Comma 9 2 4 2 2 5 3" xfId="16484"/>
    <cellStyle name="Comma 9 2 4 2 2 6" xfId="3127"/>
    <cellStyle name="Comma 9 2 4 2 2 6 2" xfId="11084"/>
    <cellStyle name="Comma 9 2 4 2 2 6 2 2" xfId="17623"/>
    <cellStyle name="Comma 9 2 4 2 2 6 3" xfId="14771"/>
    <cellStyle name="Comma 9 2 4 2 2 7" xfId="2555"/>
    <cellStyle name="Comma 9 2 4 2 2 7 2" xfId="14203"/>
    <cellStyle name="Comma 9 2 4 2 2 8" xfId="10516"/>
    <cellStyle name="Comma 9 2 4 2 2 8 2" xfId="17055"/>
    <cellStyle name="Comma 9 2 4 2 2 9" xfId="13631"/>
    <cellStyle name="Comma 9 2 4 2 3" xfId="1641"/>
    <cellStyle name="Comma 9 2 4 2 3 2" xfId="5061"/>
    <cellStyle name="Comma 9 2 4 2 3 2 2" xfId="11826"/>
    <cellStyle name="Comma 9 2 4 2 3 2 2 2" xfId="18365"/>
    <cellStyle name="Comma 9 2 4 2 3 2 3" xfId="15513"/>
    <cellStyle name="Comma 9 2 4 2 3 3" xfId="7333"/>
    <cellStyle name="Comma 9 2 4 2 3 3 2" xfId="12397"/>
    <cellStyle name="Comma 9 2 4 2 3 3 2 2" xfId="18936"/>
    <cellStyle name="Comma 9 2 4 2 3 3 3" xfId="16084"/>
    <cellStyle name="Comma 9 2 4 2 3 4" xfId="9605"/>
    <cellStyle name="Comma 9 2 4 2 3 4 2" xfId="12968"/>
    <cellStyle name="Comma 9 2 4 2 3 4 2 2" xfId="19507"/>
    <cellStyle name="Comma 9 2 4 2 3 4 3" xfId="16655"/>
    <cellStyle name="Comma 9 2 4 2 3 5" xfId="3298"/>
    <cellStyle name="Comma 9 2 4 2 3 5 2" xfId="11255"/>
    <cellStyle name="Comma 9 2 4 2 3 5 2 2" xfId="17794"/>
    <cellStyle name="Comma 9 2 4 2 3 5 3" xfId="14942"/>
    <cellStyle name="Comma 9 2 4 2 3 6" xfId="2723"/>
    <cellStyle name="Comma 9 2 4 2 3 6 2" xfId="14371"/>
    <cellStyle name="Comma 9 2 4 2 3 7" xfId="10684"/>
    <cellStyle name="Comma 9 2 4 2 3 7 2" xfId="17223"/>
    <cellStyle name="Comma 9 2 4 2 3 8" xfId="13802"/>
    <cellStyle name="Comma 9 2 4 2 4" xfId="3926"/>
    <cellStyle name="Comma 9 2 4 2 4 2" xfId="11541"/>
    <cellStyle name="Comma 9 2 4 2 4 2 2" xfId="18080"/>
    <cellStyle name="Comma 9 2 4 2 4 3" xfId="15228"/>
    <cellStyle name="Comma 9 2 4 2 5" xfId="6198"/>
    <cellStyle name="Comma 9 2 4 2 5 2" xfId="12112"/>
    <cellStyle name="Comma 9 2 4 2 5 2 2" xfId="18651"/>
    <cellStyle name="Comma 9 2 4 2 5 3" xfId="15799"/>
    <cellStyle name="Comma 9 2 4 2 6" xfId="8470"/>
    <cellStyle name="Comma 9 2 4 2 6 2" xfId="12683"/>
    <cellStyle name="Comma 9 2 4 2 6 2 2" xfId="19222"/>
    <cellStyle name="Comma 9 2 4 2 6 3" xfId="16370"/>
    <cellStyle name="Comma 9 2 4 2 7" xfId="3013"/>
    <cellStyle name="Comma 9 2 4 2 7 2" xfId="10970"/>
    <cellStyle name="Comma 9 2 4 2 7 2 2" xfId="17509"/>
    <cellStyle name="Comma 9 2 4 2 7 3" xfId="14657"/>
    <cellStyle name="Comma 9 2 4 2 8" xfId="2443"/>
    <cellStyle name="Comma 9 2 4 2 8 2" xfId="14091"/>
    <cellStyle name="Comma 9 2 4 2 9" xfId="10404"/>
    <cellStyle name="Comma 9 2 4 2 9 2" xfId="16943"/>
    <cellStyle name="Comma 9 2 4 3" xfId="1187"/>
    <cellStyle name="Comma 9 2 4 3 2" xfId="2322"/>
    <cellStyle name="Comma 9 2 4 3 2 2" xfId="5742"/>
    <cellStyle name="Comma 9 2 4 3 2 2 2" xfId="11997"/>
    <cellStyle name="Comma 9 2 4 3 2 2 2 2" xfId="18536"/>
    <cellStyle name="Comma 9 2 4 3 2 2 3" xfId="15684"/>
    <cellStyle name="Comma 9 2 4 3 2 3" xfId="8014"/>
    <cellStyle name="Comma 9 2 4 3 2 3 2" xfId="12568"/>
    <cellStyle name="Comma 9 2 4 3 2 3 2 2" xfId="19107"/>
    <cellStyle name="Comma 9 2 4 3 2 3 3" xfId="16255"/>
    <cellStyle name="Comma 9 2 4 3 2 4" xfId="10286"/>
    <cellStyle name="Comma 9 2 4 3 2 4 2" xfId="13139"/>
    <cellStyle name="Comma 9 2 4 3 2 4 2 2" xfId="19678"/>
    <cellStyle name="Comma 9 2 4 3 2 4 3" xfId="16826"/>
    <cellStyle name="Comma 9 2 4 3 2 5" xfId="3469"/>
    <cellStyle name="Comma 9 2 4 3 2 5 2" xfId="11426"/>
    <cellStyle name="Comma 9 2 4 3 2 5 2 2" xfId="17965"/>
    <cellStyle name="Comma 9 2 4 3 2 5 3" xfId="15113"/>
    <cellStyle name="Comma 9 2 4 3 2 6" xfId="2891"/>
    <cellStyle name="Comma 9 2 4 3 2 6 2" xfId="14539"/>
    <cellStyle name="Comma 9 2 4 3 2 7" xfId="10852"/>
    <cellStyle name="Comma 9 2 4 3 2 7 2" xfId="17391"/>
    <cellStyle name="Comma 9 2 4 3 2 8" xfId="13973"/>
    <cellStyle name="Comma 9 2 4 3 3" xfId="4607"/>
    <cellStyle name="Comma 9 2 4 3 3 2" xfId="11712"/>
    <cellStyle name="Comma 9 2 4 3 3 2 2" xfId="18251"/>
    <cellStyle name="Comma 9 2 4 3 3 3" xfId="15399"/>
    <cellStyle name="Comma 9 2 4 3 4" xfId="6879"/>
    <cellStyle name="Comma 9 2 4 3 4 2" xfId="12283"/>
    <cellStyle name="Comma 9 2 4 3 4 2 2" xfId="18822"/>
    <cellStyle name="Comma 9 2 4 3 4 3" xfId="15970"/>
    <cellStyle name="Comma 9 2 4 3 5" xfId="9151"/>
    <cellStyle name="Comma 9 2 4 3 5 2" xfId="12854"/>
    <cellStyle name="Comma 9 2 4 3 5 2 2" xfId="19393"/>
    <cellStyle name="Comma 9 2 4 3 5 3" xfId="16541"/>
    <cellStyle name="Comma 9 2 4 3 6" xfId="3184"/>
    <cellStyle name="Comma 9 2 4 3 6 2" xfId="11141"/>
    <cellStyle name="Comma 9 2 4 3 6 2 2" xfId="17680"/>
    <cellStyle name="Comma 9 2 4 3 6 3" xfId="14828"/>
    <cellStyle name="Comma 9 2 4 3 7" xfId="2611"/>
    <cellStyle name="Comma 9 2 4 3 7 2" xfId="14259"/>
    <cellStyle name="Comma 9 2 4 3 8" xfId="10572"/>
    <cellStyle name="Comma 9 2 4 3 8 2" xfId="17111"/>
    <cellStyle name="Comma 9 2 4 3 9" xfId="13688"/>
    <cellStyle name="Comma 9 2 4 4" xfId="733"/>
    <cellStyle name="Comma 9 2 4 4 2" xfId="1868"/>
    <cellStyle name="Comma 9 2 4 4 2 2" xfId="5288"/>
    <cellStyle name="Comma 9 2 4 4 2 2 2" xfId="11883"/>
    <cellStyle name="Comma 9 2 4 4 2 2 2 2" xfId="18422"/>
    <cellStyle name="Comma 9 2 4 4 2 2 3" xfId="15570"/>
    <cellStyle name="Comma 9 2 4 4 2 3" xfId="7560"/>
    <cellStyle name="Comma 9 2 4 4 2 3 2" xfId="12454"/>
    <cellStyle name="Comma 9 2 4 4 2 3 2 2" xfId="18993"/>
    <cellStyle name="Comma 9 2 4 4 2 3 3" xfId="16141"/>
    <cellStyle name="Comma 9 2 4 4 2 4" xfId="9832"/>
    <cellStyle name="Comma 9 2 4 4 2 4 2" xfId="13025"/>
    <cellStyle name="Comma 9 2 4 4 2 4 2 2" xfId="19564"/>
    <cellStyle name="Comma 9 2 4 4 2 4 3" xfId="16712"/>
    <cellStyle name="Comma 9 2 4 4 2 5" xfId="3355"/>
    <cellStyle name="Comma 9 2 4 4 2 5 2" xfId="11312"/>
    <cellStyle name="Comma 9 2 4 4 2 5 2 2" xfId="17851"/>
    <cellStyle name="Comma 9 2 4 4 2 5 3" xfId="14999"/>
    <cellStyle name="Comma 9 2 4 4 2 6" xfId="2779"/>
    <cellStyle name="Comma 9 2 4 4 2 6 2" xfId="14427"/>
    <cellStyle name="Comma 9 2 4 4 2 7" xfId="10740"/>
    <cellStyle name="Comma 9 2 4 4 2 7 2" xfId="17279"/>
    <cellStyle name="Comma 9 2 4 4 2 8" xfId="13859"/>
    <cellStyle name="Comma 9 2 4 4 3" xfId="4153"/>
    <cellStyle name="Comma 9 2 4 4 3 2" xfId="11598"/>
    <cellStyle name="Comma 9 2 4 4 3 2 2" xfId="18137"/>
    <cellStyle name="Comma 9 2 4 4 3 3" xfId="15285"/>
    <cellStyle name="Comma 9 2 4 4 4" xfId="6425"/>
    <cellStyle name="Comma 9 2 4 4 4 2" xfId="12169"/>
    <cellStyle name="Comma 9 2 4 4 4 2 2" xfId="18708"/>
    <cellStyle name="Comma 9 2 4 4 4 3" xfId="15856"/>
    <cellStyle name="Comma 9 2 4 4 5" xfId="8697"/>
    <cellStyle name="Comma 9 2 4 4 5 2" xfId="12740"/>
    <cellStyle name="Comma 9 2 4 4 5 2 2" xfId="19279"/>
    <cellStyle name="Comma 9 2 4 4 5 3" xfId="16427"/>
    <cellStyle name="Comma 9 2 4 4 6" xfId="3070"/>
    <cellStyle name="Comma 9 2 4 4 6 2" xfId="11027"/>
    <cellStyle name="Comma 9 2 4 4 6 2 2" xfId="17566"/>
    <cellStyle name="Comma 9 2 4 4 6 3" xfId="14714"/>
    <cellStyle name="Comma 9 2 4 4 7" xfId="2499"/>
    <cellStyle name="Comma 9 2 4 4 7 2" xfId="14147"/>
    <cellStyle name="Comma 9 2 4 4 8" xfId="10460"/>
    <cellStyle name="Comma 9 2 4 4 8 2" xfId="16999"/>
    <cellStyle name="Comma 9 2 4 4 9" xfId="13574"/>
    <cellStyle name="Comma 9 2 4 5" xfId="1414"/>
    <cellStyle name="Comma 9 2 4 5 2" xfId="4834"/>
    <cellStyle name="Comma 9 2 4 5 2 2" xfId="11769"/>
    <cellStyle name="Comma 9 2 4 5 2 2 2" xfId="18308"/>
    <cellStyle name="Comma 9 2 4 5 2 3" xfId="15456"/>
    <cellStyle name="Comma 9 2 4 5 3" xfId="7106"/>
    <cellStyle name="Comma 9 2 4 5 3 2" xfId="12340"/>
    <cellStyle name="Comma 9 2 4 5 3 2 2" xfId="18879"/>
    <cellStyle name="Comma 9 2 4 5 3 3" xfId="16027"/>
    <cellStyle name="Comma 9 2 4 5 4" xfId="9378"/>
    <cellStyle name="Comma 9 2 4 5 4 2" xfId="12911"/>
    <cellStyle name="Comma 9 2 4 5 4 2 2" xfId="19450"/>
    <cellStyle name="Comma 9 2 4 5 4 3" xfId="16598"/>
    <cellStyle name="Comma 9 2 4 5 5" xfId="3241"/>
    <cellStyle name="Comma 9 2 4 5 5 2" xfId="11198"/>
    <cellStyle name="Comma 9 2 4 5 5 2 2" xfId="17737"/>
    <cellStyle name="Comma 9 2 4 5 5 3" xfId="14885"/>
    <cellStyle name="Comma 9 2 4 5 6" xfId="2667"/>
    <cellStyle name="Comma 9 2 4 5 6 2" xfId="14315"/>
    <cellStyle name="Comma 9 2 4 5 7" xfId="10628"/>
    <cellStyle name="Comma 9 2 4 5 7 2" xfId="17167"/>
    <cellStyle name="Comma 9 2 4 5 8" xfId="13745"/>
    <cellStyle name="Comma 9 2 4 6" xfId="3699"/>
    <cellStyle name="Comma 9 2 4 6 2" xfId="11484"/>
    <cellStyle name="Comma 9 2 4 6 2 2" xfId="18023"/>
    <cellStyle name="Comma 9 2 4 6 3" xfId="15171"/>
    <cellStyle name="Comma 9 2 4 7" xfId="5971"/>
    <cellStyle name="Comma 9 2 4 7 2" xfId="12055"/>
    <cellStyle name="Comma 9 2 4 7 2 2" xfId="18594"/>
    <cellStyle name="Comma 9 2 4 7 3" xfId="15742"/>
    <cellStyle name="Comma 9 2 4 8" xfId="8243"/>
    <cellStyle name="Comma 9 2 4 8 2" xfId="12626"/>
    <cellStyle name="Comma 9 2 4 8 2 2" xfId="19165"/>
    <cellStyle name="Comma 9 2 4 8 3" xfId="16313"/>
    <cellStyle name="Comma 9 2 4 9" xfId="2956"/>
    <cellStyle name="Comma 9 2 4 9 2" xfId="10913"/>
    <cellStyle name="Comma 9 2 4 9 2 2" xfId="17452"/>
    <cellStyle name="Comma 9 2 4 9 3" xfId="14600"/>
    <cellStyle name="Comma 9 2 5" xfId="335"/>
    <cellStyle name="Comma 9 2 5 10" xfId="13474"/>
    <cellStyle name="Comma 9 2 5 2" xfId="789"/>
    <cellStyle name="Comma 9 2 5 2 2" xfId="1924"/>
    <cellStyle name="Comma 9 2 5 2 2 2" xfId="5344"/>
    <cellStyle name="Comma 9 2 5 2 2 2 2" xfId="11897"/>
    <cellStyle name="Comma 9 2 5 2 2 2 2 2" xfId="18436"/>
    <cellStyle name="Comma 9 2 5 2 2 2 3" xfId="15584"/>
    <cellStyle name="Comma 9 2 5 2 2 3" xfId="7616"/>
    <cellStyle name="Comma 9 2 5 2 2 3 2" xfId="12468"/>
    <cellStyle name="Comma 9 2 5 2 2 3 2 2" xfId="19007"/>
    <cellStyle name="Comma 9 2 5 2 2 3 3" xfId="16155"/>
    <cellStyle name="Comma 9 2 5 2 2 4" xfId="9888"/>
    <cellStyle name="Comma 9 2 5 2 2 4 2" xfId="13039"/>
    <cellStyle name="Comma 9 2 5 2 2 4 2 2" xfId="19578"/>
    <cellStyle name="Comma 9 2 5 2 2 4 3" xfId="16726"/>
    <cellStyle name="Comma 9 2 5 2 2 5" xfId="3369"/>
    <cellStyle name="Comma 9 2 5 2 2 5 2" xfId="11326"/>
    <cellStyle name="Comma 9 2 5 2 2 5 2 2" xfId="17865"/>
    <cellStyle name="Comma 9 2 5 2 2 5 3" xfId="15013"/>
    <cellStyle name="Comma 9 2 5 2 2 6" xfId="2793"/>
    <cellStyle name="Comma 9 2 5 2 2 6 2" xfId="14441"/>
    <cellStyle name="Comma 9 2 5 2 2 7" xfId="10754"/>
    <cellStyle name="Comma 9 2 5 2 2 7 2" xfId="17293"/>
    <cellStyle name="Comma 9 2 5 2 2 8" xfId="13873"/>
    <cellStyle name="Comma 9 2 5 2 3" xfId="4209"/>
    <cellStyle name="Comma 9 2 5 2 3 2" xfId="11612"/>
    <cellStyle name="Comma 9 2 5 2 3 2 2" xfId="18151"/>
    <cellStyle name="Comma 9 2 5 2 3 3" xfId="15299"/>
    <cellStyle name="Comma 9 2 5 2 4" xfId="6481"/>
    <cellStyle name="Comma 9 2 5 2 4 2" xfId="12183"/>
    <cellStyle name="Comma 9 2 5 2 4 2 2" xfId="18722"/>
    <cellStyle name="Comma 9 2 5 2 4 3" xfId="15870"/>
    <cellStyle name="Comma 9 2 5 2 5" xfId="8753"/>
    <cellStyle name="Comma 9 2 5 2 5 2" xfId="12754"/>
    <cellStyle name="Comma 9 2 5 2 5 2 2" xfId="19293"/>
    <cellStyle name="Comma 9 2 5 2 5 3" xfId="16441"/>
    <cellStyle name="Comma 9 2 5 2 6" xfId="3084"/>
    <cellStyle name="Comma 9 2 5 2 6 2" xfId="11041"/>
    <cellStyle name="Comma 9 2 5 2 6 2 2" xfId="17580"/>
    <cellStyle name="Comma 9 2 5 2 6 3" xfId="14728"/>
    <cellStyle name="Comma 9 2 5 2 7" xfId="2513"/>
    <cellStyle name="Comma 9 2 5 2 7 2" xfId="14161"/>
    <cellStyle name="Comma 9 2 5 2 8" xfId="10474"/>
    <cellStyle name="Comma 9 2 5 2 8 2" xfId="17013"/>
    <cellStyle name="Comma 9 2 5 2 9" xfId="13588"/>
    <cellStyle name="Comma 9 2 5 3" xfId="1470"/>
    <cellStyle name="Comma 9 2 5 3 2" xfId="4890"/>
    <cellStyle name="Comma 9 2 5 3 2 2" xfId="11783"/>
    <cellStyle name="Comma 9 2 5 3 2 2 2" xfId="18322"/>
    <cellStyle name="Comma 9 2 5 3 2 3" xfId="15470"/>
    <cellStyle name="Comma 9 2 5 3 3" xfId="7162"/>
    <cellStyle name="Comma 9 2 5 3 3 2" xfId="12354"/>
    <cellStyle name="Comma 9 2 5 3 3 2 2" xfId="18893"/>
    <cellStyle name="Comma 9 2 5 3 3 3" xfId="16041"/>
    <cellStyle name="Comma 9 2 5 3 4" xfId="9434"/>
    <cellStyle name="Comma 9 2 5 3 4 2" xfId="12925"/>
    <cellStyle name="Comma 9 2 5 3 4 2 2" xfId="19464"/>
    <cellStyle name="Comma 9 2 5 3 4 3" xfId="16612"/>
    <cellStyle name="Comma 9 2 5 3 5" xfId="3255"/>
    <cellStyle name="Comma 9 2 5 3 5 2" xfId="11212"/>
    <cellStyle name="Comma 9 2 5 3 5 2 2" xfId="17751"/>
    <cellStyle name="Comma 9 2 5 3 5 3" xfId="14899"/>
    <cellStyle name="Comma 9 2 5 3 6" xfId="2681"/>
    <cellStyle name="Comma 9 2 5 3 6 2" xfId="14329"/>
    <cellStyle name="Comma 9 2 5 3 7" xfId="10642"/>
    <cellStyle name="Comma 9 2 5 3 7 2" xfId="17181"/>
    <cellStyle name="Comma 9 2 5 3 8" xfId="13759"/>
    <cellStyle name="Comma 9 2 5 4" xfId="3755"/>
    <cellStyle name="Comma 9 2 5 4 2" xfId="11498"/>
    <cellStyle name="Comma 9 2 5 4 2 2" xfId="18037"/>
    <cellStyle name="Comma 9 2 5 4 3" xfId="15185"/>
    <cellStyle name="Comma 9 2 5 5" xfId="6027"/>
    <cellStyle name="Comma 9 2 5 5 2" xfId="12069"/>
    <cellStyle name="Comma 9 2 5 5 2 2" xfId="18608"/>
    <cellStyle name="Comma 9 2 5 5 3" xfId="15756"/>
    <cellStyle name="Comma 9 2 5 6" xfId="8299"/>
    <cellStyle name="Comma 9 2 5 6 2" xfId="12640"/>
    <cellStyle name="Comma 9 2 5 6 2 2" xfId="19179"/>
    <cellStyle name="Comma 9 2 5 6 3" xfId="16327"/>
    <cellStyle name="Comma 9 2 5 7" xfId="2970"/>
    <cellStyle name="Comma 9 2 5 7 2" xfId="10927"/>
    <cellStyle name="Comma 9 2 5 7 2 2" xfId="17466"/>
    <cellStyle name="Comma 9 2 5 7 3" xfId="14614"/>
    <cellStyle name="Comma 9 2 5 8" xfId="2401"/>
    <cellStyle name="Comma 9 2 5 8 2" xfId="14049"/>
    <cellStyle name="Comma 9 2 5 9" xfId="10362"/>
    <cellStyle name="Comma 9 2 5 9 2" xfId="16901"/>
    <cellStyle name="Comma 9 2 6" xfId="1016"/>
    <cellStyle name="Comma 9 2 6 2" xfId="2151"/>
    <cellStyle name="Comma 9 2 6 2 2" xfId="5571"/>
    <cellStyle name="Comma 9 2 6 2 2 2" xfId="11954"/>
    <cellStyle name="Comma 9 2 6 2 2 2 2" xfId="18493"/>
    <cellStyle name="Comma 9 2 6 2 2 3" xfId="15641"/>
    <cellStyle name="Comma 9 2 6 2 3" xfId="7843"/>
    <cellStyle name="Comma 9 2 6 2 3 2" xfId="12525"/>
    <cellStyle name="Comma 9 2 6 2 3 2 2" xfId="19064"/>
    <cellStyle name="Comma 9 2 6 2 3 3" xfId="16212"/>
    <cellStyle name="Comma 9 2 6 2 4" xfId="10115"/>
    <cellStyle name="Comma 9 2 6 2 4 2" xfId="13096"/>
    <cellStyle name="Comma 9 2 6 2 4 2 2" xfId="19635"/>
    <cellStyle name="Comma 9 2 6 2 4 3" xfId="16783"/>
    <cellStyle name="Comma 9 2 6 2 5" xfId="3426"/>
    <cellStyle name="Comma 9 2 6 2 5 2" xfId="11383"/>
    <cellStyle name="Comma 9 2 6 2 5 2 2" xfId="17922"/>
    <cellStyle name="Comma 9 2 6 2 5 3" xfId="15070"/>
    <cellStyle name="Comma 9 2 6 2 6" xfId="2849"/>
    <cellStyle name="Comma 9 2 6 2 6 2" xfId="14497"/>
    <cellStyle name="Comma 9 2 6 2 7" xfId="10810"/>
    <cellStyle name="Comma 9 2 6 2 7 2" xfId="17349"/>
    <cellStyle name="Comma 9 2 6 2 8" xfId="13930"/>
    <cellStyle name="Comma 9 2 6 3" xfId="4436"/>
    <cellStyle name="Comma 9 2 6 3 2" xfId="11669"/>
    <cellStyle name="Comma 9 2 6 3 2 2" xfId="18208"/>
    <cellStyle name="Comma 9 2 6 3 3" xfId="15356"/>
    <cellStyle name="Comma 9 2 6 4" xfId="6708"/>
    <cellStyle name="Comma 9 2 6 4 2" xfId="12240"/>
    <cellStyle name="Comma 9 2 6 4 2 2" xfId="18779"/>
    <cellStyle name="Comma 9 2 6 4 3" xfId="15927"/>
    <cellStyle name="Comma 9 2 6 5" xfId="8980"/>
    <cellStyle name="Comma 9 2 6 5 2" xfId="12811"/>
    <cellStyle name="Comma 9 2 6 5 2 2" xfId="19350"/>
    <cellStyle name="Comma 9 2 6 5 3" xfId="16498"/>
    <cellStyle name="Comma 9 2 6 6" xfId="3141"/>
    <cellStyle name="Comma 9 2 6 6 2" xfId="11098"/>
    <cellStyle name="Comma 9 2 6 6 2 2" xfId="17637"/>
    <cellStyle name="Comma 9 2 6 6 3" xfId="14785"/>
    <cellStyle name="Comma 9 2 6 7" xfId="2569"/>
    <cellStyle name="Comma 9 2 6 7 2" xfId="14217"/>
    <cellStyle name="Comma 9 2 6 8" xfId="10530"/>
    <cellStyle name="Comma 9 2 6 8 2" xfId="17069"/>
    <cellStyle name="Comma 9 2 6 9" xfId="13645"/>
    <cellStyle name="Comma 9 2 7" xfId="562"/>
    <cellStyle name="Comma 9 2 7 2" xfId="1697"/>
    <cellStyle name="Comma 9 2 7 2 2" xfId="5117"/>
    <cellStyle name="Comma 9 2 7 2 2 2" xfId="11840"/>
    <cellStyle name="Comma 9 2 7 2 2 2 2" xfId="18379"/>
    <cellStyle name="Comma 9 2 7 2 2 3" xfId="15527"/>
    <cellStyle name="Comma 9 2 7 2 3" xfId="7389"/>
    <cellStyle name="Comma 9 2 7 2 3 2" xfId="12411"/>
    <cellStyle name="Comma 9 2 7 2 3 2 2" xfId="18950"/>
    <cellStyle name="Comma 9 2 7 2 3 3" xfId="16098"/>
    <cellStyle name="Comma 9 2 7 2 4" xfId="9661"/>
    <cellStyle name="Comma 9 2 7 2 4 2" xfId="12982"/>
    <cellStyle name="Comma 9 2 7 2 4 2 2" xfId="19521"/>
    <cellStyle name="Comma 9 2 7 2 4 3" xfId="16669"/>
    <cellStyle name="Comma 9 2 7 2 5" xfId="3312"/>
    <cellStyle name="Comma 9 2 7 2 5 2" xfId="11269"/>
    <cellStyle name="Comma 9 2 7 2 5 2 2" xfId="17808"/>
    <cellStyle name="Comma 9 2 7 2 5 3" xfId="14956"/>
    <cellStyle name="Comma 9 2 7 2 6" xfId="2737"/>
    <cellStyle name="Comma 9 2 7 2 6 2" xfId="14385"/>
    <cellStyle name="Comma 9 2 7 2 7" xfId="10698"/>
    <cellStyle name="Comma 9 2 7 2 7 2" xfId="17237"/>
    <cellStyle name="Comma 9 2 7 2 8" xfId="13816"/>
    <cellStyle name="Comma 9 2 7 3" xfId="3982"/>
    <cellStyle name="Comma 9 2 7 3 2" xfId="11555"/>
    <cellStyle name="Comma 9 2 7 3 2 2" xfId="18094"/>
    <cellStyle name="Comma 9 2 7 3 3" xfId="15242"/>
    <cellStyle name="Comma 9 2 7 4" xfId="6254"/>
    <cellStyle name="Comma 9 2 7 4 2" xfId="12126"/>
    <cellStyle name="Comma 9 2 7 4 2 2" xfId="18665"/>
    <cellStyle name="Comma 9 2 7 4 3" xfId="15813"/>
    <cellStyle name="Comma 9 2 7 5" xfId="8526"/>
    <cellStyle name="Comma 9 2 7 5 2" xfId="12697"/>
    <cellStyle name="Comma 9 2 7 5 2 2" xfId="19236"/>
    <cellStyle name="Comma 9 2 7 5 3" xfId="16384"/>
    <cellStyle name="Comma 9 2 7 6" xfId="3027"/>
    <cellStyle name="Comma 9 2 7 6 2" xfId="10984"/>
    <cellStyle name="Comma 9 2 7 6 2 2" xfId="17523"/>
    <cellStyle name="Comma 9 2 7 6 3" xfId="14671"/>
    <cellStyle name="Comma 9 2 7 7" xfId="2457"/>
    <cellStyle name="Comma 9 2 7 7 2" xfId="14105"/>
    <cellStyle name="Comma 9 2 7 8" xfId="10418"/>
    <cellStyle name="Comma 9 2 7 8 2" xfId="16957"/>
    <cellStyle name="Comma 9 2 7 9" xfId="13531"/>
    <cellStyle name="Comma 9 2 8" xfId="1243"/>
    <cellStyle name="Comma 9 2 8 2" xfId="4663"/>
    <cellStyle name="Comma 9 2 8 2 2" xfId="11726"/>
    <cellStyle name="Comma 9 2 8 2 2 2" xfId="18265"/>
    <cellStyle name="Comma 9 2 8 2 3" xfId="15413"/>
    <cellStyle name="Comma 9 2 8 3" xfId="6935"/>
    <cellStyle name="Comma 9 2 8 3 2" xfId="12297"/>
    <cellStyle name="Comma 9 2 8 3 2 2" xfId="18836"/>
    <cellStyle name="Comma 9 2 8 3 3" xfId="15984"/>
    <cellStyle name="Comma 9 2 8 4" xfId="9207"/>
    <cellStyle name="Comma 9 2 8 4 2" xfId="12868"/>
    <cellStyle name="Comma 9 2 8 4 2 2" xfId="19407"/>
    <cellStyle name="Comma 9 2 8 4 3" xfId="16555"/>
    <cellStyle name="Comma 9 2 8 5" xfId="3198"/>
    <cellStyle name="Comma 9 2 8 5 2" xfId="11155"/>
    <cellStyle name="Comma 9 2 8 5 2 2" xfId="17694"/>
    <cellStyle name="Comma 9 2 8 5 3" xfId="14842"/>
    <cellStyle name="Comma 9 2 8 6" xfId="2625"/>
    <cellStyle name="Comma 9 2 8 6 2" xfId="14273"/>
    <cellStyle name="Comma 9 2 8 7" xfId="10586"/>
    <cellStyle name="Comma 9 2 8 7 2" xfId="17125"/>
    <cellStyle name="Comma 9 2 8 8" xfId="13702"/>
    <cellStyle name="Comma 9 2 9" xfId="3528"/>
    <cellStyle name="Comma 9 2 9 2" xfId="11441"/>
    <cellStyle name="Comma 9 2 9 2 2" xfId="17980"/>
    <cellStyle name="Comma 9 2 9 3" xfId="15128"/>
    <cellStyle name="Comma 9 3" xfId="181"/>
    <cellStyle name="Comma 9 3 10" xfId="2365"/>
    <cellStyle name="Comma 9 3 10 2" xfId="14013"/>
    <cellStyle name="Comma 9 3 11" xfId="10326"/>
    <cellStyle name="Comma 9 3 11 2" xfId="16865"/>
    <cellStyle name="Comma 9 3 12" xfId="13437"/>
    <cellStyle name="Comma 9 3 13" xfId="20342"/>
    <cellStyle name="Comma 9 3 2" xfId="419"/>
    <cellStyle name="Comma 9 3 2 10" xfId="13495"/>
    <cellStyle name="Comma 9 3 2 2" xfId="873"/>
    <cellStyle name="Comma 9 3 2 2 2" xfId="2008"/>
    <cellStyle name="Comma 9 3 2 2 2 2" xfId="5428"/>
    <cellStyle name="Comma 9 3 2 2 2 2 2" xfId="11918"/>
    <cellStyle name="Comma 9 3 2 2 2 2 2 2" xfId="18457"/>
    <cellStyle name="Comma 9 3 2 2 2 2 3" xfId="15605"/>
    <cellStyle name="Comma 9 3 2 2 2 3" xfId="7700"/>
    <cellStyle name="Comma 9 3 2 2 2 3 2" xfId="12489"/>
    <cellStyle name="Comma 9 3 2 2 2 3 2 2" xfId="19028"/>
    <cellStyle name="Comma 9 3 2 2 2 3 3" xfId="16176"/>
    <cellStyle name="Comma 9 3 2 2 2 4" xfId="9972"/>
    <cellStyle name="Comma 9 3 2 2 2 4 2" xfId="13060"/>
    <cellStyle name="Comma 9 3 2 2 2 4 2 2" xfId="19599"/>
    <cellStyle name="Comma 9 3 2 2 2 4 3" xfId="16747"/>
    <cellStyle name="Comma 9 3 2 2 2 5" xfId="3390"/>
    <cellStyle name="Comma 9 3 2 2 2 5 2" xfId="11347"/>
    <cellStyle name="Comma 9 3 2 2 2 5 2 2" xfId="17886"/>
    <cellStyle name="Comma 9 3 2 2 2 5 3" xfId="15034"/>
    <cellStyle name="Comma 9 3 2 2 2 6" xfId="2814"/>
    <cellStyle name="Comma 9 3 2 2 2 6 2" xfId="14462"/>
    <cellStyle name="Comma 9 3 2 2 2 7" xfId="10775"/>
    <cellStyle name="Comma 9 3 2 2 2 7 2" xfId="17314"/>
    <cellStyle name="Comma 9 3 2 2 2 8" xfId="13894"/>
    <cellStyle name="Comma 9 3 2 2 3" xfId="4293"/>
    <cellStyle name="Comma 9 3 2 2 3 2" xfId="11633"/>
    <cellStyle name="Comma 9 3 2 2 3 2 2" xfId="18172"/>
    <cellStyle name="Comma 9 3 2 2 3 3" xfId="15320"/>
    <cellStyle name="Comma 9 3 2 2 4" xfId="6565"/>
    <cellStyle name="Comma 9 3 2 2 4 2" xfId="12204"/>
    <cellStyle name="Comma 9 3 2 2 4 2 2" xfId="18743"/>
    <cellStyle name="Comma 9 3 2 2 4 3" xfId="15891"/>
    <cellStyle name="Comma 9 3 2 2 5" xfId="8837"/>
    <cellStyle name="Comma 9 3 2 2 5 2" xfId="12775"/>
    <cellStyle name="Comma 9 3 2 2 5 2 2" xfId="19314"/>
    <cellStyle name="Comma 9 3 2 2 5 3" xfId="16462"/>
    <cellStyle name="Comma 9 3 2 2 6" xfId="3105"/>
    <cellStyle name="Comma 9 3 2 2 6 2" xfId="11062"/>
    <cellStyle name="Comma 9 3 2 2 6 2 2" xfId="17601"/>
    <cellStyle name="Comma 9 3 2 2 6 3" xfId="14749"/>
    <cellStyle name="Comma 9 3 2 2 7" xfId="2534"/>
    <cellStyle name="Comma 9 3 2 2 7 2" xfId="14182"/>
    <cellStyle name="Comma 9 3 2 2 8" xfId="10495"/>
    <cellStyle name="Comma 9 3 2 2 8 2" xfId="17034"/>
    <cellStyle name="Comma 9 3 2 2 9" xfId="13609"/>
    <cellStyle name="Comma 9 3 2 3" xfId="1554"/>
    <cellStyle name="Comma 9 3 2 3 2" xfId="4974"/>
    <cellStyle name="Comma 9 3 2 3 2 2" xfId="11804"/>
    <cellStyle name="Comma 9 3 2 3 2 2 2" xfId="18343"/>
    <cellStyle name="Comma 9 3 2 3 2 3" xfId="15491"/>
    <cellStyle name="Comma 9 3 2 3 3" xfId="7246"/>
    <cellStyle name="Comma 9 3 2 3 3 2" xfId="12375"/>
    <cellStyle name="Comma 9 3 2 3 3 2 2" xfId="18914"/>
    <cellStyle name="Comma 9 3 2 3 3 3" xfId="16062"/>
    <cellStyle name="Comma 9 3 2 3 4" xfId="9518"/>
    <cellStyle name="Comma 9 3 2 3 4 2" xfId="12946"/>
    <cellStyle name="Comma 9 3 2 3 4 2 2" xfId="19485"/>
    <cellStyle name="Comma 9 3 2 3 4 3" xfId="16633"/>
    <cellStyle name="Comma 9 3 2 3 5" xfId="3276"/>
    <cellStyle name="Comma 9 3 2 3 5 2" xfId="11233"/>
    <cellStyle name="Comma 9 3 2 3 5 2 2" xfId="17772"/>
    <cellStyle name="Comma 9 3 2 3 5 3" xfId="14920"/>
    <cellStyle name="Comma 9 3 2 3 6" xfId="2702"/>
    <cellStyle name="Comma 9 3 2 3 6 2" xfId="14350"/>
    <cellStyle name="Comma 9 3 2 3 7" xfId="10663"/>
    <cellStyle name="Comma 9 3 2 3 7 2" xfId="17202"/>
    <cellStyle name="Comma 9 3 2 3 8" xfId="13780"/>
    <cellStyle name="Comma 9 3 2 4" xfId="3839"/>
    <cellStyle name="Comma 9 3 2 4 2" xfId="11519"/>
    <cellStyle name="Comma 9 3 2 4 2 2" xfId="18058"/>
    <cellStyle name="Comma 9 3 2 4 3" xfId="15206"/>
    <cellStyle name="Comma 9 3 2 5" xfId="6111"/>
    <cellStyle name="Comma 9 3 2 5 2" xfId="12090"/>
    <cellStyle name="Comma 9 3 2 5 2 2" xfId="18629"/>
    <cellStyle name="Comma 9 3 2 5 3" xfId="15777"/>
    <cellStyle name="Comma 9 3 2 6" xfId="8383"/>
    <cellStyle name="Comma 9 3 2 6 2" xfId="12661"/>
    <cellStyle name="Comma 9 3 2 6 2 2" xfId="19200"/>
    <cellStyle name="Comma 9 3 2 6 3" xfId="16348"/>
    <cellStyle name="Comma 9 3 2 7" xfId="2991"/>
    <cellStyle name="Comma 9 3 2 7 2" xfId="10948"/>
    <cellStyle name="Comma 9 3 2 7 2 2" xfId="17487"/>
    <cellStyle name="Comma 9 3 2 7 3" xfId="14635"/>
    <cellStyle name="Comma 9 3 2 8" xfId="2422"/>
    <cellStyle name="Comma 9 3 2 8 2" xfId="14070"/>
    <cellStyle name="Comma 9 3 2 9" xfId="10383"/>
    <cellStyle name="Comma 9 3 2 9 2" xfId="16922"/>
    <cellStyle name="Comma 9 3 3" xfId="1100"/>
    <cellStyle name="Comma 9 3 3 2" xfId="2235"/>
    <cellStyle name="Comma 9 3 3 2 2" xfId="5655"/>
    <cellStyle name="Comma 9 3 3 2 2 2" xfId="11975"/>
    <cellStyle name="Comma 9 3 3 2 2 2 2" xfId="18514"/>
    <cellStyle name="Comma 9 3 3 2 2 3" xfId="15662"/>
    <cellStyle name="Comma 9 3 3 2 3" xfId="7927"/>
    <cellStyle name="Comma 9 3 3 2 3 2" xfId="12546"/>
    <cellStyle name="Comma 9 3 3 2 3 2 2" xfId="19085"/>
    <cellStyle name="Comma 9 3 3 2 3 3" xfId="16233"/>
    <cellStyle name="Comma 9 3 3 2 4" xfId="10199"/>
    <cellStyle name="Comma 9 3 3 2 4 2" xfId="13117"/>
    <cellStyle name="Comma 9 3 3 2 4 2 2" xfId="19656"/>
    <cellStyle name="Comma 9 3 3 2 4 3" xfId="16804"/>
    <cellStyle name="Comma 9 3 3 2 5" xfId="3447"/>
    <cellStyle name="Comma 9 3 3 2 5 2" xfId="11404"/>
    <cellStyle name="Comma 9 3 3 2 5 2 2" xfId="17943"/>
    <cellStyle name="Comma 9 3 3 2 5 3" xfId="15091"/>
    <cellStyle name="Comma 9 3 3 2 6" xfId="2870"/>
    <cellStyle name="Comma 9 3 3 2 6 2" xfId="14518"/>
    <cellStyle name="Comma 9 3 3 2 7" xfId="10831"/>
    <cellStyle name="Comma 9 3 3 2 7 2" xfId="17370"/>
    <cellStyle name="Comma 9 3 3 2 8" xfId="13951"/>
    <cellStyle name="Comma 9 3 3 3" xfId="4520"/>
    <cellStyle name="Comma 9 3 3 3 2" xfId="11690"/>
    <cellStyle name="Comma 9 3 3 3 2 2" xfId="18229"/>
    <cellStyle name="Comma 9 3 3 3 3" xfId="15377"/>
    <cellStyle name="Comma 9 3 3 4" xfId="6792"/>
    <cellStyle name="Comma 9 3 3 4 2" xfId="12261"/>
    <cellStyle name="Comma 9 3 3 4 2 2" xfId="18800"/>
    <cellStyle name="Comma 9 3 3 4 3" xfId="15948"/>
    <cellStyle name="Comma 9 3 3 5" xfId="9064"/>
    <cellStyle name="Comma 9 3 3 5 2" xfId="12832"/>
    <cellStyle name="Comma 9 3 3 5 2 2" xfId="19371"/>
    <cellStyle name="Comma 9 3 3 5 3" xfId="16519"/>
    <cellStyle name="Comma 9 3 3 6" xfId="3162"/>
    <cellStyle name="Comma 9 3 3 6 2" xfId="11119"/>
    <cellStyle name="Comma 9 3 3 6 2 2" xfId="17658"/>
    <cellStyle name="Comma 9 3 3 6 3" xfId="14806"/>
    <cellStyle name="Comma 9 3 3 7" xfId="2590"/>
    <cellStyle name="Comma 9 3 3 7 2" xfId="14238"/>
    <cellStyle name="Comma 9 3 3 8" xfId="10551"/>
    <cellStyle name="Comma 9 3 3 8 2" xfId="17090"/>
    <cellStyle name="Comma 9 3 3 9" xfId="13666"/>
    <cellStyle name="Comma 9 3 4" xfId="646"/>
    <cellStyle name="Comma 9 3 4 2" xfId="1781"/>
    <cellStyle name="Comma 9 3 4 2 2" xfId="5201"/>
    <cellStyle name="Comma 9 3 4 2 2 2" xfId="11861"/>
    <cellStyle name="Comma 9 3 4 2 2 2 2" xfId="18400"/>
    <cellStyle name="Comma 9 3 4 2 2 3" xfId="15548"/>
    <cellStyle name="Comma 9 3 4 2 3" xfId="7473"/>
    <cellStyle name="Comma 9 3 4 2 3 2" xfId="12432"/>
    <cellStyle name="Comma 9 3 4 2 3 2 2" xfId="18971"/>
    <cellStyle name="Comma 9 3 4 2 3 3" xfId="16119"/>
    <cellStyle name="Comma 9 3 4 2 4" xfId="9745"/>
    <cellStyle name="Comma 9 3 4 2 4 2" xfId="13003"/>
    <cellStyle name="Comma 9 3 4 2 4 2 2" xfId="19542"/>
    <cellStyle name="Comma 9 3 4 2 4 3" xfId="16690"/>
    <cellStyle name="Comma 9 3 4 2 5" xfId="3333"/>
    <cellStyle name="Comma 9 3 4 2 5 2" xfId="11290"/>
    <cellStyle name="Comma 9 3 4 2 5 2 2" xfId="17829"/>
    <cellStyle name="Comma 9 3 4 2 5 3" xfId="14977"/>
    <cellStyle name="Comma 9 3 4 2 6" xfId="2758"/>
    <cellStyle name="Comma 9 3 4 2 6 2" xfId="14406"/>
    <cellStyle name="Comma 9 3 4 2 7" xfId="10719"/>
    <cellStyle name="Comma 9 3 4 2 7 2" xfId="17258"/>
    <cellStyle name="Comma 9 3 4 2 8" xfId="13837"/>
    <cellStyle name="Comma 9 3 4 3" xfId="4066"/>
    <cellStyle name="Comma 9 3 4 3 2" xfId="11576"/>
    <cellStyle name="Comma 9 3 4 3 2 2" xfId="18115"/>
    <cellStyle name="Comma 9 3 4 3 3" xfId="15263"/>
    <cellStyle name="Comma 9 3 4 4" xfId="6338"/>
    <cellStyle name="Comma 9 3 4 4 2" xfId="12147"/>
    <cellStyle name="Comma 9 3 4 4 2 2" xfId="18686"/>
    <cellStyle name="Comma 9 3 4 4 3" xfId="15834"/>
    <cellStyle name="Comma 9 3 4 5" xfId="8610"/>
    <cellStyle name="Comma 9 3 4 5 2" xfId="12718"/>
    <cellStyle name="Comma 9 3 4 5 2 2" xfId="19257"/>
    <cellStyle name="Comma 9 3 4 5 3" xfId="16405"/>
    <cellStyle name="Comma 9 3 4 6" xfId="3048"/>
    <cellStyle name="Comma 9 3 4 6 2" xfId="11005"/>
    <cellStyle name="Comma 9 3 4 6 2 2" xfId="17544"/>
    <cellStyle name="Comma 9 3 4 6 3" xfId="14692"/>
    <cellStyle name="Comma 9 3 4 7" xfId="2478"/>
    <cellStyle name="Comma 9 3 4 7 2" xfId="14126"/>
    <cellStyle name="Comma 9 3 4 8" xfId="10439"/>
    <cellStyle name="Comma 9 3 4 8 2" xfId="16978"/>
    <cellStyle name="Comma 9 3 4 9" xfId="13552"/>
    <cellStyle name="Comma 9 3 5" xfId="1327"/>
    <cellStyle name="Comma 9 3 5 2" xfId="4747"/>
    <cellStyle name="Comma 9 3 5 2 2" xfId="11747"/>
    <cellStyle name="Comma 9 3 5 2 2 2" xfId="18286"/>
    <cellStyle name="Comma 9 3 5 2 3" xfId="15434"/>
    <cellStyle name="Comma 9 3 5 3" xfId="7019"/>
    <cellStyle name="Comma 9 3 5 3 2" xfId="12318"/>
    <cellStyle name="Comma 9 3 5 3 2 2" xfId="18857"/>
    <cellStyle name="Comma 9 3 5 3 3" xfId="16005"/>
    <cellStyle name="Comma 9 3 5 4" xfId="9291"/>
    <cellStyle name="Comma 9 3 5 4 2" xfId="12889"/>
    <cellStyle name="Comma 9 3 5 4 2 2" xfId="19428"/>
    <cellStyle name="Comma 9 3 5 4 3" xfId="16576"/>
    <cellStyle name="Comma 9 3 5 5" xfId="3219"/>
    <cellStyle name="Comma 9 3 5 5 2" xfId="11176"/>
    <cellStyle name="Comma 9 3 5 5 2 2" xfId="17715"/>
    <cellStyle name="Comma 9 3 5 5 3" xfId="14863"/>
    <cellStyle name="Comma 9 3 5 6" xfId="2646"/>
    <cellStyle name="Comma 9 3 5 6 2" xfId="14294"/>
    <cellStyle name="Comma 9 3 5 7" xfId="10607"/>
    <cellStyle name="Comma 9 3 5 7 2" xfId="17146"/>
    <cellStyle name="Comma 9 3 5 8" xfId="13723"/>
    <cellStyle name="Comma 9 3 6" xfId="3612"/>
    <cellStyle name="Comma 9 3 6 2" xfId="11462"/>
    <cellStyle name="Comma 9 3 6 2 2" xfId="18001"/>
    <cellStyle name="Comma 9 3 6 3" xfId="15149"/>
    <cellStyle name="Comma 9 3 7" xfId="5884"/>
    <cellStyle name="Comma 9 3 7 2" xfId="12033"/>
    <cellStyle name="Comma 9 3 7 2 2" xfId="18572"/>
    <cellStyle name="Comma 9 3 7 3" xfId="15720"/>
    <cellStyle name="Comma 9 3 8" xfId="8156"/>
    <cellStyle name="Comma 9 3 8 2" xfId="12604"/>
    <cellStyle name="Comma 9 3 8 2 2" xfId="19143"/>
    <cellStyle name="Comma 9 3 8 3" xfId="16291"/>
    <cellStyle name="Comma 9 3 9" xfId="2931"/>
    <cellStyle name="Comma 9 3 9 2" xfId="10890"/>
    <cellStyle name="Comma 9 3 9 2 2" xfId="17429"/>
    <cellStyle name="Comma 9 3 9 3" xfId="14577"/>
    <cellStyle name="Comma 9 4" xfId="125"/>
    <cellStyle name="Comma 9 4 10" xfId="2351"/>
    <cellStyle name="Comma 9 4 10 2" xfId="13999"/>
    <cellStyle name="Comma 9 4 11" xfId="10312"/>
    <cellStyle name="Comma 9 4 11 2" xfId="16851"/>
    <cellStyle name="Comma 9 4 12" xfId="13423"/>
    <cellStyle name="Comma 9 4 2" xfId="363"/>
    <cellStyle name="Comma 9 4 2 10" xfId="13481"/>
    <cellStyle name="Comma 9 4 2 2" xfId="817"/>
    <cellStyle name="Comma 9 4 2 2 2" xfId="1952"/>
    <cellStyle name="Comma 9 4 2 2 2 2" xfId="5372"/>
    <cellStyle name="Comma 9 4 2 2 2 2 2" xfId="11904"/>
    <cellStyle name="Comma 9 4 2 2 2 2 2 2" xfId="18443"/>
    <cellStyle name="Comma 9 4 2 2 2 2 3" xfId="15591"/>
    <cellStyle name="Comma 9 4 2 2 2 3" xfId="7644"/>
    <cellStyle name="Comma 9 4 2 2 2 3 2" xfId="12475"/>
    <cellStyle name="Comma 9 4 2 2 2 3 2 2" xfId="19014"/>
    <cellStyle name="Comma 9 4 2 2 2 3 3" xfId="16162"/>
    <cellStyle name="Comma 9 4 2 2 2 4" xfId="9916"/>
    <cellStyle name="Comma 9 4 2 2 2 4 2" xfId="13046"/>
    <cellStyle name="Comma 9 4 2 2 2 4 2 2" xfId="19585"/>
    <cellStyle name="Comma 9 4 2 2 2 4 3" xfId="16733"/>
    <cellStyle name="Comma 9 4 2 2 2 5" xfId="3376"/>
    <cellStyle name="Comma 9 4 2 2 2 5 2" xfId="11333"/>
    <cellStyle name="Comma 9 4 2 2 2 5 2 2" xfId="17872"/>
    <cellStyle name="Comma 9 4 2 2 2 5 3" xfId="15020"/>
    <cellStyle name="Comma 9 4 2 2 2 6" xfId="2800"/>
    <cellStyle name="Comma 9 4 2 2 2 6 2" xfId="14448"/>
    <cellStyle name="Comma 9 4 2 2 2 7" xfId="10761"/>
    <cellStyle name="Comma 9 4 2 2 2 7 2" xfId="17300"/>
    <cellStyle name="Comma 9 4 2 2 2 8" xfId="13880"/>
    <cellStyle name="Comma 9 4 2 2 3" xfId="4237"/>
    <cellStyle name="Comma 9 4 2 2 3 2" xfId="11619"/>
    <cellStyle name="Comma 9 4 2 2 3 2 2" xfId="18158"/>
    <cellStyle name="Comma 9 4 2 2 3 3" xfId="15306"/>
    <cellStyle name="Comma 9 4 2 2 4" xfId="6509"/>
    <cellStyle name="Comma 9 4 2 2 4 2" xfId="12190"/>
    <cellStyle name="Comma 9 4 2 2 4 2 2" xfId="18729"/>
    <cellStyle name="Comma 9 4 2 2 4 3" xfId="15877"/>
    <cellStyle name="Comma 9 4 2 2 5" xfId="8781"/>
    <cellStyle name="Comma 9 4 2 2 5 2" xfId="12761"/>
    <cellStyle name="Comma 9 4 2 2 5 2 2" xfId="19300"/>
    <cellStyle name="Comma 9 4 2 2 5 3" xfId="16448"/>
    <cellStyle name="Comma 9 4 2 2 6" xfId="3091"/>
    <cellStyle name="Comma 9 4 2 2 6 2" xfId="11048"/>
    <cellStyle name="Comma 9 4 2 2 6 2 2" xfId="17587"/>
    <cellStyle name="Comma 9 4 2 2 6 3" xfId="14735"/>
    <cellStyle name="Comma 9 4 2 2 7" xfId="2520"/>
    <cellStyle name="Comma 9 4 2 2 7 2" xfId="14168"/>
    <cellStyle name="Comma 9 4 2 2 8" xfId="10481"/>
    <cellStyle name="Comma 9 4 2 2 8 2" xfId="17020"/>
    <cellStyle name="Comma 9 4 2 2 9" xfId="13595"/>
    <cellStyle name="Comma 9 4 2 3" xfId="1498"/>
    <cellStyle name="Comma 9 4 2 3 2" xfId="4918"/>
    <cellStyle name="Comma 9 4 2 3 2 2" xfId="11790"/>
    <cellStyle name="Comma 9 4 2 3 2 2 2" xfId="18329"/>
    <cellStyle name="Comma 9 4 2 3 2 3" xfId="15477"/>
    <cellStyle name="Comma 9 4 2 3 3" xfId="7190"/>
    <cellStyle name="Comma 9 4 2 3 3 2" xfId="12361"/>
    <cellStyle name="Comma 9 4 2 3 3 2 2" xfId="18900"/>
    <cellStyle name="Comma 9 4 2 3 3 3" xfId="16048"/>
    <cellStyle name="Comma 9 4 2 3 4" xfId="9462"/>
    <cellStyle name="Comma 9 4 2 3 4 2" xfId="12932"/>
    <cellStyle name="Comma 9 4 2 3 4 2 2" xfId="19471"/>
    <cellStyle name="Comma 9 4 2 3 4 3" xfId="16619"/>
    <cellStyle name="Comma 9 4 2 3 5" xfId="3262"/>
    <cellStyle name="Comma 9 4 2 3 5 2" xfId="11219"/>
    <cellStyle name="Comma 9 4 2 3 5 2 2" xfId="17758"/>
    <cellStyle name="Comma 9 4 2 3 5 3" xfId="14906"/>
    <cellStyle name="Comma 9 4 2 3 6" xfId="2688"/>
    <cellStyle name="Comma 9 4 2 3 6 2" xfId="14336"/>
    <cellStyle name="Comma 9 4 2 3 7" xfId="10649"/>
    <cellStyle name="Comma 9 4 2 3 7 2" xfId="17188"/>
    <cellStyle name="Comma 9 4 2 3 8" xfId="13766"/>
    <cellStyle name="Comma 9 4 2 4" xfId="3783"/>
    <cellStyle name="Comma 9 4 2 4 2" xfId="11505"/>
    <cellStyle name="Comma 9 4 2 4 2 2" xfId="18044"/>
    <cellStyle name="Comma 9 4 2 4 3" xfId="15192"/>
    <cellStyle name="Comma 9 4 2 5" xfId="6055"/>
    <cellStyle name="Comma 9 4 2 5 2" xfId="12076"/>
    <cellStyle name="Comma 9 4 2 5 2 2" xfId="18615"/>
    <cellStyle name="Comma 9 4 2 5 3" xfId="15763"/>
    <cellStyle name="Comma 9 4 2 6" xfId="8327"/>
    <cellStyle name="Comma 9 4 2 6 2" xfId="12647"/>
    <cellStyle name="Comma 9 4 2 6 2 2" xfId="19186"/>
    <cellStyle name="Comma 9 4 2 6 3" xfId="16334"/>
    <cellStyle name="Comma 9 4 2 7" xfId="2977"/>
    <cellStyle name="Comma 9 4 2 7 2" xfId="10934"/>
    <cellStyle name="Comma 9 4 2 7 2 2" xfId="17473"/>
    <cellStyle name="Comma 9 4 2 7 3" xfId="14621"/>
    <cellStyle name="Comma 9 4 2 8" xfId="2408"/>
    <cellStyle name="Comma 9 4 2 8 2" xfId="14056"/>
    <cellStyle name="Comma 9 4 2 9" xfId="10369"/>
    <cellStyle name="Comma 9 4 2 9 2" xfId="16908"/>
    <cellStyle name="Comma 9 4 3" xfId="1044"/>
    <cellStyle name="Comma 9 4 3 2" xfId="2179"/>
    <cellStyle name="Comma 9 4 3 2 2" xfId="5599"/>
    <cellStyle name="Comma 9 4 3 2 2 2" xfId="11961"/>
    <cellStyle name="Comma 9 4 3 2 2 2 2" xfId="18500"/>
    <cellStyle name="Comma 9 4 3 2 2 3" xfId="15648"/>
    <cellStyle name="Comma 9 4 3 2 3" xfId="7871"/>
    <cellStyle name="Comma 9 4 3 2 3 2" xfId="12532"/>
    <cellStyle name="Comma 9 4 3 2 3 2 2" xfId="19071"/>
    <cellStyle name="Comma 9 4 3 2 3 3" xfId="16219"/>
    <cellStyle name="Comma 9 4 3 2 4" xfId="10143"/>
    <cellStyle name="Comma 9 4 3 2 4 2" xfId="13103"/>
    <cellStyle name="Comma 9 4 3 2 4 2 2" xfId="19642"/>
    <cellStyle name="Comma 9 4 3 2 4 3" xfId="16790"/>
    <cellStyle name="Comma 9 4 3 2 5" xfId="3433"/>
    <cellStyle name="Comma 9 4 3 2 5 2" xfId="11390"/>
    <cellStyle name="Comma 9 4 3 2 5 2 2" xfId="17929"/>
    <cellStyle name="Comma 9 4 3 2 5 3" xfId="15077"/>
    <cellStyle name="Comma 9 4 3 2 6" xfId="2856"/>
    <cellStyle name="Comma 9 4 3 2 6 2" xfId="14504"/>
    <cellStyle name="Comma 9 4 3 2 7" xfId="10817"/>
    <cellStyle name="Comma 9 4 3 2 7 2" xfId="17356"/>
    <cellStyle name="Comma 9 4 3 2 8" xfId="13937"/>
    <cellStyle name="Comma 9 4 3 3" xfId="4464"/>
    <cellStyle name="Comma 9 4 3 3 2" xfId="11676"/>
    <cellStyle name="Comma 9 4 3 3 2 2" xfId="18215"/>
    <cellStyle name="Comma 9 4 3 3 3" xfId="15363"/>
    <cellStyle name="Comma 9 4 3 4" xfId="6736"/>
    <cellStyle name="Comma 9 4 3 4 2" xfId="12247"/>
    <cellStyle name="Comma 9 4 3 4 2 2" xfId="18786"/>
    <cellStyle name="Comma 9 4 3 4 3" xfId="15934"/>
    <cellStyle name="Comma 9 4 3 5" xfId="9008"/>
    <cellStyle name="Comma 9 4 3 5 2" xfId="12818"/>
    <cellStyle name="Comma 9 4 3 5 2 2" xfId="19357"/>
    <cellStyle name="Comma 9 4 3 5 3" xfId="16505"/>
    <cellStyle name="Comma 9 4 3 6" xfId="3148"/>
    <cellStyle name="Comma 9 4 3 6 2" xfId="11105"/>
    <cellStyle name="Comma 9 4 3 6 2 2" xfId="17644"/>
    <cellStyle name="Comma 9 4 3 6 3" xfId="14792"/>
    <cellStyle name="Comma 9 4 3 7" xfId="2576"/>
    <cellStyle name="Comma 9 4 3 7 2" xfId="14224"/>
    <cellStyle name="Comma 9 4 3 8" xfId="10537"/>
    <cellStyle name="Comma 9 4 3 8 2" xfId="17076"/>
    <cellStyle name="Comma 9 4 3 9" xfId="13652"/>
    <cellStyle name="Comma 9 4 4" xfId="590"/>
    <cellStyle name="Comma 9 4 4 2" xfId="1725"/>
    <cellStyle name="Comma 9 4 4 2 2" xfId="5145"/>
    <cellStyle name="Comma 9 4 4 2 2 2" xfId="11847"/>
    <cellStyle name="Comma 9 4 4 2 2 2 2" xfId="18386"/>
    <cellStyle name="Comma 9 4 4 2 2 3" xfId="15534"/>
    <cellStyle name="Comma 9 4 4 2 3" xfId="7417"/>
    <cellStyle name="Comma 9 4 4 2 3 2" xfId="12418"/>
    <cellStyle name="Comma 9 4 4 2 3 2 2" xfId="18957"/>
    <cellStyle name="Comma 9 4 4 2 3 3" xfId="16105"/>
    <cellStyle name="Comma 9 4 4 2 4" xfId="9689"/>
    <cellStyle name="Comma 9 4 4 2 4 2" xfId="12989"/>
    <cellStyle name="Comma 9 4 4 2 4 2 2" xfId="19528"/>
    <cellStyle name="Comma 9 4 4 2 4 3" xfId="16676"/>
    <cellStyle name="Comma 9 4 4 2 5" xfId="3319"/>
    <cellStyle name="Comma 9 4 4 2 5 2" xfId="11276"/>
    <cellStyle name="Comma 9 4 4 2 5 2 2" xfId="17815"/>
    <cellStyle name="Comma 9 4 4 2 5 3" xfId="14963"/>
    <cellStyle name="Comma 9 4 4 2 6" xfId="2744"/>
    <cellStyle name="Comma 9 4 4 2 6 2" xfId="14392"/>
    <cellStyle name="Comma 9 4 4 2 7" xfId="10705"/>
    <cellStyle name="Comma 9 4 4 2 7 2" xfId="17244"/>
    <cellStyle name="Comma 9 4 4 2 8" xfId="13823"/>
    <cellStyle name="Comma 9 4 4 3" xfId="4010"/>
    <cellStyle name="Comma 9 4 4 3 2" xfId="11562"/>
    <cellStyle name="Comma 9 4 4 3 2 2" xfId="18101"/>
    <cellStyle name="Comma 9 4 4 3 3" xfId="15249"/>
    <cellStyle name="Comma 9 4 4 4" xfId="6282"/>
    <cellStyle name="Comma 9 4 4 4 2" xfId="12133"/>
    <cellStyle name="Comma 9 4 4 4 2 2" xfId="18672"/>
    <cellStyle name="Comma 9 4 4 4 3" xfId="15820"/>
    <cellStyle name="Comma 9 4 4 5" xfId="8554"/>
    <cellStyle name="Comma 9 4 4 5 2" xfId="12704"/>
    <cellStyle name="Comma 9 4 4 5 2 2" xfId="19243"/>
    <cellStyle name="Comma 9 4 4 5 3" xfId="16391"/>
    <cellStyle name="Comma 9 4 4 6" xfId="3034"/>
    <cellStyle name="Comma 9 4 4 6 2" xfId="10991"/>
    <cellStyle name="Comma 9 4 4 6 2 2" xfId="17530"/>
    <cellStyle name="Comma 9 4 4 6 3" xfId="14678"/>
    <cellStyle name="Comma 9 4 4 7" xfId="2464"/>
    <cellStyle name="Comma 9 4 4 7 2" xfId="14112"/>
    <cellStyle name="Comma 9 4 4 8" xfId="10425"/>
    <cellStyle name="Comma 9 4 4 8 2" xfId="16964"/>
    <cellStyle name="Comma 9 4 4 9" xfId="13538"/>
    <cellStyle name="Comma 9 4 5" xfId="1271"/>
    <cellStyle name="Comma 9 4 5 2" xfId="4691"/>
    <cellStyle name="Comma 9 4 5 2 2" xfId="11733"/>
    <cellStyle name="Comma 9 4 5 2 2 2" xfId="18272"/>
    <cellStyle name="Comma 9 4 5 2 3" xfId="15420"/>
    <cellStyle name="Comma 9 4 5 3" xfId="6963"/>
    <cellStyle name="Comma 9 4 5 3 2" xfId="12304"/>
    <cellStyle name="Comma 9 4 5 3 2 2" xfId="18843"/>
    <cellStyle name="Comma 9 4 5 3 3" xfId="15991"/>
    <cellStyle name="Comma 9 4 5 4" xfId="9235"/>
    <cellStyle name="Comma 9 4 5 4 2" xfId="12875"/>
    <cellStyle name="Comma 9 4 5 4 2 2" xfId="19414"/>
    <cellStyle name="Comma 9 4 5 4 3" xfId="16562"/>
    <cellStyle name="Comma 9 4 5 5" xfId="3205"/>
    <cellStyle name="Comma 9 4 5 5 2" xfId="11162"/>
    <cellStyle name="Comma 9 4 5 5 2 2" xfId="17701"/>
    <cellStyle name="Comma 9 4 5 5 3" xfId="14849"/>
    <cellStyle name="Comma 9 4 5 6" xfId="2632"/>
    <cellStyle name="Comma 9 4 5 6 2" xfId="14280"/>
    <cellStyle name="Comma 9 4 5 7" xfId="10593"/>
    <cellStyle name="Comma 9 4 5 7 2" xfId="17132"/>
    <cellStyle name="Comma 9 4 5 8" xfId="13709"/>
    <cellStyle name="Comma 9 4 6" xfId="3556"/>
    <cellStyle name="Comma 9 4 6 2" xfId="11448"/>
    <cellStyle name="Comma 9 4 6 2 2" xfId="17987"/>
    <cellStyle name="Comma 9 4 6 3" xfId="15135"/>
    <cellStyle name="Comma 9 4 7" xfId="5828"/>
    <cellStyle name="Comma 9 4 7 2" xfId="12019"/>
    <cellStyle name="Comma 9 4 7 2 2" xfId="18558"/>
    <cellStyle name="Comma 9 4 7 3" xfId="15706"/>
    <cellStyle name="Comma 9 4 8" xfId="8100"/>
    <cellStyle name="Comma 9 4 8 2" xfId="12590"/>
    <cellStyle name="Comma 9 4 8 2 2" xfId="19129"/>
    <cellStyle name="Comma 9 4 8 3" xfId="16277"/>
    <cellStyle name="Comma 9 4 9" xfId="2917"/>
    <cellStyle name="Comma 9 4 9 2" xfId="10876"/>
    <cellStyle name="Comma 9 4 9 2 2" xfId="17415"/>
    <cellStyle name="Comma 9 4 9 3" xfId="14563"/>
    <cellStyle name="Comma 9 5" xfId="251"/>
    <cellStyle name="Comma 9 5 10" xfId="2380"/>
    <cellStyle name="Comma 9 5 10 2" xfId="14028"/>
    <cellStyle name="Comma 9 5 11" xfId="10341"/>
    <cellStyle name="Comma 9 5 11 2" xfId="16880"/>
    <cellStyle name="Comma 9 5 12" xfId="13453"/>
    <cellStyle name="Comma 9 5 2" xfId="478"/>
    <cellStyle name="Comma 9 5 2 10" xfId="13510"/>
    <cellStyle name="Comma 9 5 2 2" xfId="932"/>
    <cellStyle name="Comma 9 5 2 2 2" xfId="2067"/>
    <cellStyle name="Comma 9 5 2 2 2 2" xfId="5487"/>
    <cellStyle name="Comma 9 5 2 2 2 2 2" xfId="11933"/>
    <cellStyle name="Comma 9 5 2 2 2 2 2 2" xfId="18472"/>
    <cellStyle name="Comma 9 5 2 2 2 2 3" xfId="15620"/>
    <cellStyle name="Comma 9 5 2 2 2 3" xfId="7759"/>
    <cellStyle name="Comma 9 5 2 2 2 3 2" xfId="12504"/>
    <cellStyle name="Comma 9 5 2 2 2 3 2 2" xfId="19043"/>
    <cellStyle name="Comma 9 5 2 2 2 3 3" xfId="16191"/>
    <cellStyle name="Comma 9 5 2 2 2 4" xfId="10031"/>
    <cellStyle name="Comma 9 5 2 2 2 4 2" xfId="13075"/>
    <cellStyle name="Comma 9 5 2 2 2 4 2 2" xfId="19614"/>
    <cellStyle name="Comma 9 5 2 2 2 4 3" xfId="16762"/>
    <cellStyle name="Comma 9 5 2 2 2 5" xfId="3405"/>
    <cellStyle name="Comma 9 5 2 2 2 5 2" xfId="11362"/>
    <cellStyle name="Comma 9 5 2 2 2 5 2 2" xfId="17901"/>
    <cellStyle name="Comma 9 5 2 2 2 5 3" xfId="15049"/>
    <cellStyle name="Comma 9 5 2 2 2 6" xfId="2828"/>
    <cellStyle name="Comma 9 5 2 2 2 6 2" xfId="14476"/>
    <cellStyle name="Comma 9 5 2 2 2 7" xfId="10789"/>
    <cellStyle name="Comma 9 5 2 2 2 7 2" xfId="17328"/>
    <cellStyle name="Comma 9 5 2 2 2 8" xfId="13909"/>
    <cellStyle name="Comma 9 5 2 2 3" xfId="4352"/>
    <cellStyle name="Comma 9 5 2 2 3 2" xfId="11648"/>
    <cellStyle name="Comma 9 5 2 2 3 2 2" xfId="18187"/>
    <cellStyle name="Comma 9 5 2 2 3 3" xfId="15335"/>
    <cellStyle name="Comma 9 5 2 2 4" xfId="6624"/>
    <cellStyle name="Comma 9 5 2 2 4 2" xfId="12219"/>
    <cellStyle name="Comma 9 5 2 2 4 2 2" xfId="18758"/>
    <cellStyle name="Comma 9 5 2 2 4 3" xfId="15906"/>
    <cellStyle name="Comma 9 5 2 2 5" xfId="8896"/>
    <cellStyle name="Comma 9 5 2 2 5 2" xfId="12790"/>
    <cellStyle name="Comma 9 5 2 2 5 2 2" xfId="19329"/>
    <cellStyle name="Comma 9 5 2 2 5 3" xfId="16477"/>
    <cellStyle name="Comma 9 5 2 2 6" xfId="3120"/>
    <cellStyle name="Comma 9 5 2 2 6 2" xfId="11077"/>
    <cellStyle name="Comma 9 5 2 2 6 2 2" xfId="17616"/>
    <cellStyle name="Comma 9 5 2 2 6 3" xfId="14764"/>
    <cellStyle name="Comma 9 5 2 2 7" xfId="2548"/>
    <cellStyle name="Comma 9 5 2 2 7 2" xfId="14196"/>
    <cellStyle name="Comma 9 5 2 2 8" xfId="10509"/>
    <cellStyle name="Comma 9 5 2 2 8 2" xfId="17048"/>
    <cellStyle name="Comma 9 5 2 2 9" xfId="13624"/>
    <cellStyle name="Comma 9 5 2 3" xfId="1613"/>
    <cellStyle name="Comma 9 5 2 3 2" xfId="5033"/>
    <cellStyle name="Comma 9 5 2 3 2 2" xfId="11819"/>
    <cellStyle name="Comma 9 5 2 3 2 2 2" xfId="18358"/>
    <cellStyle name="Comma 9 5 2 3 2 3" xfId="15506"/>
    <cellStyle name="Comma 9 5 2 3 3" xfId="7305"/>
    <cellStyle name="Comma 9 5 2 3 3 2" xfId="12390"/>
    <cellStyle name="Comma 9 5 2 3 3 2 2" xfId="18929"/>
    <cellStyle name="Comma 9 5 2 3 3 3" xfId="16077"/>
    <cellStyle name="Comma 9 5 2 3 4" xfId="9577"/>
    <cellStyle name="Comma 9 5 2 3 4 2" xfId="12961"/>
    <cellStyle name="Comma 9 5 2 3 4 2 2" xfId="19500"/>
    <cellStyle name="Comma 9 5 2 3 4 3" xfId="16648"/>
    <cellStyle name="Comma 9 5 2 3 5" xfId="3291"/>
    <cellStyle name="Comma 9 5 2 3 5 2" xfId="11248"/>
    <cellStyle name="Comma 9 5 2 3 5 2 2" xfId="17787"/>
    <cellStyle name="Comma 9 5 2 3 5 3" xfId="14935"/>
    <cellStyle name="Comma 9 5 2 3 6" xfId="2716"/>
    <cellStyle name="Comma 9 5 2 3 6 2" xfId="14364"/>
    <cellStyle name="Comma 9 5 2 3 7" xfId="10677"/>
    <cellStyle name="Comma 9 5 2 3 7 2" xfId="17216"/>
    <cellStyle name="Comma 9 5 2 3 8" xfId="13795"/>
    <cellStyle name="Comma 9 5 2 4" xfId="3898"/>
    <cellStyle name="Comma 9 5 2 4 2" xfId="11534"/>
    <cellStyle name="Comma 9 5 2 4 2 2" xfId="18073"/>
    <cellStyle name="Comma 9 5 2 4 3" xfId="15221"/>
    <cellStyle name="Comma 9 5 2 5" xfId="6170"/>
    <cellStyle name="Comma 9 5 2 5 2" xfId="12105"/>
    <cellStyle name="Comma 9 5 2 5 2 2" xfId="18644"/>
    <cellStyle name="Comma 9 5 2 5 3" xfId="15792"/>
    <cellStyle name="Comma 9 5 2 6" xfId="8442"/>
    <cellStyle name="Comma 9 5 2 6 2" xfId="12676"/>
    <cellStyle name="Comma 9 5 2 6 2 2" xfId="19215"/>
    <cellStyle name="Comma 9 5 2 6 3" xfId="16363"/>
    <cellStyle name="Comma 9 5 2 7" xfId="3006"/>
    <cellStyle name="Comma 9 5 2 7 2" xfId="10963"/>
    <cellStyle name="Comma 9 5 2 7 2 2" xfId="17502"/>
    <cellStyle name="Comma 9 5 2 7 3" xfId="14650"/>
    <cellStyle name="Comma 9 5 2 8" xfId="2436"/>
    <cellStyle name="Comma 9 5 2 8 2" xfId="14084"/>
    <cellStyle name="Comma 9 5 2 9" xfId="10397"/>
    <cellStyle name="Comma 9 5 2 9 2" xfId="16936"/>
    <cellStyle name="Comma 9 5 3" xfId="1159"/>
    <cellStyle name="Comma 9 5 3 2" xfId="2294"/>
    <cellStyle name="Comma 9 5 3 2 2" xfId="5714"/>
    <cellStyle name="Comma 9 5 3 2 2 2" xfId="11990"/>
    <cellStyle name="Comma 9 5 3 2 2 2 2" xfId="18529"/>
    <cellStyle name="Comma 9 5 3 2 2 3" xfId="15677"/>
    <cellStyle name="Comma 9 5 3 2 3" xfId="7986"/>
    <cellStyle name="Comma 9 5 3 2 3 2" xfId="12561"/>
    <cellStyle name="Comma 9 5 3 2 3 2 2" xfId="19100"/>
    <cellStyle name="Comma 9 5 3 2 3 3" xfId="16248"/>
    <cellStyle name="Comma 9 5 3 2 4" xfId="10258"/>
    <cellStyle name="Comma 9 5 3 2 4 2" xfId="13132"/>
    <cellStyle name="Comma 9 5 3 2 4 2 2" xfId="19671"/>
    <cellStyle name="Comma 9 5 3 2 4 3" xfId="16819"/>
    <cellStyle name="Comma 9 5 3 2 5" xfId="3462"/>
    <cellStyle name="Comma 9 5 3 2 5 2" xfId="11419"/>
    <cellStyle name="Comma 9 5 3 2 5 2 2" xfId="17958"/>
    <cellStyle name="Comma 9 5 3 2 5 3" xfId="15106"/>
    <cellStyle name="Comma 9 5 3 2 6" xfId="2884"/>
    <cellStyle name="Comma 9 5 3 2 6 2" xfId="14532"/>
    <cellStyle name="Comma 9 5 3 2 7" xfId="10845"/>
    <cellStyle name="Comma 9 5 3 2 7 2" xfId="17384"/>
    <cellStyle name="Comma 9 5 3 2 8" xfId="13966"/>
    <cellStyle name="Comma 9 5 3 3" xfId="4579"/>
    <cellStyle name="Comma 9 5 3 3 2" xfId="11705"/>
    <cellStyle name="Comma 9 5 3 3 2 2" xfId="18244"/>
    <cellStyle name="Comma 9 5 3 3 3" xfId="15392"/>
    <cellStyle name="Comma 9 5 3 4" xfId="6851"/>
    <cellStyle name="Comma 9 5 3 4 2" xfId="12276"/>
    <cellStyle name="Comma 9 5 3 4 2 2" xfId="18815"/>
    <cellStyle name="Comma 9 5 3 4 3" xfId="15963"/>
    <cellStyle name="Comma 9 5 3 5" xfId="9123"/>
    <cellStyle name="Comma 9 5 3 5 2" xfId="12847"/>
    <cellStyle name="Comma 9 5 3 5 2 2" xfId="19386"/>
    <cellStyle name="Comma 9 5 3 5 3" xfId="16534"/>
    <cellStyle name="Comma 9 5 3 6" xfId="3177"/>
    <cellStyle name="Comma 9 5 3 6 2" xfId="11134"/>
    <cellStyle name="Comma 9 5 3 6 2 2" xfId="17673"/>
    <cellStyle name="Comma 9 5 3 6 3" xfId="14821"/>
    <cellStyle name="Comma 9 5 3 7" xfId="2604"/>
    <cellStyle name="Comma 9 5 3 7 2" xfId="14252"/>
    <cellStyle name="Comma 9 5 3 8" xfId="10565"/>
    <cellStyle name="Comma 9 5 3 8 2" xfId="17104"/>
    <cellStyle name="Comma 9 5 3 9" xfId="13681"/>
    <cellStyle name="Comma 9 5 4" xfId="705"/>
    <cellStyle name="Comma 9 5 4 2" xfId="1840"/>
    <cellStyle name="Comma 9 5 4 2 2" xfId="5260"/>
    <cellStyle name="Comma 9 5 4 2 2 2" xfId="11876"/>
    <cellStyle name="Comma 9 5 4 2 2 2 2" xfId="18415"/>
    <cellStyle name="Comma 9 5 4 2 2 3" xfId="15563"/>
    <cellStyle name="Comma 9 5 4 2 3" xfId="7532"/>
    <cellStyle name="Comma 9 5 4 2 3 2" xfId="12447"/>
    <cellStyle name="Comma 9 5 4 2 3 2 2" xfId="18986"/>
    <cellStyle name="Comma 9 5 4 2 3 3" xfId="16134"/>
    <cellStyle name="Comma 9 5 4 2 4" xfId="9804"/>
    <cellStyle name="Comma 9 5 4 2 4 2" xfId="13018"/>
    <cellStyle name="Comma 9 5 4 2 4 2 2" xfId="19557"/>
    <cellStyle name="Comma 9 5 4 2 4 3" xfId="16705"/>
    <cellStyle name="Comma 9 5 4 2 5" xfId="3348"/>
    <cellStyle name="Comma 9 5 4 2 5 2" xfId="11305"/>
    <cellStyle name="Comma 9 5 4 2 5 2 2" xfId="17844"/>
    <cellStyle name="Comma 9 5 4 2 5 3" xfId="14992"/>
    <cellStyle name="Comma 9 5 4 2 6" xfId="2772"/>
    <cellStyle name="Comma 9 5 4 2 6 2" xfId="14420"/>
    <cellStyle name="Comma 9 5 4 2 7" xfId="10733"/>
    <cellStyle name="Comma 9 5 4 2 7 2" xfId="17272"/>
    <cellStyle name="Comma 9 5 4 2 8" xfId="13852"/>
    <cellStyle name="Comma 9 5 4 3" xfId="4125"/>
    <cellStyle name="Comma 9 5 4 3 2" xfId="11591"/>
    <cellStyle name="Comma 9 5 4 3 2 2" xfId="18130"/>
    <cellStyle name="Comma 9 5 4 3 3" xfId="15278"/>
    <cellStyle name="Comma 9 5 4 4" xfId="6397"/>
    <cellStyle name="Comma 9 5 4 4 2" xfId="12162"/>
    <cellStyle name="Comma 9 5 4 4 2 2" xfId="18701"/>
    <cellStyle name="Comma 9 5 4 4 3" xfId="15849"/>
    <cellStyle name="Comma 9 5 4 5" xfId="8669"/>
    <cellStyle name="Comma 9 5 4 5 2" xfId="12733"/>
    <cellStyle name="Comma 9 5 4 5 2 2" xfId="19272"/>
    <cellStyle name="Comma 9 5 4 5 3" xfId="16420"/>
    <cellStyle name="Comma 9 5 4 6" xfId="3063"/>
    <cellStyle name="Comma 9 5 4 6 2" xfId="11020"/>
    <cellStyle name="Comma 9 5 4 6 2 2" xfId="17559"/>
    <cellStyle name="Comma 9 5 4 6 3" xfId="14707"/>
    <cellStyle name="Comma 9 5 4 7" xfId="2492"/>
    <cellStyle name="Comma 9 5 4 7 2" xfId="14140"/>
    <cellStyle name="Comma 9 5 4 8" xfId="10453"/>
    <cellStyle name="Comma 9 5 4 8 2" xfId="16992"/>
    <cellStyle name="Comma 9 5 4 9" xfId="13567"/>
    <cellStyle name="Comma 9 5 5" xfId="1386"/>
    <cellStyle name="Comma 9 5 5 2" xfId="4806"/>
    <cellStyle name="Comma 9 5 5 2 2" xfId="11762"/>
    <cellStyle name="Comma 9 5 5 2 2 2" xfId="18301"/>
    <cellStyle name="Comma 9 5 5 2 3" xfId="15449"/>
    <cellStyle name="Comma 9 5 5 3" xfId="7078"/>
    <cellStyle name="Comma 9 5 5 3 2" xfId="12333"/>
    <cellStyle name="Comma 9 5 5 3 2 2" xfId="18872"/>
    <cellStyle name="Comma 9 5 5 3 3" xfId="16020"/>
    <cellStyle name="Comma 9 5 5 4" xfId="9350"/>
    <cellStyle name="Comma 9 5 5 4 2" xfId="12904"/>
    <cellStyle name="Comma 9 5 5 4 2 2" xfId="19443"/>
    <cellStyle name="Comma 9 5 5 4 3" xfId="16591"/>
    <cellStyle name="Comma 9 5 5 5" xfId="3234"/>
    <cellStyle name="Comma 9 5 5 5 2" xfId="11191"/>
    <cellStyle name="Comma 9 5 5 5 2 2" xfId="17730"/>
    <cellStyle name="Comma 9 5 5 5 3" xfId="14878"/>
    <cellStyle name="Comma 9 5 5 6" xfId="2660"/>
    <cellStyle name="Comma 9 5 5 6 2" xfId="14308"/>
    <cellStyle name="Comma 9 5 5 7" xfId="10621"/>
    <cellStyle name="Comma 9 5 5 7 2" xfId="17160"/>
    <cellStyle name="Comma 9 5 5 8" xfId="13738"/>
    <cellStyle name="Comma 9 5 6" xfId="3671"/>
    <cellStyle name="Comma 9 5 6 2" xfId="11477"/>
    <cellStyle name="Comma 9 5 6 2 2" xfId="18016"/>
    <cellStyle name="Comma 9 5 6 3" xfId="15164"/>
    <cellStyle name="Comma 9 5 7" xfId="5943"/>
    <cellStyle name="Comma 9 5 7 2" xfId="12048"/>
    <cellStyle name="Comma 9 5 7 2 2" xfId="18587"/>
    <cellStyle name="Comma 9 5 7 3" xfId="15735"/>
    <cellStyle name="Comma 9 5 8" xfId="8215"/>
    <cellStyle name="Comma 9 5 8 2" xfId="12619"/>
    <cellStyle name="Comma 9 5 8 2 2" xfId="19158"/>
    <cellStyle name="Comma 9 5 8 3" xfId="16306"/>
    <cellStyle name="Comma 9 5 9" xfId="2949"/>
    <cellStyle name="Comma 9 5 9 2" xfId="10906"/>
    <cellStyle name="Comma 9 5 9 2 2" xfId="17445"/>
    <cellStyle name="Comma 9 5 9 3" xfId="14593"/>
    <cellStyle name="Comma 9 6" xfId="307"/>
    <cellStyle name="Comma 9 6 10" xfId="13467"/>
    <cellStyle name="Comma 9 6 2" xfId="761"/>
    <cellStyle name="Comma 9 6 2 2" xfId="1896"/>
    <cellStyle name="Comma 9 6 2 2 2" xfId="5316"/>
    <cellStyle name="Comma 9 6 2 2 2 2" xfId="11890"/>
    <cellStyle name="Comma 9 6 2 2 2 2 2" xfId="18429"/>
    <cellStyle name="Comma 9 6 2 2 2 3" xfId="15577"/>
    <cellStyle name="Comma 9 6 2 2 3" xfId="7588"/>
    <cellStyle name="Comma 9 6 2 2 3 2" xfId="12461"/>
    <cellStyle name="Comma 9 6 2 2 3 2 2" xfId="19000"/>
    <cellStyle name="Comma 9 6 2 2 3 3" xfId="16148"/>
    <cellStyle name="Comma 9 6 2 2 4" xfId="9860"/>
    <cellStyle name="Comma 9 6 2 2 4 2" xfId="13032"/>
    <cellStyle name="Comma 9 6 2 2 4 2 2" xfId="19571"/>
    <cellStyle name="Comma 9 6 2 2 4 3" xfId="16719"/>
    <cellStyle name="Comma 9 6 2 2 5" xfId="3362"/>
    <cellStyle name="Comma 9 6 2 2 5 2" xfId="11319"/>
    <cellStyle name="Comma 9 6 2 2 5 2 2" xfId="17858"/>
    <cellStyle name="Comma 9 6 2 2 5 3" xfId="15006"/>
    <cellStyle name="Comma 9 6 2 2 6" xfId="2786"/>
    <cellStyle name="Comma 9 6 2 2 6 2" xfId="14434"/>
    <cellStyle name="Comma 9 6 2 2 7" xfId="10747"/>
    <cellStyle name="Comma 9 6 2 2 7 2" xfId="17286"/>
    <cellStyle name="Comma 9 6 2 2 8" xfId="13866"/>
    <cellStyle name="Comma 9 6 2 3" xfId="4181"/>
    <cellStyle name="Comma 9 6 2 3 2" xfId="11605"/>
    <cellStyle name="Comma 9 6 2 3 2 2" xfId="18144"/>
    <cellStyle name="Comma 9 6 2 3 3" xfId="15292"/>
    <cellStyle name="Comma 9 6 2 4" xfId="6453"/>
    <cellStyle name="Comma 9 6 2 4 2" xfId="12176"/>
    <cellStyle name="Comma 9 6 2 4 2 2" xfId="18715"/>
    <cellStyle name="Comma 9 6 2 4 3" xfId="15863"/>
    <cellStyle name="Comma 9 6 2 5" xfId="8725"/>
    <cellStyle name="Comma 9 6 2 5 2" xfId="12747"/>
    <cellStyle name="Comma 9 6 2 5 2 2" xfId="19286"/>
    <cellStyle name="Comma 9 6 2 5 3" xfId="16434"/>
    <cellStyle name="Comma 9 6 2 6" xfId="3077"/>
    <cellStyle name="Comma 9 6 2 6 2" xfId="11034"/>
    <cellStyle name="Comma 9 6 2 6 2 2" xfId="17573"/>
    <cellStyle name="Comma 9 6 2 6 3" xfId="14721"/>
    <cellStyle name="Comma 9 6 2 7" xfId="2506"/>
    <cellStyle name="Comma 9 6 2 7 2" xfId="14154"/>
    <cellStyle name="Comma 9 6 2 8" xfId="10467"/>
    <cellStyle name="Comma 9 6 2 8 2" xfId="17006"/>
    <cellStyle name="Comma 9 6 2 9" xfId="13581"/>
    <cellStyle name="Comma 9 6 3" xfId="1442"/>
    <cellStyle name="Comma 9 6 3 2" xfId="4862"/>
    <cellStyle name="Comma 9 6 3 2 2" xfId="11776"/>
    <cellStyle name="Comma 9 6 3 2 2 2" xfId="18315"/>
    <cellStyle name="Comma 9 6 3 2 3" xfId="15463"/>
    <cellStyle name="Comma 9 6 3 3" xfId="7134"/>
    <cellStyle name="Comma 9 6 3 3 2" xfId="12347"/>
    <cellStyle name="Comma 9 6 3 3 2 2" xfId="18886"/>
    <cellStyle name="Comma 9 6 3 3 3" xfId="16034"/>
    <cellStyle name="Comma 9 6 3 4" xfId="9406"/>
    <cellStyle name="Comma 9 6 3 4 2" xfId="12918"/>
    <cellStyle name="Comma 9 6 3 4 2 2" xfId="19457"/>
    <cellStyle name="Comma 9 6 3 4 3" xfId="16605"/>
    <cellStyle name="Comma 9 6 3 5" xfId="3248"/>
    <cellStyle name="Comma 9 6 3 5 2" xfId="11205"/>
    <cellStyle name="Comma 9 6 3 5 2 2" xfId="17744"/>
    <cellStyle name="Comma 9 6 3 5 3" xfId="14892"/>
    <cellStyle name="Comma 9 6 3 6" xfId="2674"/>
    <cellStyle name="Comma 9 6 3 6 2" xfId="14322"/>
    <cellStyle name="Comma 9 6 3 7" xfId="10635"/>
    <cellStyle name="Comma 9 6 3 7 2" xfId="17174"/>
    <cellStyle name="Comma 9 6 3 8" xfId="13752"/>
    <cellStyle name="Comma 9 6 4" xfId="3727"/>
    <cellStyle name="Comma 9 6 4 2" xfId="11491"/>
    <cellStyle name="Comma 9 6 4 2 2" xfId="18030"/>
    <cellStyle name="Comma 9 6 4 3" xfId="15178"/>
    <cellStyle name="Comma 9 6 5" xfId="5999"/>
    <cellStyle name="Comma 9 6 5 2" xfId="12062"/>
    <cellStyle name="Comma 9 6 5 2 2" xfId="18601"/>
    <cellStyle name="Comma 9 6 5 3" xfId="15749"/>
    <cellStyle name="Comma 9 6 6" xfId="8271"/>
    <cellStyle name="Comma 9 6 6 2" xfId="12633"/>
    <cellStyle name="Comma 9 6 6 2 2" xfId="19172"/>
    <cellStyle name="Comma 9 6 6 3" xfId="16320"/>
    <cellStyle name="Comma 9 6 7" xfId="2963"/>
    <cellStyle name="Comma 9 6 7 2" xfId="10920"/>
    <cellStyle name="Comma 9 6 7 2 2" xfId="17459"/>
    <cellStyle name="Comma 9 6 7 3" xfId="14607"/>
    <cellStyle name="Comma 9 6 8" xfId="2394"/>
    <cellStyle name="Comma 9 6 8 2" xfId="14042"/>
    <cellStyle name="Comma 9 6 9" xfId="10355"/>
    <cellStyle name="Comma 9 6 9 2" xfId="16894"/>
    <cellStyle name="Comma 9 7" xfId="988"/>
    <cellStyle name="Comma 9 7 2" xfId="2123"/>
    <cellStyle name="Comma 9 7 2 2" xfId="5543"/>
    <cellStyle name="Comma 9 7 2 2 2" xfId="11947"/>
    <cellStyle name="Comma 9 7 2 2 2 2" xfId="18486"/>
    <cellStyle name="Comma 9 7 2 2 3" xfId="15634"/>
    <cellStyle name="Comma 9 7 2 3" xfId="7815"/>
    <cellStyle name="Comma 9 7 2 3 2" xfId="12518"/>
    <cellStyle name="Comma 9 7 2 3 2 2" xfId="19057"/>
    <cellStyle name="Comma 9 7 2 3 3" xfId="16205"/>
    <cellStyle name="Comma 9 7 2 4" xfId="10087"/>
    <cellStyle name="Comma 9 7 2 4 2" xfId="13089"/>
    <cellStyle name="Comma 9 7 2 4 2 2" xfId="19628"/>
    <cellStyle name="Comma 9 7 2 4 3" xfId="16776"/>
    <cellStyle name="Comma 9 7 2 5" xfId="3419"/>
    <cellStyle name="Comma 9 7 2 5 2" xfId="11376"/>
    <cellStyle name="Comma 9 7 2 5 2 2" xfId="17915"/>
    <cellStyle name="Comma 9 7 2 5 3" xfId="15063"/>
    <cellStyle name="Comma 9 7 2 6" xfId="2842"/>
    <cellStyle name="Comma 9 7 2 6 2" xfId="14490"/>
    <cellStyle name="Comma 9 7 2 7" xfId="10803"/>
    <cellStyle name="Comma 9 7 2 7 2" xfId="17342"/>
    <cellStyle name="Comma 9 7 2 8" xfId="13923"/>
    <cellStyle name="Comma 9 7 3" xfId="4408"/>
    <cellStyle name="Comma 9 7 3 2" xfId="11662"/>
    <cellStyle name="Comma 9 7 3 2 2" xfId="18201"/>
    <cellStyle name="Comma 9 7 3 3" xfId="15349"/>
    <cellStyle name="Comma 9 7 4" xfId="6680"/>
    <cellStyle name="Comma 9 7 4 2" xfId="12233"/>
    <cellStyle name="Comma 9 7 4 2 2" xfId="18772"/>
    <cellStyle name="Comma 9 7 4 3" xfId="15920"/>
    <cellStyle name="Comma 9 7 5" xfId="8952"/>
    <cellStyle name="Comma 9 7 5 2" xfId="12804"/>
    <cellStyle name="Comma 9 7 5 2 2" xfId="19343"/>
    <cellStyle name="Comma 9 7 5 3" xfId="16491"/>
    <cellStyle name="Comma 9 7 6" xfId="3134"/>
    <cellStyle name="Comma 9 7 6 2" xfId="11091"/>
    <cellStyle name="Comma 9 7 6 2 2" xfId="17630"/>
    <cellStyle name="Comma 9 7 6 3" xfId="14778"/>
    <cellStyle name="Comma 9 7 7" xfId="2562"/>
    <cellStyle name="Comma 9 7 7 2" xfId="14210"/>
    <cellStyle name="Comma 9 7 8" xfId="10523"/>
    <cellStyle name="Comma 9 7 8 2" xfId="17062"/>
    <cellStyle name="Comma 9 7 9" xfId="13638"/>
    <cellStyle name="Comma 9 8" xfId="534"/>
    <cellStyle name="Comma 9 8 2" xfId="1669"/>
    <cellStyle name="Comma 9 8 2 2" xfId="5089"/>
    <cellStyle name="Comma 9 8 2 2 2" xfId="11833"/>
    <cellStyle name="Comma 9 8 2 2 2 2" xfId="18372"/>
    <cellStyle name="Comma 9 8 2 2 3" xfId="15520"/>
    <cellStyle name="Comma 9 8 2 3" xfId="7361"/>
    <cellStyle name="Comma 9 8 2 3 2" xfId="12404"/>
    <cellStyle name="Comma 9 8 2 3 2 2" xfId="18943"/>
    <cellStyle name="Comma 9 8 2 3 3" xfId="16091"/>
    <cellStyle name="Comma 9 8 2 4" xfId="9633"/>
    <cellStyle name="Comma 9 8 2 4 2" xfId="12975"/>
    <cellStyle name="Comma 9 8 2 4 2 2" xfId="19514"/>
    <cellStyle name="Comma 9 8 2 4 3" xfId="16662"/>
    <cellStyle name="Comma 9 8 2 5" xfId="3305"/>
    <cellStyle name="Comma 9 8 2 5 2" xfId="11262"/>
    <cellStyle name="Comma 9 8 2 5 2 2" xfId="17801"/>
    <cellStyle name="Comma 9 8 2 5 3" xfId="14949"/>
    <cellStyle name="Comma 9 8 2 6" xfId="2730"/>
    <cellStyle name="Comma 9 8 2 6 2" xfId="14378"/>
    <cellStyle name="Comma 9 8 2 7" xfId="10691"/>
    <cellStyle name="Comma 9 8 2 7 2" xfId="17230"/>
    <cellStyle name="Comma 9 8 2 8" xfId="13809"/>
    <cellStyle name="Comma 9 8 3" xfId="3954"/>
    <cellStyle name="Comma 9 8 3 2" xfId="11548"/>
    <cellStyle name="Comma 9 8 3 2 2" xfId="18087"/>
    <cellStyle name="Comma 9 8 3 3" xfId="15235"/>
    <cellStyle name="Comma 9 8 4" xfId="6226"/>
    <cellStyle name="Comma 9 8 4 2" xfId="12119"/>
    <cellStyle name="Comma 9 8 4 2 2" xfId="18658"/>
    <cellStyle name="Comma 9 8 4 3" xfId="15806"/>
    <cellStyle name="Comma 9 8 5" xfId="8498"/>
    <cellStyle name="Comma 9 8 5 2" xfId="12690"/>
    <cellStyle name="Comma 9 8 5 2 2" xfId="19229"/>
    <cellStyle name="Comma 9 8 5 3" xfId="16377"/>
    <cellStyle name="Comma 9 8 6" xfId="3020"/>
    <cellStyle name="Comma 9 8 6 2" xfId="10977"/>
    <cellStyle name="Comma 9 8 6 2 2" xfId="17516"/>
    <cellStyle name="Comma 9 8 6 3" xfId="14664"/>
    <cellStyle name="Comma 9 8 7" xfId="2450"/>
    <cellStyle name="Comma 9 8 7 2" xfId="14098"/>
    <cellStyle name="Comma 9 8 8" xfId="10411"/>
    <cellStyle name="Comma 9 8 8 2" xfId="16950"/>
    <cellStyle name="Comma 9 8 9" xfId="13524"/>
    <cellStyle name="Comma 9 9" xfId="1215"/>
    <cellStyle name="Comma 9 9 2" xfId="4635"/>
    <cellStyle name="Comma 9 9 2 2" xfId="11719"/>
    <cellStyle name="Comma 9 9 2 2 2" xfId="18258"/>
    <cellStyle name="Comma 9 9 2 3" xfId="15406"/>
    <cellStyle name="Comma 9 9 3" xfId="6907"/>
    <cellStyle name="Comma 9 9 3 2" xfId="12290"/>
    <cellStyle name="Comma 9 9 3 2 2" xfId="18829"/>
    <cellStyle name="Comma 9 9 3 3" xfId="15977"/>
    <cellStyle name="Comma 9 9 4" xfId="9179"/>
    <cellStyle name="Comma 9 9 4 2" xfId="12861"/>
    <cellStyle name="Comma 9 9 4 2 2" xfId="19400"/>
    <cellStyle name="Comma 9 9 4 3" xfId="16548"/>
    <cellStyle name="Comma 9 9 5" xfId="3191"/>
    <cellStyle name="Comma 9 9 5 2" xfId="11148"/>
    <cellStyle name="Comma 9 9 5 2 2" xfId="17687"/>
    <cellStyle name="Comma 9 9 5 3" xfId="14835"/>
    <cellStyle name="Comma 9 9 6" xfId="2618"/>
    <cellStyle name="Comma 9 9 6 2" xfId="14266"/>
    <cellStyle name="Comma 9 9 7" xfId="10579"/>
    <cellStyle name="Comma 9 9 7 2" xfId="17118"/>
    <cellStyle name="Comma 9 9 8" xfId="13695"/>
    <cellStyle name="Currency 2" xfId="13172"/>
    <cellStyle name="Euro" xfId="13156"/>
    <cellStyle name="Euro 2" xfId="13157"/>
    <cellStyle name="Euro 3" xfId="20108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Hyperlink 2 2" xfId="20110"/>
    <cellStyle name="Hyperlink 2 3" xfId="20109"/>
    <cellStyle name="Hyperlink 3" xfId="19880"/>
    <cellStyle name="Input" xfId="12" builtinId="20" customBuiltin="1"/>
    <cellStyle name="Input 2" xfId="13174"/>
    <cellStyle name="Linked Cell" xfId="15" builtinId="24" customBuiltin="1"/>
    <cellStyle name="Neutral" xfId="13145" builtinId="28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13" xfId="13158"/>
    <cellStyle name="Normal 10 14" xfId="19888"/>
    <cellStyle name="Normal 10 2" xfId="96"/>
    <cellStyle name="Normal 10 2 10" xfId="5799"/>
    <cellStyle name="Normal 10 2 11" xfId="8071"/>
    <cellStyle name="Normal 10 2 12" xfId="19878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3 9" xfId="20111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00" xfId="19889"/>
    <cellStyle name="Normal 101" xfId="19877"/>
    <cellStyle name="Normal 102" xfId="19890"/>
    <cellStyle name="Normal 103" xfId="19891"/>
    <cellStyle name="Normal 104" xfId="19892"/>
    <cellStyle name="Normal 11" xfId="69"/>
    <cellStyle name="Normal 11 2" xfId="2903"/>
    <cellStyle name="Normal 11 2 2" xfId="13268"/>
    <cellStyle name="Normal 11 2 3" xfId="19894"/>
    <cellStyle name="Normal 11 3" xfId="13267"/>
    <cellStyle name="Normal 11 4" xfId="19893"/>
    <cellStyle name="Normal 12" xfId="225"/>
    <cellStyle name="Normal 12 2" xfId="2940"/>
    <cellStyle name="Normal 12 2 2" xfId="13270"/>
    <cellStyle name="Normal 12 2 3" xfId="19896"/>
    <cellStyle name="Normal 12 3" xfId="13269"/>
    <cellStyle name="Normal 12 3 2" xfId="20112"/>
    <cellStyle name="Normal 12 4" xfId="19895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2 7" xfId="19898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3 6" xfId="2011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3 9" xfId="19897"/>
    <cellStyle name="Normal 14" xfId="38"/>
    <cellStyle name="Normal 14 2" xfId="5743"/>
    <cellStyle name="Normal 14 2 2" xfId="19900"/>
    <cellStyle name="Normal 14 3" xfId="8015"/>
    <cellStyle name="Normal 14 3 2" xfId="20114"/>
    <cellStyle name="Normal 14 4" xfId="10287"/>
    <cellStyle name="Normal 14 5" xfId="3470"/>
    <cellStyle name="Normal 14 6" xfId="19899"/>
    <cellStyle name="Normal 15" xfId="2327"/>
    <cellStyle name="Normal 15 2" xfId="13159"/>
    <cellStyle name="Normal 15 2 2" xfId="19902"/>
    <cellStyle name="Normal 15 3" xfId="13271"/>
    <cellStyle name="Normal 15 3 2" xfId="20115"/>
    <cellStyle name="Normal 15 4" xfId="19901"/>
    <cellStyle name="Normal 16" xfId="13272"/>
    <cellStyle name="Normal 16 2" xfId="19904"/>
    <cellStyle name="Normal 16 3" xfId="20116"/>
    <cellStyle name="Normal 16 4" xfId="19903"/>
    <cellStyle name="Normal 17" xfId="13273"/>
    <cellStyle name="Normal 17 2" xfId="19906"/>
    <cellStyle name="Normal 17 3" xfId="20117"/>
    <cellStyle name="Normal 17 4" xfId="19905"/>
    <cellStyle name="Normal 18" xfId="13274"/>
    <cellStyle name="Normal 18 2" xfId="19908"/>
    <cellStyle name="Normal 18 3" xfId="20118"/>
    <cellStyle name="Normal 18 4" xfId="19907"/>
    <cellStyle name="Normal 19" xfId="13275"/>
    <cellStyle name="Normal 19 2" xfId="20119"/>
    <cellStyle name="Normal 19 3" xfId="19909"/>
    <cellStyle name="Normal 2" xfId="42"/>
    <cellStyle name="Normal 2 10" xfId="20121"/>
    <cellStyle name="Normal 2 11" xfId="20122"/>
    <cellStyle name="Normal 2 12" xfId="20123"/>
    <cellStyle name="Normal 2 13" xfId="20124"/>
    <cellStyle name="Normal 2 14" xfId="20125"/>
    <cellStyle name="Normal 2 15" xfId="20126"/>
    <cellStyle name="Normal 2 16" xfId="20127"/>
    <cellStyle name="Normal 2 17" xfId="20120"/>
    <cellStyle name="Normal 2 18" xfId="19875"/>
    <cellStyle name="Normal 2 2" xfId="55"/>
    <cellStyle name="Normal 2 2 2" xfId="2325"/>
    <cellStyle name="Normal 2 2 2 2" xfId="20128"/>
    <cellStyle name="Normal 2 2 3" xfId="13160"/>
    <cellStyle name="Normal 2 2 3 2" xfId="20129"/>
    <cellStyle name="Normal 2 2 4" xfId="20130"/>
    <cellStyle name="Normal 2 2 5" xfId="19910"/>
    <cellStyle name="Normal 2 3" xfId="3472"/>
    <cellStyle name="Normal 2 3 2" xfId="20132"/>
    <cellStyle name="Normal 2 3 3" xfId="20133"/>
    <cellStyle name="Normal 2 3 4" xfId="20131"/>
    <cellStyle name="Normal 2 3 5" xfId="19911"/>
    <cellStyle name="Normal 2 4" xfId="19792"/>
    <cellStyle name="Normal 2 4 2" xfId="20135"/>
    <cellStyle name="Normal 2 4 3" xfId="19881"/>
    <cellStyle name="Normal 2 4 3 2" xfId="20136"/>
    <cellStyle name="Normal 2 4 4" xfId="20134"/>
    <cellStyle name="Normal 2 4 5" xfId="20194"/>
    <cellStyle name="Normal 2 4 6" xfId="19912"/>
    <cellStyle name="Normal 2 5" xfId="19913"/>
    <cellStyle name="Normal 2 5 2" xfId="20138"/>
    <cellStyle name="Normal 2 5 3" xfId="20139"/>
    <cellStyle name="Normal 2 5 4" xfId="20137"/>
    <cellStyle name="Normal 2 6" xfId="19914"/>
    <cellStyle name="Normal 2 6 2" xfId="20141"/>
    <cellStyle name="Normal 2 6 3" xfId="20142"/>
    <cellStyle name="Normal 2 6 4" xfId="20140"/>
    <cellStyle name="Normal 2 7" xfId="20143"/>
    <cellStyle name="Normal 2 7 2" xfId="20144"/>
    <cellStyle name="Normal 2 7 3" xfId="20145"/>
    <cellStyle name="Normal 2 8" xfId="20146"/>
    <cellStyle name="Normal 2 8 2" xfId="20147"/>
    <cellStyle name="Normal 2 8 3" xfId="20148"/>
    <cellStyle name="Normal 2 9" xfId="20149"/>
    <cellStyle name="Normal 2_Investment worksheet 2601" xfId="20150"/>
    <cellStyle name="Normal 20" xfId="13276"/>
    <cellStyle name="Normal 20 2" xfId="19916"/>
    <cellStyle name="Normal 20 3" xfId="20151"/>
    <cellStyle name="Normal 20 4" xfId="19915"/>
    <cellStyle name="Normal 21" xfId="13277"/>
    <cellStyle name="Normal 21 2" xfId="19918"/>
    <cellStyle name="Normal 21 2 2" xfId="20153"/>
    <cellStyle name="Normal 21 3" xfId="20152"/>
    <cellStyle name="Normal 21 4" xfId="19917"/>
    <cellStyle name="Normal 22" xfId="13278"/>
    <cellStyle name="Normal 22 2" xfId="19920"/>
    <cellStyle name="Normal 22 3" xfId="20154"/>
    <cellStyle name="Normal 22 4" xfId="19919"/>
    <cellStyle name="Normal 23" xfId="13279"/>
    <cellStyle name="Normal 23 2" xfId="19922"/>
    <cellStyle name="Normal 23 3" xfId="20155"/>
    <cellStyle name="Normal 23 4" xfId="19921"/>
    <cellStyle name="Normal 24" xfId="13280"/>
    <cellStyle name="Normal 24 2" xfId="19924"/>
    <cellStyle name="Normal 24 2 2" xfId="20157"/>
    <cellStyle name="Normal 24 3" xfId="20156"/>
    <cellStyle name="Normal 24 4" xfId="19923"/>
    <cellStyle name="Normal 25" xfId="13281"/>
    <cellStyle name="Normal 25 2" xfId="19926"/>
    <cellStyle name="Normal 25 3" xfId="20158"/>
    <cellStyle name="Normal 25 4" xfId="19925"/>
    <cellStyle name="Normal 26" xfId="13282"/>
    <cellStyle name="Normal 26 2" xfId="19928"/>
    <cellStyle name="Normal 26 3" xfId="20159"/>
    <cellStyle name="Normal 26 4" xfId="19927"/>
    <cellStyle name="Normal 27" xfId="13283"/>
    <cellStyle name="Normal 27 2" xfId="13143"/>
    <cellStyle name="Normal 27 2 2" xfId="19930"/>
    <cellStyle name="Normal 27 3" xfId="19929"/>
    <cellStyle name="Normal 28" xfId="13284"/>
    <cellStyle name="Normal 28 2" xfId="19932"/>
    <cellStyle name="Normal 28 3" xfId="19931"/>
    <cellStyle name="Normal 29" xfId="13285"/>
    <cellStyle name="Normal 29 2" xfId="19934"/>
    <cellStyle name="Normal 29 3" xfId="19933"/>
    <cellStyle name="Normal 3" xfId="51"/>
    <cellStyle name="Normal 3 10" xfId="3485"/>
    <cellStyle name="Normal 3 11" xfId="5757"/>
    <cellStyle name="Normal 3 12" xfId="8029"/>
    <cellStyle name="Normal 3 13" xfId="19783"/>
    <cellStyle name="Normal 3 14" xfId="19935"/>
    <cellStyle name="Normal 3 2" xfId="82"/>
    <cellStyle name="Normal 3 2 10" xfId="5785"/>
    <cellStyle name="Normal 3 2 11" xfId="8057"/>
    <cellStyle name="Normal 3 2 12" xfId="19936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2 9" xfId="20161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3 9" xfId="20162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4 9" xfId="20163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5 9" xfId="20164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6 7" xfId="20160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30" xfId="13286"/>
    <cellStyle name="Normal 30 2" xfId="19938"/>
    <cellStyle name="Normal 30 3" xfId="19939"/>
    <cellStyle name="Normal 30 4" xfId="19937"/>
    <cellStyle name="Normal 31" xfId="13287"/>
    <cellStyle name="Normal 31 2" xfId="19941"/>
    <cellStyle name="Normal 31 3" xfId="19942"/>
    <cellStyle name="Normal 31 4" xfId="19940"/>
    <cellStyle name="Normal 32" xfId="13288"/>
    <cellStyle name="Normal 32 2" xfId="19944"/>
    <cellStyle name="Normal 32 3" xfId="19945"/>
    <cellStyle name="Normal 32 4" xfId="19943"/>
    <cellStyle name="Normal 33" xfId="13289"/>
    <cellStyle name="Normal 33 2" xfId="19947"/>
    <cellStyle name="Normal 33 3" xfId="19948"/>
    <cellStyle name="Normal 33 4" xfId="19946"/>
    <cellStyle name="Normal 34" xfId="13290"/>
    <cellStyle name="Normal 34 2" xfId="19950"/>
    <cellStyle name="Normal 34 3" xfId="19951"/>
    <cellStyle name="Normal 34 4" xfId="19949"/>
    <cellStyle name="Normal 35" xfId="13291"/>
    <cellStyle name="Normal 35 2" xfId="19953"/>
    <cellStyle name="Normal 35 3" xfId="19952"/>
    <cellStyle name="Normal 36" xfId="13292"/>
    <cellStyle name="Normal 36 2" xfId="19955"/>
    <cellStyle name="Normal 36 3" xfId="19954"/>
    <cellStyle name="Normal 37" xfId="13293"/>
    <cellStyle name="Normal 37 2" xfId="19957"/>
    <cellStyle name="Normal 37 3" xfId="19956"/>
    <cellStyle name="Normal 38" xfId="13294"/>
    <cellStyle name="Normal 38 2" xfId="19959"/>
    <cellStyle name="Normal 38 3" xfId="19958"/>
    <cellStyle name="Normal 39" xfId="13295"/>
    <cellStyle name="Normal 39 2" xfId="19961"/>
    <cellStyle name="Normal 39 3" xfId="19960"/>
    <cellStyle name="Normal 4" xfId="53"/>
    <cellStyle name="Normal 4 10" xfId="3487"/>
    <cellStyle name="Normal 4 11" xfId="5759"/>
    <cellStyle name="Normal 4 12" xfId="8031"/>
    <cellStyle name="Normal 4 13" xfId="13161"/>
    <cellStyle name="Normal 4 14" xfId="13171"/>
    <cellStyle name="Normal 4 15" xfId="19787"/>
    <cellStyle name="Normal 4 16" xfId="19962"/>
    <cellStyle name="Normal 4 2" xfId="84"/>
    <cellStyle name="Normal 4 2 10" xfId="5787"/>
    <cellStyle name="Normal 4 2 11" xfId="8059"/>
    <cellStyle name="Normal 4 2 12" xfId="19963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2 9" xfId="20166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3 9" xfId="20167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4 9" xfId="20168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5 9" xfId="20165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40" xfId="13296"/>
    <cellStyle name="Normal 40 2" xfId="19965"/>
    <cellStyle name="Normal 40 3" xfId="19964"/>
    <cellStyle name="Normal 41" xfId="13297"/>
    <cellStyle name="Normal 41 2" xfId="19966"/>
    <cellStyle name="Normal 42" xfId="13298"/>
    <cellStyle name="Normal 42 2" xfId="19967"/>
    <cellStyle name="Normal 43" xfId="13299"/>
    <cellStyle name="Normal 43 2" xfId="19968"/>
    <cellStyle name="Normal 44" xfId="13300"/>
    <cellStyle name="Normal 44 10" xfId="13301"/>
    <cellStyle name="Normal 44 11" xfId="19969"/>
    <cellStyle name="Normal 44 2" xfId="13302"/>
    <cellStyle name="Normal 44 3" xfId="13303"/>
    <cellStyle name="Normal 44 4" xfId="13304"/>
    <cellStyle name="Normal 44 5" xfId="13305"/>
    <cellStyle name="Normal 44 6" xfId="13306"/>
    <cellStyle name="Normal 44 7" xfId="13307"/>
    <cellStyle name="Normal 44 8" xfId="13308"/>
    <cellStyle name="Normal 44 9" xfId="13309"/>
    <cellStyle name="Normal 45" xfId="13310"/>
    <cellStyle name="Normal 45 2" xfId="19970"/>
    <cellStyle name="Normal 46" xfId="13311"/>
    <cellStyle name="Normal 46 2" xfId="19971"/>
    <cellStyle name="Normal 47" xfId="13312"/>
    <cellStyle name="Normal 47 2" xfId="19972"/>
    <cellStyle name="Normal 48" xfId="13313"/>
    <cellStyle name="Normal 48 2" xfId="19973"/>
    <cellStyle name="Normal 49" xfId="13314"/>
    <cellStyle name="Normal 49 2" xfId="19974"/>
    <cellStyle name="Normal 5" xfId="56"/>
    <cellStyle name="Normal 5 10" xfId="3489"/>
    <cellStyle name="Normal 5 11" xfId="5761"/>
    <cellStyle name="Normal 5 12" xfId="8033"/>
    <cellStyle name="Normal 5 13" xfId="13162"/>
    <cellStyle name="Normal 5 14" xfId="19975"/>
    <cellStyle name="Normal 5 2" xfId="86"/>
    <cellStyle name="Normal 5 2 10" xfId="5789"/>
    <cellStyle name="Normal 5 2 11" xfId="8061"/>
    <cellStyle name="Normal 5 2 12" xfId="13163"/>
    <cellStyle name="Normal 5 2 13" xfId="19976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2 9" xfId="20169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3 9" xfId="20170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4 9" xfId="20171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5 9" xfId="20172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50" xfId="13315"/>
    <cellStyle name="Normal 50 2" xfId="19977"/>
    <cellStyle name="Normal 51" xfId="13316"/>
    <cellStyle name="Normal 51 2" xfId="19978"/>
    <cellStyle name="Normal 52" xfId="13317"/>
    <cellStyle name="Normal 52 2" xfId="19979"/>
    <cellStyle name="Normal 53" xfId="13318"/>
    <cellStyle name="Normal 53 2" xfId="19980"/>
    <cellStyle name="Normal 54" xfId="13319"/>
    <cellStyle name="Normal 54 2" xfId="19981"/>
    <cellStyle name="Normal 55" xfId="13320"/>
    <cellStyle name="Normal 55 2" xfId="19982"/>
    <cellStyle name="Normal 56" xfId="13321"/>
    <cellStyle name="Normal 56 2" xfId="19983"/>
    <cellStyle name="Normal 57" xfId="13322"/>
    <cellStyle name="Normal 57 2" xfId="19984"/>
    <cellStyle name="Normal 58" xfId="13323"/>
    <cellStyle name="Normal 58 2" xfId="19985"/>
    <cellStyle name="Normal 59" xfId="13324"/>
    <cellStyle name="Normal 59 2" xfId="19986"/>
    <cellStyle name="Normal 6" xfId="58"/>
    <cellStyle name="Normal 6 10" xfId="3491"/>
    <cellStyle name="Normal 6 11" xfId="5763"/>
    <cellStyle name="Normal 6 12" xfId="8035"/>
    <cellStyle name="Normal 6 13" xfId="13164"/>
    <cellStyle name="Normal 6 2" xfId="88"/>
    <cellStyle name="Normal 6 2 10" xfId="5791"/>
    <cellStyle name="Normal 6 2 11" xfId="8063"/>
    <cellStyle name="Normal 6 2 12" xfId="13165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60" xfId="13325"/>
    <cellStyle name="Normal 60 2" xfId="19987"/>
    <cellStyle name="Normal 61" xfId="19988"/>
    <cellStyle name="Normal 62" xfId="19989"/>
    <cellStyle name="Normal 63" xfId="19990"/>
    <cellStyle name="Normal 64" xfId="19991"/>
    <cellStyle name="Normal 65" xfId="19992"/>
    <cellStyle name="Normal 66" xfId="19993"/>
    <cellStyle name="Normal 67" xfId="19994"/>
    <cellStyle name="Normal 68" xfId="19995"/>
    <cellStyle name="Normal 69" xfId="19996"/>
    <cellStyle name="Normal 7" xfId="60"/>
    <cellStyle name="Normal 7 10" xfId="3493"/>
    <cellStyle name="Normal 7 11" xfId="5765"/>
    <cellStyle name="Normal 7 12" xfId="8037"/>
    <cellStyle name="Normal 7 13" xfId="13166"/>
    <cellStyle name="Normal 7 2" xfId="90"/>
    <cellStyle name="Normal 7 2 10" xfId="5793"/>
    <cellStyle name="Normal 7 2 11" xfId="8065"/>
    <cellStyle name="Normal 7 2 12" xfId="20056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70" xfId="19997"/>
    <cellStyle name="Normal 71" xfId="19998"/>
    <cellStyle name="Normal 72" xfId="19999"/>
    <cellStyle name="Normal 73" xfId="20000"/>
    <cellStyle name="Normal 74" xfId="20001"/>
    <cellStyle name="Normal 75" xfId="20002"/>
    <cellStyle name="Normal 76" xfId="20003"/>
    <cellStyle name="Normal 77" xfId="20004"/>
    <cellStyle name="Normal 78" xfId="20005"/>
    <cellStyle name="Normal 79" xfId="20006"/>
    <cellStyle name="Normal 8" xfId="62"/>
    <cellStyle name="Normal 8 10" xfId="3495"/>
    <cellStyle name="Normal 8 11" xfId="5767"/>
    <cellStyle name="Normal 8 12" xfId="8039"/>
    <cellStyle name="Normal 8 13" xfId="13167"/>
    <cellStyle name="Normal 8 14" xfId="20007"/>
    <cellStyle name="Normal 8 2" xfId="92"/>
    <cellStyle name="Normal 8 2 10" xfId="5795"/>
    <cellStyle name="Normal 8 2 11" xfId="8067"/>
    <cellStyle name="Normal 8 2 12" xfId="13168"/>
    <cellStyle name="Normal 8 2 13" xfId="20008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80" xfId="20009"/>
    <cellStyle name="Normal 81" xfId="20010"/>
    <cellStyle name="Normal 82" xfId="20011"/>
    <cellStyle name="Normal 83" xfId="20012"/>
    <cellStyle name="Normal 84" xfId="20013"/>
    <cellStyle name="Normal 85" xfId="20014"/>
    <cellStyle name="Normal 86" xfId="20015"/>
    <cellStyle name="Normal 87" xfId="20016"/>
    <cellStyle name="Normal 88" xfId="20017"/>
    <cellStyle name="Normal 89" xfId="20018"/>
    <cellStyle name="Normal 9" xfId="64"/>
    <cellStyle name="Normal 9 10" xfId="3497"/>
    <cellStyle name="Normal 9 11" xfId="5769"/>
    <cellStyle name="Normal 9 12" xfId="8041"/>
    <cellStyle name="Normal 9 13" xfId="20019"/>
    <cellStyle name="Normal 9 2" xfId="94"/>
    <cellStyle name="Normal 9 2 10" xfId="5797"/>
    <cellStyle name="Normal 9 2 11" xfId="8069"/>
    <cellStyle name="Normal 9 2 12" xfId="20020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rmal 90" xfId="20021"/>
    <cellStyle name="Normal 91" xfId="20022"/>
    <cellStyle name="Normal 92" xfId="20023"/>
    <cellStyle name="Normal 93" xfId="20024"/>
    <cellStyle name="Normal 94" xfId="19876"/>
    <cellStyle name="Normal 95" xfId="20025"/>
    <cellStyle name="Normal 96" xfId="20026"/>
    <cellStyle name="Normal 97" xfId="20027"/>
    <cellStyle name="Normal 98" xfId="20028"/>
    <cellStyle name="Normal 99" xfId="20029"/>
    <cellStyle name="Note" xfId="13146" builtinId="10" customBuiltin="1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Note 3" xfId="20030"/>
    <cellStyle name="Note 4" xfId="20173"/>
    <cellStyle name="Output" xfId="13" builtinId="21" customBuiltin="1"/>
    <cellStyle name="Percent" xfId="6" builtinId="5"/>
    <cellStyle name="Percent 10" xfId="13326"/>
    <cellStyle name="Percent 10 2" xfId="13327"/>
    <cellStyle name="Percent 11" xfId="13328"/>
    <cellStyle name="Percent 11 2" xfId="13329"/>
    <cellStyle name="Percent 12" xfId="13330"/>
    <cellStyle name="Percent 12 2" xfId="13331"/>
    <cellStyle name="Percent 13" xfId="13332"/>
    <cellStyle name="Percent 14" xfId="13333"/>
    <cellStyle name="Percent 15" xfId="13334"/>
    <cellStyle name="Percent 16" xfId="13335"/>
    <cellStyle name="Percent 17" xfId="13336"/>
    <cellStyle name="Percent 18" xfId="13337"/>
    <cellStyle name="Percent 19" xfId="13338"/>
    <cellStyle name="Percent 2" xfId="227"/>
    <cellStyle name="Percent 2 2" xfId="2326"/>
    <cellStyle name="Percent 2 2 2" xfId="2942"/>
    <cellStyle name="Percent 2 2 3" xfId="20175"/>
    <cellStyle name="Percent 2 3" xfId="19793"/>
    <cellStyle name="Percent 2 3 2" xfId="20176"/>
    <cellStyle name="Percent 2 4" xfId="20177"/>
    <cellStyle name="Percent 2 5" xfId="20178"/>
    <cellStyle name="Percent 2 6" xfId="20179"/>
    <cellStyle name="Percent 2 7" xfId="20174"/>
    <cellStyle name="Percent 2 8" xfId="20031"/>
    <cellStyle name="Percent 20" xfId="13339"/>
    <cellStyle name="Percent 21" xfId="13340"/>
    <cellStyle name="Percent 22" xfId="13341"/>
    <cellStyle name="Percent 23" xfId="13342"/>
    <cellStyle name="Percent 24" xfId="13343"/>
    <cellStyle name="Percent 25" xfId="13344"/>
    <cellStyle name="Percent 26" xfId="13345"/>
    <cellStyle name="Percent 27" xfId="13346"/>
    <cellStyle name="Percent 28" xfId="13347"/>
    <cellStyle name="Percent 29" xfId="13348"/>
    <cellStyle name="Percent 3" xfId="212"/>
    <cellStyle name="Percent 3 10" xfId="2003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2 7" xfId="20181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3 6" xfId="20182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4 6" xfId="20183"/>
    <cellStyle name="Percent 3 5" xfId="1358"/>
    <cellStyle name="Percent 3 5 2" xfId="4778"/>
    <cellStyle name="Percent 3 5 3" xfId="7050"/>
    <cellStyle name="Percent 3 5 4" xfId="9322"/>
    <cellStyle name="Percent 3 5 5" xfId="20184"/>
    <cellStyle name="Percent 3 6" xfId="3643"/>
    <cellStyle name="Percent 3 6 2" xfId="20185"/>
    <cellStyle name="Percent 3 7" xfId="5915"/>
    <cellStyle name="Percent 3 7 2" xfId="20180"/>
    <cellStyle name="Percent 3 8" xfId="8187"/>
    <cellStyle name="Percent 3 9" xfId="19788"/>
    <cellStyle name="Percent 30" xfId="13349"/>
    <cellStyle name="Percent 31" xfId="13350"/>
    <cellStyle name="Percent 32" xfId="13351"/>
    <cellStyle name="Percent 33" xfId="13352"/>
    <cellStyle name="Percent 34" xfId="13353"/>
    <cellStyle name="Percent 35" xfId="13354"/>
    <cellStyle name="Percent 36" xfId="13355"/>
    <cellStyle name="Percent 37" xfId="13356"/>
    <cellStyle name="Percent 38" xfId="13357"/>
    <cellStyle name="Percent 39" xfId="13358"/>
    <cellStyle name="Percent 4" xfId="40"/>
    <cellStyle name="Percent 4 2" xfId="13360"/>
    <cellStyle name="Percent 4 2 2" xfId="20187"/>
    <cellStyle name="Percent 4 3" xfId="13187"/>
    <cellStyle name="Percent 4 4" xfId="13359"/>
    <cellStyle name="Percent 4 5" xfId="20186"/>
    <cellStyle name="Percent 40" xfId="13361"/>
    <cellStyle name="Percent 41" xfId="13362"/>
    <cellStyle name="Percent 42" xfId="13363"/>
    <cellStyle name="Percent 42 10" xfId="13364"/>
    <cellStyle name="Percent 42 2" xfId="13365"/>
    <cellStyle name="Percent 42 3" xfId="13366"/>
    <cellStyle name="Percent 42 4" xfId="13367"/>
    <cellStyle name="Percent 42 5" xfId="13368"/>
    <cellStyle name="Percent 42 6" xfId="13369"/>
    <cellStyle name="Percent 42 7" xfId="13370"/>
    <cellStyle name="Percent 42 8" xfId="13371"/>
    <cellStyle name="Percent 42 9" xfId="13372"/>
    <cellStyle name="Percent 43" xfId="13373"/>
    <cellStyle name="Percent 44" xfId="13374"/>
    <cellStyle name="Percent 45" xfId="13375"/>
    <cellStyle name="Percent 46" xfId="13376"/>
    <cellStyle name="Percent 47" xfId="13377"/>
    <cellStyle name="Percent 48" xfId="13378"/>
    <cellStyle name="Percent 49" xfId="13379"/>
    <cellStyle name="Percent 5" xfId="2893"/>
    <cellStyle name="Percent 5 2" xfId="13381"/>
    <cellStyle name="Percent 5 2 2" xfId="20188"/>
    <cellStyle name="Percent 5 3" xfId="13380"/>
    <cellStyle name="Percent 50" xfId="13382"/>
    <cellStyle name="Percent 51" xfId="13383"/>
    <cellStyle name="Percent 52" xfId="13384"/>
    <cellStyle name="Percent 53" xfId="13385"/>
    <cellStyle name="Percent 54" xfId="13386"/>
    <cellStyle name="Percent 55" xfId="13387"/>
    <cellStyle name="Percent 56" xfId="13388"/>
    <cellStyle name="Percent 57" xfId="13389"/>
    <cellStyle name="Percent 58" xfId="13185"/>
    <cellStyle name="Percent 6" xfId="13390"/>
    <cellStyle name="Percent 6 2" xfId="13391"/>
    <cellStyle name="Percent 6 3" xfId="20189"/>
    <cellStyle name="Percent 7" xfId="13392"/>
    <cellStyle name="Percent 7 2" xfId="13393"/>
    <cellStyle name="Percent 7 3" xfId="20190"/>
    <cellStyle name="Percent 8" xfId="13394"/>
    <cellStyle name="Percent 8 2" xfId="13395"/>
    <cellStyle name="Percent 9" xfId="13396"/>
    <cellStyle name="Percent 9 2" xfId="13397"/>
    <cellStyle name="Title" xfId="13144" builtinId="15" customBuiltin="1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calcChain" Target="calcChain.xml"/><Relationship Id="rId5" Type="http://schemas.openxmlformats.org/officeDocument/2006/relationships/worksheet" Target="worksheets/sheet3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2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/>
              <a:t>PERCENTAGE MARKET SHARE TO TOTAL NET ASSET VALUE (NAV)</a:t>
            </a:r>
          </a:p>
          <a:p>
            <a:pPr>
              <a:defRPr/>
            </a:pPr>
            <a:r>
              <a:rPr lang="en-US" sz="1600"/>
              <a:t>AS AT 5TH MAY, 2023</a:t>
            </a:r>
          </a:p>
        </c:rich>
      </c:tx>
      <c:layout>
        <c:manualLayout>
          <c:xMode val="edge"/>
          <c:yMode val="edge"/>
          <c:x val="0.10454722440145399"/>
          <c:y val="3.03747619429671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explosion val="3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3F5C-40DD-BB8C-21E9C72367E0}"/>
              </c:ext>
            </c:extLst>
          </c:dPt>
          <c:dLbls>
            <c:dLbl>
              <c:idx val="2"/>
              <c:layout/>
              <c:tx>
                <c:rich>
                  <a:bodyPr/>
                  <a:lstStyle/>
                  <a:p>
                    <a:fld id="{6E716E55-EB6B-4877-A6BD-D6007AE9287A}" type="PERCENTAGE">
                      <a:rPr lang="en-US" b="1"/>
                      <a:pPr/>
                      <a:t>[PERCENTAGE]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19F1-4D3F-AFC0-2F3DDA5A1E07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B8687598-1C8E-439B-8460-85BBB1BAF981}" type="PERCENTAGE">
                      <a:rPr lang="en-US" b="1"/>
                      <a:pPr/>
                      <a:t>[PERCENTAGE]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19F1-4D3F-AFC0-2F3DDA5A1E07}"/>
                </c:ext>
              </c:extLst>
            </c:dLbl>
            <c:dLbl>
              <c:idx val="6"/>
              <c:layout>
                <c:manualLayout>
                  <c:x val="3.9319790522808137E-2"/>
                  <c:y val="0.14398528617830916"/>
                </c:manualLayout>
              </c:layout>
              <c:tx>
                <c:rich>
                  <a:bodyPr/>
                  <a:lstStyle/>
                  <a:p>
                    <a:fld id="{AEF13CA9-F9CE-4F67-AAAA-B796E6BBDFA1}" type="PERCENTAGE">
                      <a:rPr lang="en-US" b="1"/>
                      <a:pPr/>
                      <a:t>[PERCENTAGE]</a:t>
                    </a:fld>
                    <a:endParaRPr lang="en-GB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19F1-4D3F-AFC0-2F3DDA5A1E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Share'!$E$7:$E$14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TRUSTS</c:v>
                </c:pt>
                <c:pt idx="5">
                  <c:v>MIXED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'Market Share'!$F$7:$F$14</c:f>
              <c:numCache>
                <c:formatCode>#,##0.00</c:formatCode>
                <c:ptCount val="8"/>
                <c:pt idx="0">
                  <c:v>16794813036.269999</c:v>
                </c:pt>
                <c:pt idx="1">
                  <c:v>792540018978.42993</c:v>
                </c:pt>
                <c:pt idx="2">
                  <c:v>324966477016.1626</c:v>
                </c:pt>
                <c:pt idx="3">
                  <c:v>332681726568.12634</c:v>
                </c:pt>
                <c:pt idx="4">
                  <c:v>47216549017.909996</c:v>
                </c:pt>
                <c:pt idx="5">
                  <c:v>31321324637.973106</c:v>
                </c:pt>
                <c:pt idx="6">
                  <c:v>3019546321.4400001</c:v>
                </c:pt>
                <c:pt idx="7">
                  <c:v>25078820531.75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/>
              <a:t>MOVEMENT IN TOTAL NAV</a:t>
            </a:r>
          </a:p>
          <a:p>
            <a:pPr>
              <a:defRPr/>
            </a:pPr>
            <a:r>
              <a:rPr lang="en-US" sz="1600"/>
              <a:t>(EIGHT (8) WEEKS ENDING MAY 5, 2023)</a:t>
            </a:r>
          </a:p>
        </c:rich>
      </c:tx>
      <c:layout>
        <c:manualLayout>
          <c:xMode val="edge"/>
          <c:yMode val="edge"/>
          <c:x val="0.24557122667358888"/>
          <c:y val="1.98534789807854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1C2-43E7-AB45-8CDF11C29D80}"/>
                </c:ext>
              </c:extLst>
            </c:dLbl>
            <c:dLbl>
              <c:idx val="1"/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31C2-43E7-AB45-8CDF11C29D80}"/>
                </c:ext>
              </c:extLst>
            </c:dLbl>
            <c:dLbl>
              <c:idx val="2"/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31C2-43E7-AB45-8CDF11C29D80}"/>
                </c:ext>
              </c:extLst>
            </c:dLbl>
            <c:dLbl>
              <c:idx val="3"/>
              <c:layout>
                <c:manualLayout>
                  <c:x val="-3.4260102102621842E-2"/>
                  <c:y val="-7.3961156016334E-1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lt1">
                            <a:lumMod val="8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2379448-DA4C-428C-A43B-051C34405DCF}" type="VALUE">
                      <a:rPr lang="en-US" b="1"/>
                      <a:pPr>
                        <a:defRPr b="1"/>
                      </a:pPr>
                      <a:t>[VALUE]</a:t>
                    </a:fld>
                    <a:endParaRPr lang="en-GB"/>
                  </a:p>
                </c:rich>
              </c:tx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31C2-43E7-AB45-8CDF11C29D80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28A58AFB-9FC3-4D71-B7D2-0E69E956DAC8}" type="VALUE">
                      <a:rPr lang="en-US" b="1"/>
                      <a:pPr/>
                      <a:t>[VALUE]</a:t>
                    </a:fld>
                    <a:endParaRPr lang="en-GB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31C2-43E7-AB45-8CDF11C29D80}"/>
                </c:ext>
              </c:extLst>
            </c:dLbl>
            <c:dLbl>
              <c:idx val="5"/>
              <c:layout>
                <c:manualLayout>
                  <c:x val="-3.4161229846269216E-2"/>
                  <c:y val="6.0514372163388806E-3"/>
                </c:manualLayout>
              </c:layout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1C2-43E7-AB45-8CDF11C29D80}"/>
                </c:ext>
              </c:extLst>
            </c:dLbl>
            <c:dLbl>
              <c:idx val="6"/>
              <c:layout>
                <c:manualLayout>
                  <c:x val="-3.1230826915866285E-2"/>
                  <c:y val="2.017145738779627E-3"/>
                </c:manualLayout>
              </c:layout>
              <c:tx>
                <c:rich>
                  <a:bodyPr/>
                  <a:lstStyle/>
                  <a:p>
                    <a:fld id="{EA19ED88-20A6-44D2-AD83-B59ACAB9E417}" type="VALUE">
                      <a:rPr lang="en-US" b="1"/>
                      <a:pPr/>
                      <a:t>[VALUE]</a:t>
                    </a:fld>
                    <a:endParaRPr lang="en-GB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31C2-43E7-AB45-8CDF11C29D80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A199C8AF-947A-4B1A-A6D2-B7A3848BD034}" type="VALUE">
                      <a:rPr lang="en-US" b="1"/>
                      <a:pPr/>
                      <a:t>[VALUE]</a:t>
                    </a:fld>
                    <a:endParaRPr lang="en-GB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31C2-43E7-AB45-8CDF11C29D80}"/>
                </c:ext>
              </c:extLst>
            </c:dLbl>
            <c:numFmt formatCode="#0.00,,,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45002</c:v>
                </c:pt>
                <c:pt idx="1">
                  <c:v>45009</c:v>
                </c:pt>
                <c:pt idx="2">
                  <c:v>45016</c:v>
                </c:pt>
                <c:pt idx="3">
                  <c:v>45022</c:v>
                </c:pt>
                <c:pt idx="4">
                  <c:v>45030</c:v>
                </c:pt>
                <c:pt idx="5">
                  <c:v>45036</c:v>
                </c:pt>
                <c:pt idx="6">
                  <c:v>45044</c:v>
                </c:pt>
                <c:pt idx="7">
                  <c:v>45051</c:v>
                </c:pt>
              </c:numCache>
            </c:numRef>
          </c:cat>
          <c:val>
            <c:numRef>
              <c:f>'NAV Trend'!$D$10:$K$10</c:f>
              <c:numCache>
                <c:formatCode>_(* #,##0.00_);_(* \(#,##0.00\);_(* "-"??_);_(@_)</c:formatCode>
                <c:ptCount val="8"/>
                <c:pt idx="0">
                  <c:v>1587941753781.491</c:v>
                </c:pt>
                <c:pt idx="1">
                  <c:v>1574933447715.4641</c:v>
                </c:pt>
                <c:pt idx="2">
                  <c:v>1570379557163.522</c:v>
                </c:pt>
                <c:pt idx="3">
                  <c:v>1585406389332.5886</c:v>
                </c:pt>
                <c:pt idx="4">
                  <c:v>1589874095297.8513</c:v>
                </c:pt>
                <c:pt idx="5">
                  <c:v>1587789124997.645</c:v>
                </c:pt>
                <c:pt idx="6">
                  <c:v>1573619276108.0618</c:v>
                </c:pt>
                <c:pt idx="7">
                  <c:v>1638109066451.2014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&quot;N&quot;\ #0.00,,,\ &quot;bn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23781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>
                <a:solidFill>
                  <a:schemeClr val="bg1"/>
                </a:solidFill>
              </a:rPr>
              <a:t>MOVEMENT IN NAV BY CLASSes OF FUND</a:t>
            </a:r>
          </a:p>
          <a:p>
            <a:pPr>
              <a:defRPr/>
            </a:pPr>
            <a:r>
              <a:rPr lang="en-US" sz="1600">
                <a:solidFill>
                  <a:schemeClr val="bg1"/>
                </a:solidFill>
              </a:rPr>
              <a:t>(Eight (8) Weeks Ending MAY 5, 2023</a:t>
            </a:r>
            <a:r>
              <a:rPr lang="en-US"/>
              <a:t>)  </a:t>
            </a:r>
          </a:p>
        </c:rich>
      </c:tx>
      <c:layout>
        <c:manualLayout>
          <c:xMode val="edge"/>
          <c:yMode val="edge"/>
          <c:x val="0.24332693028756017"/>
          <c:y val="1.15727567735197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66326324594041"/>
          <c:y val="0.17345422731249502"/>
          <c:w val="0.78102643741975963"/>
          <c:h val="0.6296437459815248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'NAV Trend'!$B$2:$B$9</c:f>
              <c:strCache>
                <c:ptCount val="1"/>
                <c:pt idx="0">
                  <c:v>EQUITY BASED FUNDS MONEY MARKET FUNDS BONDS/FIXED INCOME FUNDS DOLLAR FUNDS REAL ESTATE INVESTMENT TRUST BALANCED FUNDS ETHICAL FUNDS SHARI'AH COMPLAINT FUNDS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0.00,,,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45002</c:v>
                </c:pt>
                <c:pt idx="1">
                  <c:v>45009</c:v>
                </c:pt>
                <c:pt idx="2">
                  <c:v>45016</c:v>
                </c:pt>
                <c:pt idx="3">
                  <c:v>45022</c:v>
                </c:pt>
                <c:pt idx="4">
                  <c:v>45030</c:v>
                </c:pt>
                <c:pt idx="5">
                  <c:v>45036</c:v>
                </c:pt>
                <c:pt idx="6">
                  <c:v>45044</c:v>
                </c:pt>
                <c:pt idx="7">
                  <c:v>45051</c:v>
                </c:pt>
              </c:numCache>
            </c:numRef>
          </c:cat>
          <c:val>
            <c:numRef>
              <c:f>'NAV Trend'!$C$9:$J$9</c:f>
              <c:numCache>
                <c:formatCode>#,##0.00</c:formatCode>
                <c:ptCount val="8"/>
                <c:pt idx="0">
                  <c:v>25118658682.680004</c:v>
                </c:pt>
                <c:pt idx="1">
                  <c:v>25167427500.150002</c:v>
                </c:pt>
                <c:pt idx="2">
                  <c:v>25123628784.880001</c:v>
                </c:pt>
                <c:pt idx="3">
                  <c:v>25237093944.099998</c:v>
                </c:pt>
                <c:pt idx="4">
                  <c:v>25308511589.740002</c:v>
                </c:pt>
                <c:pt idx="5">
                  <c:v>25115154237.279999</c:v>
                </c:pt>
                <c:pt idx="6">
                  <c:v>25259823709.369999</c:v>
                </c:pt>
                <c:pt idx="7">
                  <c:v>25078820531.75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Trend'!$B$8</c:f>
              <c:strCache>
                <c:ptCount val="1"/>
                <c:pt idx="0">
                  <c:v>ETHICAL FUNDS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#0.00,,,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45002</c:v>
                </c:pt>
                <c:pt idx="1">
                  <c:v>45009</c:v>
                </c:pt>
                <c:pt idx="2">
                  <c:v>45016</c:v>
                </c:pt>
                <c:pt idx="3">
                  <c:v>45022</c:v>
                </c:pt>
                <c:pt idx="4">
                  <c:v>45030</c:v>
                </c:pt>
                <c:pt idx="5">
                  <c:v>45036</c:v>
                </c:pt>
                <c:pt idx="6">
                  <c:v>45044</c:v>
                </c:pt>
                <c:pt idx="7">
                  <c:v>45051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3184420481.5599999</c:v>
                </c:pt>
                <c:pt idx="1">
                  <c:v>3138053697.2600002</c:v>
                </c:pt>
                <c:pt idx="2">
                  <c:v>3062737011.3699999</c:v>
                </c:pt>
                <c:pt idx="3">
                  <c:v>3065619906.6200004</c:v>
                </c:pt>
                <c:pt idx="4">
                  <c:v>3044973052.6900001</c:v>
                </c:pt>
                <c:pt idx="5">
                  <c:v>2397610345.79</c:v>
                </c:pt>
                <c:pt idx="6">
                  <c:v>3016712191.5299997</c:v>
                </c:pt>
                <c:pt idx="7">
                  <c:v>3019546321.4400001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Trend'!$B$7</c:f>
              <c:strCache>
                <c:ptCount val="1"/>
                <c:pt idx="0">
                  <c:v>BALANCED FUNDS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0.00,,,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45002</c:v>
                </c:pt>
                <c:pt idx="1">
                  <c:v>45009</c:v>
                </c:pt>
                <c:pt idx="2">
                  <c:v>45016</c:v>
                </c:pt>
                <c:pt idx="3">
                  <c:v>45022</c:v>
                </c:pt>
                <c:pt idx="4">
                  <c:v>45030</c:v>
                </c:pt>
                <c:pt idx="5">
                  <c:v>45036</c:v>
                </c:pt>
                <c:pt idx="6">
                  <c:v>45044</c:v>
                </c:pt>
                <c:pt idx="7">
                  <c:v>45051</c:v>
                </c:pt>
              </c:numCache>
            </c:numRef>
          </c:cat>
          <c:val>
            <c:numRef>
              <c:f>'NAV Trend'!$C$7:$J$7</c:f>
              <c:numCache>
                <c:formatCode>_(* #,##0.00_);_(* \(#,##0.00\);_(* "-"??_);_(@_)</c:formatCode>
                <c:ptCount val="8"/>
                <c:pt idx="0">
                  <c:v>31644276857.633732</c:v>
                </c:pt>
                <c:pt idx="1">
                  <c:v>31193956823.055714</c:v>
                </c:pt>
                <c:pt idx="2">
                  <c:v>31270923143.617718</c:v>
                </c:pt>
                <c:pt idx="3">
                  <c:v>31357580652.94627</c:v>
                </c:pt>
                <c:pt idx="4">
                  <c:v>31214054403.725143</c:v>
                </c:pt>
                <c:pt idx="5">
                  <c:v>31040700634.661449</c:v>
                </c:pt>
                <c:pt idx="6">
                  <c:v>31064229357.892361</c:v>
                </c:pt>
                <c:pt idx="7">
                  <c:v>31321324637.973106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Trend'!$B$2</c:f>
              <c:strCache>
                <c:ptCount val="1"/>
                <c:pt idx="0">
                  <c:v>EQUITY BASED FUNDS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numFmt formatCode="#0.00,,,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45002</c:v>
                </c:pt>
                <c:pt idx="1">
                  <c:v>45009</c:v>
                </c:pt>
                <c:pt idx="2">
                  <c:v>45016</c:v>
                </c:pt>
                <c:pt idx="3">
                  <c:v>45022</c:v>
                </c:pt>
                <c:pt idx="4">
                  <c:v>45030</c:v>
                </c:pt>
                <c:pt idx="5">
                  <c:v>45036</c:v>
                </c:pt>
                <c:pt idx="6">
                  <c:v>45044</c:v>
                </c:pt>
                <c:pt idx="7">
                  <c:v>45051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17294675587.010002</c:v>
                </c:pt>
                <c:pt idx="1">
                  <c:v>17018697028.65</c:v>
                </c:pt>
                <c:pt idx="2">
                  <c:v>17022340090.360001</c:v>
                </c:pt>
                <c:pt idx="3">
                  <c:v>16999391000.99</c:v>
                </c:pt>
                <c:pt idx="4">
                  <c:v>16887170786.960003</c:v>
                </c:pt>
                <c:pt idx="5">
                  <c:v>16546902385.180002</c:v>
                </c:pt>
                <c:pt idx="6">
                  <c:v>16580432011.360001</c:v>
                </c:pt>
                <c:pt idx="7">
                  <c:v>16794813036.269999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INVESTMENT TRUST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numFmt formatCode="#0.00,,,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45002</c:v>
                </c:pt>
                <c:pt idx="1">
                  <c:v>45009</c:v>
                </c:pt>
                <c:pt idx="2">
                  <c:v>45016</c:v>
                </c:pt>
                <c:pt idx="3">
                  <c:v>45022</c:v>
                </c:pt>
                <c:pt idx="4">
                  <c:v>45030</c:v>
                </c:pt>
                <c:pt idx="5">
                  <c:v>45036</c:v>
                </c:pt>
                <c:pt idx="6">
                  <c:v>45044</c:v>
                </c:pt>
                <c:pt idx="7">
                  <c:v>45051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46432760216.860001</c:v>
                </c:pt>
                <c:pt idx="1">
                  <c:v>46442483642.769997</c:v>
                </c:pt>
                <c:pt idx="2">
                  <c:v>46448137747.110001</c:v>
                </c:pt>
                <c:pt idx="3">
                  <c:v>46504435280.830002</c:v>
                </c:pt>
                <c:pt idx="4">
                  <c:v>46547556602.110001</c:v>
                </c:pt>
                <c:pt idx="5">
                  <c:v>46562248546.230003</c:v>
                </c:pt>
                <c:pt idx="6">
                  <c:v>47203225292.739998</c:v>
                </c:pt>
                <c:pt idx="7">
                  <c:v>47216549017.909996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Trend'!$B$3</c:f>
              <c:strCache>
                <c:ptCount val="1"/>
                <c:pt idx="0">
                  <c:v>MONEY MARKET FUNDS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numFmt formatCode="#0.00,,,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45002</c:v>
                </c:pt>
                <c:pt idx="1">
                  <c:v>45009</c:v>
                </c:pt>
                <c:pt idx="2">
                  <c:v>45016</c:v>
                </c:pt>
                <c:pt idx="3">
                  <c:v>45022</c:v>
                </c:pt>
                <c:pt idx="4">
                  <c:v>45030</c:v>
                </c:pt>
                <c:pt idx="5">
                  <c:v>45036</c:v>
                </c:pt>
                <c:pt idx="6">
                  <c:v>45044</c:v>
                </c:pt>
                <c:pt idx="7">
                  <c:v>45051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809621970053.67017</c:v>
                </c:pt>
                <c:pt idx="1">
                  <c:v>808804557491.32593</c:v>
                </c:pt>
                <c:pt idx="2">
                  <c:v>808555564328.63843</c:v>
                </c:pt>
                <c:pt idx="3">
                  <c:v>806141589764.57471</c:v>
                </c:pt>
                <c:pt idx="4">
                  <c:v>809389465815.42651</c:v>
                </c:pt>
                <c:pt idx="5">
                  <c:v>813597370074.91248</c:v>
                </c:pt>
                <c:pt idx="6">
                  <c:v>806059217034.32275</c:v>
                </c:pt>
                <c:pt idx="7">
                  <c:v>792540018978.42993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ser>
          <c:idx val="4"/>
          <c:order val="3"/>
          <c:tx>
            <c:strRef>
              <c:f>'NAV Trend'!$B$4</c:f>
              <c:strCache>
                <c:ptCount val="1"/>
                <c:pt idx="0">
                  <c:v>BONDS/FIXED INCOME FUNDS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numFmt formatCode="#0.00,,,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45002</c:v>
                </c:pt>
                <c:pt idx="1">
                  <c:v>45009</c:v>
                </c:pt>
                <c:pt idx="2">
                  <c:v>45016</c:v>
                </c:pt>
                <c:pt idx="3">
                  <c:v>45022</c:v>
                </c:pt>
                <c:pt idx="4">
                  <c:v>45030</c:v>
                </c:pt>
                <c:pt idx="5">
                  <c:v>45036</c:v>
                </c:pt>
                <c:pt idx="6">
                  <c:v>45044</c:v>
                </c:pt>
                <c:pt idx="7">
                  <c:v>45051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337681545776.1922</c:v>
                </c:pt>
                <c:pt idx="1">
                  <c:v>338781243498.64948</c:v>
                </c:pt>
                <c:pt idx="2">
                  <c:v>329560582532.39893</c:v>
                </c:pt>
                <c:pt idx="3">
                  <c:v>325274738811.00598</c:v>
                </c:pt>
                <c:pt idx="4">
                  <c:v>324645636399.64471</c:v>
                </c:pt>
                <c:pt idx="5">
                  <c:v>325325671083.40485</c:v>
                </c:pt>
                <c:pt idx="6">
                  <c:v>325304566651.13672</c:v>
                </c:pt>
                <c:pt idx="7">
                  <c:v>324966477016.1626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Trend'!$B$5</c:f>
              <c:strCache>
                <c:ptCount val="1"/>
                <c:pt idx="0">
                  <c:v>DOLLAR FUNDS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45002</c:v>
                </c:pt>
                <c:pt idx="1">
                  <c:v>45009</c:v>
                </c:pt>
                <c:pt idx="2">
                  <c:v>45016</c:v>
                </c:pt>
                <c:pt idx="3">
                  <c:v>45022</c:v>
                </c:pt>
                <c:pt idx="4">
                  <c:v>45030</c:v>
                </c:pt>
                <c:pt idx="5">
                  <c:v>45036</c:v>
                </c:pt>
                <c:pt idx="6">
                  <c:v>45044</c:v>
                </c:pt>
                <c:pt idx="7">
                  <c:v>45051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319613321483.23999</c:v>
                </c:pt>
                <c:pt idx="1">
                  <c:v>317395334099.62982</c:v>
                </c:pt>
                <c:pt idx="2">
                  <c:v>313889534077.08875</c:v>
                </c:pt>
                <c:pt idx="3">
                  <c:v>315799107802.45465</c:v>
                </c:pt>
                <c:pt idx="4">
                  <c:v>328369020682.2923</c:v>
                </c:pt>
                <c:pt idx="5">
                  <c:v>329288437990.39252</c:v>
                </c:pt>
                <c:pt idx="6">
                  <c:v>333300918749.29321</c:v>
                </c:pt>
                <c:pt idx="7">
                  <c:v>332681726568.12634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222378911"/>
        <c:axId val="1"/>
      </c:barChart>
      <c:catAx>
        <c:axId val="1222378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&quot;N&quot;\ #0.00,,,\ &quot;bn&quot;" sourceLinked="0"/>
        <c:majorTickMark val="none"/>
        <c:minorTickMark val="none"/>
        <c:tickLblPos val="low"/>
        <c:crossAx val="1222378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0.11282801188313001"/>
          <c:y val="0.87688888888888894"/>
          <c:w val="0.78020478209454591"/>
          <c:h val="6.5151992364590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GB" sz="1800">
                <a:solidFill>
                  <a:schemeClr val="bg1"/>
                </a:solidFill>
              </a:rPr>
              <a:t>NAV COMPARISON - PREVIOUS &amp; CURRENT</a:t>
            </a:r>
          </a:p>
        </c:rich>
      </c:tx>
      <c:layout>
        <c:manualLayout>
          <c:xMode val="edge"/>
          <c:yMode val="edge"/>
          <c:x val="0.27062389281925459"/>
          <c:y val="1.6723164957727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bg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'NAV Trend'!$C$15</c:f>
              <c:strCache>
                <c:ptCount val="1"/>
                <c:pt idx="0">
                  <c:v>28-Apr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'NAV Trend'!$B$16:$B$23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Trend'!$C$16:$C$23</c:f>
              <c:numCache>
                <c:formatCode>#,##0.00</c:formatCode>
                <c:ptCount val="8"/>
                <c:pt idx="0">
                  <c:v>16794813036.269999</c:v>
                </c:pt>
                <c:pt idx="1">
                  <c:v>792540018978.42993</c:v>
                </c:pt>
                <c:pt idx="2">
                  <c:v>324966477016.1626</c:v>
                </c:pt>
                <c:pt idx="3">
                  <c:v>332681726568.12634</c:v>
                </c:pt>
                <c:pt idx="4">
                  <c:v>47216549017.909996</c:v>
                </c:pt>
                <c:pt idx="5" formatCode="_(* #,##0.00_);_(* \(#,##0.00\);_(* &quot;-&quot;??_);_(@_)">
                  <c:v>31321324637.973106</c:v>
                </c:pt>
                <c:pt idx="6">
                  <c:v>3019546321.4400001</c:v>
                </c:pt>
                <c:pt idx="7">
                  <c:v>25078820531.75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0F-4264-BE05-31414DBC076F}"/>
            </c:ext>
          </c:extLst>
        </c:ser>
        <c:ser>
          <c:idx val="1"/>
          <c:order val="1"/>
          <c:tx>
            <c:strRef>
              <c:f>'NAV Trend'!$D$15</c:f>
              <c:strCache>
                <c:ptCount val="1"/>
                <c:pt idx="0">
                  <c:v>05-May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'NAV Trend'!$B$16:$B$23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Trend'!$D$16:$D$23</c:f>
              <c:numCache>
                <c:formatCode>#,##0.00</c:formatCode>
                <c:ptCount val="8"/>
                <c:pt idx="0">
                  <c:v>16995023834.229998</c:v>
                </c:pt>
                <c:pt idx="1">
                  <c:v>806100368208.14038</c:v>
                </c:pt>
                <c:pt idx="2">
                  <c:v>326343931654.87665</c:v>
                </c:pt>
                <c:pt idx="3">
                  <c:v>334539052167.92297</c:v>
                </c:pt>
                <c:pt idx="4">
                  <c:v>94163780372.309998</c:v>
                </c:pt>
                <c:pt idx="5" formatCode="_(* #,##0.00_);_(* \(#,##0.00\);_(* &quot;-&quot;??_);_(@_)">
                  <c:v>31685014995.591473</c:v>
                </c:pt>
                <c:pt idx="6">
                  <c:v>3058498106.9700003</c:v>
                </c:pt>
                <c:pt idx="7">
                  <c:v>25223397111.16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0F-4264-BE05-31414DBC0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841727743"/>
        <c:axId val="1841729407"/>
      </c:barChart>
      <c:catAx>
        <c:axId val="18417277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cap="all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 b="1">
                    <a:solidFill>
                      <a:schemeClr val="bg1"/>
                    </a:solidFill>
                  </a:rPr>
                  <a:t>CLASSES of fund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cap="all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1729407"/>
        <c:crosses val="autoZero"/>
        <c:auto val="1"/>
        <c:lblAlgn val="ctr"/>
        <c:lblOffset val="100"/>
        <c:noMultiLvlLbl val="0"/>
      </c:catAx>
      <c:valAx>
        <c:axId val="1841729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cap="all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solidFill>
                      <a:schemeClr val="bg1"/>
                    </a:solidFill>
                  </a:rPr>
                  <a:t>NET ASSET VALUE (N)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cap="all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17277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0</xdr:colOff>
      <xdr:row>70</xdr:row>
      <xdr:rowOff>0</xdr:rowOff>
    </xdr:from>
    <xdr:to>
      <xdr:col>21</xdr:col>
      <xdr:colOff>990600</xdr:colOff>
      <xdr:row>74</xdr:row>
      <xdr:rowOff>66676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96</xdr:row>
      <xdr:rowOff>0</xdr:rowOff>
    </xdr:from>
    <xdr:to>
      <xdr:col>20</xdr:col>
      <xdr:colOff>304800</xdr:colOff>
      <xdr:row>97</xdr:row>
      <xdr:rowOff>142873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14430</xdr:colOff>
      <xdr:row>0</xdr:row>
      <xdr:rowOff>0</xdr:rowOff>
    </xdr:from>
    <xdr:to>
      <xdr:col>10</xdr:col>
      <xdr:colOff>532946</xdr:colOff>
      <xdr:row>23</xdr:row>
      <xdr:rowOff>217713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240"/>
  <sheetViews>
    <sheetView tabSelected="1" view="pageBreakPreview" zoomScale="120" zoomScaleNormal="160" zoomScaleSheetLayoutView="120" workbookViewId="0">
      <pane ySplit="1" topLeftCell="A2" activePane="bottomLeft" state="frozen"/>
      <selection activeCell="D1" sqref="D1"/>
      <selection pane="bottomLeft" activeCell="A2" sqref="A2"/>
    </sheetView>
  </sheetViews>
  <sheetFormatPr defaultColWidth="8.85546875" defaultRowHeight="12" customHeight="1"/>
  <cols>
    <col min="1" max="1" width="3.85546875" style="2" customWidth="1"/>
    <col min="2" max="2" width="33.42578125" style="3" customWidth="1"/>
    <col min="3" max="3" width="29.42578125" style="3" customWidth="1"/>
    <col min="4" max="4" width="16.85546875" style="3" customWidth="1"/>
    <col min="5" max="5" width="8.7109375" style="3" customWidth="1"/>
    <col min="6" max="7" width="9.42578125" style="3" customWidth="1"/>
    <col min="8" max="8" width="7.5703125" style="226" customWidth="1"/>
    <col min="9" max="9" width="7.28515625" style="226" customWidth="1"/>
    <col min="10" max="10" width="18" style="222" customWidth="1"/>
    <col min="11" max="11" width="8.7109375" style="3" customWidth="1"/>
    <col min="12" max="12" width="9.7109375" style="3" customWidth="1"/>
    <col min="13" max="13" width="9.42578125" style="3" customWidth="1"/>
    <col min="14" max="14" width="7.85546875" style="2" customWidth="1"/>
    <col min="15" max="15" width="7.28515625" style="2" customWidth="1"/>
    <col min="16" max="16" width="9" style="3" customWidth="1"/>
    <col min="17" max="17" width="9.42578125" style="3" customWidth="1"/>
    <col min="18" max="18" width="8.42578125" style="108" customWidth="1"/>
    <col min="19" max="19" width="7.5703125" style="108" customWidth="1"/>
    <col min="20" max="20" width="29" style="109" customWidth="1"/>
    <col min="21" max="21" width="18.42578125" style="108" customWidth="1"/>
    <col min="22" max="22" width="18.140625" style="108" customWidth="1"/>
    <col min="23" max="23" width="9.42578125" style="108" customWidth="1"/>
    <col min="24" max="24" width="18.42578125" style="108" customWidth="1"/>
    <col min="25" max="25" width="8.85546875" style="108" customWidth="1"/>
    <col min="26" max="26" width="25.140625" style="108" customWidth="1"/>
    <col min="27" max="32" width="8.85546875" style="108"/>
    <col min="33" max="33" width="9" style="108" bestFit="1" customWidth="1"/>
    <col min="34" max="42" width="8.85546875" style="108"/>
    <col min="43" max="43" width="9.28515625" style="108" bestFit="1" customWidth="1"/>
    <col min="44" max="51" width="8.85546875" style="108"/>
    <col min="52" max="52" width="8.85546875" style="108" customWidth="1"/>
    <col min="53" max="103" width="8.85546875" style="108"/>
    <col min="104" max="16384" width="8.85546875" style="3"/>
  </cols>
  <sheetData>
    <row r="1" spans="1:26" s="114" customFormat="1" ht="22.5" customHeight="1">
      <c r="A1" s="458" t="s">
        <v>285</v>
      </c>
      <c r="B1" s="459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0"/>
      <c r="R1" s="460"/>
      <c r="S1" s="461"/>
      <c r="T1" s="293"/>
      <c r="U1" s="115"/>
    </row>
    <row r="2" spans="1:26" s="114" customFormat="1" ht="25.5" customHeight="1">
      <c r="A2" s="246"/>
      <c r="B2" s="247"/>
      <c r="C2" s="247"/>
      <c r="D2" s="424" t="s">
        <v>283</v>
      </c>
      <c r="E2" s="425"/>
      <c r="F2" s="425"/>
      <c r="G2" s="425"/>
      <c r="H2" s="425"/>
      <c r="I2" s="426"/>
      <c r="J2" s="424" t="s">
        <v>286</v>
      </c>
      <c r="K2" s="425"/>
      <c r="L2" s="425"/>
      <c r="M2" s="425"/>
      <c r="N2" s="425"/>
      <c r="O2" s="426"/>
      <c r="P2" s="429" t="s">
        <v>63</v>
      </c>
      <c r="Q2" s="429"/>
      <c r="R2" s="429" t="s">
        <v>224</v>
      </c>
      <c r="S2" s="430"/>
      <c r="T2" s="293"/>
      <c r="U2" s="115"/>
    </row>
    <row r="3" spans="1:26" s="114" customFormat="1" ht="24.75" customHeight="1">
      <c r="A3" s="298" t="s">
        <v>1</v>
      </c>
      <c r="B3" s="299" t="s">
        <v>2</v>
      </c>
      <c r="C3" s="299" t="s">
        <v>200</v>
      </c>
      <c r="D3" s="300" t="s">
        <v>209</v>
      </c>
      <c r="E3" s="301" t="s">
        <v>62</v>
      </c>
      <c r="F3" s="301" t="s">
        <v>221</v>
      </c>
      <c r="G3" s="301" t="s">
        <v>222</v>
      </c>
      <c r="H3" s="301" t="s">
        <v>264</v>
      </c>
      <c r="I3" s="301" t="s">
        <v>265</v>
      </c>
      <c r="J3" s="302" t="s">
        <v>209</v>
      </c>
      <c r="K3" s="301" t="s">
        <v>62</v>
      </c>
      <c r="L3" s="301" t="s">
        <v>221</v>
      </c>
      <c r="M3" s="301" t="s">
        <v>222</v>
      </c>
      <c r="N3" s="301" t="s">
        <v>264</v>
      </c>
      <c r="O3" s="301" t="s">
        <v>265</v>
      </c>
      <c r="P3" s="303" t="s">
        <v>210</v>
      </c>
      <c r="Q3" s="304" t="s">
        <v>122</v>
      </c>
      <c r="R3" s="301" t="s">
        <v>268</v>
      </c>
      <c r="S3" s="305" t="s">
        <v>269</v>
      </c>
      <c r="T3" s="293"/>
      <c r="U3" s="115"/>
    </row>
    <row r="4" spans="1:26" s="114" customFormat="1" ht="5.25" customHeight="1">
      <c r="A4" s="434"/>
      <c r="B4" s="435"/>
      <c r="C4" s="436"/>
      <c r="D4" s="436"/>
      <c r="E4" s="436"/>
      <c r="F4" s="436"/>
      <c r="G4" s="436"/>
      <c r="H4" s="436"/>
      <c r="I4" s="436"/>
      <c r="J4" s="436"/>
      <c r="K4" s="436"/>
      <c r="L4" s="436"/>
      <c r="M4" s="436"/>
      <c r="N4" s="436"/>
      <c r="O4" s="436"/>
      <c r="P4" s="436"/>
      <c r="Q4" s="436"/>
      <c r="R4" s="436"/>
      <c r="S4" s="437"/>
      <c r="T4" s="293"/>
      <c r="U4" s="115"/>
    </row>
    <row r="5" spans="1:26" s="114" customFormat="1" ht="12.95" customHeight="1">
      <c r="A5" s="438" t="s">
        <v>0</v>
      </c>
      <c r="B5" s="439"/>
      <c r="C5" s="440"/>
      <c r="D5" s="440"/>
      <c r="E5" s="440"/>
      <c r="F5" s="440"/>
      <c r="G5" s="440"/>
      <c r="H5" s="440"/>
      <c r="I5" s="440"/>
      <c r="J5" s="440"/>
      <c r="K5" s="440"/>
      <c r="L5" s="440"/>
      <c r="M5" s="440"/>
      <c r="N5" s="440"/>
      <c r="O5" s="440"/>
      <c r="P5" s="440"/>
      <c r="Q5" s="440"/>
      <c r="R5" s="440"/>
      <c r="S5" s="441"/>
      <c r="T5" s="293"/>
      <c r="U5" s="115"/>
    </row>
    <row r="6" spans="1:26" s="114" customFormat="1" ht="12.95" customHeight="1">
      <c r="A6" s="396">
        <v>1</v>
      </c>
      <c r="B6" s="374" t="s">
        <v>13</v>
      </c>
      <c r="C6" s="375" t="s">
        <v>58</v>
      </c>
      <c r="D6" s="330">
        <v>426683527.77999997</v>
      </c>
      <c r="E6" s="337">
        <f t="shared" ref="E6:E21" si="0">(D6/$D$22)</f>
        <v>2.5405672981207723E-2</v>
      </c>
      <c r="F6" s="329">
        <v>199.90090000000001</v>
      </c>
      <c r="G6" s="329">
        <v>202.7312</v>
      </c>
      <c r="H6" s="338">
        <v>1.7170696457000423E-2</v>
      </c>
      <c r="I6" s="338">
        <v>6.0420900105847553E-2</v>
      </c>
      <c r="J6" s="330">
        <v>431434117.44999999</v>
      </c>
      <c r="K6" s="337">
        <f t="shared" ref="K6:K11" si="1">(J6/$J$22)</f>
        <v>2.5385908349304011E-2</v>
      </c>
      <c r="L6" s="329">
        <v>202.0376</v>
      </c>
      <c r="M6" s="329">
        <v>204.9342</v>
      </c>
      <c r="N6" s="338">
        <v>-3.3999999999999998E-3</v>
      </c>
      <c r="O6" s="338">
        <v>7.1800000000000003E-2</v>
      </c>
      <c r="P6" s="111">
        <f>((J6-D6)/D6)</f>
        <v>1.1133754552740651E-2</v>
      </c>
      <c r="Q6" s="111">
        <f t="shared" ref="Q6:Q21" si="2">((M6-G6)/G6)</f>
        <v>1.0866605633469356E-2</v>
      </c>
      <c r="R6" s="333">
        <f>L6-H6</f>
        <v>202.02042930354301</v>
      </c>
      <c r="S6" s="370">
        <f t="shared" ref="S6:S21" si="3">O6-I6</f>
        <v>1.137909989415245E-2</v>
      </c>
      <c r="U6" s="115"/>
    </row>
    <row r="7" spans="1:26" s="114" customFormat="1" ht="12.95" customHeight="1">
      <c r="A7" s="400">
        <v>2</v>
      </c>
      <c r="B7" s="374" t="s">
        <v>140</v>
      </c>
      <c r="C7" s="375" t="s">
        <v>139</v>
      </c>
      <c r="D7" s="329">
        <v>458403469.83999997</v>
      </c>
      <c r="E7" s="337">
        <f t="shared" si="0"/>
        <v>2.7294347894795495E-2</v>
      </c>
      <c r="F7" s="329">
        <v>153.45410000000001</v>
      </c>
      <c r="G7" s="329">
        <v>154.75110000000001</v>
      </c>
      <c r="H7" s="338">
        <v>1.6413000000000001E-2</v>
      </c>
      <c r="I7" s="338">
        <v>5.8700000000000002E-2</v>
      </c>
      <c r="J7" s="329">
        <v>470621417.10000002</v>
      </c>
      <c r="K7" s="337">
        <f t="shared" si="1"/>
        <v>2.7691718569532838E-2</v>
      </c>
      <c r="L7" s="329">
        <v>157.39940000000001</v>
      </c>
      <c r="M7" s="329">
        <v>158.98480000000001</v>
      </c>
      <c r="N7" s="338">
        <v>2.529E-2</v>
      </c>
      <c r="O7" s="338">
        <v>8.5900000000000004E-2</v>
      </c>
      <c r="P7" s="333">
        <v>5.6480000000000002E-3</v>
      </c>
      <c r="Q7" s="333">
        <f t="shared" si="2"/>
        <v>2.735812540266272E-2</v>
      </c>
      <c r="R7" s="333">
        <f t="shared" ref="R7:R21" si="4">N7-H7</f>
        <v>8.8769999999999995E-3</v>
      </c>
      <c r="S7" s="370">
        <f t="shared" si="3"/>
        <v>2.7200000000000002E-2</v>
      </c>
      <c r="T7" s="293"/>
      <c r="U7" s="115"/>
    </row>
    <row r="8" spans="1:26" s="114" customFormat="1" ht="12.95" customHeight="1">
      <c r="A8" s="402">
        <v>3</v>
      </c>
      <c r="B8" s="374" t="s">
        <v>11</v>
      </c>
      <c r="C8" s="375" t="s">
        <v>6</v>
      </c>
      <c r="D8" s="329">
        <v>2399333308.2600002</v>
      </c>
      <c r="E8" s="337">
        <f t="shared" si="0"/>
        <v>0.14286156702539118</v>
      </c>
      <c r="F8" s="329">
        <v>22.952100000000002</v>
      </c>
      <c r="G8" s="329">
        <v>23.644100000000002</v>
      </c>
      <c r="H8" s="319">
        <v>0.64880000000000004</v>
      </c>
      <c r="I8" s="319">
        <v>0.11</v>
      </c>
      <c r="J8" s="329">
        <v>2414176649.5999999</v>
      </c>
      <c r="K8" s="337">
        <f t="shared" si="1"/>
        <v>0.14205197198591515</v>
      </c>
      <c r="L8" s="329">
        <v>23.120699999999999</v>
      </c>
      <c r="M8" s="329">
        <v>23.817799999999998</v>
      </c>
      <c r="N8" s="319">
        <v>0.3831</v>
      </c>
      <c r="O8" s="319">
        <v>0.12609999999999999</v>
      </c>
      <c r="P8" s="333">
        <f t="shared" ref="P8:P22" si="5">((J8-D8)/D8)</f>
        <v>6.1864440796531462E-3</v>
      </c>
      <c r="Q8" s="333">
        <f t="shared" si="2"/>
        <v>7.3464416069969514E-3</v>
      </c>
      <c r="R8" s="333">
        <f t="shared" si="4"/>
        <v>-0.26570000000000005</v>
      </c>
      <c r="S8" s="370">
        <f t="shared" si="3"/>
        <v>1.6099999999999989E-2</v>
      </c>
      <c r="T8" s="293"/>
      <c r="U8" s="115"/>
      <c r="V8" s="148"/>
      <c r="W8" s="116"/>
      <c r="X8" s="116"/>
      <c r="Y8" s="117"/>
    </row>
    <row r="9" spans="1:26" s="114" customFormat="1" ht="12.95" customHeight="1">
      <c r="A9" s="404">
        <v>4</v>
      </c>
      <c r="B9" s="374" t="s">
        <v>83</v>
      </c>
      <c r="C9" s="375" t="s">
        <v>82</v>
      </c>
      <c r="D9" s="330">
        <v>253303753.62</v>
      </c>
      <c r="E9" s="337">
        <f t="shared" si="0"/>
        <v>1.5082260997664363E-2</v>
      </c>
      <c r="F9" s="329">
        <v>133.52000000000001</v>
      </c>
      <c r="G9" s="329">
        <v>134.46</v>
      </c>
      <c r="H9" s="338">
        <v>6.4199999999999993E-2</v>
      </c>
      <c r="I9" s="338">
        <v>-1.01E-2</v>
      </c>
      <c r="J9" s="330">
        <v>253303753.62</v>
      </c>
      <c r="K9" s="337">
        <f t="shared" si="1"/>
        <v>1.490458360580914E-2</v>
      </c>
      <c r="L9" s="329">
        <v>133.52000000000001</v>
      </c>
      <c r="M9" s="329">
        <v>134.46</v>
      </c>
      <c r="N9" s="338">
        <v>0.02</v>
      </c>
      <c r="O9" s="338">
        <v>-1.01E-2</v>
      </c>
      <c r="P9" s="333">
        <f t="shared" si="5"/>
        <v>0</v>
      </c>
      <c r="Q9" s="333">
        <f t="shared" si="2"/>
        <v>0</v>
      </c>
      <c r="R9" s="333">
        <f t="shared" si="4"/>
        <v>-4.4199999999999989E-2</v>
      </c>
      <c r="S9" s="370">
        <f t="shared" si="3"/>
        <v>0</v>
      </c>
      <c r="T9" s="293"/>
      <c r="U9" s="115"/>
      <c r="V9" s="148"/>
      <c r="W9" s="116"/>
      <c r="X9" s="116"/>
      <c r="Y9" s="117"/>
    </row>
    <row r="10" spans="1:26" s="114" customFormat="1" ht="12.95" customHeight="1">
      <c r="A10" s="398">
        <v>5</v>
      </c>
      <c r="B10" s="374" t="s">
        <v>53</v>
      </c>
      <c r="C10" s="375" t="s">
        <v>191</v>
      </c>
      <c r="D10" s="329">
        <v>391185242.54000002</v>
      </c>
      <c r="E10" s="337">
        <f t="shared" si="0"/>
        <v>2.32920272285972E-2</v>
      </c>
      <c r="F10" s="329">
        <v>180.05</v>
      </c>
      <c r="G10" s="329">
        <v>182.4</v>
      </c>
      <c r="H10" s="319">
        <v>1.43E-2</v>
      </c>
      <c r="I10" s="319">
        <v>8.72E-2</v>
      </c>
      <c r="J10" s="329">
        <v>397400267.23000002</v>
      </c>
      <c r="K10" s="337">
        <f t="shared" si="1"/>
        <v>2.33833309741872E-2</v>
      </c>
      <c r="L10" s="329">
        <v>182.85</v>
      </c>
      <c r="M10" s="329">
        <v>185.22</v>
      </c>
      <c r="N10" s="319">
        <v>1.55E-2</v>
      </c>
      <c r="O10" s="319">
        <v>0.1041</v>
      </c>
      <c r="P10" s="333">
        <f t="shared" si="5"/>
        <v>1.5887676768288339E-2</v>
      </c>
      <c r="Q10" s="333">
        <f t="shared" si="2"/>
        <v>1.5460526315789435E-2</v>
      </c>
      <c r="R10" s="333">
        <f t="shared" si="4"/>
        <v>1.1999999999999997E-3</v>
      </c>
      <c r="S10" s="370">
        <f t="shared" si="3"/>
        <v>1.6899999999999998E-2</v>
      </c>
      <c r="T10" s="293"/>
      <c r="U10" s="115"/>
      <c r="V10" s="148"/>
      <c r="W10" s="116"/>
      <c r="X10" s="116"/>
      <c r="Y10" s="117"/>
    </row>
    <row r="11" spans="1:26" s="114" customFormat="1" ht="12.95" customHeight="1">
      <c r="A11" s="403">
        <v>6</v>
      </c>
      <c r="B11" s="374" t="s">
        <v>8</v>
      </c>
      <c r="C11" s="375" t="s">
        <v>57</v>
      </c>
      <c r="D11" s="330">
        <v>266937356.22999999</v>
      </c>
      <c r="E11" s="337">
        <f t="shared" si="0"/>
        <v>1.5894035596200048E-2</v>
      </c>
      <c r="F11" s="329">
        <v>134.15</v>
      </c>
      <c r="G11" s="329">
        <v>137.35</v>
      </c>
      <c r="H11" s="338">
        <v>1.4500000000000001E-2</v>
      </c>
      <c r="I11" s="338">
        <v>6.7140000000000005E-2</v>
      </c>
      <c r="J11" s="330">
        <v>268366586.72</v>
      </c>
      <c r="K11" s="337">
        <f t="shared" si="1"/>
        <v>1.5790892048028658E-2</v>
      </c>
      <c r="L11" s="329">
        <v>134.87</v>
      </c>
      <c r="M11" s="329">
        <v>137.27000000000001</v>
      </c>
      <c r="N11" s="338">
        <v>1.4500000000000001E-2</v>
      </c>
      <c r="O11" s="338">
        <v>7.2900000000000006E-2</v>
      </c>
      <c r="P11" s="333">
        <f t="shared" si="5"/>
        <v>5.354179385700323E-3</v>
      </c>
      <c r="Q11" s="333">
        <f t="shared" si="2"/>
        <v>-5.8245358572977125E-4</v>
      </c>
      <c r="R11" s="333">
        <f t="shared" si="4"/>
        <v>0</v>
      </c>
      <c r="S11" s="370">
        <f t="shared" si="3"/>
        <v>5.7600000000000012E-3</v>
      </c>
      <c r="T11" s="293"/>
      <c r="U11" s="115"/>
      <c r="V11" s="150"/>
      <c r="W11" s="117"/>
      <c r="X11" s="117"/>
      <c r="Y11" s="118"/>
      <c r="Z11" s="119"/>
    </row>
    <row r="12" spans="1:26" s="114" customFormat="1" ht="12.95" customHeight="1">
      <c r="A12" s="405">
        <v>7</v>
      </c>
      <c r="B12" s="374" t="s">
        <v>225</v>
      </c>
      <c r="C12" s="375" t="s">
        <v>226</v>
      </c>
      <c r="D12" s="74">
        <v>25667146</v>
      </c>
      <c r="E12" s="337">
        <f t="shared" si="0"/>
        <v>1.5282781621069168E-3</v>
      </c>
      <c r="F12" s="329">
        <v>100.18</v>
      </c>
      <c r="G12" s="329">
        <v>103.28</v>
      </c>
      <c r="H12" s="338">
        <v>1.4500000000000001E-2</v>
      </c>
      <c r="I12" s="338">
        <v>3.49E-2</v>
      </c>
      <c r="J12" s="74">
        <v>26679738</v>
      </c>
      <c r="K12" s="337">
        <v>0.96619999999999995</v>
      </c>
      <c r="L12" s="329">
        <v>104.12</v>
      </c>
      <c r="M12" s="329">
        <v>107.37</v>
      </c>
      <c r="N12" s="338">
        <v>4.02E-2</v>
      </c>
      <c r="O12" s="338">
        <v>7.4999999999999997E-2</v>
      </c>
      <c r="P12" s="333">
        <f t="shared" si="5"/>
        <v>3.9450899605277499E-2</v>
      </c>
      <c r="Q12" s="333">
        <f t="shared" si="2"/>
        <v>3.9601084430673929E-2</v>
      </c>
      <c r="R12" s="333">
        <f t="shared" si="4"/>
        <v>2.5700000000000001E-2</v>
      </c>
      <c r="S12" s="370">
        <f t="shared" si="3"/>
        <v>4.0099999999999997E-2</v>
      </c>
      <c r="T12" s="146"/>
      <c r="U12" s="115"/>
    </row>
    <row r="13" spans="1:26" s="114" customFormat="1" ht="12.95" customHeight="1">
      <c r="A13" s="396">
        <v>8</v>
      </c>
      <c r="B13" s="374" t="s">
        <v>45</v>
      </c>
      <c r="C13" s="375" t="s">
        <v>136</v>
      </c>
      <c r="D13" s="330">
        <v>1031899682.33</v>
      </c>
      <c r="E13" s="337">
        <f t="shared" si="0"/>
        <v>6.1441570090808056E-2</v>
      </c>
      <c r="F13" s="329">
        <v>2.06</v>
      </c>
      <c r="G13" s="329">
        <v>2.1</v>
      </c>
      <c r="H13" s="338">
        <v>-3.0700000000000002E-2</v>
      </c>
      <c r="I13" s="338">
        <v>4.2099999999999999E-2</v>
      </c>
      <c r="J13" s="330">
        <v>1039769742.6900001</v>
      </c>
      <c r="K13" s="337">
        <f t="shared" ref="K13:K18" si="6">(J13/$J$22)</f>
        <v>6.1180834627356052E-2</v>
      </c>
      <c r="L13" s="329">
        <v>2.08</v>
      </c>
      <c r="M13" s="329">
        <v>2.12</v>
      </c>
      <c r="N13" s="338">
        <v>-2.3300000000000001E-2</v>
      </c>
      <c r="O13" s="338">
        <v>5.0099999999999999E-2</v>
      </c>
      <c r="P13" s="333">
        <f t="shared" si="5"/>
        <v>7.6267688562803339E-3</v>
      </c>
      <c r="Q13" s="333">
        <f t="shared" si="2"/>
        <v>9.5238095238095316E-3</v>
      </c>
      <c r="R13" s="333">
        <f t="shared" si="4"/>
        <v>7.4000000000000003E-3</v>
      </c>
      <c r="S13" s="370">
        <f t="shared" si="3"/>
        <v>8.0000000000000002E-3</v>
      </c>
      <c r="T13" s="146"/>
      <c r="U13" s="115"/>
    </row>
    <row r="14" spans="1:26" s="114" customFormat="1" ht="12.95" customHeight="1">
      <c r="A14" s="398">
        <v>9</v>
      </c>
      <c r="B14" s="374" t="s">
        <v>54</v>
      </c>
      <c r="C14" s="375" t="s">
        <v>55</v>
      </c>
      <c r="D14" s="329">
        <v>310381485.08999997</v>
      </c>
      <c r="E14" s="337">
        <f t="shared" si="0"/>
        <v>1.8480794303556793E-2</v>
      </c>
      <c r="F14" s="329">
        <v>12.877599999999999</v>
      </c>
      <c r="G14" s="329">
        <v>12.965</v>
      </c>
      <c r="H14" s="338">
        <v>-3.0999999999999999E-3</v>
      </c>
      <c r="I14" s="338">
        <v>4.6600000000000003E-2</v>
      </c>
      <c r="J14" s="329">
        <v>327568482.69999999</v>
      </c>
      <c r="K14" s="337">
        <f t="shared" si="6"/>
        <v>1.9274376187707259E-2</v>
      </c>
      <c r="L14" s="329">
        <v>13.5839</v>
      </c>
      <c r="M14" s="329">
        <v>13.675599999999999</v>
      </c>
      <c r="N14" s="338">
        <v>5.4800000000000001E-2</v>
      </c>
      <c r="O14" s="338">
        <v>0.104</v>
      </c>
      <c r="P14" s="333">
        <f t="shared" si="5"/>
        <v>5.5373784956974398E-2</v>
      </c>
      <c r="Q14" s="333">
        <f t="shared" si="2"/>
        <v>5.4809101426918583E-2</v>
      </c>
      <c r="R14" s="333">
        <f t="shared" si="4"/>
        <v>5.79E-2</v>
      </c>
      <c r="S14" s="370">
        <f t="shared" si="3"/>
        <v>5.7399999999999993E-2</v>
      </c>
      <c r="T14" s="146"/>
      <c r="U14" s="151"/>
      <c r="V14" s="151"/>
    </row>
    <row r="15" spans="1:26" s="114" customFormat="1" ht="12.95" customHeight="1">
      <c r="A15" s="396">
        <v>10</v>
      </c>
      <c r="B15" s="374" t="s">
        <v>129</v>
      </c>
      <c r="C15" s="375" t="s">
        <v>92</v>
      </c>
      <c r="D15" s="329">
        <v>295967065.02999997</v>
      </c>
      <c r="E15" s="337">
        <f t="shared" si="0"/>
        <v>1.7622528121678454E-2</v>
      </c>
      <c r="F15" s="329">
        <v>1.5055339999999999</v>
      </c>
      <c r="G15" s="329">
        <v>1.533102</v>
      </c>
      <c r="H15" s="338">
        <v>0</v>
      </c>
      <c r="I15" s="338">
        <v>2.8999999999999998E-3</v>
      </c>
      <c r="J15" s="329">
        <v>304563016.81999999</v>
      </c>
      <c r="K15" s="337">
        <f t="shared" si="6"/>
        <v>1.792071725175071E-2</v>
      </c>
      <c r="L15" s="329">
        <v>1.5492220000000001</v>
      </c>
      <c r="M15" s="329">
        <v>1.5771029999999999</v>
      </c>
      <c r="N15" s="338">
        <v>-3.5616438356164383E-4</v>
      </c>
      <c r="O15" s="338">
        <v>1.6678999999999999</v>
      </c>
      <c r="P15" s="333">
        <f t="shared" si="5"/>
        <v>2.9043609258106857E-2</v>
      </c>
      <c r="Q15" s="333">
        <f t="shared" si="2"/>
        <v>2.870063440005946E-2</v>
      </c>
      <c r="R15" s="333">
        <f t="shared" si="4"/>
        <v>-3.5616438356164383E-4</v>
      </c>
      <c r="S15" s="370">
        <f t="shared" si="3"/>
        <v>1.665</v>
      </c>
      <c r="T15" s="146"/>
      <c r="U15" s="152"/>
      <c r="V15" s="152"/>
    </row>
    <row r="16" spans="1:26" s="114" customFormat="1" ht="12.95" customHeight="1">
      <c r="A16" s="404">
        <v>11</v>
      </c>
      <c r="B16" s="374" t="s">
        <v>10</v>
      </c>
      <c r="C16" s="375" t="s">
        <v>9</v>
      </c>
      <c r="D16" s="330">
        <v>725857123.89999998</v>
      </c>
      <c r="E16" s="337">
        <f t="shared" si="0"/>
        <v>4.3219124996059344E-2</v>
      </c>
      <c r="F16" s="329">
        <v>18.59</v>
      </c>
      <c r="G16" s="329">
        <v>18.989999999999998</v>
      </c>
      <c r="H16" s="338">
        <v>1.9400000000000001E-2</v>
      </c>
      <c r="I16" s="338">
        <v>5.1400000000000001E-2</v>
      </c>
      <c r="J16" s="330">
        <v>733608279.30999994</v>
      </c>
      <c r="K16" s="337">
        <f t="shared" si="6"/>
        <v>4.3166063576352609E-2</v>
      </c>
      <c r="L16" s="329">
        <v>18.41</v>
      </c>
      <c r="M16" s="329">
        <v>18.79</v>
      </c>
      <c r="N16" s="338">
        <v>1.11E-2</v>
      </c>
      <c r="O16" s="338">
        <v>7.5899999999999995E-2</v>
      </c>
      <c r="P16" s="333">
        <f t="shared" si="5"/>
        <v>1.0678624146241525E-2</v>
      </c>
      <c r="Q16" s="333">
        <f t="shared" si="2"/>
        <v>-1.0531858873091065E-2</v>
      </c>
      <c r="R16" s="333">
        <f t="shared" si="4"/>
        <v>-8.3000000000000001E-3</v>
      </c>
      <c r="S16" s="370">
        <f t="shared" si="3"/>
        <v>2.4499999999999994E-2</v>
      </c>
      <c r="T16" s="146"/>
      <c r="U16" s="153"/>
      <c r="V16" s="153"/>
    </row>
    <row r="17" spans="1:25" s="114" customFormat="1" ht="12.95" customHeight="1">
      <c r="A17" s="400">
        <v>12</v>
      </c>
      <c r="B17" s="374" t="s">
        <v>68</v>
      </c>
      <c r="C17" s="375" t="s">
        <v>5</v>
      </c>
      <c r="D17" s="330">
        <v>352597487.56</v>
      </c>
      <c r="E17" s="337">
        <f t="shared" si="0"/>
        <v>2.0994427672313597E-2</v>
      </c>
      <c r="F17" s="329">
        <v>3478.6</v>
      </c>
      <c r="G17" s="329">
        <v>3520.07</v>
      </c>
      <c r="H17" s="338">
        <v>1.7100000000000001E-2</v>
      </c>
      <c r="I17" s="338">
        <v>7.51E-2</v>
      </c>
      <c r="J17" s="330">
        <v>360902095.77999997</v>
      </c>
      <c r="K17" s="337">
        <f t="shared" si="6"/>
        <v>2.1235751082213858E-2</v>
      </c>
      <c r="L17" s="329">
        <v>3561.75</v>
      </c>
      <c r="M17" s="329">
        <v>3602.14</v>
      </c>
      <c r="N17" s="338">
        <v>2.3300000000000001E-2</v>
      </c>
      <c r="O17" s="338">
        <v>0.10009999999999999</v>
      </c>
      <c r="P17" s="333">
        <f t="shared" si="5"/>
        <v>2.3552658521387819E-2</v>
      </c>
      <c r="Q17" s="333">
        <f t="shared" si="2"/>
        <v>2.3314877260963478E-2</v>
      </c>
      <c r="R17" s="333">
        <f t="shared" si="4"/>
        <v>6.2000000000000006E-3</v>
      </c>
      <c r="S17" s="370">
        <f t="shared" si="3"/>
        <v>2.4999999999999994E-2</v>
      </c>
      <c r="T17" s="146"/>
      <c r="U17" s="152"/>
      <c r="V17" s="152"/>
    </row>
    <row r="18" spans="1:25" s="114" customFormat="1" ht="12.95" customHeight="1">
      <c r="A18" s="400">
        <v>13</v>
      </c>
      <c r="B18" s="374" t="s">
        <v>233</v>
      </c>
      <c r="C18" s="375" t="s">
        <v>5</v>
      </c>
      <c r="D18" s="330">
        <v>7449446127.3000002</v>
      </c>
      <c r="E18" s="337">
        <f t="shared" si="0"/>
        <v>0.44355635940764637</v>
      </c>
      <c r="F18" s="329">
        <v>12849.97</v>
      </c>
      <c r="G18" s="329">
        <v>12999.2</v>
      </c>
      <c r="H18" s="338">
        <v>4.1999999999999997E-3</v>
      </c>
      <c r="I18" s="338">
        <v>5.0700000000000002E-2</v>
      </c>
      <c r="J18" s="330">
        <v>7561137652.1700001</v>
      </c>
      <c r="K18" s="337">
        <f t="shared" si="6"/>
        <v>0.44490303314202895</v>
      </c>
      <c r="L18" s="329">
        <v>13042.66</v>
      </c>
      <c r="M18" s="329">
        <v>13195.08</v>
      </c>
      <c r="N18" s="338">
        <v>4.1999999999999997E-3</v>
      </c>
      <c r="O18" s="338">
        <v>6.6500000000000004E-2</v>
      </c>
      <c r="P18" s="333">
        <f t="shared" si="5"/>
        <v>1.4993265668528528E-2</v>
      </c>
      <c r="Q18" s="333">
        <f t="shared" si="2"/>
        <v>1.5068619607360391E-2</v>
      </c>
      <c r="R18" s="333">
        <f t="shared" si="4"/>
        <v>0</v>
      </c>
      <c r="S18" s="370">
        <f t="shared" si="3"/>
        <v>1.5800000000000002E-2</v>
      </c>
      <c r="T18" s="146"/>
      <c r="U18" s="154"/>
      <c r="V18" s="154"/>
    </row>
    <row r="19" spans="1:25" s="114" customFormat="1" ht="12.95" customHeight="1">
      <c r="A19" s="395">
        <v>14</v>
      </c>
      <c r="B19" s="374" t="s">
        <v>253</v>
      </c>
      <c r="C19" s="375" t="s">
        <v>254</v>
      </c>
      <c r="D19" s="74">
        <v>58043001.25</v>
      </c>
      <c r="E19" s="337">
        <f t="shared" si="0"/>
        <v>3.4560075854759807E-3</v>
      </c>
      <c r="F19" s="329">
        <v>110.02500000000001</v>
      </c>
      <c r="G19" s="329">
        <v>110.4457</v>
      </c>
      <c r="H19" s="338">
        <v>3.2812000000000001E-2</v>
      </c>
      <c r="I19" s="338">
        <v>2.2540999999999999E-2</v>
      </c>
      <c r="J19" s="74">
        <v>58755040</v>
      </c>
      <c r="K19" s="337">
        <v>0.96619999999999995</v>
      </c>
      <c r="L19" s="329">
        <v>111.1263</v>
      </c>
      <c r="M19" s="329">
        <v>111.5488</v>
      </c>
      <c r="N19" s="338">
        <v>5.7747E-2</v>
      </c>
      <c r="O19" s="338">
        <v>2.6540999999999999E-2</v>
      </c>
      <c r="P19" s="333">
        <f t="shared" si="5"/>
        <v>1.2267435085466053E-2</v>
      </c>
      <c r="Q19" s="333">
        <f t="shared" si="2"/>
        <v>9.9877134193544683E-3</v>
      </c>
      <c r="R19" s="333">
        <f t="shared" si="4"/>
        <v>2.4934999999999999E-2</v>
      </c>
      <c r="S19" s="370">
        <f t="shared" si="3"/>
        <v>4.0000000000000001E-3</v>
      </c>
      <c r="T19" s="313"/>
      <c r="U19" s="313"/>
      <c r="V19" s="154"/>
    </row>
    <row r="20" spans="1:25" s="334" customFormat="1" ht="12.95" customHeight="1">
      <c r="A20" s="398">
        <v>15</v>
      </c>
      <c r="B20" s="375" t="s">
        <v>77</v>
      </c>
      <c r="C20" s="375" t="s">
        <v>41</v>
      </c>
      <c r="D20" s="329">
        <v>2004917093.0599999</v>
      </c>
      <c r="E20" s="337">
        <f t="shared" si="0"/>
        <v>0.1193771605989415</v>
      </c>
      <c r="F20" s="329">
        <v>1.0326</v>
      </c>
      <c r="G20" s="314">
        <v>1.0557000000000001</v>
      </c>
      <c r="H20" s="338">
        <v>1.1000000000000001E-3</v>
      </c>
      <c r="I20" s="338">
        <v>8.3599999999999994E-2</v>
      </c>
      <c r="J20" s="329">
        <v>1994889341.1199999</v>
      </c>
      <c r="K20" s="337">
        <f>(J20/$J$22)</f>
        <v>0.11738079102319679</v>
      </c>
      <c r="L20" s="329">
        <v>1.0278</v>
      </c>
      <c r="M20" s="314">
        <v>1.0508999999999999</v>
      </c>
      <c r="N20" s="338">
        <v>-4.7000000000000002E-3</v>
      </c>
      <c r="O20" s="338">
        <v>7.8600000000000003E-2</v>
      </c>
      <c r="P20" s="333">
        <f t="shared" si="5"/>
        <v>-5.0015793544336664E-3</v>
      </c>
      <c r="Q20" s="333">
        <f t="shared" si="2"/>
        <v>-4.5467462347259045E-3</v>
      </c>
      <c r="R20" s="333">
        <f t="shared" si="4"/>
        <v>-5.8000000000000005E-3</v>
      </c>
      <c r="S20" s="370">
        <f t="shared" si="3"/>
        <v>-4.9999999999999906E-3</v>
      </c>
      <c r="T20" s="313"/>
      <c r="U20" s="313"/>
      <c r="V20" s="154"/>
    </row>
    <row r="21" spans="1:25" s="114" customFormat="1" ht="12.95" customHeight="1">
      <c r="A21" s="402">
        <v>16</v>
      </c>
      <c r="B21" s="374" t="s">
        <v>126</v>
      </c>
      <c r="C21" s="375" t="s">
        <v>251</v>
      </c>
      <c r="D21" s="330">
        <v>344190166.48000002</v>
      </c>
      <c r="E21" s="337">
        <f t="shared" si="0"/>
        <v>2.0493837337557053E-2</v>
      </c>
      <c r="F21" s="329">
        <v>1.26</v>
      </c>
      <c r="G21" s="329">
        <v>1.3</v>
      </c>
      <c r="H21" s="338">
        <v>1.3899999999999999E-2</v>
      </c>
      <c r="I21" s="338">
        <v>1.7100000000000001E-2</v>
      </c>
      <c r="J21" s="330">
        <v>351847653.92000002</v>
      </c>
      <c r="K21" s="337">
        <f>(J21/$J$22)</f>
        <v>2.0702980904995085E-2</v>
      </c>
      <c r="L21" s="329">
        <v>1.29</v>
      </c>
      <c r="M21" s="329">
        <v>1.33</v>
      </c>
      <c r="N21" s="338">
        <v>2.1600000000000001E-2</v>
      </c>
      <c r="O21" s="338">
        <v>3.9E-2</v>
      </c>
      <c r="P21" s="333">
        <f t="shared" si="5"/>
        <v>2.2247839089397557E-2</v>
      </c>
      <c r="Q21" s="333">
        <f t="shared" si="2"/>
        <v>2.3076923076923096E-2</v>
      </c>
      <c r="R21" s="333">
        <f t="shared" si="4"/>
        <v>7.700000000000002E-3</v>
      </c>
      <c r="S21" s="370">
        <f t="shared" si="3"/>
        <v>2.1899999999999999E-2</v>
      </c>
      <c r="T21" s="147"/>
      <c r="U21" s="121"/>
      <c r="V21" s="121"/>
    </row>
    <row r="22" spans="1:25" s="114" customFormat="1" ht="12.95" customHeight="1">
      <c r="A22" s="218"/>
      <c r="C22" s="248" t="s">
        <v>42</v>
      </c>
      <c r="D22" s="70">
        <f>SUM(D6:D21)</f>
        <v>16794813036.269999</v>
      </c>
      <c r="E22" s="266">
        <f>(D22/$D$168)</f>
        <v>1.067272960573259E-2</v>
      </c>
      <c r="F22" s="268"/>
      <c r="G22" s="71"/>
      <c r="H22" s="285"/>
      <c r="I22" s="285"/>
      <c r="J22" s="70">
        <f>SUM(J6:J21)</f>
        <v>16995023834.229998</v>
      </c>
      <c r="K22" s="266">
        <f>(J22/$J$168)</f>
        <v>1.0374781620034622E-2</v>
      </c>
      <c r="L22" s="268"/>
      <c r="M22" s="71"/>
      <c r="N22" s="285"/>
      <c r="O22" s="285"/>
      <c r="P22" s="270">
        <f t="shared" si="5"/>
        <v>1.1920989982301369E-2</v>
      </c>
      <c r="Q22" s="270"/>
      <c r="R22" s="270">
        <f t="shared" ref="R22" si="7">N22-H22</f>
        <v>0</v>
      </c>
      <c r="S22" s="370">
        <f t="shared" ref="S22" si="8">O22-I22</f>
        <v>0</v>
      </c>
      <c r="T22" s="146"/>
      <c r="U22" s="155"/>
      <c r="X22" s="121"/>
      <c r="Y22" s="121"/>
    </row>
    <row r="23" spans="1:25" s="114" customFormat="1" ht="5.25" customHeight="1">
      <c r="A23" s="412"/>
      <c r="B23" s="413"/>
      <c r="C23" s="414"/>
      <c r="D23" s="414"/>
      <c r="E23" s="414"/>
      <c r="F23" s="414"/>
      <c r="G23" s="414"/>
      <c r="H23" s="414"/>
      <c r="I23" s="414"/>
      <c r="J23" s="414"/>
      <c r="K23" s="414"/>
      <c r="L23" s="414"/>
      <c r="M23" s="414"/>
      <c r="N23" s="414"/>
      <c r="O23" s="414"/>
      <c r="P23" s="414"/>
      <c r="Q23" s="414"/>
      <c r="R23" s="414"/>
      <c r="S23" s="415"/>
      <c r="T23" s="146"/>
      <c r="U23" s="155"/>
      <c r="X23" s="121"/>
      <c r="Y23" s="121"/>
    </row>
    <row r="24" spans="1:25" s="114" customFormat="1" ht="12.95" customHeight="1">
      <c r="A24" s="408" t="s">
        <v>44</v>
      </c>
      <c r="B24" s="409"/>
      <c r="C24" s="410"/>
      <c r="D24" s="410"/>
      <c r="E24" s="410"/>
      <c r="F24" s="410"/>
      <c r="G24" s="410"/>
      <c r="H24" s="410"/>
      <c r="I24" s="410"/>
      <c r="J24" s="410"/>
      <c r="K24" s="410"/>
      <c r="L24" s="410"/>
      <c r="M24" s="410"/>
      <c r="N24" s="410"/>
      <c r="O24" s="410"/>
      <c r="P24" s="410"/>
      <c r="Q24" s="410"/>
      <c r="R24" s="410"/>
      <c r="S24" s="411"/>
      <c r="T24" s="156"/>
      <c r="V24" s="157"/>
    </row>
    <row r="25" spans="1:25" s="114" customFormat="1" ht="12.95" customHeight="1">
      <c r="A25" s="402">
        <v>17</v>
      </c>
      <c r="B25" s="374" t="s">
        <v>100</v>
      </c>
      <c r="C25" s="375" t="s">
        <v>251</v>
      </c>
      <c r="D25" s="325">
        <v>17465062170.860001</v>
      </c>
      <c r="E25" s="196">
        <v>4.7199999999999999E-2</v>
      </c>
      <c r="F25" s="314">
        <v>100</v>
      </c>
      <c r="G25" s="314">
        <v>100</v>
      </c>
      <c r="H25" s="338">
        <v>9.4299999999999995E-2</v>
      </c>
      <c r="I25" s="338">
        <v>9.4500000000000001E-2</v>
      </c>
      <c r="J25" s="325">
        <v>17614943373.200001</v>
      </c>
      <c r="K25" s="337">
        <f t="shared" ref="K25:K53" si="9">(J25/$J$54)</f>
        <v>2.1852047298223921E-2</v>
      </c>
      <c r="L25" s="314">
        <v>100</v>
      </c>
      <c r="M25" s="314">
        <v>100</v>
      </c>
      <c r="N25" s="338">
        <v>0.1043</v>
      </c>
      <c r="O25" s="338">
        <v>0.1043</v>
      </c>
      <c r="P25" s="333">
        <f t="shared" ref="P25:P53" si="10">((J25-D25)/D25)</f>
        <v>8.5817731923149409E-3</v>
      </c>
      <c r="Q25" s="333">
        <f t="shared" ref="Q25:Q53" si="11">((M25-G25)/G25)</f>
        <v>0</v>
      </c>
      <c r="R25" s="333">
        <f t="shared" ref="R25:R53" si="12">N25-H25</f>
        <v>1.0000000000000009E-2</v>
      </c>
      <c r="S25" s="370">
        <f t="shared" ref="S25:S53" si="13">O25-I25</f>
        <v>9.8000000000000032E-3</v>
      </c>
      <c r="T25" s="158"/>
      <c r="U25" s="113"/>
      <c r="V25" s="113"/>
    </row>
    <row r="26" spans="1:25" s="114" customFormat="1" ht="12.95" customHeight="1">
      <c r="A26" s="396">
        <v>18</v>
      </c>
      <c r="B26" s="374" t="s">
        <v>118</v>
      </c>
      <c r="C26" s="375" t="s">
        <v>58</v>
      </c>
      <c r="D26" s="325">
        <v>757578529.94000006</v>
      </c>
      <c r="E26" s="196">
        <v>7.9600000000000004E-2</v>
      </c>
      <c r="F26" s="314">
        <v>100</v>
      </c>
      <c r="G26" s="314">
        <v>100</v>
      </c>
      <c r="H26" s="338">
        <v>0.13619999999999999</v>
      </c>
      <c r="I26" s="338">
        <v>0.13619999999999999</v>
      </c>
      <c r="J26" s="325">
        <v>773424588.75</v>
      </c>
      <c r="K26" s="337">
        <f t="shared" si="9"/>
        <v>9.5946437844858631E-4</v>
      </c>
      <c r="L26" s="314">
        <v>100</v>
      </c>
      <c r="M26" s="314">
        <v>100</v>
      </c>
      <c r="N26" s="338">
        <v>0.1371</v>
      </c>
      <c r="O26" s="338">
        <v>0.1371</v>
      </c>
      <c r="P26" s="111">
        <f t="shared" si="10"/>
        <v>2.0916721084024047E-2</v>
      </c>
      <c r="Q26" s="111">
        <f t="shared" si="11"/>
        <v>0</v>
      </c>
      <c r="R26" s="333">
        <f t="shared" si="12"/>
        <v>9.000000000000119E-4</v>
      </c>
      <c r="S26" s="370">
        <f t="shared" si="13"/>
        <v>9.000000000000119E-4</v>
      </c>
      <c r="T26" s="159"/>
      <c r="U26" s="122"/>
      <c r="V26" s="157"/>
      <c r="W26" s="160"/>
    </row>
    <row r="27" spans="1:25" s="114" customFormat="1" ht="12.95" customHeight="1">
      <c r="A27" s="398">
        <v>19</v>
      </c>
      <c r="B27" s="374" t="s">
        <v>37</v>
      </c>
      <c r="C27" s="375" t="s">
        <v>36</v>
      </c>
      <c r="D27" s="325">
        <v>2909772089.7399998</v>
      </c>
      <c r="E27" s="196">
        <v>8.6400000000000005E-2</v>
      </c>
      <c r="F27" s="314">
        <v>100</v>
      </c>
      <c r="G27" s="314">
        <v>100</v>
      </c>
      <c r="H27" s="338">
        <v>-4.7450000000000001E-3</v>
      </c>
      <c r="I27" s="338">
        <v>0.118469</v>
      </c>
      <c r="J27" s="325">
        <v>2977946608.1900001</v>
      </c>
      <c r="K27" s="337">
        <f t="shared" si="9"/>
        <v>3.6942628060195534E-3</v>
      </c>
      <c r="L27" s="314">
        <v>100</v>
      </c>
      <c r="M27" s="314">
        <v>100</v>
      </c>
      <c r="N27" s="338">
        <v>0.12500700000000001</v>
      </c>
      <c r="O27" s="338">
        <v>0.12500700000000001</v>
      </c>
      <c r="P27" s="333">
        <f t="shared" si="10"/>
        <v>2.3429504561675814E-2</v>
      </c>
      <c r="Q27" s="333">
        <f t="shared" si="11"/>
        <v>0</v>
      </c>
      <c r="R27" s="333">
        <f t="shared" si="12"/>
        <v>0.12975200000000001</v>
      </c>
      <c r="S27" s="370">
        <f t="shared" si="13"/>
        <v>6.5380000000000021E-3</v>
      </c>
      <c r="T27" s="146"/>
      <c r="U27" s="115"/>
    </row>
    <row r="28" spans="1:25" s="114" customFormat="1" ht="12.95" customHeight="1">
      <c r="A28" s="400">
        <v>20</v>
      </c>
      <c r="B28" s="374" t="s">
        <v>141</v>
      </c>
      <c r="C28" s="375" t="s">
        <v>139</v>
      </c>
      <c r="D28" s="325">
        <v>440703789.61000001</v>
      </c>
      <c r="E28" s="196">
        <v>2.0000000000000001E-4</v>
      </c>
      <c r="F28" s="314">
        <v>100</v>
      </c>
      <c r="G28" s="314">
        <v>100</v>
      </c>
      <c r="H28" s="338">
        <v>7.2499999999999995E-4</v>
      </c>
      <c r="I28" s="338">
        <v>6.4199999999999993E-2</v>
      </c>
      <c r="J28" s="325">
        <v>445987014.75</v>
      </c>
      <c r="K28" s="337">
        <f t="shared" si="9"/>
        <v>5.5326486916433613E-4</v>
      </c>
      <c r="L28" s="314">
        <v>100</v>
      </c>
      <c r="M28" s="314">
        <v>100</v>
      </c>
      <c r="N28" s="338">
        <v>6.4699999999999994E-2</v>
      </c>
      <c r="O28" s="338">
        <v>6.4699999999999994E-2</v>
      </c>
      <c r="P28" s="333">
        <f t="shared" si="10"/>
        <v>1.1988154548603646E-2</v>
      </c>
      <c r="Q28" s="333">
        <f t="shared" si="11"/>
        <v>0</v>
      </c>
      <c r="R28" s="333">
        <f t="shared" si="12"/>
        <v>6.397499999999999E-2</v>
      </c>
      <c r="S28" s="370">
        <f t="shared" si="13"/>
        <v>5.0000000000000044E-4</v>
      </c>
      <c r="T28" s="146"/>
      <c r="U28" s="122"/>
    </row>
    <row r="29" spans="1:25" s="114" customFormat="1" ht="12.95" customHeight="1">
      <c r="A29" s="402">
        <v>21</v>
      </c>
      <c r="B29" s="374" t="s">
        <v>15</v>
      </c>
      <c r="C29" s="375" t="s">
        <v>6</v>
      </c>
      <c r="D29" s="325">
        <v>77432709637.889999</v>
      </c>
      <c r="E29" s="196">
        <v>6.54E-2</v>
      </c>
      <c r="F29" s="314">
        <v>1</v>
      </c>
      <c r="G29" s="314">
        <v>1</v>
      </c>
      <c r="H29" s="338">
        <v>0.1363</v>
      </c>
      <c r="I29" s="338">
        <v>0.1363</v>
      </c>
      <c r="J29" s="325">
        <v>78231363248.449997</v>
      </c>
      <c r="K29" s="337">
        <f t="shared" si="9"/>
        <v>9.7049159551121991E-2</v>
      </c>
      <c r="L29" s="314">
        <v>1</v>
      </c>
      <c r="M29" s="314">
        <v>1</v>
      </c>
      <c r="N29" s="338">
        <v>0.1091</v>
      </c>
      <c r="O29" s="338">
        <v>0.1091</v>
      </c>
      <c r="P29" s="333">
        <f t="shared" si="10"/>
        <v>1.0314163281833469E-2</v>
      </c>
      <c r="Q29" s="333">
        <f t="shared" si="11"/>
        <v>0</v>
      </c>
      <c r="R29" s="333">
        <f t="shared" si="12"/>
        <v>-2.7200000000000002E-2</v>
      </c>
      <c r="S29" s="370">
        <f t="shared" si="13"/>
        <v>-2.7200000000000002E-2</v>
      </c>
      <c r="T29" s="156"/>
      <c r="U29" s="115"/>
    </row>
    <row r="30" spans="1:25" s="114" customFormat="1" ht="12.95" customHeight="1">
      <c r="A30" s="398">
        <v>22</v>
      </c>
      <c r="B30" s="374" t="s">
        <v>84</v>
      </c>
      <c r="C30" s="375" t="s">
        <v>82</v>
      </c>
      <c r="D30" s="325">
        <v>38293583803.980003</v>
      </c>
      <c r="E30" s="196">
        <v>6.9800000000000001E-2</v>
      </c>
      <c r="F30" s="314">
        <v>1</v>
      </c>
      <c r="G30" s="314">
        <v>1</v>
      </c>
      <c r="H30" s="338">
        <v>0.10580000000000001</v>
      </c>
      <c r="I30" s="338">
        <v>0.10580000000000001</v>
      </c>
      <c r="J30" s="325">
        <v>38293583803.980003</v>
      </c>
      <c r="K30" s="337">
        <f t="shared" si="9"/>
        <v>4.7504734291465241E-2</v>
      </c>
      <c r="L30" s="314">
        <v>1</v>
      </c>
      <c r="M30" s="314">
        <v>1</v>
      </c>
      <c r="N30" s="338">
        <v>9.4500000000000001E-2</v>
      </c>
      <c r="O30" s="338">
        <v>9.4500000000000001E-2</v>
      </c>
      <c r="P30" s="333">
        <f t="shared" si="10"/>
        <v>0</v>
      </c>
      <c r="Q30" s="333">
        <f t="shared" si="11"/>
        <v>0</v>
      </c>
      <c r="R30" s="333">
        <f t="shared" si="12"/>
        <v>-1.1300000000000004E-2</v>
      </c>
      <c r="S30" s="370">
        <f t="shared" si="13"/>
        <v>-1.1300000000000004E-2</v>
      </c>
      <c r="T30" s="146"/>
      <c r="U30" s="151"/>
      <c r="V30" s="428"/>
      <c r="W30" s="428"/>
    </row>
    <row r="31" spans="1:25" s="114" customFormat="1" ht="12.95" customHeight="1">
      <c r="A31" s="404">
        <v>23</v>
      </c>
      <c r="B31" s="374" t="s">
        <v>99</v>
      </c>
      <c r="C31" s="375" t="s">
        <v>9</v>
      </c>
      <c r="D31" s="325">
        <v>5953054706.3500004</v>
      </c>
      <c r="E31" s="196">
        <v>5.3699999999999998E-2</v>
      </c>
      <c r="F31" s="314">
        <v>100</v>
      </c>
      <c r="G31" s="314">
        <v>100</v>
      </c>
      <c r="H31" s="338">
        <v>1.1000000000000001E-3</v>
      </c>
      <c r="I31" s="338">
        <v>9.4299999999999995E-2</v>
      </c>
      <c r="J31" s="325">
        <v>6026943927.4200001</v>
      </c>
      <c r="K31" s="337">
        <f t="shared" si="9"/>
        <v>7.476666883079507E-3</v>
      </c>
      <c r="L31" s="314">
        <v>100</v>
      </c>
      <c r="M31" s="314">
        <v>100</v>
      </c>
      <c r="N31" s="338">
        <v>9.3899999999999997E-2</v>
      </c>
      <c r="O31" s="338">
        <v>9.3899999999999997E-2</v>
      </c>
      <c r="P31" s="333">
        <f t="shared" si="10"/>
        <v>1.241198421898989E-2</v>
      </c>
      <c r="Q31" s="333">
        <f t="shared" si="11"/>
        <v>0</v>
      </c>
      <c r="R31" s="333">
        <f t="shared" si="12"/>
        <v>9.2799999999999994E-2</v>
      </c>
      <c r="S31" s="370">
        <f t="shared" si="13"/>
        <v>-3.9999999999999758E-4</v>
      </c>
      <c r="T31" s="146"/>
      <c r="U31" s="115"/>
      <c r="V31" s="431"/>
      <c r="W31" s="431"/>
    </row>
    <row r="32" spans="1:25" s="114" customFormat="1" ht="12.95" customHeight="1">
      <c r="A32" s="398">
        <v>24</v>
      </c>
      <c r="B32" s="374" t="s">
        <v>238</v>
      </c>
      <c r="C32" s="375" t="s">
        <v>7</v>
      </c>
      <c r="D32" s="325">
        <v>11817360862.35</v>
      </c>
      <c r="E32" s="196">
        <v>6.1269999999999998E-2</v>
      </c>
      <c r="F32" s="314">
        <v>100</v>
      </c>
      <c r="G32" s="314">
        <v>100</v>
      </c>
      <c r="H32" s="338">
        <v>0.121</v>
      </c>
      <c r="I32" s="338">
        <v>0.121</v>
      </c>
      <c r="J32" s="325">
        <v>12009793803.210001</v>
      </c>
      <c r="K32" s="337">
        <f t="shared" si="9"/>
        <v>1.4898633317717321E-2</v>
      </c>
      <c r="L32" s="314">
        <v>100</v>
      </c>
      <c r="M32" s="314">
        <v>100</v>
      </c>
      <c r="N32" s="338">
        <v>0.1181</v>
      </c>
      <c r="O32" s="338">
        <v>0.1181</v>
      </c>
      <c r="P32" s="333">
        <f t="shared" si="10"/>
        <v>1.6283918473970795E-2</v>
      </c>
      <c r="Q32" s="333">
        <f t="shared" si="11"/>
        <v>0</v>
      </c>
      <c r="R32" s="333">
        <f t="shared" si="12"/>
        <v>-2.8999999999999998E-3</v>
      </c>
      <c r="S32" s="370">
        <f t="shared" si="13"/>
        <v>-2.8999999999999998E-3</v>
      </c>
      <c r="T32" s="146"/>
      <c r="U32" s="115"/>
      <c r="V32" s="432"/>
      <c r="W32" s="432"/>
    </row>
    <row r="33" spans="1:23" s="114" customFormat="1" ht="12.95" customHeight="1">
      <c r="A33" s="396">
        <v>25</v>
      </c>
      <c r="B33" s="374" t="s">
        <v>91</v>
      </c>
      <c r="C33" s="375" t="s">
        <v>90</v>
      </c>
      <c r="D33" s="325">
        <v>5658224894.1199999</v>
      </c>
      <c r="E33" s="196">
        <v>7.0599999999999996E-2</v>
      </c>
      <c r="F33" s="314">
        <v>100</v>
      </c>
      <c r="G33" s="314">
        <v>100</v>
      </c>
      <c r="H33" s="338">
        <v>9.9000000000000005E-2</v>
      </c>
      <c r="I33" s="338">
        <v>9.9000000000000005E-2</v>
      </c>
      <c r="J33" s="325">
        <v>5611898702.1599998</v>
      </c>
      <c r="K33" s="337">
        <f t="shared" si="9"/>
        <v>6.961786551015408E-3</v>
      </c>
      <c r="L33" s="314">
        <v>100</v>
      </c>
      <c r="M33" s="314">
        <v>100</v>
      </c>
      <c r="N33" s="338">
        <v>9.4E-2</v>
      </c>
      <c r="O33" s="338">
        <v>9.4E-2</v>
      </c>
      <c r="P33" s="333">
        <f t="shared" si="10"/>
        <v>-8.1874073277189794E-3</v>
      </c>
      <c r="Q33" s="333">
        <f t="shared" si="11"/>
        <v>0</v>
      </c>
      <c r="R33" s="333">
        <f t="shared" si="12"/>
        <v>-5.0000000000000044E-3</v>
      </c>
      <c r="S33" s="370">
        <f t="shared" si="13"/>
        <v>-5.0000000000000044E-3</v>
      </c>
      <c r="T33" s="146"/>
      <c r="U33" s="115"/>
    </row>
    <row r="34" spans="1:23" s="114" customFormat="1" ht="12.95" customHeight="1">
      <c r="A34" s="404">
        <v>26</v>
      </c>
      <c r="B34" s="374" t="s">
        <v>185</v>
      </c>
      <c r="C34" s="375" t="s">
        <v>184</v>
      </c>
      <c r="D34" s="325">
        <v>44514190.369999997</v>
      </c>
      <c r="E34" s="196">
        <v>3.7000000000000002E-3</v>
      </c>
      <c r="F34" s="314">
        <v>100</v>
      </c>
      <c r="G34" s="314">
        <v>100</v>
      </c>
      <c r="H34" s="338">
        <v>0</v>
      </c>
      <c r="I34" s="338">
        <v>0</v>
      </c>
      <c r="J34" s="325">
        <v>44514190.369999997</v>
      </c>
      <c r="K34" s="337">
        <f t="shared" si="9"/>
        <v>5.522164748410851E-5</v>
      </c>
      <c r="L34" s="314">
        <v>100</v>
      </c>
      <c r="M34" s="314">
        <v>100</v>
      </c>
      <c r="N34" s="338">
        <v>0</v>
      </c>
      <c r="O34" s="338">
        <v>0</v>
      </c>
      <c r="P34" s="333">
        <f t="shared" si="10"/>
        <v>0</v>
      </c>
      <c r="Q34" s="333">
        <f t="shared" si="11"/>
        <v>0</v>
      </c>
      <c r="R34" s="333">
        <f t="shared" si="12"/>
        <v>0</v>
      </c>
      <c r="S34" s="370">
        <f t="shared" si="13"/>
        <v>0</v>
      </c>
      <c r="T34" s="149"/>
      <c r="U34" s="161"/>
    </row>
    <row r="35" spans="1:23" s="114" customFormat="1" ht="12.95" customHeight="1">
      <c r="A35" s="398">
        <v>27</v>
      </c>
      <c r="B35" s="374" t="s">
        <v>111</v>
      </c>
      <c r="C35" s="375" t="s">
        <v>270</v>
      </c>
      <c r="D35" s="325">
        <v>5790344995.2299995</v>
      </c>
      <c r="E35" s="196">
        <v>6.3E-2</v>
      </c>
      <c r="F35" s="314">
        <v>1</v>
      </c>
      <c r="G35" s="314">
        <v>1</v>
      </c>
      <c r="H35" s="338">
        <v>9.4899999999999998E-2</v>
      </c>
      <c r="I35" s="338">
        <v>9.4899999999999998E-2</v>
      </c>
      <c r="J35" s="325">
        <v>5806944067.2600002</v>
      </c>
      <c r="K35" s="337">
        <f t="shared" si="9"/>
        <v>7.203748188538985E-3</v>
      </c>
      <c r="L35" s="314">
        <v>1</v>
      </c>
      <c r="M35" s="314">
        <v>1</v>
      </c>
      <c r="N35" s="338">
        <v>9.69E-2</v>
      </c>
      <c r="O35" s="338">
        <v>9.69E-2</v>
      </c>
      <c r="P35" s="333">
        <f t="shared" si="10"/>
        <v>2.8666810084156912E-3</v>
      </c>
      <c r="Q35" s="333">
        <f t="shared" si="11"/>
        <v>0</v>
      </c>
      <c r="R35" s="333">
        <f t="shared" si="12"/>
        <v>2.0000000000000018E-3</v>
      </c>
      <c r="S35" s="370">
        <f t="shared" si="13"/>
        <v>2.0000000000000018E-3</v>
      </c>
      <c r="T35" s="162"/>
      <c r="U35" s="115"/>
      <c r="V35" s="428"/>
      <c r="W35" s="428"/>
    </row>
    <row r="36" spans="1:23" s="114" customFormat="1" ht="12.95" customHeight="1">
      <c r="A36" s="397">
        <v>28</v>
      </c>
      <c r="B36" s="374" t="s">
        <v>103</v>
      </c>
      <c r="C36" s="375" t="s">
        <v>101</v>
      </c>
      <c r="D36" s="325">
        <v>12471768934.690001</v>
      </c>
      <c r="E36" s="196">
        <v>4.5100000000000001E-2</v>
      </c>
      <c r="F36" s="69">
        <v>100</v>
      </c>
      <c r="G36" s="69">
        <v>100</v>
      </c>
      <c r="H36" s="338">
        <v>9.2100000000000001E-2</v>
      </c>
      <c r="I36" s="338">
        <v>9.2100000000000001E-2</v>
      </c>
      <c r="J36" s="325">
        <v>12497940144.360001</v>
      </c>
      <c r="K36" s="337">
        <f t="shared" si="9"/>
        <v>1.5504198530688365E-2</v>
      </c>
      <c r="L36" s="69">
        <v>100</v>
      </c>
      <c r="M36" s="69">
        <v>100</v>
      </c>
      <c r="N36" s="338">
        <v>8.9200000000000002E-2</v>
      </c>
      <c r="O36" s="338">
        <v>8.9200000000000002E-2</v>
      </c>
      <c r="P36" s="333">
        <f t="shared" si="10"/>
        <v>2.0984360604376921E-3</v>
      </c>
      <c r="Q36" s="333">
        <f t="shared" si="11"/>
        <v>0</v>
      </c>
      <c r="R36" s="333">
        <f t="shared" si="12"/>
        <v>-2.8999999999999998E-3</v>
      </c>
      <c r="S36" s="370">
        <f t="shared" si="13"/>
        <v>-2.8999999999999998E-3</v>
      </c>
      <c r="T36" s="146"/>
      <c r="U36" s="124"/>
    </row>
    <row r="37" spans="1:23" s="114" customFormat="1" ht="12.95" customHeight="1">
      <c r="A37" s="397">
        <v>29</v>
      </c>
      <c r="B37" s="374" t="s">
        <v>102</v>
      </c>
      <c r="C37" s="375" t="s">
        <v>101</v>
      </c>
      <c r="D37" s="325">
        <v>422854694.23000002</v>
      </c>
      <c r="E37" s="196">
        <v>5.2900000000000003E-2</v>
      </c>
      <c r="F37" s="69">
        <v>1000000</v>
      </c>
      <c r="G37" s="69">
        <v>1000000</v>
      </c>
      <c r="H37" s="338">
        <v>0.1101</v>
      </c>
      <c r="I37" s="338">
        <v>0.1101</v>
      </c>
      <c r="J37" s="325">
        <v>423733184.42000002</v>
      </c>
      <c r="K37" s="337">
        <f t="shared" si="9"/>
        <v>5.2565809560651308E-4</v>
      </c>
      <c r="L37" s="69">
        <v>1000000</v>
      </c>
      <c r="M37" s="69">
        <v>1000000</v>
      </c>
      <c r="N37" s="338">
        <v>0.1085</v>
      </c>
      <c r="O37" s="338">
        <v>0.1085</v>
      </c>
      <c r="P37" s="333">
        <f t="shared" si="10"/>
        <v>2.0775226147121059E-3</v>
      </c>
      <c r="Q37" s="333">
        <f t="shared" si="11"/>
        <v>0</v>
      </c>
      <c r="R37" s="333">
        <f t="shared" si="12"/>
        <v>-1.6000000000000042E-3</v>
      </c>
      <c r="S37" s="370">
        <f t="shared" si="13"/>
        <v>-1.6000000000000042E-3</v>
      </c>
      <c r="T37" s="146"/>
      <c r="U37" s="125"/>
    </row>
    <row r="38" spans="1:23" s="114" customFormat="1" ht="12.95" customHeight="1">
      <c r="A38" s="398">
        <v>30</v>
      </c>
      <c r="B38" s="374" t="s">
        <v>175</v>
      </c>
      <c r="C38" s="375" t="s">
        <v>174</v>
      </c>
      <c r="D38" s="325">
        <v>1685773727.1099999</v>
      </c>
      <c r="E38" s="196">
        <v>9.0300000000000005E-2</v>
      </c>
      <c r="F38" s="314">
        <v>1</v>
      </c>
      <c r="G38" s="314">
        <v>1</v>
      </c>
      <c r="H38" s="338">
        <v>0.14180000000000001</v>
      </c>
      <c r="I38" s="338">
        <v>0.14180000000000001</v>
      </c>
      <c r="J38" s="325">
        <v>1789189666.3800001</v>
      </c>
      <c r="K38" s="337">
        <f t="shared" si="9"/>
        <v>2.2195619018970845E-3</v>
      </c>
      <c r="L38" s="314">
        <v>1</v>
      </c>
      <c r="M38" s="314">
        <v>1</v>
      </c>
      <c r="N38" s="338">
        <v>0.1323</v>
      </c>
      <c r="O38" s="338">
        <v>0.1323</v>
      </c>
      <c r="P38" s="333">
        <f t="shared" si="10"/>
        <v>6.1346275367152009E-2</v>
      </c>
      <c r="Q38" s="333">
        <f t="shared" si="11"/>
        <v>0</v>
      </c>
      <c r="R38" s="333">
        <f t="shared" si="12"/>
        <v>-9.5000000000000084E-3</v>
      </c>
      <c r="S38" s="370">
        <f t="shared" si="13"/>
        <v>-9.5000000000000084E-3</v>
      </c>
      <c r="T38" s="146"/>
      <c r="U38" s="124"/>
    </row>
    <row r="39" spans="1:23" s="114" customFormat="1" ht="12.95" customHeight="1">
      <c r="A39" s="404">
        <v>31</v>
      </c>
      <c r="B39" s="374" t="s">
        <v>275</v>
      </c>
      <c r="C39" s="375" t="s">
        <v>137</v>
      </c>
      <c r="D39" s="325">
        <v>287229960.88</v>
      </c>
      <c r="E39" s="337">
        <f>(D39/$J$54)</f>
        <v>3.5632034447332663E-4</v>
      </c>
      <c r="F39" s="314">
        <v>1</v>
      </c>
      <c r="G39" s="314">
        <v>1</v>
      </c>
      <c r="H39" s="324">
        <v>6.5100000000000005E-2</v>
      </c>
      <c r="I39" s="324">
        <v>6.5100000000000005E-2</v>
      </c>
      <c r="J39" s="325">
        <v>312532306.63</v>
      </c>
      <c r="K39" s="337">
        <f t="shared" si="9"/>
        <v>3.8770892429278994E-4</v>
      </c>
      <c r="L39" s="314">
        <v>1</v>
      </c>
      <c r="M39" s="314">
        <v>1</v>
      </c>
      <c r="N39" s="324">
        <v>6.8199999999999997E-2</v>
      </c>
      <c r="O39" s="324">
        <v>6.8199999999999997E-2</v>
      </c>
      <c r="P39" s="333">
        <f t="shared" si="10"/>
        <v>8.8090899962107047E-2</v>
      </c>
      <c r="Q39" s="333">
        <f t="shared" si="11"/>
        <v>0</v>
      </c>
      <c r="R39" s="333">
        <f t="shared" si="12"/>
        <v>3.0999999999999917E-3</v>
      </c>
      <c r="S39" s="370">
        <f t="shared" si="13"/>
        <v>3.0999999999999917E-3</v>
      </c>
      <c r="T39" s="146"/>
      <c r="U39" s="124"/>
      <c r="V39" s="126"/>
    </row>
    <row r="40" spans="1:23" s="114" customFormat="1" ht="12.95" customHeight="1">
      <c r="A40" s="398">
        <v>32</v>
      </c>
      <c r="B40" s="374" t="s">
        <v>14</v>
      </c>
      <c r="C40" s="375" t="s">
        <v>191</v>
      </c>
      <c r="D40" s="325">
        <v>187253980669.20999</v>
      </c>
      <c r="E40" s="196">
        <v>6.2600000000000003E-2</v>
      </c>
      <c r="F40" s="314">
        <v>100</v>
      </c>
      <c r="G40" s="314">
        <v>100</v>
      </c>
      <c r="H40" s="338">
        <v>0.1067</v>
      </c>
      <c r="I40" s="338">
        <v>0.1067</v>
      </c>
      <c r="J40" s="325">
        <v>192496167589.39999</v>
      </c>
      <c r="K40" s="337">
        <f t="shared" si="9"/>
        <v>0.23879925525563861</v>
      </c>
      <c r="L40" s="314">
        <v>100</v>
      </c>
      <c r="M40" s="314">
        <v>100</v>
      </c>
      <c r="N40" s="338">
        <v>0.1087</v>
      </c>
      <c r="O40" s="338">
        <v>0.1087</v>
      </c>
      <c r="P40" s="333">
        <f t="shared" si="10"/>
        <v>2.799506264943168E-2</v>
      </c>
      <c r="Q40" s="333">
        <f t="shared" si="11"/>
        <v>0</v>
      </c>
      <c r="R40" s="333">
        <f t="shared" si="12"/>
        <v>2.0000000000000018E-3</v>
      </c>
      <c r="S40" s="370">
        <f t="shared" si="13"/>
        <v>2.0000000000000018E-3</v>
      </c>
      <c r="T40" s="156"/>
      <c r="U40" s="433"/>
      <c r="V40" s="189"/>
    </row>
    <row r="41" spans="1:23" s="114" customFormat="1" ht="12.95" customHeight="1">
      <c r="A41" s="396">
        <v>33</v>
      </c>
      <c r="B41" s="374" t="s">
        <v>125</v>
      </c>
      <c r="C41" s="375" t="s">
        <v>181</v>
      </c>
      <c r="D41" s="325">
        <v>576712461.97000003</v>
      </c>
      <c r="E41" s="196">
        <v>4.9799999999999997E-2</v>
      </c>
      <c r="F41" s="314">
        <v>10</v>
      </c>
      <c r="G41" s="314">
        <v>10</v>
      </c>
      <c r="H41" s="338">
        <v>9.1399999999999995E-2</v>
      </c>
      <c r="I41" s="338">
        <v>9.1399999999999995E-2</v>
      </c>
      <c r="J41" s="325">
        <v>593191366.59000003</v>
      </c>
      <c r="K41" s="337">
        <f t="shared" si="9"/>
        <v>7.3587780130728606E-4</v>
      </c>
      <c r="L41" s="314">
        <v>10</v>
      </c>
      <c r="M41" s="314">
        <v>10</v>
      </c>
      <c r="N41" s="338">
        <v>7.1900000000000006E-2</v>
      </c>
      <c r="O41" s="338">
        <v>7.1900000000000006E-2</v>
      </c>
      <c r="P41" s="111">
        <f t="shared" si="10"/>
        <v>2.8573866019314872E-2</v>
      </c>
      <c r="Q41" s="333">
        <f t="shared" si="11"/>
        <v>0</v>
      </c>
      <c r="R41" s="333">
        <f t="shared" si="12"/>
        <v>-1.949999999999999E-2</v>
      </c>
      <c r="S41" s="370">
        <f t="shared" si="13"/>
        <v>-1.949999999999999E-2</v>
      </c>
      <c r="T41" s="158"/>
      <c r="U41" s="433"/>
      <c r="V41" s="189"/>
    </row>
    <row r="42" spans="1:23" s="114" customFormat="1" ht="12.95" customHeight="1">
      <c r="A42" s="398">
        <v>34</v>
      </c>
      <c r="B42" s="374" t="s">
        <v>88</v>
      </c>
      <c r="C42" s="375" t="s">
        <v>89</v>
      </c>
      <c r="D42" s="325">
        <v>2001244623.9100001</v>
      </c>
      <c r="E42" s="196">
        <v>4.2599999999999999E-2</v>
      </c>
      <c r="F42" s="314">
        <v>100</v>
      </c>
      <c r="G42" s="314">
        <v>100</v>
      </c>
      <c r="H42" s="338">
        <v>8.6699999999999999E-2</v>
      </c>
      <c r="I42" s="338">
        <v>7.1999999999999995E-2</v>
      </c>
      <c r="J42" s="325">
        <v>2005360529.7502565</v>
      </c>
      <c r="K42" s="337">
        <f t="shared" si="9"/>
        <v>2.4877305715762426E-3</v>
      </c>
      <c r="L42" s="314">
        <v>100</v>
      </c>
      <c r="M42" s="314">
        <v>100</v>
      </c>
      <c r="N42" s="338">
        <v>8.6400000000000005E-2</v>
      </c>
      <c r="O42" s="338">
        <v>8.6400000000000005E-2</v>
      </c>
      <c r="P42" s="333">
        <f t="shared" si="10"/>
        <v>2.0566730279154284E-3</v>
      </c>
      <c r="Q42" s="333">
        <f t="shared" si="11"/>
        <v>0</v>
      </c>
      <c r="R42" s="333">
        <f t="shared" si="12"/>
        <v>-2.9999999999999472E-4</v>
      </c>
      <c r="S42" s="370">
        <f t="shared" si="13"/>
        <v>1.440000000000001E-2</v>
      </c>
      <c r="T42" s="149"/>
      <c r="U42" s="124"/>
    </row>
    <row r="43" spans="1:23" s="114" customFormat="1" ht="12.95" customHeight="1">
      <c r="A43" s="396">
        <v>35</v>
      </c>
      <c r="B43" s="374" t="s">
        <v>124</v>
      </c>
      <c r="C43" s="375" t="s">
        <v>136</v>
      </c>
      <c r="D43" s="325">
        <v>3416346956.9899998</v>
      </c>
      <c r="E43" s="196">
        <v>4.8399999999999999E-2</v>
      </c>
      <c r="F43" s="314">
        <v>1</v>
      </c>
      <c r="G43" s="314">
        <v>1</v>
      </c>
      <c r="H43" s="338">
        <v>-1.5800000000000002E-2</v>
      </c>
      <c r="I43" s="338">
        <v>8.5300000000000001E-2</v>
      </c>
      <c r="J43" s="325">
        <v>3429760394.7600002</v>
      </c>
      <c r="K43" s="337">
        <f t="shared" si="9"/>
        <v>4.254756020498943E-3</v>
      </c>
      <c r="L43" s="314">
        <v>1</v>
      </c>
      <c r="M43" s="314">
        <v>1</v>
      </c>
      <c r="N43" s="338">
        <v>8.7800000000000003E-2</v>
      </c>
      <c r="O43" s="338">
        <v>8.7800000000000003E-2</v>
      </c>
      <c r="P43" s="111">
        <f t="shared" si="10"/>
        <v>3.9262516187227297E-3</v>
      </c>
      <c r="Q43" s="111">
        <f t="shared" si="11"/>
        <v>0</v>
      </c>
      <c r="R43" s="333">
        <f t="shared" si="12"/>
        <v>0.1036</v>
      </c>
      <c r="S43" s="370">
        <f t="shared" si="13"/>
        <v>2.5000000000000022E-3</v>
      </c>
      <c r="T43" s="146"/>
      <c r="U43" s="163"/>
      <c r="V43" s="189"/>
    </row>
    <row r="44" spans="1:23" s="114" customFormat="1" ht="12.95" customHeight="1">
      <c r="A44" s="398">
        <v>36</v>
      </c>
      <c r="B44" s="374" t="s">
        <v>56</v>
      </c>
      <c r="C44" s="375" t="s">
        <v>55</v>
      </c>
      <c r="D44" s="320">
        <v>2561825347.02</v>
      </c>
      <c r="E44" s="196">
        <v>6.4500000000000002E-2</v>
      </c>
      <c r="F44" s="314">
        <v>10</v>
      </c>
      <c r="G44" s="314">
        <v>10</v>
      </c>
      <c r="H44" s="338">
        <v>0.1217</v>
      </c>
      <c r="I44" s="338">
        <v>0.1217</v>
      </c>
      <c r="J44" s="320">
        <v>2679078960.8699999</v>
      </c>
      <c r="K44" s="337">
        <f t="shared" si="9"/>
        <v>3.323505442411911E-3</v>
      </c>
      <c r="L44" s="314">
        <v>10</v>
      </c>
      <c r="M44" s="314">
        <v>10</v>
      </c>
      <c r="N44" s="338">
        <v>0.12130000000000001</v>
      </c>
      <c r="O44" s="338">
        <v>0.12130000000000001</v>
      </c>
      <c r="P44" s="333">
        <f t="shared" si="10"/>
        <v>4.5769558017057323E-2</v>
      </c>
      <c r="Q44" s="333">
        <f t="shared" si="11"/>
        <v>0</v>
      </c>
      <c r="R44" s="333">
        <f t="shared" si="12"/>
        <v>-3.9999999999999758E-4</v>
      </c>
      <c r="S44" s="370">
        <f t="shared" si="13"/>
        <v>-3.9999999999999758E-4</v>
      </c>
      <c r="T44" s="146"/>
      <c r="U44" s="163"/>
      <c r="V44" s="189"/>
    </row>
    <row r="45" spans="1:23" s="114" customFormat="1" ht="12.95" customHeight="1">
      <c r="A45" s="396">
        <v>37</v>
      </c>
      <c r="B45" s="374" t="s">
        <v>194</v>
      </c>
      <c r="C45" s="375" t="s">
        <v>178</v>
      </c>
      <c r="D45" s="325">
        <v>3429573284.3099999</v>
      </c>
      <c r="E45" s="196">
        <v>7.8700000000000006E-2</v>
      </c>
      <c r="F45" s="314">
        <v>100</v>
      </c>
      <c r="G45" s="314">
        <v>100</v>
      </c>
      <c r="H45" s="338">
        <v>0.12790000000000001</v>
      </c>
      <c r="I45" s="338">
        <v>3.2399999999999998E-2</v>
      </c>
      <c r="J45" s="325">
        <v>3495845153.1100001</v>
      </c>
      <c r="K45" s="337">
        <f t="shared" si="9"/>
        <v>4.3367368270539608E-3</v>
      </c>
      <c r="L45" s="314">
        <v>100</v>
      </c>
      <c r="M45" s="314">
        <v>100</v>
      </c>
      <c r="N45" s="338">
        <v>0.1116</v>
      </c>
      <c r="O45" s="338">
        <v>0.1116</v>
      </c>
      <c r="P45" s="333">
        <f t="shared" si="10"/>
        <v>1.9323648543446568E-2</v>
      </c>
      <c r="Q45" s="333">
        <f t="shared" si="11"/>
        <v>0</v>
      </c>
      <c r="R45" s="333">
        <f t="shared" si="12"/>
        <v>-1.6300000000000009E-2</v>
      </c>
      <c r="S45" s="370">
        <f t="shared" si="13"/>
        <v>7.9200000000000007E-2</v>
      </c>
      <c r="T45" s="146"/>
      <c r="U45" s="124"/>
    </row>
    <row r="46" spans="1:23" s="114" customFormat="1" ht="12.95" customHeight="1">
      <c r="A46" s="404">
        <v>38</v>
      </c>
      <c r="B46" s="374" t="s">
        <v>166</v>
      </c>
      <c r="C46" s="375" t="s">
        <v>164</v>
      </c>
      <c r="D46" s="325">
        <v>138164735.56</v>
      </c>
      <c r="E46" s="196">
        <v>2.9985000000000001E-2</v>
      </c>
      <c r="F46" s="314">
        <v>1</v>
      </c>
      <c r="G46" s="314">
        <v>1</v>
      </c>
      <c r="H46" s="338">
        <v>8.5000000000000006E-2</v>
      </c>
      <c r="I46" s="338">
        <v>8.5099999999999995E-2</v>
      </c>
      <c r="J46" s="325">
        <v>140973409.09999999</v>
      </c>
      <c r="K46" s="337">
        <f t="shared" si="9"/>
        <v>1.7488319650984174E-4</v>
      </c>
      <c r="L46" s="314">
        <v>1</v>
      </c>
      <c r="M46" s="314">
        <v>1</v>
      </c>
      <c r="N46" s="338">
        <v>7.4399999999999994E-2</v>
      </c>
      <c r="O46" s="338">
        <v>7.4399999999999994E-2</v>
      </c>
      <c r="P46" s="333">
        <f t="shared" si="10"/>
        <v>2.0328440022094389E-2</v>
      </c>
      <c r="Q46" s="333">
        <f t="shared" si="11"/>
        <v>0</v>
      </c>
      <c r="R46" s="333">
        <f t="shared" si="12"/>
        <v>-1.0600000000000012E-2</v>
      </c>
      <c r="S46" s="370">
        <f t="shared" si="13"/>
        <v>-1.0700000000000001E-2</v>
      </c>
      <c r="T46" s="146"/>
      <c r="U46" s="124"/>
    </row>
    <row r="47" spans="1:23" s="114" customFormat="1" ht="12.95" customHeight="1">
      <c r="A47" s="396">
        <v>39</v>
      </c>
      <c r="B47" s="374" t="s">
        <v>97</v>
      </c>
      <c r="C47" s="375" t="s">
        <v>92</v>
      </c>
      <c r="D47" s="320">
        <v>647523127.77999997</v>
      </c>
      <c r="E47" s="196">
        <v>6.6600000000000006E-2</v>
      </c>
      <c r="F47" s="314">
        <v>10</v>
      </c>
      <c r="G47" s="314">
        <v>10</v>
      </c>
      <c r="H47" s="338">
        <v>2.9999999999999997E-4</v>
      </c>
      <c r="I47" s="338">
        <v>0.11219999999999999</v>
      </c>
      <c r="J47" s="320">
        <v>649816957.09000003</v>
      </c>
      <c r="K47" s="337">
        <f t="shared" si="9"/>
        <v>8.0612412885316172E-4</v>
      </c>
      <c r="L47" s="314">
        <v>10</v>
      </c>
      <c r="M47" s="314">
        <v>10</v>
      </c>
      <c r="N47" s="338">
        <v>0.11260000000000001</v>
      </c>
      <c r="O47" s="338">
        <v>0.11260000000000001</v>
      </c>
      <c r="P47" s="333">
        <f t="shared" si="10"/>
        <v>3.5424669970698019E-3</v>
      </c>
      <c r="Q47" s="333">
        <f t="shared" si="11"/>
        <v>0</v>
      </c>
      <c r="R47" s="333">
        <f t="shared" si="12"/>
        <v>0.11230000000000001</v>
      </c>
      <c r="S47" s="370">
        <f t="shared" si="13"/>
        <v>4.0000000000001146E-4</v>
      </c>
      <c r="T47" s="156"/>
      <c r="U47" s="124"/>
    </row>
    <row r="48" spans="1:23" s="114" customFormat="1" ht="12.95" customHeight="1">
      <c r="A48" s="400">
        <v>40</v>
      </c>
      <c r="B48" s="374" t="s">
        <v>34</v>
      </c>
      <c r="C48" s="375" t="s">
        <v>5</v>
      </c>
      <c r="D48" s="325">
        <v>343681468858.88</v>
      </c>
      <c r="E48" s="196">
        <v>3.6200000000000003E-2</v>
      </c>
      <c r="F48" s="314">
        <v>100</v>
      </c>
      <c r="G48" s="314">
        <v>100</v>
      </c>
      <c r="H48" s="338">
        <v>9.7199999999999995E-2</v>
      </c>
      <c r="I48" s="338">
        <v>9.7199999999999995E-2</v>
      </c>
      <c r="J48" s="325">
        <v>346941578575.98999</v>
      </c>
      <c r="K48" s="337">
        <f t="shared" si="9"/>
        <v>0.43039501315102663</v>
      </c>
      <c r="L48" s="314">
        <v>100</v>
      </c>
      <c r="M48" s="314">
        <v>100</v>
      </c>
      <c r="N48" s="338">
        <v>0.1017</v>
      </c>
      <c r="O48" s="338">
        <v>0.1017</v>
      </c>
      <c r="P48" s="333">
        <f t="shared" si="10"/>
        <v>9.4858466705652605E-3</v>
      </c>
      <c r="Q48" s="333">
        <f t="shared" si="11"/>
        <v>0</v>
      </c>
      <c r="R48" s="333">
        <f t="shared" si="12"/>
        <v>4.500000000000004E-3</v>
      </c>
      <c r="S48" s="370">
        <f t="shared" si="13"/>
        <v>4.500000000000004E-3</v>
      </c>
      <c r="T48" s="156"/>
      <c r="U48" s="124"/>
    </row>
    <row r="49" spans="1:23" s="114" customFormat="1" ht="12.95" customHeight="1">
      <c r="A49" s="396">
        <v>41</v>
      </c>
      <c r="B49" s="374" t="s">
        <v>154</v>
      </c>
      <c r="C49" s="375" t="s">
        <v>153</v>
      </c>
      <c r="D49" s="325">
        <v>1278171502.02</v>
      </c>
      <c r="E49" s="196">
        <v>5.3145060299999998E-2</v>
      </c>
      <c r="F49" s="314">
        <v>1</v>
      </c>
      <c r="G49" s="314">
        <v>1</v>
      </c>
      <c r="H49" s="338">
        <v>0.1373672577581147</v>
      </c>
      <c r="I49" s="338">
        <v>0.1373672577581147</v>
      </c>
      <c r="J49" s="325">
        <v>1419447567.9300001</v>
      </c>
      <c r="K49" s="337">
        <f t="shared" si="9"/>
        <v>1.7608819247722878E-3</v>
      </c>
      <c r="L49" s="314">
        <v>1</v>
      </c>
      <c r="M49" s="314">
        <v>1</v>
      </c>
      <c r="N49" s="338">
        <v>0.14074320125837714</v>
      </c>
      <c r="O49" s="338">
        <v>0.14074320125837714</v>
      </c>
      <c r="P49" s="333">
        <f t="shared" si="10"/>
        <v>0.11052981989250257</v>
      </c>
      <c r="Q49" s="333">
        <f t="shared" si="11"/>
        <v>0</v>
      </c>
      <c r="R49" s="333">
        <f t="shared" si="12"/>
        <v>3.3759435002624349E-3</v>
      </c>
      <c r="S49" s="370">
        <f t="shared" si="13"/>
        <v>3.3759435002624349E-3</v>
      </c>
      <c r="T49" s="146"/>
      <c r="U49" s="124"/>
    </row>
    <row r="50" spans="1:23" s="114" customFormat="1" ht="12.95" customHeight="1">
      <c r="A50" s="398">
        <v>42</v>
      </c>
      <c r="B50" s="374" t="s">
        <v>78</v>
      </c>
      <c r="C50" s="375" t="s">
        <v>41</v>
      </c>
      <c r="D50" s="325">
        <v>42361939050.220001</v>
      </c>
      <c r="E50" s="196">
        <v>5.2600000000000001E-2</v>
      </c>
      <c r="F50" s="314">
        <v>1</v>
      </c>
      <c r="G50" s="314">
        <v>1</v>
      </c>
      <c r="H50" s="338">
        <v>0.1115</v>
      </c>
      <c r="I50" s="338">
        <v>0.1115</v>
      </c>
      <c r="J50" s="325">
        <v>44507670041.57</v>
      </c>
      <c r="K50" s="337">
        <f t="shared" si="9"/>
        <v>5.5213558753862059E-2</v>
      </c>
      <c r="L50" s="314">
        <v>1</v>
      </c>
      <c r="M50" s="314">
        <v>1</v>
      </c>
      <c r="N50" s="338">
        <v>0.10780000000000001</v>
      </c>
      <c r="O50" s="338">
        <v>0.10780000000000001</v>
      </c>
      <c r="P50" s="333">
        <f t="shared" si="10"/>
        <v>5.0652331773723538E-2</v>
      </c>
      <c r="Q50" s="333">
        <f t="shared" si="11"/>
        <v>0</v>
      </c>
      <c r="R50" s="333">
        <f t="shared" si="12"/>
        <v>-3.699999999999995E-3</v>
      </c>
      <c r="S50" s="370">
        <f t="shared" si="13"/>
        <v>-3.699999999999995E-3</v>
      </c>
      <c r="T50" s="146"/>
      <c r="U50" s="124"/>
    </row>
    <row r="51" spans="1:23" s="114" customFormat="1" ht="12.95" customHeight="1">
      <c r="A51" s="396">
        <v>43</v>
      </c>
      <c r="B51" s="374" t="s">
        <v>163</v>
      </c>
      <c r="C51" s="375" t="s">
        <v>109</v>
      </c>
      <c r="D51" s="325">
        <v>1191736841.5999999</v>
      </c>
      <c r="E51" s="196">
        <v>6.4199999999999993E-2</v>
      </c>
      <c r="F51" s="314">
        <v>1</v>
      </c>
      <c r="G51" s="314">
        <v>1</v>
      </c>
      <c r="H51" s="338">
        <v>7.1300000000000002E-2</v>
      </c>
      <c r="I51" s="338">
        <v>7.1300000000000002E-2</v>
      </c>
      <c r="J51" s="325">
        <v>1224875447.25</v>
      </c>
      <c r="K51" s="337">
        <f t="shared" si="9"/>
        <v>1.5195073660278109E-3</v>
      </c>
      <c r="L51" s="314">
        <v>1</v>
      </c>
      <c r="M51" s="314">
        <v>1</v>
      </c>
      <c r="N51" s="338">
        <v>7.0900000000000005E-2</v>
      </c>
      <c r="O51" s="338">
        <v>7.0900000000000005E-2</v>
      </c>
      <c r="P51" s="333">
        <f t="shared" si="10"/>
        <v>2.7806982626725651E-2</v>
      </c>
      <c r="Q51" s="333">
        <f t="shared" si="11"/>
        <v>0</v>
      </c>
      <c r="R51" s="333">
        <f t="shared" si="12"/>
        <v>-3.9999999999999758E-4</v>
      </c>
      <c r="S51" s="370">
        <f t="shared" si="13"/>
        <v>-3.9999999999999758E-4</v>
      </c>
      <c r="T51" s="90"/>
      <c r="U51" s="124"/>
    </row>
    <row r="52" spans="1:23" s="114" customFormat="1" ht="12.95" customHeight="1">
      <c r="A52" s="398">
        <v>44</v>
      </c>
      <c r="B52" s="374" t="s">
        <v>135</v>
      </c>
      <c r="C52" s="375" t="s">
        <v>38</v>
      </c>
      <c r="D52" s="325">
        <v>847503621.70000005</v>
      </c>
      <c r="E52" s="196">
        <v>2.2200000000000001E-2</v>
      </c>
      <c r="F52" s="314">
        <v>1</v>
      </c>
      <c r="G52" s="314">
        <v>1</v>
      </c>
      <c r="H52" s="338">
        <v>9.8299999999999998E-2</v>
      </c>
      <c r="I52" s="338">
        <v>9.8299999999999998E-2</v>
      </c>
      <c r="J52" s="325">
        <v>1326413539.1800001</v>
      </c>
      <c r="K52" s="337">
        <f t="shared" si="9"/>
        <v>1.6454694619833139E-3</v>
      </c>
      <c r="L52" s="314">
        <v>1</v>
      </c>
      <c r="M52" s="314">
        <v>1</v>
      </c>
      <c r="N52" s="338">
        <v>6.3799999999999996E-2</v>
      </c>
      <c r="O52" s="338">
        <v>6.3799999999999996E-2</v>
      </c>
      <c r="P52" s="333">
        <f t="shared" si="10"/>
        <v>0.56508303353248079</v>
      </c>
      <c r="Q52" s="333">
        <f t="shared" si="11"/>
        <v>0</v>
      </c>
      <c r="R52" s="333">
        <f t="shared" si="12"/>
        <v>-3.4500000000000003E-2</v>
      </c>
      <c r="S52" s="370">
        <f t="shared" si="13"/>
        <v>-3.4500000000000003E-2</v>
      </c>
      <c r="U52" s="124"/>
    </row>
    <row r="53" spans="1:23" s="114" customFormat="1" ht="12.95" customHeight="1">
      <c r="A53" s="404">
        <v>45</v>
      </c>
      <c r="B53" s="374" t="s">
        <v>115</v>
      </c>
      <c r="C53" s="375" t="s">
        <v>12</v>
      </c>
      <c r="D53" s="325">
        <v>21723290909.91</v>
      </c>
      <c r="E53" s="196">
        <v>5.9200000000000003E-2</v>
      </c>
      <c r="F53" s="314">
        <v>1</v>
      </c>
      <c r="G53" s="314">
        <v>1</v>
      </c>
      <c r="H53" s="338">
        <v>0.1061</v>
      </c>
      <c r="I53" s="338">
        <v>0.1061</v>
      </c>
      <c r="J53" s="325">
        <v>22329450046.02</v>
      </c>
      <c r="K53" s="337">
        <f t="shared" si="9"/>
        <v>2.770058286371405E-2</v>
      </c>
      <c r="L53" s="314">
        <v>1</v>
      </c>
      <c r="M53" s="314">
        <v>1</v>
      </c>
      <c r="N53" s="338">
        <v>0.107</v>
      </c>
      <c r="O53" s="338">
        <v>0.107</v>
      </c>
      <c r="P53" s="333">
        <f t="shared" si="10"/>
        <v>2.7903651367734317E-2</v>
      </c>
      <c r="Q53" s="333">
        <f t="shared" si="11"/>
        <v>0</v>
      </c>
      <c r="R53" s="333">
        <f t="shared" si="12"/>
        <v>8.9999999999999802E-4</v>
      </c>
      <c r="S53" s="370">
        <f t="shared" si="13"/>
        <v>8.9999999999999802E-4</v>
      </c>
      <c r="T53" s="164"/>
      <c r="U53" s="124"/>
    </row>
    <row r="54" spans="1:23" s="114" customFormat="1" ht="12.95" customHeight="1">
      <c r="A54" s="218"/>
      <c r="C54" s="248" t="s">
        <v>42</v>
      </c>
      <c r="D54" s="76">
        <f>SUM(D25:D53)</f>
        <v>792540018978.42993</v>
      </c>
      <c r="E54" s="266">
        <f>(D54/$D$168)</f>
        <v>0.50364152944197005</v>
      </c>
      <c r="F54" s="268"/>
      <c r="G54" s="73"/>
      <c r="H54" s="284"/>
      <c r="I54" s="284"/>
      <c r="J54" s="76">
        <f>SUM(J25:J53)</f>
        <v>806100368208.14038</v>
      </c>
      <c r="K54" s="266">
        <f>(J54/$J$168)</f>
        <v>0.49209200090350258</v>
      </c>
      <c r="L54" s="268"/>
      <c r="M54" s="73"/>
      <c r="N54" s="284"/>
      <c r="O54" s="284"/>
      <c r="P54" s="270">
        <f t="shared" ref="P54" si="14">((J54-D54)/D54)</f>
        <v>1.7109986757753253E-2</v>
      </c>
      <c r="Q54" s="270"/>
      <c r="R54" s="270">
        <f t="shared" ref="R54:S54" si="15">N54-H54</f>
        <v>0</v>
      </c>
      <c r="S54" s="370">
        <f t="shared" si="15"/>
        <v>0</v>
      </c>
    </row>
    <row r="55" spans="1:23" s="114" customFormat="1" ht="4.5" customHeight="1">
      <c r="A55" s="412"/>
      <c r="B55" s="413"/>
      <c r="C55" s="414"/>
      <c r="D55" s="414"/>
      <c r="E55" s="414"/>
      <c r="F55" s="414"/>
      <c r="G55" s="414"/>
      <c r="H55" s="414"/>
      <c r="I55" s="414"/>
      <c r="J55" s="414"/>
      <c r="K55" s="414"/>
      <c r="L55" s="414"/>
      <c r="M55" s="414"/>
      <c r="N55" s="414"/>
      <c r="O55" s="414"/>
      <c r="P55" s="414"/>
      <c r="Q55" s="414"/>
      <c r="R55" s="414"/>
      <c r="S55" s="415"/>
    </row>
    <row r="56" spans="1:23" s="114" customFormat="1" ht="12.95" customHeight="1">
      <c r="A56" s="408" t="s">
        <v>276</v>
      </c>
      <c r="B56" s="409"/>
      <c r="C56" s="410"/>
      <c r="D56" s="410"/>
      <c r="E56" s="410"/>
      <c r="F56" s="410"/>
      <c r="G56" s="410"/>
      <c r="H56" s="410"/>
      <c r="I56" s="410"/>
      <c r="J56" s="410"/>
      <c r="K56" s="410"/>
      <c r="L56" s="410"/>
      <c r="M56" s="410"/>
      <c r="N56" s="410"/>
      <c r="O56" s="410"/>
      <c r="P56" s="410"/>
      <c r="Q56" s="410"/>
      <c r="R56" s="410"/>
      <c r="S56" s="411"/>
      <c r="V56" s="126"/>
      <c r="W56" s="127"/>
    </row>
    <row r="57" spans="1:23" s="114" customFormat="1" ht="12.95" customHeight="1">
      <c r="A57" s="400">
        <v>46</v>
      </c>
      <c r="B57" s="374" t="s">
        <v>142</v>
      </c>
      <c r="C57" s="375" t="s">
        <v>139</v>
      </c>
      <c r="D57" s="330">
        <v>439586726.64999998</v>
      </c>
      <c r="E57" s="337">
        <f>(D57/$D$87)</f>
        <v>1.3527140728061516E-3</v>
      </c>
      <c r="F57" s="331">
        <v>1.2643</v>
      </c>
      <c r="G57" s="331">
        <v>1.2643</v>
      </c>
      <c r="H57" s="338">
        <v>3.7260000000000001E-3</v>
      </c>
      <c r="I57" s="338">
        <v>2.69E-2</v>
      </c>
      <c r="J57" s="330">
        <v>441287934.61000001</v>
      </c>
      <c r="K57" s="337">
        <f t="shared" ref="K57:K76" si="16">(J57/$J$87)</f>
        <v>1.3522173750014196E-3</v>
      </c>
      <c r="L57" s="331">
        <v>1.2697000000000001</v>
      </c>
      <c r="M57" s="331">
        <v>1.2697000000000001</v>
      </c>
      <c r="N57" s="338">
        <v>3.3960000000000001E-3</v>
      </c>
      <c r="O57" s="338">
        <v>3.1300000000000001E-2</v>
      </c>
      <c r="P57" s="333">
        <v>-8.3999999999999995E-5</v>
      </c>
      <c r="Q57" s="333">
        <f t="shared" ref="Q57:Q67" si="17">((M57-G57)/G57)</f>
        <v>4.27113817922967E-3</v>
      </c>
      <c r="R57" s="333">
        <f t="shared" ref="R57:R86" si="18">N57-H57</f>
        <v>-3.3E-4</v>
      </c>
      <c r="S57" s="370">
        <f t="shared" ref="S57:S86" si="19">O57-I57</f>
        <v>4.4000000000000011E-3</v>
      </c>
      <c r="T57" s="146"/>
    </row>
    <row r="58" spans="1:23" s="114" customFormat="1" ht="12.95" customHeight="1">
      <c r="A58" s="402">
        <v>47</v>
      </c>
      <c r="B58" s="374" t="s">
        <v>148</v>
      </c>
      <c r="C58" s="375" t="s">
        <v>6</v>
      </c>
      <c r="D58" s="330">
        <v>1017930921</v>
      </c>
      <c r="E58" s="337">
        <f>(D58/$D$87)</f>
        <v>3.132418243095801E-3</v>
      </c>
      <c r="F58" s="331">
        <v>1.1301000000000001</v>
      </c>
      <c r="G58" s="331">
        <v>1.1301000000000001</v>
      </c>
      <c r="H58" s="338">
        <v>4.6199999999999998E-2</v>
      </c>
      <c r="I58" s="338">
        <v>6.2799999999999995E-2</v>
      </c>
      <c r="J58" s="330">
        <v>1019832818.21</v>
      </c>
      <c r="K58" s="337">
        <f t="shared" si="16"/>
        <v>3.1250246114228929E-3</v>
      </c>
      <c r="L58" s="331">
        <v>1.1321000000000001</v>
      </c>
      <c r="M58" s="331">
        <v>1.1321000000000001</v>
      </c>
      <c r="N58" s="338">
        <v>9.2299999999999993E-2</v>
      </c>
      <c r="O58" s="338">
        <v>6.4600000000000005E-2</v>
      </c>
      <c r="P58" s="333">
        <f t="shared" ref="P58:P67" si="20">((J58-D58)/D58)</f>
        <v>1.8683951639190241E-3</v>
      </c>
      <c r="Q58" s="333">
        <f t="shared" si="17"/>
        <v>1.7697548889478822E-3</v>
      </c>
      <c r="R58" s="333">
        <f t="shared" si="18"/>
        <v>4.6099999999999995E-2</v>
      </c>
      <c r="S58" s="370">
        <f t="shared" si="19"/>
        <v>1.8000000000000099E-3</v>
      </c>
      <c r="T58" s="146"/>
      <c r="U58" s="128"/>
    </row>
    <row r="59" spans="1:23" s="114" customFormat="1" ht="12.95" customHeight="1">
      <c r="A59" s="402">
        <v>48</v>
      </c>
      <c r="B59" s="374" t="s">
        <v>234</v>
      </c>
      <c r="C59" s="375" t="s">
        <v>6</v>
      </c>
      <c r="D59" s="330">
        <v>860909915.36000001</v>
      </c>
      <c r="E59" s="337">
        <f>(D59/$D$87)</f>
        <v>2.6492268472270192E-3</v>
      </c>
      <c r="F59" s="331">
        <v>1.0551999999999999</v>
      </c>
      <c r="G59" s="331">
        <v>1.0551999999999999</v>
      </c>
      <c r="H59" s="338">
        <v>3.9600000000000003E-2</v>
      </c>
      <c r="I59" s="338">
        <v>5.9200000000000003E-2</v>
      </c>
      <c r="J59" s="330">
        <v>862357715.15999997</v>
      </c>
      <c r="K59" s="337">
        <f t="shared" si="16"/>
        <v>2.6424812337922741E-3</v>
      </c>
      <c r="L59" s="331">
        <v>1.0564</v>
      </c>
      <c r="M59" s="331">
        <v>1.0564</v>
      </c>
      <c r="N59" s="338">
        <v>5.9299999999999999E-2</v>
      </c>
      <c r="O59" s="338">
        <v>5.9200000000000003E-2</v>
      </c>
      <c r="P59" s="333">
        <f t="shared" si="20"/>
        <v>1.6817088224550616E-3</v>
      </c>
      <c r="Q59" s="333">
        <f t="shared" si="17"/>
        <v>1.1372251705838608E-3</v>
      </c>
      <c r="R59" s="333">
        <f t="shared" si="18"/>
        <v>1.9699999999999995E-2</v>
      </c>
      <c r="S59" s="370">
        <f t="shared" si="19"/>
        <v>0</v>
      </c>
      <c r="T59" s="146"/>
      <c r="U59" s="129"/>
      <c r="V59" s="122"/>
    </row>
    <row r="60" spans="1:23" s="130" customFormat="1" ht="12.95" customHeight="1">
      <c r="A60" s="404">
        <v>49</v>
      </c>
      <c r="B60" s="374" t="s">
        <v>173</v>
      </c>
      <c r="C60" s="375" t="s">
        <v>151</v>
      </c>
      <c r="D60" s="330">
        <v>259095700.47</v>
      </c>
      <c r="E60" s="337">
        <f>(D60/$D$87)</f>
        <v>7.9729977950037463E-4</v>
      </c>
      <c r="F60" s="74">
        <v>1130.58</v>
      </c>
      <c r="G60" s="74">
        <v>1130.58</v>
      </c>
      <c r="H60" s="338">
        <v>1.8E-3</v>
      </c>
      <c r="I60" s="338">
        <v>5.3800000000000001E-2</v>
      </c>
      <c r="J60" s="330">
        <v>259095700.47</v>
      </c>
      <c r="K60" s="337">
        <f t="shared" si="16"/>
        <v>7.9393448242207651E-4</v>
      </c>
      <c r="L60" s="74">
        <v>1130.58</v>
      </c>
      <c r="M60" s="74">
        <v>1130.58</v>
      </c>
      <c r="N60" s="338">
        <v>1.8E-3</v>
      </c>
      <c r="O60" s="338">
        <v>5.3800000000000001E-2</v>
      </c>
      <c r="P60" s="333">
        <f t="shared" si="20"/>
        <v>0</v>
      </c>
      <c r="Q60" s="333">
        <f t="shared" si="17"/>
        <v>0</v>
      </c>
      <c r="R60" s="333">
        <f t="shared" si="18"/>
        <v>0</v>
      </c>
      <c r="S60" s="370">
        <f t="shared" si="19"/>
        <v>0</v>
      </c>
      <c r="T60" s="156"/>
      <c r="U60" s="165"/>
    </row>
    <row r="61" spans="1:23" s="114" customFormat="1" ht="12.95" customHeight="1">
      <c r="A61" s="404">
        <v>50</v>
      </c>
      <c r="B61" s="374" t="s">
        <v>182</v>
      </c>
      <c r="C61" s="375" t="s">
        <v>183</v>
      </c>
      <c r="D61" s="330">
        <v>1388454430.21</v>
      </c>
      <c r="E61" s="337">
        <f>(D61/$J$87)</f>
        <v>4.2545740721122187E-3</v>
      </c>
      <c r="F61" s="331">
        <v>1.0286999999999999</v>
      </c>
      <c r="G61" s="331">
        <v>1.0286999999999999</v>
      </c>
      <c r="H61" s="338">
        <v>1.6000000000000001E-3</v>
      </c>
      <c r="I61" s="338">
        <v>2.6599999999999999E-2</v>
      </c>
      <c r="J61" s="330">
        <v>1376899333.3199999</v>
      </c>
      <c r="K61" s="337">
        <f t="shared" si="16"/>
        <v>4.219166344959442E-3</v>
      </c>
      <c r="L61" s="331">
        <v>1.0303</v>
      </c>
      <c r="M61" s="331">
        <v>1.0303</v>
      </c>
      <c r="N61" s="338">
        <v>1.6000000000000001E-3</v>
      </c>
      <c r="O61" s="338">
        <v>2.81E-2</v>
      </c>
      <c r="P61" s="333">
        <f t="shared" si="20"/>
        <v>-8.3222730531043992E-3</v>
      </c>
      <c r="Q61" s="333">
        <f t="shared" si="17"/>
        <v>1.5553611354136734E-3</v>
      </c>
      <c r="R61" s="333">
        <f t="shared" si="18"/>
        <v>0</v>
      </c>
      <c r="S61" s="370">
        <f t="shared" si="19"/>
        <v>1.5000000000000013E-3</v>
      </c>
      <c r="T61" s="146"/>
      <c r="U61" s="133"/>
      <c r="V61" s="133"/>
    </row>
    <row r="62" spans="1:23" s="114" customFormat="1" ht="12.95" customHeight="1">
      <c r="A62" s="398">
        <v>51</v>
      </c>
      <c r="B62" s="374" t="s">
        <v>108</v>
      </c>
      <c r="C62" s="375" t="s">
        <v>105</v>
      </c>
      <c r="D62" s="330">
        <v>420675691.13</v>
      </c>
      <c r="E62" s="337">
        <f t="shared" ref="E62:E86" si="21">(D62/$D$87)</f>
        <v>1.2945202686524407E-3</v>
      </c>
      <c r="F62" s="331">
        <v>2.1722999999999999</v>
      </c>
      <c r="G62" s="331">
        <v>2.1722999999999999</v>
      </c>
      <c r="H62" s="338">
        <v>0.10660210591038426</v>
      </c>
      <c r="I62" s="338">
        <v>0.21325607011158479</v>
      </c>
      <c r="J62" s="330">
        <v>422419220.49000001</v>
      </c>
      <c r="K62" s="337">
        <f t="shared" si="16"/>
        <v>1.2943988826387227E-3</v>
      </c>
      <c r="L62" s="331">
        <v>2.1812999999999998</v>
      </c>
      <c r="M62" s="331">
        <v>2.1812999999999998</v>
      </c>
      <c r="N62" s="338">
        <v>8.3800165304431767E-2</v>
      </c>
      <c r="O62" s="338">
        <v>0.20025094583592731</v>
      </c>
      <c r="P62" s="111">
        <f t="shared" si="20"/>
        <v>4.1445926084215249E-3</v>
      </c>
      <c r="Q62" s="111">
        <f t="shared" si="17"/>
        <v>4.1430741610274354E-3</v>
      </c>
      <c r="R62" s="333">
        <f t="shared" si="18"/>
        <v>-2.2801940605952489E-2</v>
      </c>
      <c r="S62" s="370">
        <f t="shared" si="19"/>
        <v>-1.3005124275657476E-2</v>
      </c>
      <c r="T62" s="146"/>
      <c r="U62" s="133"/>
      <c r="V62" s="133"/>
    </row>
    <row r="63" spans="1:23" s="114" customFormat="1" ht="12" customHeight="1">
      <c r="A63" s="398">
        <v>52</v>
      </c>
      <c r="B63" s="374" t="s">
        <v>18</v>
      </c>
      <c r="C63" s="375" t="s">
        <v>7</v>
      </c>
      <c r="D63" s="330">
        <v>3335410204.8826299</v>
      </c>
      <c r="E63" s="337">
        <f t="shared" si="21"/>
        <v>1.0263859323301028E-2</v>
      </c>
      <c r="F63" s="330">
        <v>3803.6214734905898</v>
      </c>
      <c r="G63" s="330">
        <v>3803.6214734905898</v>
      </c>
      <c r="H63" s="338">
        <v>7.3465092051294825E-2</v>
      </c>
      <c r="I63" s="338">
        <v>7.6256303458981697E-2</v>
      </c>
      <c r="J63" s="330">
        <v>3340289973.44666</v>
      </c>
      <c r="K63" s="337">
        <f t="shared" si="16"/>
        <v>1.0235489768442107E-2</v>
      </c>
      <c r="L63" s="330">
        <v>3809.01802943763</v>
      </c>
      <c r="M63" s="330">
        <v>3809.01802943763</v>
      </c>
      <c r="N63" s="338">
        <v>7.3979981386455673E-2</v>
      </c>
      <c r="O63" s="338">
        <v>7.6230962669299837E-2</v>
      </c>
      <c r="P63" s="333">
        <f t="shared" si="20"/>
        <v>1.46301901843641E-3</v>
      </c>
      <c r="Q63" s="333">
        <f t="shared" si="17"/>
        <v>1.4187941635758622E-3</v>
      </c>
      <c r="R63" s="333">
        <f t="shared" si="18"/>
        <v>5.1488933516084801E-4</v>
      </c>
      <c r="S63" s="370">
        <f t="shared" si="19"/>
        <v>-2.5340789681860265E-5</v>
      </c>
      <c r="T63" s="146"/>
      <c r="U63" s="167"/>
      <c r="V63" s="133"/>
    </row>
    <row r="64" spans="1:23" s="114" customFormat="1" ht="12.75" customHeight="1">
      <c r="A64" s="396">
        <v>53</v>
      </c>
      <c r="B64" s="374" t="s">
        <v>230</v>
      </c>
      <c r="C64" s="375" t="s">
        <v>90</v>
      </c>
      <c r="D64" s="330">
        <v>374111792.54000002</v>
      </c>
      <c r="E64" s="337">
        <f t="shared" si="21"/>
        <v>1.1512319546775685E-3</v>
      </c>
      <c r="F64" s="331">
        <v>108.92</v>
      </c>
      <c r="G64" s="331">
        <v>108.92</v>
      </c>
      <c r="H64" s="338">
        <v>4.7000000000000002E-3</v>
      </c>
      <c r="I64" s="338">
        <v>0.1017</v>
      </c>
      <c r="J64" s="330">
        <v>375569073.83999997</v>
      </c>
      <c r="K64" s="337">
        <f t="shared" si="16"/>
        <v>1.150838233563911E-3</v>
      </c>
      <c r="L64" s="331">
        <v>109.19</v>
      </c>
      <c r="M64" s="331">
        <v>109.19</v>
      </c>
      <c r="N64" s="338">
        <v>2.5000000000000001E-3</v>
      </c>
      <c r="O64" s="338">
        <v>9.9599999999999994E-2</v>
      </c>
      <c r="P64" s="333">
        <f t="shared" si="20"/>
        <v>3.895309715061013E-3</v>
      </c>
      <c r="Q64" s="333">
        <f t="shared" si="17"/>
        <v>2.4788835842820055E-3</v>
      </c>
      <c r="R64" s="333">
        <f t="shared" si="18"/>
        <v>-2.2000000000000001E-3</v>
      </c>
      <c r="S64" s="370">
        <f t="shared" si="19"/>
        <v>-2.1000000000000046E-3</v>
      </c>
      <c r="T64" s="149"/>
      <c r="U64" s="187"/>
      <c r="V64" s="168"/>
    </row>
    <row r="65" spans="1:23" s="114" customFormat="1" ht="12" customHeight="1">
      <c r="A65" s="398">
        <v>54</v>
      </c>
      <c r="B65" s="374" t="s">
        <v>113</v>
      </c>
      <c r="C65" s="375" t="s">
        <v>110</v>
      </c>
      <c r="D65" s="330">
        <v>340787570.67000002</v>
      </c>
      <c r="E65" s="337">
        <f t="shared" si="21"/>
        <v>1.048685309940602E-3</v>
      </c>
      <c r="F65" s="331">
        <v>1.3917999999999999</v>
      </c>
      <c r="G65" s="331">
        <v>1.3917999999999999</v>
      </c>
      <c r="H65" s="338">
        <v>8.5000000000000006E-3</v>
      </c>
      <c r="I65" s="338">
        <v>3.8800000000000001E-2</v>
      </c>
      <c r="J65" s="330">
        <v>341383129.22000003</v>
      </c>
      <c r="K65" s="337">
        <f t="shared" si="16"/>
        <v>1.0460838891315069E-3</v>
      </c>
      <c r="L65" s="331">
        <v>1.3942000000000001</v>
      </c>
      <c r="M65" s="331">
        <v>1.3942000000000001</v>
      </c>
      <c r="N65" s="338">
        <v>1.6999999999999999E-3</v>
      </c>
      <c r="O65" s="338">
        <v>4.0500000000000001E-2</v>
      </c>
      <c r="P65" s="333">
        <f t="shared" si="20"/>
        <v>1.7475946931665479E-3</v>
      </c>
      <c r="Q65" s="333">
        <f t="shared" si="17"/>
        <v>1.7243856875989222E-3</v>
      </c>
      <c r="R65" s="333">
        <f t="shared" si="18"/>
        <v>-6.8000000000000005E-3</v>
      </c>
      <c r="S65" s="370">
        <f t="shared" si="19"/>
        <v>1.7000000000000001E-3</v>
      </c>
      <c r="T65" s="156"/>
      <c r="U65" s="189"/>
      <c r="V65" s="169"/>
      <c r="W65" s="187"/>
    </row>
    <row r="66" spans="1:23" s="114" customFormat="1" ht="12.95" customHeight="1">
      <c r="A66" s="395">
        <v>55</v>
      </c>
      <c r="B66" s="374" t="s">
        <v>246</v>
      </c>
      <c r="C66" s="375" t="s">
        <v>245</v>
      </c>
      <c r="D66" s="330">
        <v>532482007.37000006</v>
      </c>
      <c r="E66" s="337">
        <f t="shared" si="21"/>
        <v>1.6385751916912846E-3</v>
      </c>
      <c r="F66" s="74">
        <v>1000</v>
      </c>
      <c r="G66" s="74">
        <v>1000</v>
      </c>
      <c r="H66" s="338">
        <v>8.2018593023984732E-3</v>
      </c>
      <c r="I66" s="338">
        <v>0.15559999999999999</v>
      </c>
      <c r="J66" s="330">
        <v>531561966.30000001</v>
      </c>
      <c r="K66" s="337">
        <f t="shared" si="16"/>
        <v>1.6288397446352723E-3</v>
      </c>
      <c r="L66" s="74">
        <v>1000</v>
      </c>
      <c r="M66" s="74">
        <v>1000</v>
      </c>
      <c r="N66" s="338">
        <v>1.7308256202077654E-3</v>
      </c>
      <c r="O66" s="338">
        <v>0.1565</v>
      </c>
      <c r="P66" s="333">
        <f t="shared" si="20"/>
        <v>-1.7278350390546686E-3</v>
      </c>
      <c r="Q66" s="333">
        <f t="shared" si="17"/>
        <v>0</v>
      </c>
      <c r="R66" s="333">
        <f t="shared" si="18"/>
        <v>-6.4710336821907077E-3</v>
      </c>
      <c r="S66" s="370">
        <f t="shared" si="19"/>
        <v>9.000000000000119E-4</v>
      </c>
      <c r="T66" s="146"/>
      <c r="U66" s="133"/>
      <c r="V66" s="169"/>
      <c r="W66" s="187"/>
    </row>
    <row r="67" spans="1:23" s="114" customFormat="1" ht="12.95" customHeight="1">
      <c r="A67" s="397">
        <v>56</v>
      </c>
      <c r="B67" s="374" t="s">
        <v>104</v>
      </c>
      <c r="C67" s="375" t="s">
        <v>101</v>
      </c>
      <c r="D67" s="330">
        <v>313935607.06999999</v>
      </c>
      <c r="E67" s="337">
        <f t="shared" si="21"/>
        <v>9.6605536039456169E-4</v>
      </c>
      <c r="F67" s="74">
        <v>1138.3699999999999</v>
      </c>
      <c r="G67" s="74">
        <v>1148.69</v>
      </c>
      <c r="H67" s="338">
        <v>2.2000000000000001E-3</v>
      </c>
      <c r="I67" s="338">
        <v>3.1199999999999999E-2</v>
      </c>
      <c r="J67" s="330">
        <v>314541731.98000002</v>
      </c>
      <c r="K67" s="337">
        <f t="shared" si="16"/>
        <v>9.6383508767873159E-4</v>
      </c>
      <c r="L67" s="74">
        <v>1140.21</v>
      </c>
      <c r="M67" s="74">
        <v>1151.0999999999999</v>
      </c>
      <c r="N67" s="338">
        <v>1.9E-3</v>
      </c>
      <c r="O67" s="338">
        <v>3.3099999999999997E-2</v>
      </c>
      <c r="P67" s="333">
        <f t="shared" si="20"/>
        <v>1.9307300489328537E-3</v>
      </c>
      <c r="Q67" s="333">
        <f t="shared" si="17"/>
        <v>2.0980421175424654E-3</v>
      </c>
      <c r="R67" s="333">
        <f t="shared" si="18"/>
        <v>-3.0000000000000014E-4</v>
      </c>
      <c r="S67" s="370">
        <f t="shared" si="19"/>
        <v>1.8999999999999989E-3</v>
      </c>
      <c r="T67" s="146"/>
      <c r="U67" s="170"/>
      <c r="V67" s="166"/>
    </row>
    <row r="68" spans="1:23" s="114" customFormat="1" ht="12.95" customHeight="1">
      <c r="A68" s="398">
        <v>57</v>
      </c>
      <c r="B68" s="374" t="s">
        <v>176</v>
      </c>
      <c r="C68" s="375" t="s">
        <v>174</v>
      </c>
      <c r="D68" s="330">
        <v>701085602.53999996</v>
      </c>
      <c r="E68" s="337">
        <f t="shared" si="21"/>
        <v>2.1574090010063733E-3</v>
      </c>
      <c r="F68" s="315">
        <v>1.1026</v>
      </c>
      <c r="G68" s="315">
        <v>1.1026</v>
      </c>
      <c r="H68" s="338">
        <v>7.4604832848840508E-2</v>
      </c>
      <c r="I68" s="338">
        <v>0.10170682332393964</v>
      </c>
      <c r="J68" s="330">
        <v>703767099.83000004</v>
      </c>
      <c r="K68" s="337">
        <f t="shared" si="16"/>
        <v>2.1565196455813535E-3</v>
      </c>
      <c r="L68" s="315">
        <v>1.1048</v>
      </c>
      <c r="M68" s="315">
        <v>1.1048</v>
      </c>
      <c r="N68" s="338">
        <v>0.10403980202638204</v>
      </c>
      <c r="O68" s="338">
        <v>0.10202903981264651</v>
      </c>
      <c r="P68" s="333">
        <f>(J68/D68)/D68</f>
        <v>1.4318148526773445E-9</v>
      </c>
      <c r="Q68" s="333">
        <f>(M68-G68)/G68</f>
        <v>1.9952838744784871E-3</v>
      </c>
      <c r="R68" s="333">
        <f t="shared" si="18"/>
        <v>2.9434969177541528E-2</v>
      </c>
      <c r="S68" s="370">
        <f t="shared" si="19"/>
        <v>3.2221648870686681E-4</v>
      </c>
      <c r="T68" s="90"/>
      <c r="U68" s="169"/>
      <c r="V68" s="189"/>
    </row>
    <row r="69" spans="1:23" s="114" customFormat="1" ht="12" customHeight="1">
      <c r="A69" s="398">
        <v>58</v>
      </c>
      <c r="B69" s="374" t="s">
        <v>259</v>
      </c>
      <c r="C69" s="375" t="s">
        <v>191</v>
      </c>
      <c r="D69" s="330">
        <v>65135460613.57</v>
      </c>
      <c r="E69" s="337">
        <f t="shared" si="21"/>
        <v>0.20043747654109692</v>
      </c>
      <c r="F69" s="315">
        <v>1526.63</v>
      </c>
      <c r="G69" s="330">
        <v>1526.63</v>
      </c>
      <c r="H69" s="338">
        <v>2.5000000000000001E-3</v>
      </c>
      <c r="I69" s="338">
        <v>0.1192</v>
      </c>
      <c r="J69" s="330">
        <v>65196292622.389999</v>
      </c>
      <c r="K69" s="337">
        <f t="shared" si="16"/>
        <v>0.19977786101853429</v>
      </c>
      <c r="L69" s="315">
        <v>1529.95</v>
      </c>
      <c r="M69" s="330">
        <v>1529.95</v>
      </c>
      <c r="N69" s="338">
        <v>2.2000000000000001E-3</v>
      </c>
      <c r="O69" s="338">
        <v>0.1191</v>
      </c>
      <c r="P69" s="333">
        <f t="shared" ref="P69:P86" si="22">((J69-D69)/D69)</f>
        <v>9.339307382947447E-4</v>
      </c>
      <c r="Q69" s="333">
        <f t="shared" ref="Q69:Q86" si="23">((M69-G69)/G69)</f>
        <v>2.1747247204626768E-3</v>
      </c>
      <c r="R69" s="333">
        <f t="shared" si="18"/>
        <v>-2.9999999999999992E-4</v>
      </c>
      <c r="S69" s="370">
        <f t="shared" si="19"/>
        <v>-1.0000000000000286E-4</v>
      </c>
      <c r="U69" s="169"/>
      <c r="V69" s="189"/>
    </row>
    <row r="70" spans="1:23" s="114" customFormat="1" ht="12.95" customHeight="1">
      <c r="A70" s="396">
        <v>59</v>
      </c>
      <c r="B70" s="374" t="s">
        <v>180</v>
      </c>
      <c r="C70" s="375" t="s">
        <v>181</v>
      </c>
      <c r="D70" s="330">
        <v>21256349.329999998</v>
      </c>
      <c r="E70" s="337">
        <f t="shared" si="21"/>
        <v>6.5410898764621766E-5</v>
      </c>
      <c r="F70" s="330">
        <v>0.63970000000000005</v>
      </c>
      <c r="G70" s="330">
        <v>0.63970000000000005</v>
      </c>
      <c r="H70" s="338">
        <v>-9.2187500000000255E-3</v>
      </c>
      <c r="I70" s="338">
        <v>-7.0234604105571918E-2</v>
      </c>
      <c r="J70" s="330">
        <v>21256349.329999998</v>
      </c>
      <c r="K70" s="337">
        <f t="shared" si="16"/>
        <v>6.5134807999063833E-5</v>
      </c>
      <c r="L70" s="330">
        <v>0.63560000000000005</v>
      </c>
      <c r="M70" s="330">
        <v>0.63560000000000005</v>
      </c>
      <c r="N70" s="338">
        <v>2E-3</v>
      </c>
      <c r="O70" s="338">
        <v>-6.9800000000000001E-2</v>
      </c>
      <c r="P70" s="111">
        <f t="shared" si="22"/>
        <v>0</v>
      </c>
      <c r="Q70" s="111">
        <f t="shared" si="23"/>
        <v>-6.4092543379709113E-3</v>
      </c>
      <c r="R70" s="333">
        <f t="shared" si="18"/>
        <v>1.1218750000000026E-2</v>
      </c>
      <c r="S70" s="370">
        <f t="shared" si="19"/>
        <v>4.3460410557191742E-4</v>
      </c>
      <c r="U70" s="427"/>
      <c r="V70" s="427"/>
    </row>
    <row r="71" spans="1:23" s="130" customFormat="1" ht="12.95" customHeight="1">
      <c r="A71" s="396">
        <v>60</v>
      </c>
      <c r="B71" s="374" t="s">
        <v>107</v>
      </c>
      <c r="C71" s="375" t="s">
        <v>106</v>
      </c>
      <c r="D71" s="330">
        <v>794419420.58000004</v>
      </c>
      <c r="E71" s="337">
        <f t="shared" si="21"/>
        <v>2.4446196046876817E-3</v>
      </c>
      <c r="F71" s="331">
        <v>200.72905800000001</v>
      </c>
      <c r="G71" s="331">
        <v>202.07501300000001</v>
      </c>
      <c r="H71" s="338">
        <v>1.6000000000000001E-3</v>
      </c>
      <c r="I71" s="338">
        <v>1.3299999999999999E-2</v>
      </c>
      <c r="J71" s="330">
        <v>757080412.45000005</v>
      </c>
      <c r="K71" s="337">
        <f t="shared" si="16"/>
        <v>2.3198850630096793E-3</v>
      </c>
      <c r="L71" s="331">
        <v>199.015423</v>
      </c>
      <c r="M71" s="331">
        <v>200.50473099999999</v>
      </c>
      <c r="N71" s="338">
        <v>1.5E-3</v>
      </c>
      <c r="O71" s="338">
        <v>5.4999999999999997E-3</v>
      </c>
      <c r="P71" s="333">
        <f t="shared" si="22"/>
        <v>-4.7001630577886741E-2</v>
      </c>
      <c r="Q71" s="333">
        <f t="shared" si="23"/>
        <v>-7.7707875738205201E-3</v>
      </c>
      <c r="R71" s="333">
        <f t="shared" si="18"/>
        <v>-1.0000000000000005E-4</v>
      </c>
      <c r="S71" s="370">
        <f t="shared" si="19"/>
        <v>-7.7999999999999996E-3</v>
      </c>
      <c r="T71" s="171"/>
      <c r="U71" s="172"/>
      <c r="V71" s="443"/>
      <c r="W71" s="131"/>
    </row>
    <row r="72" spans="1:23" s="114" customFormat="1" ht="12.95" customHeight="1">
      <c r="A72" s="396">
        <v>61</v>
      </c>
      <c r="B72" s="374" t="s">
        <v>114</v>
      </c>
      <c r="C72" s="375" t="s">
        <v>136</v>
      </c>
      <c r="D72" s="330">
        <v>1353876211.78</v>
      </c>
      <c r="E72" s="337">
        <f t="shared" si="21"/>
        <v>4.1662026933093881E-3</v>
      </c>
      <c r="F72" s="331">
        <v>3.55</v>
      </c>
      <c r="G72" s="331">
        <v>3.55</v>
      </c>
      <c r="H72" s="324">
        <v>3.0000000000000001E-3</v>
      </c>
      <c r="I72" s="324">
        <v>-2.23E-2</v>
      </c>
      <c r="J72" s="330">
        <v>1355220008.55</v>
      </c>
      <c r="K72" s="337">
        <f t="shared" si="16"/>
        <v>4.1527354336810714E-3</v>
      </c>
      <c r="L72" s="331">
        <v>3.55</v>
      </c>
      <c r="M72" s="331">
        <v>3.55</v>
      </c>
      <c r="N72" s="324">
        <v>4.0000000000000001E-3</v>
      </c>
      <c r="O72" s="324">
        <v>-1.8200000000000001E-2</v>
      </c>
      <c r="P72" s="333">
        <f t="shared" si="22"/>
        <v>9.9255512306640863E-4</v>
      </c>
      <c r="Q72" s="333">
        <f t="shared" si="23"/>
        <v>0</v>
      </c>
      <c r="R72" s="333">
        <f t="shared" si="18"/>
        <v>1E-3</v>
      </c>
      <c r="S72" s="370">
        <f t="shared" si="19"/>
        <v>4.0999999999999995E-3</v>
      </c>
      <c r="U72" s="173"/>
      <c r="V72" s="443"/>
    </row>
    <row r="73" spans="1:23" s="114" customFormat="1" ht="12.95" customHeight="1">
      <c r="A73" s="396">
        <v>62</v>
      </c>
      <c r="B73" s="374" t="s">
        <v>87</v>
      </c>
      <c r="C73" s="375" t="s">
        <v>23</v>
      </c>
      <c r="D73" s="330">
        <v>15891519879.780001</v>
      </c>
      <c r="E73" s="337">
        <f t="shared" si="21"/>
        <v>4.890202837442096E-2</v>
      </c>
      <c r="F73" s="330">
        <v>1170.21</v>
      </c>
      <c r="G73" s="330">
        <v>1170.21</v>
      </c>
      <c r="H73" s="338">
        <v>-1E-3</v>
      </c>
      <c r="I73" s="338">
        <v>2.64E-2</v>
      </c>
      <c r="J73" s="330">
        <v>15911278976.85</v>
      </c>
      <c r="K73" s="337">
        <f t="shared" si="16"/>
        <v>4.8756166220602172E-2</v>
      </c>
      <c r="L73" s="330">
        <v>1175.8</v>
      </c>
      <c r="M73" s="330">
        <v>1175.8</v>
      </c>
      <c r="N73" s="338">
        <v>1.6000000000000001E-3</v>
      </c>
      <c r="O73" s="338">
        <v>3.1099999999999999E-2</v>
      </c>
      <c r="P73" s="333">
        <f t="shared" si="22"/>
        <v>1.2433736495614061E-3</v>
      </c>
      <c r="Q73" s="333">
        <f t="shared" si="23"/>
        <v>4.7769203818117415E-3</v>
      </c>
      <c r="R73" s="333">
        <f t="shared" si="18"/>
        <v>2.5999999999999999E-3</v>
      </c>
      <c r="S73" s="370">
        <f t="shared" si="19"/>
        <v>4.6999999999999993E-3</v>
      </c>
      <c r="T73" s="174"/>
      <c r="U73" s="132"/>
      <c r="V73" s="443"/>
    </row>
    <row r="74" spans="1:23" s="114" customFormat="1" ht="12.95" customHeight="1">
      <c r="A74" s="404">
        <v>63</v>
      </c>
      <c r="B74" s="375" t="s">
        <v>240</v>
      </c>
      <c r="C74" s="406" t="s">
        <v>9</v>
      </c>
      <c r="D74" s="330">
        <v>2014224540.49</v>
      </c>
      <c r="E74" s="337">
        <f t="shared" si="21"/>
        <v>6.1982533059550633E-3</v>
      </c>
      <c r="F74" s="331">
        <v>102.98</v>
      </c>
      <c r="G74" s="331">
        <v>102.98</v>
      </c>
      <c r="H74" s="338">
        <v>1.6999999999999999E-3</v>
      </c>
      <c r="I74" s="338">
        <v>0.1021</v>
      </c>
      <c r="J74" s="330">
        <v>2080171735.4400001</v>
      </c>
      <c r="K74" s="337">
        <f t="shared" si="16"/>
        <v>6.3741701121621435E-3</v>
      </c>
      <c r="L74" s="331">
        <v>103.17</v>
      </c>
      <c r="M74" s="331">
        <v>103.17</v>
      </c>
      <c r="N74" s="338">
        <v>1.6999999999999999E-3</v>
      </c>
      <c r="O74" s="338">
        <v>0.1022</v>
      </c>
      <c r="P74" s="333">
        <f t="shared" si="22"/>
        <v>3.2740736508928191E-2</v>
      </c>
      <c r="Q74" s="333">
        <f t="shared" si="23"/>
        <v>1.8450184501844797E-3</v>
      </c>
      <c r="R74" s="333">
        <f t="shared" si="18"/>
        <v>0</v>
      </c>
      <c r="S74" s="370">
        <f t="shared" si="19"/>
        <v>1.0000000000000286E-4</v>
      </c>
      <c r="T74" s="125"/>
      <c r="U74" s="132"/>
      <c r="V74" s="443"/>
    </row>
    <row r="75" spans="1:23" s="114" customFormat="1" ht="12.95" customHeight="1">
      <c r="A75" s="396">
        <v>64</v>
      </c>
      <c r="B75" s="374" t="s">
        <v>17</v>
      </c>
      <c r="C75" s="375" t="s">
        <v>58</v>
      </c>
      <c r="D75" s="330">
        <v>1549372595.52</v>
      </c>
      <c r="E75" s="337">
        <f t="shared" si="21"/>
        <v>4.7677920804210829E-3</v>
      </c>
      <c r="F75" s="331">
        <v>334.55900000000003</v>
      </c>
      <c r="G75" s="331">
        <v>334.55900000000003</v>
      </c>
      <c r="H75" s="338">
        <v>2.3999999999999998E-3</v>
      </c>
      <c r="I75" s="338">
        <v>8.09E-2</v>
      </c>
      <c r="J75" s="330">
        <v>1552767234.51</v>
      </c>
      <c r="K75" s="337">
        <f t="shared" si="16"/>
        <v>4.7580698885252171E-3</v>
      </c>
      <c r="L75" s="331">
        <v>335.15839999999997</v>
      </c>
      <c r="M75" s="331">
        <v>335.15839999999997</v>
      </c>
      <c r="N75" s="338">
        <v>1.8E-3</v>
      </c>
      <c r="O75" s="338">
        <v>8.2799999999999999E-2</v>
      </c>
      <c r="P75" s="111">
        <f t="shared" si="22"/>
        <v>2.1909765280576049E-3</v>
      </c>
      <c r="Q75" s="111">
        <f t="shared" si="23"/>
        <v>1.7916122417867878E-3</v>
      </c>
      <c r="R75" s="333">
        <f t="shared" si="18"/>
        <v>-5.9999999999999984E-4</v>
      </c>
      <c r="S75" s="370">
        <f t="shared" si="19"/>
        <v>1.8999999999999989E-3</v>
      </c>
      <c r="T75" s="146"/>
      <c r="U75" s="175"/>
      <c r="V75" s="443"/>
    </row>
    <row r="76" spans="1:23" s="114" customFormat="1" ht="12.95" customHeight="1">
      <c r="A76" s="396">
        <v>65</v>
      </c>
      <c r="B76" s="374" t="s">
        <v>93</v>
      </c>
      <c r="C76" s="375" t="s">
        <v>92</v>
      </c>
      <c r="D76" s="330">
        <v>68232218.510000005</v>
      </c>
      <c r="E76" s="337">
        <f t="shared" si="21"/>
        <v>2.0996694531850556E-4</v>
      </c>
      <c r="F76" s="315">
        <v>14.97</v>
      </c>
      <c r="G76" s="330">
        <v>15.14</v>
      </c>
      <c r="H76" s="338">
        <v>2.2000000000000001E-3</v>
      </c>
      <c r="I76" s="338">
        <v>0.80569999999999997</v>
      </c>
      <c r="J76" s="330">
        <v>53101176.450000003</v>
      </c>
      <c r="K76" s="337">
        <f t="shared" si="16"/>
        <v>1.6271537877455273E-4</v>
      </c>
      <c r="L76" s="331">
        <v>11.650169</v>
      </c>
      <c r="M76" s="330">
        <v>11.818387</v>
      </c>
      <c r="N76" s="338">
        <v>2.0400000000000001E-2</v>
      </c>
      <c r="O76" s="338">
        <v>3.85E-2</v>
      </c>
      <c r="P76" s="333">
        <f t="shared" si="22"/>
        <v>-0.22175802561340463</v>
      </c>
      <c r="Q76" s="333">
        <f t="shared" si="23"/>
        <v>-0.21939319682959055</v>
      </c>
      <c r="R76" s="333">
        <f t="shared" si="18"/>
        <v>1.8200000000000001E-2</v>
      </c>
      <c r="S76" s="370">
        <f t="shared" si="19"/>
        <v>-0.76719999999999999</v>
      </c>
      <c r="T76" s="156"/>
      <c r="U76" s="175"/>
      <c r="V76" s="443"/>
    </row>
    <row r="77" spans="1:23" s="114" customFormat="1" ht="12.95" customHeight="1">
      <c r="A77" s="404">
        <v>66</v>
      </c>
      <c r="B77" s="374" t="s">
        <v>35</v>
      </c>
      <c r="C77" s="375" t="s">
        <v>20</v>
      </c>
      <c r="D77" s="330">
        <v>6660003986.04</v>
      </c>
      <c r="E77" s="337">
        <f t="shared" si="21"/>
        <v>2.0494433909589872E-2</v>
      </c>
      <c r="F77" s="331">
        <v>1.04</v>
      </c>
      <c r="G77" s="331">
        <v>1.04</v>
      </c>
      <c r="H77" s="338">
        <v>0</v>
      </c>
      <c r="I77" s="338">
        <v>0.1103</v>
      </c>
      <c r="J77" s="330">
        <v>6755116533.3999996</v>
      </c>
      <c r="K77" s="337">
        <f>(J77/$J$119)</f>
        <v>7.1737949630858527E-2</v>
      </c>
      <c r="L77" s="331">
        <v>1.04</v>
      </c>
      <c r="M77" s="331">
        <v>1.04</v>
      </c>
      <c r="N77" s="338">
        <v>0</v>
      </c>
      <c r="O77" s="338">
        <v>0.1101</v>
      </c>
      <c r="P77" s="333">
        <f t="shared" si="22"/>
        <v>1.4281154719931787E-2</v>
      </c>
      <c r="Q77" s="333">
        <f t="shared" si="23"/>
        <v>0</v>
      </c>
      <c r="R77" s="333">
        <f t="shared" si="18"/>
        <v>0</v>
      </c>
      <c r="S77" s="370">
        <f t="shared" si="19"/>
        <v>-1.9999999999999185E-4</v>
      </c>
      <c r="T77" s="146"/>
      <c r="U77" s="175"/>
      <c r="V77" s="443"/>
    </row>
    <row r="78" spans="1:23" s="114" customFormat="1" ht="12.95" customHeight="1">
      <c r="A78" s="402">
        <v>67</v>
      </c>
      <c r="B78" s="374" t="s">
        <v>69</v>
      </c>
      <c r="C78" s="375" t="s">
        <v>5</v>
      </c>
      <c r="D78" s="330">
        <v>32287027760.279999</v>
      </c>
      <c r="E78" s="337">
        <f t="shared" si="21"/>
        <v>9.9354949029632267E-2</v>
      </c>
      <c r="F78" s="330">
        <v>4698.83</v>
      </c>
      <c r="G78" s="330">
        <v>4698.83</v>
      </c>
      <c r="H78" s="338">
        <v>1.6000000000000001E-3</v>
      </c>
      <c r="I78" s="338">
        <v>2.7799999999999998E-2</v>
      </c>
      <c r="J78" s="330">
        <v>32079223039.369999</v>
      </c>
      <c r="K78" s="337">
        <f t="shared" ref="K78:K86" si="24">(J78/$J$87)</f>
        <v>9.8298818907701396E-2</v>
      </c>
      <c r="L78" s="330">
        <v>4707.3599999999997</v>
      </c>
      <c r="M78" s="330">
        <v>4707.3599999999997</v>
      </c>
      <c r="N78" s="338">
        <v>1.2999999999999999E-3</v>
      </c>
      <c r="O78" s="338">
        <v>2.9600000000000001E-2</v>
      </c>
      <c r="P78" s="333">
        <f t="shared" si="22"/>
        <v>-6.4361675671380453E-3</v>
      </c>
      <c r="Q78" s="333">
        <f t="shared" si="23"/>
        <v>1.8153455221831276E-3</v>
      </c>
      <c r="R78" s="333">
        <f t="shared" si="18"/>
        <v>-3.0000000000000014E-4</v>
      </c>
      <c r="S78" s="370">
        <f t="shared" si="19"/>
        <v>1.800000000000003E-3</v>
      </c>
      <c r="T78" s="146"/>
      <c r="U78" s="175"/>
      <c r="V78" s="443"/>
    </row>
    <row r="79" spans="1:23" s="114" customFormat="1" ht="12.95" customHeight="1">
      <c r="A79" s="400">
        <v>68</v>
      </c>
      <c r="B79" s="374" t="s">
        <v>16</v>
      </c>
      <c r="C79" s="375" t="s">
        <v>5</v>
      </c>
      <c r="D79" s="330">
        <v>40829332961.010002</v>
      </c>
      <c r="E79" s="337">
        <f t="shared" si="21"/>
        <v>0.12564167644584245</v>
      </c>
      <c r="F79" s="331">
        <v>248.38</v>
      </c>
      <c r="G79" s="331">
        <v>248.38</v>
      </c>
      <c r="H79" s="338">
        <v>6.9999999999999999E-4</v>
      </c>
      <c r="I79" s="338">
        <v>1.35E-2</v>
      </c>
      <c r="J79" s="330">
        <v>40603770319.120003</v>
      </c>
      <c r="K79" s="337">
        <f t="shared" si="24"/>
        <v>0.12442017877648269</v>
      </c>
      <c r="L79" s="331">
        <v>248.58</v>
      </c>
      <c r="M79" s="331">
        <v>248.58</v>
      </c>
      <c r="N79" s="338">
        <v>4.0000000000000002E-4</v>
      </c>
      <c r="O79" s="338">
        <v>1.43E-2</v>
      </c>
      <c r="P79" s="333">
        <f t="shared" si="22"/>
        <v>-5.5245242949572698E-3</v>
      </c>
      <c r="Q79" s="333">
        <f t="shared" si="23"/>
        <v>8.052178114180572E-4</v>
      </c>
      <c r="R79" s="333">
        <f t="shared" si="18"/>
        <v>-2.9999999999999997E-4</v>
      </c>
      <c r="S79" s="370">
        <f t="shared" si="19"/>
        <v>8.0000000000000036E-4</v>
      </c>
      <c r="T79" s="146"/>
      <c r="U79" s="175"/>
      <c r="V79" s="443"/>
    </row>
    <row r="80" spans="1:23" s="114" customFormat="1" ht="12.95" customHeight="1">
      <c r="A80" s="400">
        <v>69</v>
      </c>
      <c r="B80" s="374" t="s">
        <v>70</v>
      </c>
      <c r="C80" s="375" t="s">
        <v>5</v>
      </c>
      <c r="D80" s="330">
        <v>250022980.03999999</v>
      </c>
      <c r="E80" s="337">
        <f t="shared" si="21"/>
        <v>7.6938083686572012E-4</v>
      </c>
      <c r="F80" s="330">
        <v>4419.78</v>
      </c>
      <c r="G80" s="330">
        <v>4435.9799999999996</v>
      </c>
      <c r="H80" s="338">
        <v>4.5999999999999999E-3</v>
      </c>
      <c r="I80" s="338">
        <v>4.1599999999999998E-2</v>
      </c>
      <c r="J80" s="330">
        <v>251502426.25</v>
      </c>
      <c r="K80" s="337">
        <f t="shared" si="24"/>
        <v>7.7066677776002005E-4</v>
      </c>
      <c r="L80" s="330">
        <v>4445.8500000000004</v>
      </c>
      <c r="M80" s="330">
        <v>4462.28</v>
      </c>
      <c r="N80" s="338">
        <v>5.8999999999999999E-3</v>
      </c>
      <c r="O80" s="338">
        <v>4.7800000000000002E-2</v>
      </c>
      <c r="P80" s="333">
        <f t="shared" si="22"/>
        <v>5.9172409262673326E-3</v>
      </c>
      <c r="Q80" s="333">
        <f t="shared" si="23"/>
        <v>5.9287913831893259E-3</v>
      </c>
      <c r="R80" s="333">
        <f t="shared" si="18"/>
        <v>1.2999999999999999E-3</v>
      </c>
      <c r="S80" s="370">
        <f t="shared" si="19"/>
        <v>6.2000000000000041E-3</v>
      </c>
      <c r="T80" s="146"/>
      <c r="U80" s="175"/>
      <c r="V80" s="443"/>
    </row>
    <row r="81" spans="1:22" s="114" customFormat="1" ht="12.95" customHeight="1">
      <c r="A81" s="402">
        <v>70</v>
      </c>
      <c r="B81" s="374" t="s">
        <v>170</v>
      </c>
      <c r="C81" s="375" t="s">
        <v>5</v>
      </c>
      <c r="D81" s="330">
        <v>19442758991.52</v>
      </c>
      <c r="E81" s="337">
        <f t="shared" si="21"/>
        <v>5.9830045148173826E-2</v>
      </c>
      <c r="F81" s="331">
        <v>118.33</v>
      </c>
      <c r="G81" s="331">
        <v>118.33</v>
      </c>
      <c r="H81" s="338">
        <v>2E-3</v>
      </c>
      <c r="I81" s="338">
        <v>2.9000000000000001E-2</v>
      </c>
      <c r="J81" s="330">
        <v>19932872774.810001</v>
      </c>
      <c r="K81" s="337">
        <f t="shared" si="24"/>
        <v>6.1079342501425486E-2</v>
      </c>
      <c r="L81" s="331">
        <v>118.54</v>
      </c>
      <c r="M81" s="331">
        <v>118.54</v>
      </c>
      <c r="N81" s="338">
        <v>1.2999999999999999E-3</v>
      </c>
      <c r="O81" s="338">
        <v>3.0800000000000001E-2</v>
      </c>
      <c r="P81" s="333">
        <f t="shared" si="22"/>
        <v>2.5208036755676757E-2</v>
      </c>
      <c r="Q81" s="333">
        <f t="shared" si="23"/>
        <v>1.7746978788135549E-3</v>
      </c>
      <c r="R81" s="333">
        <f t="shared" si="18"/>
        <v>-7.000000000000001E-4</v>
      </c>
      <c r="S81" s="370">
        <f t="shared" si="19"/>
        <v>1.7999999999999995E-3</v>
      </c>
      <c r="T81" s="146"/>
      <c r="U81" s="175"/>
      <c r="V81" s="443"/>
    </row>
    <row r="82" spans="1:22" s="114" customFormat="1" ht="12.95" customHeight="1">
      <c r="A82" s="400">
        <v>71</v>
      </c>
      <c r="B82" s="374" t="s">
        <v>64</v>
      </c>
      <c r="C82" s="375" t="s">
        <v>5</v>
      </c>
      <c r="D82" s="330">
        <v>14917564432.26</v>
      </c>
      <c r="E82" s="337">
        <f t="shared" si="21"/>
        <v>4.5904933238753907E-2</v>
      </c>
      <c r="F82" s="331">
        <v>339.03</v>
      </c>
      <c r="G82" s="331">
        <v>339.03</v>
      </c>
      <c r="H82" s="338">
        <v>1.2999999999999999E-3</v>
      </c>
      <c r="I82" s="338">
        <v>1.9599999999999999E-2</v>
      </c>
      <c r="J82" s="330">
        <v>14916045769.65</v>
      </c>
      <c r="K82" s="337">
        <f t="shared" si="24"/>
        <v>4.5706521013004119E-2</v>
      </c>
      <c r="L82" s="331">
        <v>339.32</v>
      </c>
      <c r="M82" s="331">
        <v>339.32</v>
      </c>
      <c r="N82" s="338">
        <v>5.0000000000000001E-4</v>
      </c>
      <c r="O82" s="338">
        <v>2.0400000000000001E-2</v>
      </c>
      <c r="P82" s="333">
        <f t="shared" si="22"/>
        <v>-1.0180365681655273E-4</v>
      </c>
      <c r="Q82" s="333">
        <f t="shared" si="23"/>
        <v>8.5538152965820282E-4</v>
      </c>
      <c r="R82" s="333">
        <f t="shared" si="18"/>
        <v>-7.9999999999999993E-4</v>
      </c>
      <c r="S82" s="370">
        <f t="shared" si="19"/>
        <v>8.000000000000021E-4</v>
      </c>
      <c r="T82" s="146"/>
      <c r="U82" s="175"/>
      <c r="V82" s="443"/>
    </row>
    <row r="83" spans="1:22" s="114" customFormat="1" ht="12.95" customHeight="1">
      <c r="A83" s="395">
        <v>72</v>
      </c>
      <c r="B83" s="374" t="s">
        <v>255</v>
      </c>
      <c r="C83" s="375" t="s">
        <v>254</v>
      </c>
      <c r="D83" s="330">
        <v>57315351.109999999</v>
      </c>
      <c r="E83" s="337">
        <f t="shared" si="21"/>
        <v>1.7637311896374268E-4</v>
      </c>
      <c r="F83" s="74">
        <v>104.9109</v>
      </c>
      <c r="G83" s="74">
        <v>104.9109</v>
      </c>
      <c r="H83" s="338">
        <v>2.8693E-2</v>
      </c>
      <c r="I83" s="338">
        <v>1.1235E-2</v>
      </c>
      <c r="J83" s="330">
        <v>57549172.159999996</v>
      </c>
      <c r="K83" s="337">
        <f t="shared" si="24"/>
        <v>1.7634515790800986E-4</v>
      </c>
      <c r="L83" s="74">
        <v>105.04559999999999</v>
      </c>
      <c r="M83" s="74">
        <v>105.04559999999999</v>
      </c>
      <c r="N83" s="338">
        <v>3.0383E-2</v>
      </c>
      <c r="O83" s="338">
        <v>1.3235E-2</v>
      </c>
      <c r="P83" s="333">
        <f t="shared" si="22"/>
        <v>4.0795536531085036E-3</v>
      </c>
      <c r="Q83" s="333">
        <f t="shared" si="23"/>
        <v>1.2839466633113924E-3</v>
      </c>
      <c r="R83" s="333">
        <f t="shared" si="18"/>
        <v>1.6900000000000005E-3</v>
      </c>
      <c r="S83" s="370">
        <f t="shared" si="19"/>
        <v>2E-3</v>
      </c>
      <c r="T83" s="146"/>
      <c r="U83" s="175"/>
      <c r="V83" s="443"/>
    </row>
    <row r="84" spans="1:22" s="334" customFormat="1" ht="12.95" customHeight="1">
      <c r="A84" s="398">
        <v>73</v>
      </c>
      <c r="B84" s="374" t="s">
        <v>161</v>
      </c>
      <c r="C84" s="375" t="s">
        <v>41</v>
      </c>
      <c r="D84" s="330">
        <v>101405197593.45</v>
      </c>
      <c r="E84" s="337">
        <f t="shared" si="21"/>
        <v>0.31204817962932985</v>
      </c>
      <c r="F84" s="330">
        <v>1.9974000000000001</v>
      </c>
      <c r="G84" s="330">
        <v>1.9974000000000001</v>
      </c>
      <c r="H84" s="338">
        <v>8.3299999999999999E-2</v>
      </c>
      <c r="I84" s="338">
        <v>7.3599999999999999E-2</v>
      </c>
      <c r="J84" s="330">
        <v>102523698297.03999</v>
      </c>
      <c r="K84" s="337">
        <f t="shared" si="24"/>
        <v>0.31415843333487631</v>
      </c>
      <c r="L84" s="330">
        <v>2</v>
      </c>
      <c r="M84" s="330">
        <v>2</v>
      </c>
      <c r="N84" s="338">
        <v>7.0199999999999999E-2</v>
      </c>
      <c r="O84" s="338">
        <v>7.3400000000000007E-2</v>
      </c>
      <c r="P84" s="111">
        <f t="shared" si="22"/>
        <v>1.1030013550925154E-2</v>
      </c>
      <c r="Q84" s="111">
        <f t="shared" si="23"/>
        <v>1.3016921998597855E-3</v>
      </c>
      <c r="R84" s="333">
        <f t="shared" si="18"/>
        <v>-1.3100000000000001E-2</v>
      </c>
      <c r="S84" s="370">
        <f t="shared" si="19"/>
        <v>-1.9999999999999185E-4</v>
      </c>
      <c r="T84" s="146"/>
      <c r="U84" s="175"/>
      <c r="V84" s="342"/>
    </row>
    <row r="85" spans="1:22" s="334" customFormat="1" ht="12.95" customHeight="1">
      <c r="A85" s="403">
        <v>74</v>
      </c>
      <c r="B85" s="374" t="s">
        <v>49</v>
      </c>
      <c r="C85" s="375" t="s">
        <v>251</v>
      </c>
      <c r="D85" s="330">
        <v>9688548268.0100002</v>
      </c>
      <c r="E85" s="337">
        <f t="shared" si="21"/>
        <v>2.9813992990815875E-2</v>
      </c>
      <c r="F85" s="331">
        <v>1</v>
      </c>
      <c r="G85" s="331">
        <v>1</v>
      </c>
      <c r="H85" s="338">
        <v>0.06</v>
      </c>
      <c r="I85" s="338">
        <v>0.06</v>
      </c>
      <c r="J85" s="330">
        <v>9688464346.5499992</v>
      </c>
      <c r="K85" s="337">
        <f t="shared" si="24"/>
        <v>2.9687894907131245E-2</v>
      </c>
      <c r="L85" s="331">
        <v>1</v>
      </c>
      <c r="M85" s="331">
        <v>1</v>
      </c>
      <c r="N85" s="338">
        <v>0.06</v>
      </c>
      <c r="O85" s="338">
        <v>0.06</v>
      </c>
      <c r="P85" s="333">
        <f t="shared" si="22"/>
        <v>-8.6619230951335335E-6</v>
      </c>
      <c r="Q85" s="333">
        <f t="shared" si="23"/>
        <v>0</v>
      </c>
      <c r="R85" s="333">
        <f t="shared" si="18"/>
        <v>0</v>
      </c>
      <c r="S85" s="370">
        <f t="shared" si="19"/>
        <v>0</v>
      </c>
      <c r="T85" s="146"/>
      <c r="U85" s="175"/>
      <c r="V85" s="343"/>
    </row>
    <row r="86" spans="1:22" s="114" customFormat="1" ht="12.95" customHeight="1">
      <c r="A86" s="404">
        <v>75</v>
      </c>
      <c r="B86" s="374" t="s">
        <v>19</v>
      </c>
      <c r="C86" s="375" t="s">
        <v>12</v>
      </c>
      <c r="D86" s="330">
        <v>2615876692.9899998</v>
      </c>
      <c r="E86" s="337">
        <f t="shared" si="21"/>
        <v>8.0496816687337745E-3</v>
      </c>
      <c r="F86" s="331">
        <v>24.063400000000001</v>
      </c>
      <c r="G86" s="331">
        <v>24.063400000000001</v>
      </c>
      <c r="H86" s="338">
        <v>1.43E-2</v>
      </c>
      <c r="I86" s="338">
        <v>2.1499999999999998E-2</v>
      </c>
      <c r="J86" s="330">
        <v>2619514763.6799998</v>
      </c>
      <c r="K86" s="337">
        <f t="shared" si="24"/>
        <v>8.0268529903300117E-3</v>
      </c>
      <c r="L86" s="331">
        <v>24.122399999999999</v>
      </c>
      <c r="M86" s="331">
        <v>24.122399999999999</v>
      </c>
      <c r="N86" s="338">
        <v>1E-3</v>
      </c>
      <c r="O86" s="338">
        <v>2.4E-2</v>
      </c>
      <c r="P86" s="333">
        <f t="shared" si="22"/>
        <v>1.3907653597546562E-3</v>
      </c>
      <c r="Q86" s="333">
        <f t="shared" si="23"/>
        <v>2.4518563461521439E-3</v>
      </c>
      <c r="R86" s="333">
        <f t="shared" si="18"/>
        <v>-1.3299999999999999E-2</v>
      </c>
      <c r="S86" s="370">
        <f t="shared" si="19"/>
        <v>2.5000000000000022E-3</v>
      </c>
      <c r="T86" s="146"/>
      <c r="U86" s="175"/>
      <c r="V86" s="295"/>
    </row>
    <row r="87" spans="1:22" s="114" customFormat="1" ht="12.95" customHeight="1">
      <c r="A87" s="218"/>
      <c r="C87" s="248" t="s">
        <v>42</v>
      </c>
      <c r="D87" s="76">
        <f>SUM(D57:D86)</f>
        <v>324966477016.1626</v>
      </c>
      <c r="E87" s="266">
        <f>(D87/$D$168)</f>
        <v>0.20650895801167529</v>
      </c>
      <c r="F87" s="331"/>
      <c r="G87" s="331"/>
      <c r="H87" s="338"/>
      <c r="I87" s="338"/>
      <c r="J87" s="76">
        <f>SUM(J57:J86)</f>
        <v>326343931654.87665</v>
      </c>
      <c r="K87" s="266">
        <f>(J87/$J$168)</f>
        <v>0.19921990442423224</v>
      </c>
      <c r="L87" s="268"/>
      <c r="M87" s="73"/>
      <c r="N87" s="283"/>
      <c r="O87" s="283"/>
      <c r="P87" s="270">
        <f t="shared" ref="P87" si="25">((J87-D87)/D87)</f>
        <v>4.2387591832912077E-3</v>
      </c>
      <c r="Q87" s="270"/>
      <c r="R87" s="270">
        <f t="shared" ref="R87:S87" si="26">N87-H87</f>
        <v>0</v>
      </c>
      <c r="S87" s="370">
        <f t="shared" si="26"/>
        <v>0</v>
      </c>
      <c r="T87" s="90"/>
      <c r="U87" s="176"/>
      <c r="V87" s="188"/>
    </row>
    <row r="88" spans="1:22" s="114" customFormat="1" ht="5.25" customHeight="1">
      <c r="A88" s="412"/>
      <c r="B88" s="413"/>
      <c r="C88" s="414"/>
      <c r="D88" s="414"/>
      <c r="E88" s="414"/>
      <c r="F88" s="414"/>
      <c r="G88" s="414"/>
      <c r="H88" s="414"/>
      <c r="I88" s="414"/>
      <c r="J88" s="414"/>
      <c r="K88" s="414"/>
      <c r="L88" s="414"/>
      <c r="M88" s="414"/>
      <c r="N88" s="414"/>
      <c r="O88" s="414"/>
      <c r="P88" s="414"/>
      <c r="Q88" s="414"/>
      <c r="R88" s="414"/>
      <c r="S88" s="415"/>
      <c r="T88" s="90"/>
      <c r="U88" s="176"/>
      <c r="V88" s="188"/>
    </row>
    <row r="89" spans="1:22" s="114" customFormat="1" ht="12" customHeight="1">
      <c r="A89" s="408" t="s">
        <v>201</v>
      </c>
      <c r="B89" s="409"/>
      <c r="C89" s="410"/>
      <c r="D89" s="410"/>
      <c r="E89" s="410"/>
      <c r="F89" s="410"/>
      <c r="G89" s="410"/>
      <c r="H89" s="410"/>
      <c r="I89" s="410"/>
      <c r="J89" s="410"/>
      <c r="K89" s="410"/>
      <c r="L89" s="410"/>
      <c r="M89" s="410"/>
      <c r="N89" s="410"/>
      <c r="O89" s="410"/>
      <c r="P89" s="410"/>
      <c r="Q89" s="410"/>
      <c r="R89" s="410"/>
      <c r="S89" s="411"/>
      <c r="T89" s="90"/>
      <c r="U89" s="176"/>
      <c r="V89" s="188"/>
    </row>
    <row r="90" spans="1:22" s="114" customFormat="1" ht="12.95" customHeight="1">
      <c r="A90" s="416" t="s">
        <v>202</v>
      </c>
      <c r="B90" s="417"/>
      <c r="C90" s="418"/>
      <c r="D90" s="418"/>
      <c r="E90" s="418"/>
      <c r="F90" s="418"/>
      <c r="G90" s="418"/>
      <c r="H90" s="418"/>
      <c r="I90" s="418"/>
      <c r="J90" s="418"/>
      <c r="K90" s="418"/>
      <c r="L90" s="418"/>
      <c r="M90" s="418"/>
      <c r="N90" s="418"/>
      <c r="O90" s="418"/>
      <c r="P90" s="418"/>
      <c r="Q90" s="418"/>
      <c r="R90" s="418"/>
      <c r="S90" s="419"/>
      <c r="T90" s="90"/>
      <c r="U90" s="176"/>
      <c r="V90" s="188"/>
    </row>
    <row r="91" spans="1:22" s="114" customFormat="1" ht="12.95" customHeight="1">
      <c r="A91" s="396">
        <v>76</v>
      </c>
      <c r="B91" s="374" t="s">
        <v>149</v>
      </c>
      <c r="C91" s="375" t="s">
        <v>58</v>
      </c>
      <c r="D91" s="330">
        <v>795930564.35000002</v>
      </c>
      <c r="E91" s="337">
        <f t="shared" ref="E91:E100" si="27">(D91/$D$112)</f>
        <v>2.3924685391068807E-3</v>
      </c>
      <c r="F91" s="330">
        <f>107.5721*460.31</f>
        <v>49516.513351000001</v>
      </c>
      <c r="G91" s="330">
        <f>107.5721*460.31</f>
        <v>49516.513351000001</v>
      </c>
      <c r="H91" s="338">
        <v>-8.9999999999999998E-4</v>
      </c>
      <c r="I91" s="338">
        <v>8.48E-2</v>
      </c>
      <c r="J91" s="330">
        <v>795010939.25999999</v>
      </c>
      <c r="K91" s="337">
        <f t="shared" ref="K91:K100" si="28">(J91/$J$112)</f>
        <v>2.3764368736865485E-3</v>
      </c>
      <c r="L91" s="330">
        <f>108.026*460.5</f>
        <v>49745.972999999998</v>
      </c>
      <c r="M91" s="330">
        <f>108.026*460.5</f>
        <v>49745.972999999998</v>
      </c>
      <c r="N91" s="338">
        <v>-8.9999999999999998E-4</v>
      </c>
      <c r="O91" s="338">
        <v>8.48E-2</v>
      </c>
      <c r="P91" s="333">
        <f t="shared" ref="P91:P100" si="29">((J91-D91)/D91)</f>
        <v>-1.1554086891374111E-3</v>
      </c>
      <c r="Q91" s="333">
        <f t="shared" ref="Q91:Q100" si="30">((M91-G91)/G91)</f>
        <v>4.634002547260584E-3</v>
      </c>
      <c r="R91" s="333">
        <f t="shared" ref="R91:R100" si="31">N91-H91</f>
        <v>0</v>
      </c>
      <c r="S91" s="370">
        <f t="shared" ref="S91:S100" si="32">O91-I91</f>
        <v>0</v>
      </c>
      <c r="T91" s="90"/>
      <c r="U91" s="176"/>
      <c r="V91" s="188"/>
    </row>
    <row r="92" spans="1:22" s="114" customFormat="1" ht="12.95" customHeight="1">
      <c r="A92" s="402">
        <v>77</v>
      </c>
      <c r="B92" s="374" t="s">
        <v>150</v>
      </c>
      <c r="C92" s="375" t="s">
        <v>6</v>
      </c>
      <c r="D92" s="330">
        <f>11798899.38*460.31</f>
        <v>5431151373.6078005</v>
      </c>
      <c r="E92" s="337">
        <f t="shared" si="27"/>
        <v>1.6325367280116038E-2</v>
      </c>
      <c r="F92" s="330">
        <f>1.1446*460.31</f>
        <v>526.87082600000008</v>
      </c>
      <c r="G92" s="330">
        <f>1.1446*460.31</f>
        <v>526.87082600000008</v>
      </c>
      <c r="H92" s="338">
        <v>4.5600000000000002E-2</v>
      </c>
      <c r="I92" s="338">
        <v>5.3100000000000001E-2</v>
      </c>
      <c r="J92" s="330">
        <f>11799004.44*461</f>
        <v>5439341046.8400002</v>
      </c>
      <c r="K92" s="337">
        <f t="shared" si="28"/>
        <v>1.6259211029598139E-2</v>
      </c>
      <c r="L92" s="330">
        <f>1.146*461</f>
        <v>528.30599999999993</v>
      </c>
      <c r="M92" s="330">
        <f>1.146*461</f>
        <v>528.30599999999993</v>
      </c>
      <c r="N92" s="338">
        <v>6.3799999999999996E-2</v>
      </c>
      <c r="O92" s="338">
        <v>5.3699999999999998E-2</v>
      </c>
      <c r="P92" s="333">
        <f t="shared" si="29"/>
        <v>1.5079073789025033E-3</v>
      </c>
      <c r="Q92" s="333">
        <f t="shared" si="30"/>
        <v>2.7239579972489253E-3</v>
      </c>
      <c r="R92" s="333">
        <f t="shared" si="31"/>
        <v>1.8199999999999994E-2</v>
      </c>
      <c r="S92" s="370">
        <f t="shared" si="32"/>
        <v>5.9999999999999637E-4</v>
      </c>
      <c r="U92" s="167"/>
      <c r="V92" s="166"/>
    </row>
    <row r="93" spans="1:22" s="114" customFormat="1" ht="12.95" customHeight="1">
      <c r="A93" s="398">
        <v>78</v>
      </c>
      <c r="B93" s="374" t="s">
        <v>177</v>
      </c>
      <c r="C93" s="375" t="s">
        <v>174</v>
      </c>
      <c r="D93" s="330">
        <v>1011302796.119</v>
      </c>
      <c r="E93" s="337">
        <f t="shared" si="27"/>
        <v>3.0398507502993437E-3</v>
      </c>
      <c r="F93" s="330">
        <v>49122.345999999998</v>
      </c>
      <c r="G93" s="330">
        <v>49122.345999999998</v>
      </c>
      <c r="H93" s="338">
        <v>5.0946247737864853E-2</v>
      </c>
      <c r="I93" s="338">
        <v>4.7691176157661753E-2</v>
      </c>
      <c r="J93" s="330">
        <v>1013070328.72</v>
      </c>
      <c r="K93" s="337">
        <f t="shared" si="28"/>
        <v>3.0282573055521365E-3</v>
      </c>
      <c r="L93" s="330">
        <v>49193.263900000005</v>
      </c>
      <c r="M93" s="330">
        <v>49193.263900000005</v>
      </c>
      <c r="N93" s="338">
        <v>5.3757035647278933E-2</v>
      </c>
      <c r="O93" s="338">
        <v>4.8077278451230422E-2</v>
      </c>
      <c r="P93" s="333">
        <f t="shared" si="29"/>
        <v>1.7477778245874494E-3</v>
      </c>
      <c r="Q93" s="333">
        <f t="shared" si="30"/>
        <v>1.4436993705473197E-3</v>
      </c>
      <c r="R93" s="333">
        <f t="shared" si="31"/>
        <v>2.8107879094140809E-3</v>
      </c>
      <c r="S93" s="370">
        <f t="shared" si="32"/>
        <v>3.8610229356866865E-4</v>
      </c>
      <c r="T93" s="378">
        <v>461</v>
      </c>
      <c r="U93" s="177"/>
      <c r="V93" s="166"/>
    </row>
    <row r="94" spans="1:22" s="114" customFormat="1" ht="12.95" customHeight="1">
      <c r="A94" s="398">
        <v>79</v>
      </c>
      <c r="B94" s="374" t="s">
        <v>247</v>
      </c>
      <c r="C94" s="375" t="s">
        <v>191</v>
      </c>
      <c r="D94" s="330">
        <v>13206440467.370001</v>
      </c>
      <c r="E94" s="337">
        <f t="shared" si="27"/>
        <v>3.9696921750421402E-2</v>
      </c>
      <c r="F94" s="330">
        <v>56935.11</v>
      </c>
      <c r="G94" s="330">
        <v>56935.11</v>
      </c>
      <c r="H94" s="338">
        <v>1.6000000000000001E-3</v>
      </c>
      <c r="I94" s="338">
        <v>6.9900000000000004E-2</v>
      </c>
      <c r="J94" s="330">
        <v>13184477272.639999</v>
      </c>
      <c r="K94" s="337">
        <f t="shared" si="28"/>
        <v>3.9410876509633944E-2</v>
      </c>
      <c r="L94" s="330">
        <v>56919</v>
      </c>
      <c r="M94" s="330">
        <v>56919</v>
      </c>
      <c r="N94" s="338">
        <v>1.4E-3</v>
      </c>
      <c r="O94" s="338">
        <v>7.0000000000000007E-2</v>
      </c>
      <c r="P94" s="333">
        <f t="shared" si="29"/>
        <v>-1.663066954662562E-3</v>
      </c>
      <c r="Q94" s="333">
        <f t="shared" si="30"/>
        <v>-2.8295369939569068E-4</v>
      </c>
      <c r="R94" s="333">
        <f t="shared" si="31"/>
        <v>-2.0000000000000009E-4</v>
      </c>
      <c r="S94" s="370">
        <f t="shared" si="32"/>
        <v>1.0000000000000286E-4</v>
      </c>
      <c r="U94" s="177"/>
      <c r="V94" s="166"/>
    </row>
    <row r="95" spans="1:22" s="334" customFormat="1" ht="12.95" customHeight="1">
      <c r="A95" s="398">
        <v>80</v>
      </c>
      <c r="B95" s="401" t="s">
        <v>281</v>
      </c>
      <c r="C95" s="401" t="s">
        <v>191</v>
      </c>
      <c r="D95" s="330">
        <v>7182895927.8599997</v>
      </c>
      <c r="E95" s="337">
        <f t="shared" si="27"/>
        <v>2.1590894101570352E-2</v>
      </c>
      <c r="F95" s="330">
        <v>49730.83</v>
      </c>
      <c r="G95" s="330">
        <v>49730.83</v>
      </c>
      <c r="H95" s="338">
        <v>2.3E-3</v>
      </c>
      <c r="I95" s="338">
        <v>9.6699999999999994E-2</v>
      </c>
      <c r="J95" s="330">
        <v>7470822431.4300003</v>
      </c>
      <c r="K95" s="337">
        <f t="shared" si="28"/>
        <v>2.2331690076290395E-2</v>
      </c>
      <c r="L95" s="330">
        <v>49740.57</v>
      </c>
      <c r="M95" s="330">
        <v>49740.57</v>
      </c>
      <c r="N95" s="338">
        <v>1.9E-3</v>
      </c>
      <c r="O95" s="338">
        <v>9.4100000000000003E-2</v>
      </c>
      <c r="P95" s="333">
        <f t="shared" si="29"/>
        <v>4.0085016748360798E-2</v>
      </c>
      <c r="Q95" s="333">
        <f t="shared" si="30"/>
        <v>1.958543623743654E-4</v>
      </c>
      <c r="R95" s="333">
        <f t="shared" si="31"/>
        <v>-3.9999999999999996E-4</v>
      </c>
      <c r="S95" s="370">
        <f t="shared" si="32"/>
        <v>-2.5999999999999912E-3</v>
      </c>
      <c r="U95" s="336"/>
      <c r="V95" s="166"/>
    </row>
    <row r="96" spans="1:22" s="114" customFormat="1" ht="12.95" customHeight="1">
      <c r="A96" s="405">
        <v>81</v>
      </c>
      <c r="B96" s="374" t="s">
        <v>244</v>
      </c>
      <c r="C96" s="375" t="s">
        <v>226</v>
      </c>
      <c r="D96" s="330">
        <f>84323.95*460.81</f>
        <v>38857319.399499997</v>
      </c>
      <c r="E96" s="337">
        <f t="shared" si="27"/>
        <v>1.1680028175981834E-4</v>
      </c>
      <c r="F96" s="330">
        <f>101.88*460.81</f>
        <v>46947.322800000002</v>
      </c>
      <c r="G96" s="330">
        <f>101.88*460.81</f>
        <v>46947.322800000002</v>
      </c>
      <c r="H96" s="338">
        <v>3.0000000000000001E-3</v>
      </c>
      <c r="I96" s="338">
        <v>3.5000000000000003E-2</v>
      </c>
      <c r="J96" s="330">
        <f>84375.74*461</f>
        <v>38897216.140000001</v>
      </c>
      <c r="K96" s="337">
        <f t="shared" si="28"/>
        <v>1.1627107773497073E-4</v>
      </c>
      <c r="L96" s="330">
        <f>101.72*461</f>
        <v>46892.92</v>
      </c>
      <c r="M96" s="330">
        <f>101.72*461</f>
        <v>46892.92</v>
      </c>
      <c r="N96" s="338">
        <v>1E-3</v>
      </c>
      <c r="O96" s="338">
        <v>3.5999999999999997E-2</v>
      </c>
      <c r="P96" s="333">
        <f t="shared" si="29"/>
        <v>1.0267496861998276E-3</v>
      </c>
      <c r="Q96" s="333">
        <f t="shared" si="30"/>
        <v>-1.1588051619421307E-3</v>
      </c>
      <c r="R96" s="333">
        <f t="shared" si="31"/>
        <v>-2E-3</v>
      </c>
      <c r="S96" s="370">
        <f t="shared" si="32"/>
        <v>9.9999999999999395E-4</v>
      </c>
      <c r="T96" s="126"/>
      <c r="U96" s="177"/>
      <c r="V96" s="133"/>
    </row>
    <row r="97" spans="1:43" s="114" customFormat="1" ht="12.95" customHeight="1">
      <c r="A97" s="396">
        <v>82</v>
      </c>
      <c r="B97" s="374" t="s">
        <v>123</v>
      </c>
      <c r="C97" s="375" t="s">
        <v>136</v>
      </c>
      <c r="D97" s="330">
        <v>5839257050.3199997</v>
      </c>
      <c r="E97" s="337">
        <f t="shared" si="27"/>
        <v>1.755208231770506E-2</v>
      </c>
      <c r="F97" s="330">
        <v>460.31</v>
      </c>
      <c r="G97" s="330">
        <v>460.31</v>
      </c>
      <c r="H97" s="324">
        <v>2.8E-3</v>
      </c>
      <c r="I97" s="324">
        <v>5.96E-2</v>
      </c>
      <c r="J97" s="330">
        <v>5848133666.3100004</v>
      </c>
      <c r="K97" s="337">
        <f t="shared" si="28"/>
        <v>1.7481168875239445E-2</v>
      </c>
      <c r="L97" s="330">
        <v>460.5</v>
      </c>
      <c r="M97" s="330">
        <v>460.5</v>
      </c>
      <c r="N97" s="324">
        <v>3.7000000000000002E-3</v>
      </c>
      <c r="O97" s="324">
        <v>5.9200000000000003E-2</v>
      </c>
      <c r="P97" s="333">
        <f t="shared" si="29"/>
        <v>1.5201618824974101E-3</v>
      </c>
      <c r="Q97" s="333">
        <f t="shared" si="30"/>
        <v>4.1276531033433494E-4</v>
      </c>
      <c r="R97" s="333">
        <f t="shared" si="31"/>
        <v>9.0000000000000019E-4</v>
      </c>
      <c r="S97" s="370">
        <f t="shared" si="32"/>
        <v>-3.9999999999999758E-4</v>
      </c>
      <c r="U97" s="177"/>
      <c r="V97" s="133"/>
    </row>
    <row r="98" spans="1:43" s="334" customFormat="1" ht="12.95" customHeight="1">
      <c r="A98" s="396">
        <v>83</v>
      </c>
      <c r="B98" s="374" t="s">
        <v>258</v>
      </c>
      <c r="C98" s="375" t="s">
        <v>178</v>
      </c>
      <c r="D98" s="330">
        <f>1569661.91*460.81</f>
        <v>723315904.7471</v>
      </c>
      <c r="E98" s="337">
        <f t="shared" si="27"/>
        <v>2.1741978803845718E-3</v>
      </c>
      <c r="F98" s="330">
        <f>101.05*460.81</f>
        <v>46564.8505</v>
      </c>
      <c r="G98" s="330">
        <f>101.05*460.81</f>
        <v>46564.8505</v>
      </c>
      <c r="H98" s="338">
        <v>2.0999999999999999E-3</v>
      </c>
      <c r="I98" s="338">
        <v>3.44E-2</v>
      </c>
      <c r="J98" s="330">
        <f>1573650.61*461</f>
        <v>725452931.21000004</v>
      </c>
      <c r="K98" s="337">
        <f t="shared" si="28"/>
        <v>2.168514935726716E-3</v>
      </c>
      <c r="L98" s="330">
        <f>101.24*461</f>
        <v>46671.64</v>
      </c>
      <c r="M98" s="330">
        <f>101.24*461</f>
        <v>46671.64</v>
      </c>
      <c r="N98" s="338">
        <v>1.9E-3</v>
      </c>
      <c r="O98" s="338">
        <v>3.6299999999999999E-2</v>
      </c>
      <c r="P98" s="333">
        <f t="shared" si="29"/>
        <v>2.9544856526378081E-3</v>
      </c>
      <c r="Q98" s="333">
        <f t="shared" si="30"/>
        <v>2.2933500022726144E-3</v>
      </c>
      <c r="R98" s="333">
        <f t="shared" si="31"/>
        <v>-1.9999999999999987E-4</v>
      </c>
      <c r="S98" s="370">
        <f t="shared" si="32"/>
        <v>1.8999999999999989E-3</v>
      </c>
      <c r="U98" s="336"/>
      <c r="V98" s="335"/>
    </row>
    <row r="99" spans="1:43" s="334" customFormat="1" ht="12.95" customHeight="1">
      <c r="A99" s="396">
        <v>84</v>
      </c>
      <c r="B99" s="374" t="s">
        <v>131</v>
      </c>
      <c r="C99" s="375" t="s">
        <v>92</v>
      </c>
      <c r="D99" s="330">
        <f>1719589.23*460.81</f>
        <v>792403913.07630002</v>
      </c>
      <c r="E99" s="337">
        <f t="shared" si="27"/>
        <v>2.3818678628687233E-3</v>
      </c>
      <c r="F99" s="330">
        <f>124.89*460.81</f>
        <v>57550.560900000004</v>
      </c>
      <c r="G99" s="330">
        <f>128.23*460.81</f>
        <v>59089.666299999997</v>
      </c>
      <c r="H99" s="338">
        <v>-1.1999999999999999E-3</v>
      </c>
      <c r="I99" s="338">
        <v>-0.4219</v>
      </c>
      <c r="J99" s="330">
        <f>1720954.35*461</f>
        <v>793359955.35000002</v>
      </c>
      <c r="K99" s="337">
        <f t="shared" si="28"/>
        <v>2.3715017729881364E-3</v>
      </c>
      <c r="L99" s="330">
        <f>125.07*461</f>
        <v>57657.27</v>
      </c>
      <c r="M99" s="330">
        <f>128.42*461</f>
        <v>59201.619999999995</v>
      </c>
      <c r="N99" s="338">
        <v>1.6799999999999999E-2</v>
      </c>
      <c r="O99" s="338">
        <v>6.0499999999999998E-2</v>
      </c>
      <c r="P99" s="333">
        <f t="shared" si="29"/>
        <v>1.2065087740271447E-3</v>
      </c>
      <c r="Q99" s="333">
        <f t="shared" si="30"/>
        <v>1.8946409247194921E-3</v>
      </c>
      <c r="R99" s="333">
        <f t="shared" si="31"/>
        <v>1.7999999999999999E-2</v>
      </c>
      <c r="S99" s="370">
        <f t="shared" si="32"/>
        <v>0.4824</v>
      </c>
      <c r="U99" s="336"/>
      <c r="V99" s="335"/>
    </row>
    <row r="100" spans="1:43" s="334" customFormat="1" ht="12.95" customHeight="1">
      <c r="A100" s="398">
        <v>85</v>
      </c>
      <c r="B100" s="374" t="s">
        <v>260</v>
      </c>
      <c r="C100" s="375" t="s">
        <v>41</v>
      </c>
      <c r="D100" s="330">
        <v>69076569590.919998</v>
      </c>
      <c r="E100" s="337">
        <f t="shared" si="27"/>
        <v>0.20763559905588785</v>
      </c>
      <c r="F100" s="330">
        <v>59180.85</v>
      </c>
      <c r="G100" s="330">
        <v>59180.85</v>
      </c>
      <c r="H100" s="338">
        <v>7.5899999999999995E-2</v>
      </c>
      <c r="I100" s="338">
        <v>6.1800000000000001E-2</v>
      </c>
      <c r="J100" s="330">
        <v>68829528747.479996</v>
      </c>
      <c r="K100" s="337">
        <f t="shared" si="28"/>
        <v>0.20574437663239026</v>
      </c>
      <c r="L100" s="330">
        <v>59163.86</v>
      </c>
      <c r="M100" s="330">
        <v>59163.86</v>
      </c>
      <c r="N100" s="338">
        <v>6.2399999999999997E-2</v>
      </c>
      <c r="O100" s="338">
        <v>6.1800000000000001E-2</v>
      </c>
      <c r="P100" s="333">
        <f t="shared" si="29"/>
        <v>-3.5763334065806816E-3</v>
      </c>
      <c r="Q100" s="333">
        <f t="shared" si="30"/>
        <v>-2.8708610978040979E-4</v>
      </c>
      <c r="R100" s="333">
        <f t="shared" si="31"/>
        <v>-1.3499999999999998E-2</v>
      </c>
      <c r="S100" s="370">
        <f t="shared" si="32"/>
        <v>0</v>
      </c>
      <c r="U100" s="336"/>
      <c r="V100" s="335"/>
    </row>
    <row r="101" spans="1:43" s="114" customFormat="1" ht="4.5" customHeight="1">
      <c r="A101" s="412"/>
      <c r="B101" s="413"/>
      <c r="C101" s="414"/>
      <c r="D101" s="414"/>
      <c r="E101" s="414"/>
      <c r="F101" s="414"/>
      <c r="G101" s="414"/>
      <c r="H101" s="414"/>
      <c r="I101" s="414"/>
      <c r="J101" s="414"/>
      <c r="K101" s="414"/>
      <c r="L101" s="414"/>
      <c r="M101" s="414"/>
      <c r="N101" s="414"/>
      <c r="O101" s="414"/>
      <c r="P101" s="414"/>
      <c r="Q101" s="414"/>
      <c r="R101" s="414"/>
      <c r="S101" s="415"/>
      <c r="U101" s="178"/>
      <c r="V101" s="133"/>
    </row>
    <row r="102" spans="1:43" s="114" customFormat="1" ht="12.95" customHeight="1">
      <c r="A102" s="416" t="s">
        <v>203</v>
      </c>
      <c r="B102" s="417"/>
      <c r="C102" s="418"/>
      <c r="D102" s="418"/>
      <c r="E102" s="418"/>
      <c r="F102" s="418"/>
      <c r="G102" s="418"/>
      <c r="H102" s="418"/>
      <c r="I102" s="418"/>
      <c r="J102" s="418"/>
      <c r="K102" s="418"/>
      <c r="L102" s="418"/>
      <c r="M102" s="418"/>
      <c r="N102" s="418"/>
      <c r="O102" s="418"/>
      <c r="P102" s="418"/>
      <c r="Q102" s="418"/>
      <c r="R102" s="418"/>
      <c r="S102" s="419"/>
      <c r="T102" s="179"/>
      <c r="U102" s="178"/>
      <c r="V102" s="133"/>
      <c r="AG102" s="114">
        <v>136.96</v>
      </c>
      <c r="AQ102" s="123">
        <v>185280902</v>
      </c>
    </row>
    <row r="103" spans="1:43" s="114" customFormat="1" ht="12.95" customHeight="1">
      <c r="A103" s="404">
        <v>86</v>
      </c>
      <c r="B103" s="374" t="s">
        <v>152</v>
      </c>
      <c r="C103" s="375" t="s">
        <v>151</v>
      </c>
      <c r="D103" s="329">
        <v>390563596.22000003</v>
      </c>
      <c r="E103" s="337">
        <f>(D103/$D$112)</f>
        <v>1.1739857197717791E-3</v>
      </c>
      <c r="F103" s="330">
        <v>42122.03</v>
      </c>
      <c r="G103" s="330">
        <v>42122.03</v>
      </c>
      <c r="H103" s="338">
        <v>-1.6000000000000001E-3</v>
      </c>
      <c r="I103" s="338">
        <v>5.1999999999999998E-2</v>
      </c>
      <c r="J103" s="329">
        <v>390563596.22000003</v>
      </c>
      <c r="K103" s="337">
        <f t="shared" ref="K103:K111" si="33">(J103/$J$112)</f>
        <v>1.1674678746442892E-3</v>
      </c>
      <c r="L103" s="330">
        <v>42122.03</v>
      </c>
      <c r="M103" s="330">
        <v>42122.03</v>
      </c>
      <c r="N103" s="338">
        <v>-1.6000000000000001E-3</v>
      </c>
      <c r="O103" s="338">
        <v>5.1999999999999998E-2</v>
      </c>
      <c r="P103" s="333">
        <f t="shared" ref="P103:P111" si="34">((J103-D103)/D103)</f>
        <v>0</v>
      </c>
      <c r="Q103" s="333">
        <f t="shared" ref="Q103:Q111" si="35">((M103-G103)/G103)</f>
        <v>0</v>
      </c>
      <c r="R103" s="333">
        <f t="shared" ref="R103:R111" si="36">N103-H103</f>
        <v>0</v>
      </c>
      <c r="S103" s="370">
        <f t="shared" ref="S103:S111" si="37">O103-I103</f>
        <v>0</v>
      </c>
      <c r="T103"/>
      <c r="U103" s="449"/>
      <c r="V103" s="133"/>
    </row>
    <row r="104" spans="1:43" s="114" customFormat="1" ht="12.95" customHeight="1">
      <c r="A104" s="398">
        <v>87</v>
      </c>
      <c r="B104" s="375" t="s">
        <v>235</v>
      </c>
      <c r="C104" s="375" t="s">
        <v>82</v>
      </c>
      <c r="D104" s="330">
        <f>6373878.32*460.81</f>
        <v>2937146868.6392002</v>
      </c>
      <c r="E104" s="337">
        <f>(D104/$J$112)</f>
        <v>8.7796831180262016E-3</v>
      </c>
      <c r="F104" s="329">
        <f>125.77*460.81</f>
        <v>57956.073700000001</v>
      </c>
      <c r="G104" s="329">
        <f>126.65*460.81</f>
        <v>58361.586500000005</v>
      </c>
      <c r="H104" s="338">
        <v>8.0000000000000004E-4</v>
      </c>
      <c r="I104" s="338">
        <v>1.5100000000000001E-2</v>
      </c>
      <c r="J104" s="330">
        <f>6373878.32  *461</f>
        <v>2938357905.52</v>
      </c>
      <c r="K104" s="337">
        <f t="shared" si="33"/>
        <v>8.7833031345024605E-3</v>
      </c>
      <c r="L104" s="329">
        <f>125.77*461</f>
        <v>57979.97</v>
      </c>
      <c r="M104" s="329">
        <f>126.65*461</f>
        <v>58385.65</v>
      </c>
      <c r="N104" s="338">
        <v>8.0000000000000004E-4</v>
      </c>
      <c r="O104" s="338">
        <v>1.5100000000000001E-2</v>
      </c>
      <c r="P104" s="333">
        <f t="shared" si="34"/>
        <v>4.1231744102767726E-4</v>
      </c>
      <c r="Q104" s="333">
        <f t="shared" si="35"/>
        <v>4.1231744102769661E-4</v>
      </c>
      <c r="R104" s="333">
        <f t="shared" si="36"/>
        <v>0</v>
      </c>
      <c r="S104" s="370">
        <f t="shared" si="37"/>
        <v>0</v>
      </c>
      <c r="U104" s="449"/>
      <c r="V104" s="134"/>
    </row>
    <row r="105" spans="1:43" s="114" customFormat="1" ht="12.75" customHeight="1">
      <c r="A105" s="396">
        <v>88</v>
      </c>
      <c r="B105" s="374" t="s">
        <v>146</v>
      </c>
      <c r="C105" s="375" t="s">
        <v>90</v>
      </c>
      <c r="D105" s="329">
        <v>5687033592.8299999</v>
      </c>
      <c r="E105" s="337">
        <f t="shared" ref="E105:E111" si="38">(D105/$D$112)</f>
        <v>1.7094517488219819E-2</v>
      </c>
      <c r="F105" s="329">
        <v>53038.09</v>
      </c>
      <c r="G105" s="329">
        <v>53038.09</v>
      </c>
      <c r="H105" s="338">
        <v>1.5E-3</v>
      </c>
      <c r="I105" s="338">
        <v>6.0199999999999997E-2</v>
      </c>
      <c r="J105" s="329">
        <v>5714030357.4499998</v>
      </c>
      <c r="K105" s="337">
        <f t="shared" si="33"/>
        <v>1.7080308921846959E-2</v>
      </c>
      <c r="L105" s="329">
        <v>53162.43</v>
      </c>
      <c r="M105" s="329">
        <v>53162.43</v>
      </c>
      <c r="N105" s="338">
        <v>2.3E-3</v>
      </c>
      <c r="O105" s="338">
        <v>6.0199999999999997E-2</v>
      </c>
      <c r="P105" s="333">
        <f t="shared" si="34"/>
        <v>4.7470731760818861E-3</v>
      </c>
      <c r="Q105" s="333">
        <f t="shared" si="35"/>
        <v>2.3443528980776605E-3</v>
      </c>
      <c r="R105" s="333">
        <f t="shared" si="36"/>
        <v>7.9999999999999993E-4</v>
      </c>
      <c r="S105" s="370">
        <f t="shared" si="37"/>
        <v>0</v>
      </c>
      <c r="T105" s="180"/>
      <c r="U105" s="181"/>
      <c r="V105" s="182"/>
      <c r="W105" s="189"/>
      <c r="X105" s="187"/>
      <c r="Y105" s="144"/>
    </row>
    <row r="106" spans="1:43" s="114" customFormat="1" ht="12.95" customHeight="1" thickBot="1">
      <c r="A106" s="398">
        <v>89</v>
      </c>
      <c r="B106" s="374" t="s">
        <v>157</v>
      </c>
      <c r="C106" s="375" t="s">
        <v>7</v>
      </c>
      <c r="D106" s="329">
        <v>1684379579.7274783</v>
      </c>
      <c r="E106" s="337">
        <f t="shared" si="38"/>
        <v>5.0630360648394436E-3</v>
      </c>
      <c r="F106" s="329">
        <v>532.78415377063072</v>
      </c>
      <c r="G106" s="329">
        <v>532.78415377063072</v>
      </c>
      <c r="H106" s="338">
        <v>5.5200472598541737E-2</v>
      </c>
      <c r="I106" s="338">
        <v>5.5739385967174766E-2</v>
      </c>
      <c r="J106" s="329">
        <v>1685301911.6629212</v>
      </c>
      <c r="K106" s="337">
        <f t="shared" si="33"/>
        <v>5.0376836448289405E-3</v>
      </c>
      <c r="L106" s="329">
        <v>533.31672585611852</v>
      </c>
      <c r="M106" s="329">
        <v>533.31672585611852</v>
      </c>
      <c r="N106" s="338">
        <v>5.5506478598182474E-2</v>
      </c>
      <c r="O106" s="338">
        <v>5.5782355405476769E-2</v>
      </c>
      <c r="P106" s="333">
        <f t="shared" si="34"/>
        <v>5.4757962311093315E-4</v>
      </c>
      <c r="Q106" s="333">
        <f t="shared" si="35"/>
        <v>9.9960196210542324E-4</v>
      </c>
      <c r="R106" s="333">
        <f t="shared" si="36"/>
        <v>3.0600599964073633E-4</v>
      </c>
      <c r="S106" s="370">
        <f t="shared" si="37"/>
        <v>4.2969438302002672E-5</v>
      </c>
      <c r="T106" s="169"/>
      <c r="U106" s="163"/>
      <c r="V106" s="182"/>
      <c r="W106" s="189"/>
      <c r="X106" s="187"/>
      <c r="Y106" s="145"/>
    </row>
    <row r="107" spans="1:43" s="114" customFormat="1" ht="12.75" customHeight="1">
      <c r="A107" s="404">
        <v>90</v>
      </c>
      <c r="B107" s="375" t="s">
        <v>198</v>
      </c>
      <c r="C107" s="406" t="s">
        <v>9</v>
      </c>
      <c r="D107" s="330">
        <v>4871978121.9200001</v>
      </c>
      <c r="E107" s="337">
        <f t="shared" si="38"/>
        <v>1.4644561852489723E-2</v>
      </c>
      <c r="F107" s="329">
        <f>1.0068*460.81</f>
        <v>463.94350799999995</v>
      </c>
      <c r="G107" s="329">
        <f>1.0068*460.81</f>
        <v>463.94350799999995</v>
      </c>
      <c r="H107" s="338">
        <v>1.6000000000000001E-3</v>
      </c>
      <c r="I107" s="338">
        <v>9.0999999999999998E-2</v>
      </c>
      <c r="J107" s="330">
        <v>4815917235.7700005</v>
      </c>
      <c r="K107" s="337">
        <f t="shared" si="33"/>
        <v>1.4395680278763494E-2</v>
      </c>
      <c r="L107" s="329">
        <f>1.0088*461</f>
        <v>465.05679999999995</v>
      </c>
      <c r="M107" s="329">
        <f>1.0088*461</f>
        <v>465.05679999999995</v>
      </c>
      <c r="N107" s="338">
        <v>1.6000000000000001E-3</v>
      </c>
      <c r="O107" s="338">
        <v>9.1300000000000006E-2</v>
      </c>
      <c r="P107" s="333">
        <f t="shared" si="34"/>
        <v>-1.150680170294085E-2</v>
      </c>
      <c r="Q107" s="333">
        <f t="shared" si="35"/>
        <v>2.3996283616495857E-3</v>
      </c>
      <c r="R107" s="333">
        <f t="shared" si="36"/>
        <v>0</v>
      </c>
      <c r="S107" s="370">
        <f t="shared" si="37"/>
        <v>3.0000000000000859E-4</v>
      </c>
      <c r="U107" s="187"/>
      <c r="V107" s="187"/>
      <c r="W107" s="187"/>
      <c r="X107" s="189"/>
    </row>
    <row r="108" spans="1:43" s="114" customFormat="1" ht="12.75" customHeight="1">
      <c r="A108" s="404">
        <v>91</v>
      </c>
      <c r="B108" s="374" t="s">
        <v>165</v>
      </c>
      <c r="C108" s="375" t="s">
        <v>164</v>
      </c>
      <c r="D108" s="329">
        <v>100635852.45</v>
      </c>
      <c r="E108" s="337">
        <f t="shared" si="38"/>
        <v>3.0249888831628344E-4</v>
      </c>
      <c r="F108" s="329">
        <v>393.07</v>
      </c>
      <c r="G108" s="329">
        <v>393.07</v>
      </c>
      <c r="H108" s="338">
        <v>-2.97E-3</v>
      </c>
      <c r="I108" s="338">
        <v>-1.1723000000000001E-2</v>
      </c>
      <c r="J108" s="329">
        <v>101675429.23</v>
      </c>
      <c r="K108" s="337">
        <f t="shared" si="33"/>
        <v>3.0392693639534699E-4</v>
      </c>
      <c r="L108" s="329">
        <v>397.9</v>
      </c>
      <c r="M108" s="329">
        <v>397.9</v>
      </c>
      <c r="N108" s="338">
        <v>-7.2969999999999997E-3</v>
      </c>
      <c r="O108" s="338">
        <v>-1.8220000000000001E-3</v>
      </c>
      <c r="P108" s="333">
        <f t="shared" si="34"/>
        <v>1.0330083709645181E-2</v>
      </c>
      <c r="Q108" s="333">
        <f t="shared" si="35"/>
        <v>1.2287887653598555E-2</v>
      </c>
      <c r="R108" s="333">
        <f t="shared" si="36"/>
        <v>-4.3269999999999992E-3</v>
      </c>
      <c r="S108" s="370">
        <f t="shared" si="37"/>
        <v>9.9010000000000001E-3</v>
      </c>
      <c r="U108" s="187"/>
      <c r="V108" s="187"/>
      <c r="W108" s="187"/>
      <c r="X108" s="189"/>
    </row>
    <row r="109" spans="1:43" s="114" customFormat="1" ht="12.75" customHeight="1">
      <c r="A109" s="402">
        <v>92</v>
      </c>
      <c r="B109" s="374" t="s">
        <v>95</v>
      </c>
      <c r="C109" s="375" t="s">
        <v>5</v>
      </c>
      <c r="D109" s="330">
        <v>202875429527.73001</v>
      </c>
      <c r="E109" s="337">
        <f t="shared" si="38"/>
        <v>0.60981837391716587</v>
      </c>
      <c r="F109" s="329">
        <v>645.98</v>
      </c>
      <c r="G109" s="329">
        <v>645.98</v>
      </c>
      <c r="H109" s="338">
        <v>1.5E-3</v>
      </c>
      <c r="I109" s="338">
        <v>2.23E-2</v>
      </c>
      <c r="J109" s="330">
        <v>204650408125.57999</v>
      </c>
      <c r="K109" s="337">
        <f t="shared" si="33"/>
        <v>0.61173847058924247</v>
      </c>
      <c r="L109" s="329">
        <v>645.74</v>
      </c>
      <c r="M109" s="329">
        <v>645.74</v>
      </c>
      <c r="N109" s="338">
        <v>8.9999999999999998E-4</v>
      </c>
      <c r="O109" s="338">
        <v>2.3599999999999999E-2</v>
      </c>
      <c r="P109" s="333">
        <f t="shared" si="34"/>
        <v>8.7491058034081092E-3</v>
      </c>
      <c r="Q109" s="333">
        <f t="shared" si="35"/>
        <v>-3.7152853029506967E-4</v>
      </c>
      <c r="R109" s="333">
        <f t="shared" si="36"/>
        <v>-6.0000000000000006E-4</v>
      </c>
      <c r="S109" s="370">
        <f t="shared" si="37"/>
        <v>1.2999999999999991E-3</v>
      </c>
      <c r="T109"/>
      <c r="U109" s="296"/>
      <c r="V109" s="296"/>
      <c r="W109" s="296"/>
      <c r="X109" s="297"/>
    </row>
    <row r="110" spans="1:43" s="334" customFormat="1" ht="12.75" customHeight="1">
      <c r="A110" s="398">
        <v>93</v>
      </c>
      <c r="B110" s="374" t="s">
        <v>261</v>
      </c>
      <c r="C110" s="375" t="s">
        <v>41</v>
      </c>
      <c r="D110" s="330">
        <v>4679498089.1599998</v>
      </c>
      <c r="E110" s="337">
        <f t="shared" si="38"/>
        <v>1.40659907516794E-2</v>
      </c>
      <c r="F110" s="330">
        <v>474.85</v>
      </c>
      <c r="G110" s="330">
        <v>474.85</v>
      </c>
      <c r="H110" s="338">
        <v>0.1532</v>
      </c>
      <c r="I110" s="338">
        <v>8.43E-2</v>
      </c>
      <c r="J110" s="330">
        <v>4678548431.2700005</v>
      </c>
      <c r="K110" s="337">
        <f t="shared" si="33"/>
        <v>1.3985059146163862E-2</v>
      </c>
      <c r="L110" s="330">
        <v>474.86</v>
      </c>
      <c r="M110" s="330">
        <v>474.86</v>
      </c>
      <c r="N110" s="338">
        <v>7.9200000000000007E-2</v>
      </c>
      <c r="O110" s="338">
        <v>8.4000000000000005E-2</v>
      </c>
      <c r="P110" s="333">
        <f t="shared" si="34"/>
        <v>-2.0294011706068662E-4</v>
      </c>
      <c r="Q110" s="333">
        <f t="shared" si="35"/>
        <v>2.1059281878468788E-5</v>
      </c>
      <c r="R110" s="333">
        <f t="shared" si="36"/>
        <v>-7.3999999999999996E-2</v>
      </c>
      <c r="S110" s="370">
        <f t="shared" si="37"/>
        <v>-2.9999999999999472E-4</v>
      </c>
      <c r="T110" s="360"/>
      <c r="U110" s="359"/>
      <c r="V110" s="359"/>
      <c r="W110" s="359"/>
      <c r="X110" s="358"/>
    </row>
    <row r="111" spans="1:43" s="114" customFormat="1" ht="12.95" customHeight="1">
      <c r="A111" s="403">
        <v>94</v>
      </c>
      <c r="B111" s="374" t="s">
        <v>127</v>
      </c>
      <c r="C111" s="375" t="s">
        <v>251</v>
      </c>
      <c r="D111" s="329">
        <v>5356936431.6800003</v>
      </c>
      <c r="E111" s="337">
        <f t="shared" si="38"/>
        <v>1.6102286371244411E-2</v>
      </c>
      <c r="F111" s="329">
        <v>460.31</v>
      </c>
      <c r="G111" s="329">
        <v>460.31</v>
      </c>
      <c r="H111" s="338">
        <v>1.2999999999999999E-3</v>
      </c>
      <c r="I111" s="338">
        <v>2.7000000000000001E-3</v>
      </c>
      <c r="J111" s="329">
        <v>5426154639.8400002</v>
      </c>
      <c r="K111" s="337">
        <f t="shared" si="33"/>
        <v>1.6219794384771329E-2</v>
      </c>
      <c r="L111" s="329">
        <v>460.87</v>
      </c>
      <c r="M111" s="329">
        <v>460.87</v>
      </c>
      <c r="N111" s="338">
        <v>8.9999999999999998E-4</v>
      </c>
      <c r="O111" s="338">
        <v>3.5999999999999999E-3</v>
      </c>
      <c r="P111" s="333">
        <f t="shared" si="34"/>
        <v>1.2921230080434644E-2</v>
      </c>
      <c r="Q111" s="333">
        <f t="shared" si="35"/>
        <v>1.2165714409854277E-3</v>
      </c>
      <c r="R111" s="333">
        <f t="shared" si="36"/>
        <v>-3.9999999999999996E-4</v>
      </c>
      <c r="S111" s="370">
        <f t="shared" si="37"/>
        <v>8.9999999999999976E-4</v>
      </c>
      <c r="U111" s="187"/>
      <c r="V111" s="187"/>
      <c r="W111" s="187"/>
      <c r="X111" s="189"/>
    </row>
    <row r="112" spans="1:43" s="114" customFormat="1" ht="13.5" customHeight="1">
      <c r="A112" s="218"/>
      <c r="C112" s="290" t="s">
        <v>42</v>
      </c>
      <c r="D112" s="76">
        <f>SUM(D91:D111)</f>
        <v>332681726568.12634</v>
      </c>
      <c r="E112" s="266">
        <f>(D112/$D$168)</f>
        <v>0.21141182725654462</v>
      </c>
      <c r="F112" s="268"/>
      <c r="G112" s="73"/>
      <c r="H112" s="280"/>
      <c r="I112" s="280"/>
      <c r="J112" s="76">
        <f>SUM(J91:J111)</f>
        <v>334539052167.92297</v>
      </c>
      <c r="K112" s="266">
        <f>(J112/$J$168)</f>
        <v>0.20422269738892795</v>
      </c>
      <c r="L112" s="268"/>
      <c r="M112" s="73"/>
      <c r="N112" s="282"/>
      <c r="O112" s="282"/>
      <c r="P112" s="270">
        <f t="shared" ref="P112" si="39">((J112-D112)/D112)</f>
        <v>5.5828903467479421E-3</v>
      </c>
      <c r="Q112" s="270"/>
      <c r="R112" s="270">
        <f t="shared" ref="R112:S112" si="40">N112-H112</f>
        <v>0</v>
      </c>
      <c r="S112" s="370">
        <f t="shared" si="40"/>
        <v>0</v>
      </c>
      <c r="U112" s="187"/>
      <c r="V112" s="187"/>
      <c r="W112" s="187"/>
      <c r="X112" s="187"/>
    </row>
    <row r="113" spans="1:23" s="114" customFormat="1" ht="4.5" customHeight="1">
      <c r="A113" s="412"/>
      <c r="B113" s="413"/>
      <c r="C113" s="414"/>
      <c r="D113" s="414"/>
      <c r="E113" s="414"/>
      <c r="F113" s="414"/>
      <c r="G113" s="414"/>
      <c r="H113" s="414"/>
      <c r="I113" s="414"/>
      <c r="J113" s="414"/>
      <c r="K113" s="414"/>
      <c r="L113" s="414"/>
      <c r="M113" s="414"/>
      <c r="N113" s="414"/>
      <c r="O113" s="414"/>
      <c r="P113" s="414"/>
      <c r="Q113" s="414"/>
      <c r="R113" s="414"/>
      <c r="S113" s="415"/>
      <c r="T113" s="120"/>
      <c r="U113" s="135"/>
    </row>
    <row r="114" spans="1:23" s="114" customFormat="1" ht="12.95" customHeight="1">
      <c r="A114" s="445" t="s">
        <v>219</v>
      </c>
      <c r="B114" s="446"/>
      <c r="C114" s="447"/>
      <c r="D114" s="447"/>
      <c r="E114" s="447"/>
      <c r="F114" s="447"/>
      <c r="G114" s="447"/>
      <c r="H114" s="447"/>
      <c r="I114" s="447"/>
      <c r="J114" s="447"/>
      <c r="K114" s="447"/>
      <c r="L114" s="447"/>
      <c r="M114" s="447"/>
      <c r="N114" s="447"/>
      <c r="O114" s="447"/>
      <c r="P114" s="447"/>
      <c r="Q114" s="447"/>
      <c r="R114" s="447"/>
      <c r="S114" s="448"/>
    </row>
    <row r="115" spans="1:23" s="114" customFormat="1" ht="12.95" customHeight="1">
      <c r="A115" s="404">
        <v>95</v>
      </c>
      <c r="B115" s="374" t="s">
        <v>232</v>
      </c>
      <c r="C115" s="375" t="s">
        <v>9</v>
      </c>
      <c r="D115" s="330">
        <v>7511812185.1700001</v>
      </c>
      <c r="E115" s="337">
        <f>(D115/$D$119)</f>
        <v>0.159092782963038</v>
      </c>
      <c r="F115" s="331">
        <v>101.68</v>
      </c>
      <c r="G115" s="331">
        <v>101.68</v>
      </c>
      <c r="H115" s="338">
        <v>0</v>
      </c>
      <c r="I115" s="338">
        <v>7.6999999999999999E-2</v>
      </c>
      <c r="J115" s="330">
        <v>54330953714</v>
      </c>
      <c r="K115" s="337">
        <f>(J115/$J$119)</f>
        <v>0.57698356522203387</v>
      </c>
      <c r="L115" s="331">
        <v>101.68</v>
      </c>
      <c r="M115" s="331">
        <v>101.68</v>
      </c>
      <c r="N115" s="338">
        <v>0</v>
      </c>
      <c r="O115" s="338">
        <v>7.6999999999999999E-2</v>
      </c>
      <c r="P115" s="333">
        <f>((J115-D115)/D115)</f>
        <v>6.2327359064250132</v>
      </c>
      <c r="Q115" s="333">
        <f>((M115-G115)/G115)</f>
        <v>0</v>
      </c>
      <c r="R115" s="333">
        <f t="shared" ref="R115:S118" si="41">N115-H115</f>
        <v>0</v>
      </c>
      <c r="S115" s="370">
        <f t="shared" si="41"/>
        <v>0</v>
      </c>
    </row>
    <row r="116" spans="1:23" s="114" customFormat="1" ht="12.95" customHeight="1">
      <c r="A116" s="398">
        <v>96</v>
      </c>
      <c r="B116" s="374" t="s">
        <v>144</v>
      </c>
      <c r="C116" s="375" t="s">
        <v>20</v>
      </c>
      <c r="D116" s="330">
        <v>2352866820.48</v>
      </c>
      <c r="E116" s="337">
        <f>(D116/$D$119)</f>
        <v>4.9831401689003567E-2</v>
      </c>
      <c r="F116" s="331">
        <v>77</v>
      </c>
      <c r="G116" s="331">
        <v>77</v>
      </c>
      <c r="H116" s="338">
        <v>8.8800000000000004E-2</v>
      </c>
      <c r="I116" s="338">
        <v>0.1356</v>
      </c>
      <c r="J116" s="330">
        <v>2359826154.1500001</v>
      </c>
      <c r="K116" s="337">
        <f>(J116/$J$119)</f>
        <v>2.5060868890560552E-2</v>
      </c>
      <c r="L116" s="331">
        <v>77</v>
      </c>
      <c r="M116" s="331">
        <v>77</v>
      </c>
      <c r="N116" s="338">
        <v>0.15509999999999999</v>
      </c>
      <c r="O116" s="338">
        <v>0.1396</v>
      </c>
      <c r="P116" s="333">
        <f>((J116-D116)/D116)</f>
        <v>2.9578102803882148E-3</v>
      </c>
      <c r="Q116" s="333">
        <f>((M116-G116)/G116)</f>
        <v>0</v>
      </c>
      <c r="R116" s="333">
        <f t="shared" si="41"/>
        <v>6.6299999999999984E-2</v>
      </c>
      <c r="S116" s="370">
        <f t="shared" si="41"/>
        <v>4.0000000000000036E-3</v>
      </c>
      <c r="T116" s="136"/>
      <c r="U116" s="168"/>
    </row>
    <row r="117" spans="1:23" s="114" customFormat="1" ht="12.95" customHeight="1">
      <c r="A117" s="396">
        <v>97</v>
      </c>
      <c r="B117" s="374" t="s">
        <v>21</v>
      </c>
      <c r="C117" s="375" t="s">
        <v>20</v>
      </c>
      <c r="D117" s="330">
        <v>10188447956.73</v>
      </c>
      <c r="E117" s="337">
        <f>(D117/$D$119)</f>
        <v>0.21578129212419478</v>
      </c>
      <c r="F117" s="331">
        <v>36.6</v>
      </c>
      <c r="G117" s="331">
        <v>36.6</v>
      </c>
      <c r="H117" s="338">
        <v>4.82E-2</v>
      </c>
      <c r="I117" s="338">
        <v>0.1817</v>
      </c>
      <c r="J117" s="330">
        <v>10204268194.49</v>
      </c>
      <c r="K117" s="337">
        <f>(J117/$J$119)</f>
        <v>0.10836723158462623</v>
      </c>
      <c r="L117" s="331">
        <v>36.6</v>
      </c>
      <c r="M117" s="331">
        <v>36.6</v>
      </c>
      <c r="N117" s="338">
        <v>7.6999999999999999E-2</v>
      </c>
      <c r="O117" s="338">
        <v>0.18360000000000001</v>
      </c>
      <c r="P117" s="333">
        <f>((J117-D117)/D117)</f>
        <v>1.5527622879547753E-3</v>
      </c>
      <c r="Q117" s="333">
        <f>((M117-G117)/G117)</f>
        <v>0</v>
      </c>
      <c r="R117" s="333">
        <f t="shared" si="41"/>
        <v>2.8799999999999999E-2</v>
      </c>
      <c r="S117" s="370">
        <f t="shared" si="41"/>
        <v>1.9000000000000128E-3</v>
      </c>
      <c r="T117" s="137"/>
      <c r="U117" s="115"/>
    </row>
    <row r="118" spans="1:23" s="138" customFormat="1" ht="12.95" customHeight="1">
      <c r="A118" s="404">
        <v>98</v>
      </c>
      <c r="B118" s="374" t="s">
        <v>188</v>
      </c>
      <c r="C118" s="375" t="s">
        <v>5</v>
      </c>
      <c r="D118" s="330">
        <v>27163422055.529999</v>
      </c>
      <c r="E118" s="337">
        <f>(D118/$D$119)</f>
        <v>0.57529452322376373</v>
      </c>
      <c r="F118" s="331">
        <v>3.15</v>
      </c>
      <c r="G118" s="331">
        <v>3.15</v>
      </c>
      <c r="H118" s="338">
        <v>-4.5499999999999999E-2</v>
      </c>
      <c r="I118" s="338">
        <v>0.05</v>
      </c>
      <c r="J118" s="330">
        <v>27268732309.669998</v>
      </c>
      <c r="K118" s="337">
        <f>(J118/$J$119)</f>
        <v>0.2895883343027793</v>
      </c>
      <c r="L118" s="331">
        <v>3.15</v>
      </c>
      <c r="M118" s="331">
        <v>3.15</v>
      </c>
      <c r="N118" s="338">
        <v>0</v>
      </c>
      <c r="O118" s="338">
        <v>0.05</v>
      </c>
      <c r="P118" s="333">
        <f>((J118-D118)/D118)</f>
        <v>3.876914106209238E-3</v>
      </c>
      <c r="Q118" s="333">
        <f>((M118-G118)/G118)</f>
        <v>0</v>
      </c>
      <c r="R118" s="333">
        <f t="shared" si="41"/>
        <v>4.5499999999999999E-2</v>
      </c>
      <c r="S118" s="370">
        <f t="shared" si="41"/>
        <v>0</v>
      </c>
      <c r="T118" s="137"/>
      <c r="U118" s="163"/>
    </row>
    <row r="119" spans="1:23" s="114" customFormat="1" ht="12.75" customHeight="1">
      <c r="A119" s="218"/>
      <c r="C119" s="248" t="s">
        <v>42</v>
      </c>
      <c r="D119" s="70">
        <f>SUM(D115:D118)</f>
        <v>47216549017.909996</v>
      </c>
      <c r="E119" s="266">
        <f>(D119/$D$168)</f>
        <v>3.0005065224345661E-2</v>
      </c>
      <c r="F119" s="72"/>
      <c r="G119" s="72"/>
      <c r="H119" s="249"/>
      <c r="I119" s="249"/>
      <c r="J119" s="70">
        <f>SUM(J115:J118)</f>
        <v>94163780372.309998</v>
      </c>
      <c r="K119" s="266">
        <f>(J119/$J$168)</f>
        <v>5.7483217876515606E-2</v>
      </c>
      <c r="L119" s="268"/>
      <c r="M119" s="72"/>
      <c r="N119" s="269"/>
      <c r="O119" s="269"/>
      <c r="P119" s="270">
        <f>((J119-D119)/D119)</f>
        <v>0.99429611716417821</v>
      </c>
      <c r="Q119" s="270"/>
      <c r="R119" s="270">
        <f>N119-H119</f>
        <v>0</v>
      </c>
      <c r="S119" s="370">
        <f t="shared" ref="S119" si="42">O119-I119</f>
        <v>0</v>
      </c>
      <c r="T119" s="163"/>
      <c r="U119" s="163"/>
      <c r="V119" s="183"/>
      <c r="W119" s="442"/>
    </row>
    <row r="120" spans="1:23" s="114" customFormat="1" ht="5.25" customHeight="1">
      <c r="A120" s="412"/>
      <c r="B120" s="413"/>
      <c r="C120" s="414"/>
      <c r="D120" s="414"/>
      <c r="E120" s="414"/>
      <c r="F120" s="414"/>
      <c r="G120" s="414"/>
      <c r="H120" s="414"/>
      <c r="I120" s="414"/>
      <c r="J120" s="414"/>
      <c r="K120" s="414"/>
      <c r="L120" s="414"/>
      <c r="M120" s="414"/>
      <c r="N120" s="414"/>
      <c r="O120" s="414"/>
      <c r="P120" s="414"/>
      <c r="Q120" s="414"/>
      <c r="R120" s="414"/>
      <c r="S120" s="415"/>
      <c r="T120" s="163"/>
      <c r="U120" s="163"/>
      <c r="V120" s="183"/>
      <c r="W120" s="442"/>
    </row>
    <row r="121" spans="1:23" s="114" customFormat="1" ht="12" customHeight="1">
      <c r="A121" s="408" t="s">
        <v>229</v>
      </c>
      <c r="B121" s="409"/>
      <c r="C121" s="410"/>
      <c r="D121" s="410"/>
      <c r="E121" s="410"/>
      <c r="F121" s="410"/>
      <c r="G121" s="410"/>
      <c r="H121" s="410"/>
      <c r="I121" s="410"/>
      <c r="J121" s="410"/>
      <c r="K121" s="410"/>
      <c r="L121" s="410"/>
      <c r="M121" s="410"/>
      <c r="N121" s="410"/>
      <c r="O121" s="410"/>
      <c r="P121" s="410"/>
      <c r="Q121" s="410"/>
      <c r="R121" s="410"/>
      <c r="S121" s="411"/>
      <c r="T121" s="187"/>
      <c r="U121" s="189"/>
      <c r="V121" s="183"/>
      <c r="W121" s="442"/>
    </row>
    <row r="122" spans="1:23" s="114" customFormat="1" ht="12" customHeight="1">
      <c r="A122" s="398">
        <v>99</v>
      </c>
      <c r="B122" s="374" t="s">
        <v>119</v>
      </c>
      <c r="C122" s="375" t="s">
        <v>36</v>
      </c>
      <c r="D122" s="329">
        <v>170773706.19</v>
      </c>
      <c r="E122" s="337">
        <f t="shared" ref="E122:E145" si="43">(D122/$D$146)</f>
        <v>5.4523142990880622E-3</v>
      </c>
      <c r="F122" s="329">
        <v>3.84</v>
      </c>
      <c r="G122" s="329">
        <v>3.89</v>
      </c>
      <c r="H122" s="338">
        <v>1.2404E-2</v>
      </c>
      <c r="I122" s="338">
        <v>2.1561E-2</v>
      </c>
      <c r="J122" s="329">
        <v>171476888.66999999</v>
      </c>
      <c r="K122" s="318">
        <f t="shared" ref="K122:K134" si="44">(J122/$J$146)</f>
        <v>5.4119238603440329E-3</v>
      </c>
      <c r="L122" s="329">
        <v>3.85</v>
      </c>
      <c r="M122" s="329">
        <v>3.91</v>
      </c>
      <c r="N122" s="338">
        <v>4.1529999999999996E-3</v>
      </c>
      <c r="O122" s="338">
        <v>2.5714000000000001E-2</v>
      </c>
      <c r="P122" s="333">
        <f t="shared" ref="P122:P145" si="45">((J122-D122)/D122)</f>
        <v>4.1176273308587688E-3</v>
      </c>
      <c r="Q122" s="333">
        <f t="shared" ref="Q122:Q145" si="46">((M122-G122)/G122)</f>
        <v>5.1413881748072028E-3</v>
      </c>
      <c r="R122" s="333">
        <f t="shared" ref="R122:R145" si="47">N122-H122</f>
        <v>-8.2510000000000014E-3</v>
      </c>
      <c r="S122" s="370">
        <f t="shared" ref="S122:S145" si="48">O122-I122</f>
        <v>4.1530000000000004E-3</v>
      </c>
      <c r="T122" s="444"/>
      <c r="U122" s="169"/>
      <c r="V122" s="187"/>
    </row>
    <row r="123" spans="1:23" s="114" customFormat="1" ht="12" customHeight="1">
      <c r="A123" s="402">
        <v>100</v>
      </c>
      <c r="B123" s="374" t="s">
        <v>159</v>
      </c>
      <c r="C123" s="375" t="s">
        <v>6</v>
      </c>
      <c r="D123" s="329">
        <v>4908955750.3999996</v>
      </c>
      <c r="E123" s="337">
        <f t="shared" si="43"/>
        <v>0.15672886786047732</v>
      </c>
      <c r="F123" s="329">
        <v>540.61680000000001</v>
      </c>
      <c r="G123" s="329">
        <v>556.91679999999997</v>
      </c>
      <c r="H123" s="319">
        <v>0.4864</v>
      </c>
      <c r="I123" s="319">
        <v>8.3299999999999999E-2</v>
      </c>
      <c r="J123" s="329">
        <v>4938418482.0100002</v>
      </c>
      <c r="K123" s="318">
        <f t="shared" si="44"/>
        <v>0.15585974892854279</v>
      </c>
      <c r="L123" s="329">
        <v>543.39750000000004</v>
      </c>
      <c r="M123" s="329">
        <v>559.78129999999999</v>
      </c>
      <c r="N123" s="319">
        <v>0.26819999999999999</v>
      </c>
      <c r="O123" s="319">
        <v>9.4E-2</v>
      </c>
      <c r="P123" s="333">
        <f t="shared" si="45"/>
        <v>6.0018327946019636E-3</v>
      </c>
      <c r="Q123" s="333">
        <f t="shared" si="46"/>
        <v>5.1434971974270143E-3</v>
      </c>
      <c r="R123" s="333">
        <f t="shared" si="47"/>
        <v>-0.21820000000000001</v>
      </c>
      <c r="S123" s="370">
        <f t="shared" si="48"/>
        <v>1.0700000000000001E-2</v>
      </c>
      <c r="T123" s="444"/>
      <c r="W123" s="190"/>
    </row>
    <row r="124" spans="1:23" s="114" customFormat="1" ht="12" customHeight="1">
      <c r="A124" s="404">
        <v>101</v>
      </c>
      <c r="B124" s="374" t="s">
        <v>249</v>
      </c>
      <c r="C124" s="375" t="s">
        <v>12</v>
      </c>
      <c r="D124" s="329">
        <v>2681164804.3800001</v>
      </c>
      <c r="E124" s="337">
        <f t="shared" si="43"/>
        <v>8.5601896962219481E-2</v>
      </c>
      <c r="F124" s="329">
        <v>14.666600000000001</v>
      </c>
      <c r="G124" s="329">
        <v>14.798400000000001</v>
      </c>
      <c r="H124" s="338">
        <v>1.37E-2</v>
      </c>
      <c r="I124" s="338">
        <v>5.7299999999999997E-2</v>
      </c>
      <c r="J124" s="329">
        <v>2697991011.23</v>
      </c>
      <c r="K124" s="318">
        <f t="shared" si="44"/>
        <v>8.5150378234171195E-2</v>
      </c>
      <c r="L124" s="329">
        <v>14.772600000000001</v>
      </c>
      <c r="M124" s="329">
        <v>14.9048</v>
      </c>
      <c r="N124" s="338">
        <v>8.8000000000000005E-3</v>
      </c>
      <c r="O124" s="338">
        <v>6.4899999999999999E-2</v>
      </c>
      <c r="P124" s="333">
        <f t="shared" si="45"/>
        <v>6.2757077903276602E-3</v>
      </c>
      <c r="Q124" s="333">
        <f t="shared" si="46"/>
        <v>7.1899664828629405E-3</v>
      </c>
      <c r="R124" s="333">
        <f t="shared" si="47"/>
        <v>-4.8999999999999998E-3</v>
      </c>
      <c r="S124" s="370">
        <f t="shared" si="48"/>
        <v>7.6000000000000026E-3</v>
      </c>
      <c r="T124" s="189"/>
      <c r="U124" s="115"/>
      <c r="W124" s="190"/>
    </row>
    <row r="125" spans="1:23" s="114" customFormat="1" ht="12" customHeight="1">
      <c r="A125" s="398">
        <v>102</v>
      </c>
      <c r="B125" s="374" t="s">
        <v>147</v>
      </c>
      <c r="C125" s="375" t="s">
        <v>105</v>
      </c>
      <c r="D125" s="330">
        <v>1012602240.15</v>
      </c>
      <c r="E125" s="337">
        <f t="shared" si="43"/>
        <v>3.2329483246770124E-2</v>
      </c>
      <c r="F125" s="329">
        <v>2.3601999999999999</v>
      </c>
      <c r="G125" s="329">
        <v>2.4079000000000002</v>
      </c>
      <c r="H125" s="338">
        <v>0.24859958578319585</v>
      </c>
      <c r="I125" s="338">
        <v>0.14660389527631165</v>
      </c>
      <c r="J125" s="330">
        <v>1032654596.37</v>
      </c>
      <c r="K125" s="318">
        <f t="shared" si="44"/>
        <v>3.2591261090256056E-2</v>
      </c>
      <c r="L125" s="329">
        <v>2.4064000000000001</v>
      </c>
      <c r="M125" s="329">
        <v>2.4561000000000002</v>
      </c>
      <c r="N125" s="338">
        <v>0.16398464303218988</v>
      </c>
      <c r="O125" s="338">
        <v>0.18880326267046219</v>
      </c>
      <c r="P125" s="333">
        <f t="shared" si="45"/>
        <v>1.9802796621336341E-2</v>
      </c>
      <c r="Q125" s="333">
        <f t="shared" si="46"/>
        <v>2.0017442584824959E-2</v>
      </c>
      <c r="R125" s="333">
        <f t="shared" si="47"/>
        <v>-8.4614942751005978E-2</v>
      </c>
      <c r="S125" s="370">
        <f t="shared" si="48"/>
        <v>4.2199367394150533E-2</v>
      </c>
      <c r="T125" s="189"/>
      <c r="U125" s="115"/>
      <c r="W125" s="190"/>
    </row>
    <row r="126" spans="1:23" s="114" customFormat="1" ht="12" customHeight="1">
      <c r="A126" s="398">
        <v>103</v>
      </c>
      <c r="B126" s="374" t="s">
        <v>172</v>
      </c>
      <c r="C126" s="375" t="s">
        <v>7</v>
      </c>
      <c r="D126" s="330">
        <v>2367475279.2972498</v>
      </c>
      <c r="E126" s="337">
        <f t="shared" si="43"/>
        <v>7.5586690750205007E-2</v>
      </c>
      <c r="F126" s="329">
        <v>4442.8489592853703</v>
      </c>
      <c r="G126" s="329">
        <v>4470.5542497194201</v>
      </c>
      <c r="H126" s="338">
        <v>0.5821290021931933</v>
      </c>
      <c r="I126" s="338">
        <v>0.1726812981649756</v>
      </c>
      <c r="J126" s="330">
        <v>2381743169.8162699</v>
      </c>
      <c r="K126" s="318">
        <f t="shared" si="44"/>
        <v>7.5169387489564268E-2</v>
      </c>
      <c r="L126" s="329">
        <v>4469.5139805440804</v>
      </c>
      <c r="M126" s="329">
        <v>4497.5691687045801</v>
      </c>
      <c r="N126" s="338">
        <v>0.3129501828547</v>
      </c>
      <c r="O126" s="338">
        <v>0.18151471344587519</v>
      </c>
      <c r="P126" s="333">
        <f t="shared" si="45"/>
        <v>6.0266270333582082E-3</v>
      </c>
      <c r="Q126" s="333">
        <f t="shared" si="46"/>
        <v>6.0428567636452392E-3</v>
      </c>
      <c r="R126" s="333">
        <f t="shared" si="47"/>
        <v>-0.2691788193384933</v>
      </c>
      <c r="S126" s="370">
        <f t="shared" si="48"/>
        <v>8.8334152808995925E-3</v>
      </c>
      <c r="T126" s="189"/>
      <c r="U126" s="115"/>
      <c r="W126" s="190"/>
    </row>
    <row r="127" spans="1:23" s="114" customFormat="1" ht="12" customHeight="1">
      <c r="A127" s="396">
        <v>104</v>
      </c>
      <c r="B127" s="374" t="s">
        <v>160</v>
      </c>
      <c r="C127" s="375" t="s">
        <v>90</v>
      </c>
      <c r="D127" s="329">
        <v>357118167.88</v>
      </c>
      <c r="E127" s="337">
        <f t="shared" si="43"/>
        <v>1.1401758131488469E-2</v>
      </c>
      <c r="F127" s="329">
        <v>141.63999999999999</v>
      </c>
      <c r="G127" s="329">
        <v>142.54</v>
      </c>
      <c r="H127" s="338">
        <v>3.0000000000000001E-3</v>
      </c>
      <c r="I127" s="338">
        <v>2.87E-2</v>
      </c>
      <c r="J127" s="329">
        <v>360101576.60000002</v>
      </c>
      <c r="K127" s="318">
        <f t="shared" si="44"/>
        <v>1.1365043590798462E-2</v>
      </c>
      <c r="L127" s="329">
        <v>142.75</v>
      </c>
      <c r="M127" s="329">
        <v>143.65</v>
      </c>
      <c r="N127" s="338">
        <v>7.7999999999999996E-3</v>
      </c>
      <c r="O127" s="338">
        <v>3.6700000000000003E-2</v>
      </c>
      <c r="P127" s="333">
        <f t="shared" si="45"/>
        <v>8.3541219359148464E-3</v>
      </c>
      <c r="Q127" s="333">
        <f t="shared" si="46"/>
        <v>7.7872877788691857E-3</v>
      </c>
      <c r="R127" s="333">
        <f t="shared" si="47"/>
        <v>4.7999999999999996E-3</v>
      </c>
      <c r="S127" s="370">
        <f t="shared" si="48"/>
        <v>8.0000000000000036E-3</v>
      </c>
      <c r="U127" s="115"/>
      <c r="W127" s="190"/>
    </row>
    <row r="128" spans="1:23" s="114" customFormat="1" ht="12" customHeight="1">
      <c r="A128" s="404">
        <v>105</v>
      </c>
      <c r="B128" s="374" t="s">
        <v>186</v>
      </c>
      <c r="C128" s="375" t="s">
        <v>184</v>
      </c>
      <c r="D128" s="329">
        <v>3734808.11</v>
      </c>
      <c r="E128" s="337">
        <f t="shared" si="43"/>
        <v>1.1924170363701738E-4</v>
      </c>
      <c r="F128" s="329">
        <v>102.747</v>
      </c>
      <c r="G128" s="329">
        <v>102.99</v>
      </c>
      <c r="H128" s="338">
        <v>0</v>
      </c>
      <c r="I128" s="338">
        <v>0</v>
      </c>
      <c r="J128" s="329">
        <v>3734808.11</v>
      </c>
      <c r="K128" s="318">
        <f t="shared" si="44"/>
        <v>1.1787301064934469E-4</v>
      </c>
      <c r="L128" s="329">
        <v>102.747</v>
      </c>
      <c r="M128" s="329">
        <v>102.99</v>
      </c>
      <c r="N128" s="338">
        <v>0</v>
      </c>
      <c r="O128" s="338">
        <v>0</v>
      </c>
      <c r="P128" s="333">
        <f t="shared" si="45"/>
        <v>0</v>
      </c>
      <c r="Q128" s="333">
        <f t="shared" si="46"/>
        <v>0</v>
      </c>
      <c r="R128" s="333">
        <f t="shared" si="47"/>
        <v>0</v>
      </c>
      <c r="S128" s="370">
        <f t="shared" si="48"/>
        <v>0</v>
      </c>
      <c r="U128" s="115"/>
    </row>
    <row r="129" spans="1:22" s="114" customFormat="1" ht="12" customHeight="1">
      <c r="A129" s="398">
        <v>106</v>
      </c>
      <c r="B129" s="374" t="s">
        <v>112</v>
      </c>
      <c r="C129" s="375" t="s">
        <v>110</v>
      </c>
      <c r="D129" s="329">
        <v>126281353.8</v>
      </c>
      <c r="E129" s="337">
        <f t="shared" si="43"/>
        <v>4.031801185282566E-3</v>
      </c>
      <c r="F129" s="329">
        <v>1.1676</v>
      </c>
      <c r="G129" s="329">
        <v>1.1772</v>
      </c>
      <c r="H129" s="338">
        <v>1.2E-2</v>
      </c>
      <c r="I129" s="338">
        <v>-2.8000000000000001E-2</v>
      </c>
      <c r="J129" s="329">
        <v>127529083.97</v>
      </c>
      <c r="K129" s="318">
        <f t="shared" si="44"/>
        <v>4.0249021181698631E-3</v>
      </c>
      <c r="L129" s="329">
        <v>1.1791</v>
      </c>
      <c r="M129" s="329">
        <v>1.1888000000000001</v>
      </c>
      <c r="N129" s="338">
        <v>9.7999999999999997E-3</v>
      </c>
      <c r="O129" s="338">
        <v>-1.84E-2</v>
      </c>
      <c r="P129" s="333">
        <f t="shared" si="45"/>
        <v>9.8805574414106562E-3</v>
      </c>
      <c r="Q129" s="333">
        <f t="shared" si="46"/>
        <v>9.8538905878355881E-3</v>
      </c>
      <c r="R129" s="333">
        <f t="shared" si="47"/>
        <v>-2.2000000000000006E-3</v>
      </c>
      <c r="S129" s="370">
        <f t="shared" si="48"/>
        <v>9.6000000000000009E-3</v>
      </c>
      <c r="U129" s="113"/>
    </row>
    <row r="130" spans="1:22" s="114" customFormat="1" ht="11.25" customHeight="1">
      <c r="A130" s="397">
        <v>107</v>
      </c>
      <c r="B130" s="374" t="s">
        <v>242</v>
      </c>
      <c r="C130" s="375" t="s">
        <v>101</v>
      </c>
      <c r="D130" s="325">
        <v>167666168.72999999</v>
      </c>
      <c r="E130" s="337">
        <f t="shared" si="43"/>
        <v>5.3530995469689095E-3</v>
      </c>
      <c r="F130" s="329">
        <v>105.97</v>
      </c>
      <c r="G130" s="329">
        <v>108.05</v>
      </c>
      <c r="H130" s="338">
        <v>1.6999999999999999E-3</v>
      </c>
      <c r="I130" s="338">
        <v>2.92E-2</v>
      </c>
      <c r="J130" s="325">
        <v>167947239.72</v>
      </c>
      <c r="K130" s="318">
        <f t="shared" si="44"/>
        <v>5.3005258082840581E-3</v>
      </c>
      <c r="L130" s="329">
        <v>106.22</v>
      </c>
      <c r="M130" s="329">
        <v>108.37</v>
      </c>
      <c r="N130" s="338">
        <v>2.7000000000000001E-3</v>
      </c>
      <c r="O130" s="338">
        <v>3.1899999999999998E-2</v>
      </c>
      <c r="P130" s="333">
        <f t="shared" si="45"/>
        <v>1.6763727120921465E-3</v>
      </c>
      <c r="Q130" s="333">
        <f t="shared" si="46"/>
        <v>2.9615918556224656E-3</v>
      </c>
      <c r="R130" s="333">
        <f t="shared" si="47"/>
        <v>1.0000000000000002E-3</v>
      </c>
      <c r="S130" s="370">
        <f t="shared" si="48"/>
        <v>2.6999999999999975E-3</v>
      </c>
    </row>
    <row r="131" spans="1:22" s="114" customFormat="1" ht="12" customHeight="1">
      <c r="A131" s="398">
        <v>108</v>
      </c>
      <c r="B131" s="374" t="s">
        <v>217</v>
      </c>
      <c r="C131" s="375" t="s">
        <v>174</v>
      </c>
      <c r="D131" s="330">
        <v>233783277.56999999</v>
      </c>
      <c r="E131" s="337">
        <f t="shared" si="43"/>
        <v>7.464029068763191E-3</v>
      </c>
      <c r="F131" s="329">
        <v>1.1387</v>
      </c>
      <c r="G131" s="329">
        <v>1.1387</v>
      </c>
      <c r="H131" s="338">
        <v>0.49002529735487621</v>
      </c>
      <c r="I131" s="338">
        <v>0.17690314073099669</v>
      </c>
      <c r="J131" s="330">
        <v>233938002.75999999</v>
      </c>
      <c r="K131" s="318">
        <f t="shared" si="44"/>
        <v>7.3832378741985512E-3</v>
      </c>
      <c r="L131" s="329">
        <v>1.1393</v>
      </c>
      <c r="M131" s="329">
        <v>1.1393</v>
      </c>
      <c r="N131" s="338">
        <v>2.7474940094586335E-2</v>
      </c>
      <c r="O131" s="338">
        <v>0.16862315476743109</v>
      </c>
      <c r="P131" s="333">
        <f t="shared" si="45"/>
        <v>6.6183172555474756E-4</v>
      </c>
      <c r="Q131" s="333">
        <f t="shared" si="46"/>
        <v>5.269166593483217E-4</v>
      </c>
      <c r="R131" s="333">
        <f t="shared" si="47"/>
        <v>-0.46255035726028987</v>
      </c>
      <c r="S131" s="370">
        <f t="shared" si="48"/>
        <v>-8.2799859635656059E-3</v>
      </c>
    </row>
    <row r="132" spans="1:22" s="114" customFormat="1" ht="12" customHeight="1">
      <c r="A132" s="398">
        <v>109</v>
      </c>
      <c r="B132" s="374" t="s">
        <v>197</v>
      </c>
      <c r="C132" s="375" t="s">
        <v>191</v>
      </c>
      <c r="D132" s="329">
        <v>5159744796.3000002</v>
      </c>
      <c r="E132" s="337">
        <f t="shared" si="43"/>
        <v>0.16473584230356811</v>
      </c>
      <c r="F132" s="329">
        <v>211.72</v>
      </c>
      <c r="G132" s="329">
        <v>213.13</v>
      </c>
      <c r="H132" s="338">
        <v>1.15E-2</v>
      </c>
      <c r="I132" s="338">
        <v>6.0199999999999997E-2</v>
      </c>
      <c r="J132" s="329">
        <v>5197018896.0799999</v>
      </c>
      <c r="K132" s="318">
        <f t="shared" si="44"/>
        <v>0.16402134879226324</v>
      </c>
      <c r="L132" s="329">
        <v>213.26</v>
      </c>
      <c r="M132" s="329">
        <v>214.68</v>
      </c>
      <c r="N132" s="338">
        <v>1.0999999999999999E-2</v>
      </c>
      <c r="O132" s="338">
        <v>6.7900000000000002E-2</v>
      </c>
      <c r="P132" s="333">
        <f t="shared" si="45"/>
        <v>7.2240200342328182E-3</v>
      </c>
      <c r="Q132" s="333">
        <f t="shared" si="46"/>
        <v>7.272556655562386E-3</v>
      </c>
      <c r="R132" s="333">
        <f t="shared" si="47"/>
        <v>-5.0000000000000044E-4</v>
      </c>
      <c r="S132" s="370">
        <f t="shared" si="48"/>
        <v>7.7000000000000055E-3</v>
      </c>
    </row>
    <row r="133" spans="1:22" s="114" customFormat="1" ht="12" customHeight="1">
      <c r="A133" s="396">
        <v>110</v>
      </c>
      <c r="B133" s="374" t="s">
        <v>187</v>
      </c>
      <c r="C133" s="375" t="s">
        <v>181</v>
      </c>
      <c r="D133" s="329">
        <v>1944623783.6800001</v>
      </c>
      <c r="E133" s="337">
        <f t="shared" si="43"/>
        <v>6.2086256126038554E-2</v>
      </c>
      <c r="F133" s="329">
        <v>1.3399000000000001</v>
      </c>
      <c r="G133" s="329">
        <v>1.3633999999999999</v>
      </c>
      <c r="H133" s="338">
        <v>6.9999999999999999E-4</v>
      </c>
      <c r="I133" s="338">
        <v>4.1499846011703159E-2</v>
      </c>
      <c r="J133" s="329">
        <v>1964282080.48</v>
      </c>
      <c r="K133" s="318">
        <f t="shared" si="44"/>
        <v>6.1994039793047358E-2</v>
      </c>
      <c r="L133" s="329">
        <v>1.3540000000000001</v>
      </c>
      <c r="M133" s="329">
        <v>1.3775999999999999</v>
      </c>
      <c r="N133" s="338">
        <v>6.4000000000000003E-3</v>
      </c>
      <c r="O133" s="338">
        <v>5.2356020942408425E-2</v>
      </c>
      <c r="P133" s="333">
        <f t="shared" si="45"/>
        <v>1.0109048837610456E-2</v>
      </c>
      <c r="Q133" s="333">
        <f t="shared" si="46"/>
        <v>1.0415138624028158E-2</v>
      </c>
      <c r="R133" s="333">
        <f t="shared" si="47"/>
        <v>5.7000000000000002E-3</v>
      </c>
      <c r="S133" s="370">
        <f t="shared" si="48"/>
        <v>1.0856174930705266E-2</v>
      </c>
    </row>
    <row r="134" spans="1:22" s="114" customFormat="1" ht="12" customHeight="1">
      <c r="A134" s="398">
        <v>111</v>
      </c>
      <c r="B134" s="374" t="s">
        <v>266</v>
      </c>
      <c r="C134" s="375" t="s">
        <v>89</v>
      </c>
      <c r="D134" s="329">
        <v>135447646.7558611</v>
      </c>
      <c r="E134" s="337">
        <f t="shared" si="43"/>
        <v>4.3244546110814269E-3</v>
      </c>
      <c r="F134" s="329">
        <v>88.48</v>
      </c>
      <c r="G134" s="329">
        <v>92.66</v>
      </c>
      <c r="H134" s="338">
        <v>3.8E-3</v>
      </c>
      <c r="I134" s="338">
        <v>6.0000000000000001E-3</v>
      </c>
      <c r="J134" s="329">
        <v>135894178.53519499</v>
      </c>
      <c r="K134" s="318">
        <f t="shared" si="44"/>
        <v>4.2889100274720645E-3</v>
      </c>
      <c r="L134" s="329">
        <v>88.77</v>
      </c>
      <c r="M134" s="329">
        <v>92.99</v>
      </c>
      <c r="N134" s="338">
        <v>3.0000000000000001E-3</v>
      </c>
      <c r="O134" s="338">
        <v>5.1999999999999998E-3</v>
      </c>
      <c r="P134" s="333">
        <f t="shared" si="45"/>
        <v>3.2967112388356582E-3</v>
      </c>
      <c r="Q134" s="333">
        <f t="shared" si="46"/>
        <v>3.561407295488866E-3</v>
      </c>
      <c r="R134" s="333">
        <f t="shared" si="47"/>
        <v>-7.9999999999999993E-4</v>
      </c>
      <c r="S134" s="370">
        <f t="shared" si="48"/>
        <v>-8.0000000000000036E-4</v>
      </c>
    </row>
    <row r="135" spans="1:22" s="114" customFormat="1" ht="12" customHeight="1">
      <c r="A135" s="396">
        <v>112</v>
      </c>
      <c r="B135" s="374" t="s">
        <v>133</v>
      </c>
      <c r="C135" s="375" t="s">
        <v>106</v>
      </c>
      <c r="D135" s="330">
        <v>163397509.31</v>
      </c>
      <c r="E135" s="337">
        <f t="shared" si="43"/>
        <v>5.2168135032163165E-3</v>
      </c>
      <c r="F135" s="329">
        <v>147.677997</v>
      </c>
      <c r="G135" s="329">
        <v>152.22498100000001</v>
      </c>
      <c r="H135" s="338">
        <v>4.4999999999999997E-3</v>
      </c>
      <c r="I135" s="338">
        <v>1.09E-2</v>
      </c>
      <c r="J135" s="330">
        <v>163839422</v>
      </c>
      <c r="K135" s="318">
        <v>1.4052378000000001</v>
      </c>
      <c r="L135" s="329">
        <v>148.07739599999999</v>
      </c>
      <c r="M135" s="329">
        <v>152.71399700000001</v>
      </c>
      <c r="N135" s="338">
        <v>-1.1000000000000001E-3</v>
      </c>
      <c r="O135" s="338">
        <v>1.4200000000000001E-2</v>
      </c>
      <c r="P135" s="333">
        <f t="shared" si="45"/>
        <v>2.7045252517380468E-3</v>
      </c>
      <c r="Q135" s="333">
        <f t="shared" si="46"/>
        <v>3.2124556481303965E-3</v>
      </c>
      <c r="R135" s="333">
        <f t="shared" si="47"/>
        <v>-5.5999999999999999E-3</v>
      </c>
      <c r="S135" s="370">
        <f t="shared" si="48"/>
        <v>3.3000000000000008E-3</v>
      </c>
    </row>
    <row r="136" spans="1:22" s="114" customFormat="1" ht="12" customHeight="1">
      <c r="A136" s="403">
        <v>113</v>
      </c>
      <c r="B136" s="374" t="s">
        <v>27</v>
      </c>
      <c r="C136" s="375" t="s">
        <v>57</v>
      </c>
      <c r="D136" s="330">
        <v>1200049394</v>
      </c>
      <c r="E136" s="337">
        <f t="shared" si="43"/>
        <v>3.8314132874990012E-2</v>
      </c>
      <c r="F136" s="329">
        <v>552.20000000000005</v>
      </c>
      <c r="G136" s="329">
        <v>552.20000000000005</v>
      </c>
      <c r="H136" s="338">
        <v>1.2099999999999999E-3</v>
      </c>
      <c r="I136" s="338">
        <v>4.2689999999999999E-2</v>
      </c>
      <c r="J136" s="330">
        <v>1210159040.8599999</v>
      </c>
      <c r="K136" s="318">
        <f t="shared" ref="K136:K145" si="49">(J136/$J$146)</f>
        <v>3.8193418593249102E-2</v>
      </c>
      <c r="L136" s="329">
        <v>552.20000000000005</v>
      </c>
      <c r="M136" s="329">
        <v>552.20000000000005</v>
      </c>
      <c r="N136" s="338">
        <v>8.3999999999999995E-3</v>
      </c>
      <c r="O136" s="338">
        <v>5.1470000000000002E-2</v>
      </c>
      <c r="P136" s="333">
        <f t="shared" si="45"/>
        <v>8.4243589560113515E-3</v>
      </c>
      <c r="Q136" s="333">
        <f t="shared" si="46"/>
        <v>0</v>
      </c>
      <c r="R136" s="333">
        <f t="shared" si="47"/>
        <v>7.1899999999999993E-3</v>
      </c>
      <c r="S136" s="370">
        <f t="shared" si="48"/>
        <v>8.7800000000000031E-3</v>
      </c>
      <c r="T136" s="228"/>
      <c r="U136" s="228"/>
      <c r="V136" s="113"/>
    </row>
    <row r="137" spans="1:22" s="114" customFormat="1" ht="12" customHeight="1">
      <c r="A137" s="404">
        <v>114</v>
      </c>
      <c r="B137" s="374" t="s">
        <v>193</v>
      </c>
      <c r="C137" s="375" t="s">
        <v>164</v>
      </c>
      <c r="D137" s="330">
        <v>19606340.510000002</v>
      </c>
      <c r="E137" s="337">
        <f t="shared" si="43"/>
        <v>6.2597418010315619E-4</v>
      </c>
      <c r="F137" s="329">
        <v>1.23</v>
      </c>
      <c r="G137" s="329">
        <v>1.23</v>
      </c>
      <c r="H137" s="338">
        <v>-1.4782E-2</v>
      </c>
      <c r="I137" s="338">
        <v>1.5699999999999999E-2</v>
      </c>
      <c r="J137" s="330">
        <v>20061234.27</v>
      </c>
      <c r="K137" s="318">
        <f t="shared" si="49"/>
        <v>6.3314580323825759E-4</v>
      </c>
      <c r="L137" s="329">
        <v>1.25</v>
      </c>
      <c r="M137" s="329">
        <v>1.25</v>
      </c>
      <c r="N137" s="338">
        <v>3.4269999999999999E-3</v>
      </c>
      <c r="O137" s="338">
        <v>3.2274999999999998E-2</v>
      </c>
      <c r="P137" s="333">
        <f t="shared" si="45"/>
        <v>2.3201359772772705E-2</v>
      </c>
      <c r="Q137" s="333">
        <f t="shared" si="46"/>
        <v>1.6260162601626032E-2</v>
      </c>
      <c r="R137" s="333">
        <f t="shared" si="47"/>
        <v>1.8208999999999999E-2</v>
      </c>
      <c r="S137" s="370">
        <f t="shared" si="48"/>
        <v>1.6574999999999999E-2</v>
      </c>
      <c r="U137" s="223"/>
      <c r="V137" s="113"/>
    </row>
    <row r="138" spans="1:22" s="114" customFormat="1" ht="12" customHeight="1">
      <c r="A138" s="396">
        <v>115</v>
      </c>
      <c r="B138" s="374" t="s">
        <v>48</v>
      </c>
      <c r="C138" s="375" t="s">
        <v>92</v>
      </c>
      <c r="D138" s="329">
        <v>161878402.22999999</v>
      </c>
      <c r="E138" s="337">
        <f t="shared" si="43"/>
        <v>5.1683127741584435E-3</v>
      </c>
      <c r="F138" s="329">
        <v>1.92</v>
      </c>
      <c r="G138" s="329">
        <v>1.97</v>
      </c>
      <c r="H138" s="338">
        <v>3.5E-4</v>
      </c>
      <c r="I138" s="338">
        <v>0.1293</v>
      </c>
      <c r="J138" s="329">
        <v>166494118.93000001</v>
      </c>
      <c r="K138" s="318">
        <f t="shared" si="49"/>
        <v>5.2546643564210195E-3</v>
      </c>
      <c r="L138" s="329">
        <v>1.6861980000000001</v>
      </c>
      <c r="M138" s="329">
        <v>1.7363219999999999</v>
      </c>
      <c r="N138" s="338">
        <v>0.01</v>
      </c>
      <c r="O138" s="338">
        <v>1.675</v>
      </c>
      <c r="P138" s="333">
        <f t="shared" si="45"/>
        <v>2.8513480714010987E-2</v>
      </c>
      <c r="Q138" s="333">
        <f t="shared" si="46"/>
        <v>-0.11861827411167515</v>
      </c>
      <c r="R138" s="333">
        <f t="shared" si="47"/>
        <v>9.6500000000000006E-3</v>
      </c>
      <c r="S138" s="370">
        <f t="shared" si="48"/>
        <v>1.5457000000000001</v>
      </c>
    </row>
    <row r="139" spans="1:22" s="114" customFormat="1" ht="12" customHeight="1">
      <c r="A139" s="400">
        <v>116</v>
      </c>
      <c r="B139" s="374" t="s">
        <v>22</v>
      </c>
      <c r="C139" s="375" t="s">
        <v>5</v>
      </c>
      <c r="D139" s="330">
        <v>1676822193.02</v>
      </c>
      <c r="E139" s="337">
        <f t="shared" si="43"/>
        <v>5.3536119956659405E-2</v>
      </c>
      <c r="F139" s="329">
        <v>3826.61</v>
      </c>
      <c r="G139" s="329">
        <v>3852.48</v>
      </c>
      <c r="H139" s="338">
        <v>1.03E-2</v>
      </c>
      <c r="I139" s="338">
        <v>4.7699999999999999E-2</v>
      </c>
      <c r="J139" s="330">
        <v>1715674888.0799999</v>
      </c>
      <c r="K139" s="337">
        <f t="shared" si="49"/>
        <v>5.4147832605372356E-2</v>
      </c>
      <c r="L139" s="329">
        <v>3887.72</v>
      </c>
      <c r="M139" s="329">
        <v>3913.49</v>
      </c>
      <c r="N139" s="338">
        <v>1.5800000000000002E-2</v>
      </c>
      <c r="O139" s="338">
        <v>6.4299999999999996E-2</v>
      </c>
      <c r="P139" s="333">
        <f t="shared" si="45"/>
        <v>2.3170432274649967E-2</v>
      </c>
      <c r="Q139" s="333">
        <f t="shared" si="46"/>
        <v>1.5836552039205854E-2</v>
      </c>
      <c r="R139" s="333">
        <f t="shared" si="47"/>
        <v>5.5000000000000014E-3</v>
      </c>
      <c r="S139" s="370">
        <f t="shared" si="48"/>
        <v>1.6599999999999997E-2</v>
      </c>
      <c r="T139" s="113"/>
      <c r="V139" s="141"/>
    </row>
    <row r="140" spans="1:22" s="114" customFormat="1" ht="12" customHeight="1">
      <c r="A140" s="395">
        <v>117</v>
      </c>
      <c r="B140" s="374" t="s">
        <v>256</v>
      </c>
      <c r="C140" s="375" t="s">
        <v>254</v>
      </c>
      <c r="D140" s="325">
        <v>58210130.109999999</v>
      </c>
      <c r="E140" s="337">
        <f t="shared" si="43"/>
        <v>1.8584823848550661E-3</v>
      </c>
      <c r="F140" s="329">
        <v>107.7671</v>
      </c>
      <c r="G140" s="329">
        <v>108.08920000000001</v>
      </c>
      <c r="H140" s="338">
        <v>2.9227E-2</v>
      </c>
      <c r="I140" s="338">
        <v>1.9878E-2</v>
      </c>
      <c r="J140" s="325">
        <v>59067169.149999999</v>
      </c>
      <c r="K140" s="318">
        <f t="shared" si="49"/>
        <v>1.8641988699774443E-3</v>
      </c>
      <c r="L140" s="329">
        <v>108.94799999999999</v>
      </c>
      <c r="M140" s="329">
        <v>109.27119999999999</v>
      </c>
      <c r="N140" s="338">
        <v>4.0962999999999999E-2</v>
      </c>
      <c r="O140" s="338">
        <v>2.0878000000000001E-2</v>
      </c>
      <c r="P140" s="333">
        <f t="shared" si="45"/>
        <v>1.4723194027920015E-2</v>
      </c>
      <c r="Q140" s="333">
        <f t="shared" si="46"/>
        <v>1.0935412603664268E-2</v>
      </c>
      <c r="R140" s="333">
        <f t="shared" si="47"/>
        <v>1.1736E-2</v>
      </c>
      <c r="S140" s="370">
        <f t="shared" si="48"/>
        <v>1.0000000000000009E-3</v>
      </c>
      <c r="T140" s="120"/>
      <c r="V140" s="141"/>
    </row>
    <row r="141" spans="1:22" s="114" customFormat="1" ht="12" customHeight="1">
      <c r="A141" s="398">
        <v>118</v>
      </c>
      <c r="B141" s="374" t="s">
        <v>76</v>
      </c>
      <c r="C141" s="375" t="s">
        <v>41</v>
      </c>
      <c r="D141" s="329">
        <v>1222429240.7</v>
      </c>
      <c r="E141" s="337">
        <f t="shared" si="43"/>
        <v>3.9028657147468171E-2</v>
      </c>
      <c r="F141" s="329">
        <v>1.5605</v>
      </c>
      <c r="G141" s="329">
        <v>1.5859000000000001</v>
      </c>
      <c r="H141" s="338">
        <v>2.5999999999999999E-3</v>
      </c>
      <c r="I141" s="338">
        <v>0.1391</v>
      </c>
      <c r="J141" s="329">
        <v>1224516702.3199999</v>
      </c>
      <c r="K141" s="318">
        <f t="shared" si="49"/>
        <v>3.8646555871612316E-2</v>
      </c>
      <c r="L141" s="329">
        <v>1.5608</v>
      </c>
      <c r="M141" s="329">
        <v>1.5862000000000001</v>
      </c>
      <c r="N141" s="338">
        <v>2.0000000000000001E-4</v>
      </c>
      <c r="O141" s="338">
        <v>0.1394</v>
      </c>
      <c r="P141" s="333">
        <f t="shared" si="45"/>
        <v>1.7076339067319281E-3</v>
      </c>
      <c r="Q141" s="333">
        <f t="shared" si="46"/>
        <v>1.8916703449143511E-4</v>
      </c>
      <c r="R141" s="333">
        <f t="shared" si="47"/>
        <v>-2.3999999999999998E-3</v>
      </c>
      <c r="S141" s="370">
        <f t="shared" si="48"/>
        <v>2.9999999999999472E-4</v>
      </c>
      <c r="T141" s="113"/>
      <c r="V141" s="141"/>
    </row>
    <row r="142" spans="1:22" s="114" customFormat="1" ht="12" customHeight="1">
      <c r="A142" s="398">
        <v>119</v>
      </c>
      <c r="B142" s="374" t="s">
        <v>248</v>
      </c>
      <c r="C142" s="375" t="s">
        <v>41</v>
      </c>
      <c r="D142" s="329">
        <v>696016789.77999997</v>
      </c>
      <c r="E142" s="337">
        <f t="shared" si="43"/>
        <v>2.222181845196191E-2</v>
      </c>
      <c r="F142" s="329">
        <v>1.2565</v>
      </c>
      <c r="G142" s="329">
        <v>1.2786999999999999</v>
      </c>
      <c r="H142" s="338">
        <v>-2E-3</v>
      </c>
      <c r="I142" s="338">
        <v>8.1199999999999994E-2</v>
      </c>
      <c r="J142" s="329">
        <v>692236800.63</v>
      </c>
      <c r="K142" s="318">
        <f t="shared" si="49"/>
        <v>2.1847450623782728E-2</v>
      </c>
      <c r="L142" s="329">
        <v>1.2496</v>
      </c>
      <c r="M142" s="329">
        <v>1.2716000000000001</v>
      </c>
      <c r="N142" s="338">
        <v>-5.4999999999999997E-3</v>
      </c>
      <c r="O142" s="338">
        <v>7.5300000000000006E-2</v>
      </c>
      <c r="P142" s="333">
        <f t="shared" si="45"/>
        <v>-5.4308878830276091E-3</v>
      </c>
      <c r="Q142" s="333">
        <f t="shared" si="46"/>
        <v>-5.5525142723077221E-3</v>
      </c>
      <c r="R142" s="333">
        <f t="shared" si="47"/>
        <v>-3.4999999999999996E-3</v>
      </c>
      <c r="S142" s="370">
        <f t="shared" si="48"/>
        <v>-5.8999999999999886E-3</v>
      </c>
      <c r="T142" s="113"/>
      <c r="U142" s="142"/>
      <c r="V142" s="141"/>
    </row>
    <row r="143" spans="1:22" s="316" customFormat="1" ht="12" customHeight="1">
      <c r="A143" s="396">
        <v>120</v>
      </c>
      <c r="B143" s="374" t="s">
        <v>162</v>
      </c>
      <c r="C143" s="375" t="s">
        <v>109</v>
      </c>
      <c r="D143" s="329">
        <v>4429213580.5299997</v>
      </c>
      <c r="E143" s="337">
        <f t="shared" si="43"/>
        <v>0.14141207728999253</v>
      </c>
      <c r="F143" s="329">
        <v>195.69</v>
      </c>
      <c r="G143" s="329">
        <v>200.24</v>
      </c>
      <c r="H143" s="338">
        <v>1.8E-3</v>
      </c>
      <c r="I143" s="338">
        <v>6.5799999999999997E-2</v>
      </c>
      <c r="J143" s="329">
        <v>4554277245.3000002</v>
      </c>
      <c r="K143" s="318">
        <f t="shared" si="49"/>
        <v>0.14373599778739773</v>
      </c>
      <c r="L143" s="329">
        <v>201.23</v>
      </c>
      <c r="M143" s="329">
        <v>205.89</v>
      </c>
      <c r="N143" s="338">
        <v>2.8199999999999999E-2</v>
      </c>
      <c r="O143" s="338">
        <v>9.4100000000000003E-2</v>
      </c>
      <c r="P143" s="333">
        <f t="shared" si="45"/>
        <v>2.8236088076618635E-2</v>
      </c>
      <c r="Q143" s="333">
        <f t="shared" si="46"/>
        <v>2.8216140631242396E-2</v>
      </c>
      <c r="R143" s="333">
        <f t="shared" si="47"/>
        <v>2.64E-2</v>
      </c>
      <c r="S143" s="370">
        <f t="shared" si="48"/>
        <v>2.8300000000000006E-2</v>
      </c>
      <c r="T143" s="113"/>
      <c r="U143" s="317"/>
      <c r="V143" s="141"/>
    </row>
    <row r="144" spans="1:22" s="334" customFormat="1" ht="12" customHeight="1">
      <c r="A144" s="403">
        <v>121</v>
      </c>
      <c r="B144" s="374" t="s">
        <v>52</v>
      </c>
      <c r="C144" s="375" t="s">
        <v>251</v>
      </c>
      <c r="D144" s="330">
        <v>2226709276.98</v>
      </c>
      <c r="E144" s="337">
        <f t="shared" si="43"/>
        <v>7.1092436310321291E-2</v>
      </c>
      <c r="F144" s="329">
        <v>3.14</v>
      </c>
      <c r="G144" s="329">
        <v>3.2</v>
      </c>
      <c r="H144" s="338">
        <v>1.12E-2</v>
      </c>
      <c r="I144" s="338">
        <v>1.9E-2</v>
      </c>
      <c r="J144" s="330">
        <v>2266365732.1999998</v>
      </c>
      <c r="K144" s="318">
        <f t="shared" si="49"/>
        <v>7.1527999356015226E-2</v>
      </c>
      <c r="L144" s="329">
        <v>3.2</v>
      </c>
      <c r="M144" s="329">
        <v>3.26</v>
      </c>
      <c r="N144" s="338">
        <v>1.7399999999999999E-2</v>
      </c>
      <c r="O144" s="338">
        <v>3.6799999999999999E-2</v>
      </c>
      <c r="P144" s="333">
        <f t="shared" si="45"/>
        <v>1.7809444470355068E-2</v>
      </c>
      <c r="Q144" s="333">
        <f t="shared" si="46"/>
        <v>1.8749999999999878E-2</v>
      </c>
      <c r="R144" s="333">
        <f t="shared" si="47"/>
        <v>6.1999999999999989E-3</v>
      </c>
      <c r="S144" s="370">
        <f t="shared" si="48"/>
        <v>1.78E-2</v>
      </c>
      <c r="T144" s="113"/>
      <c r="U144" s="317"/>
      <c r="V144" s="141"/>
    </row>
    <row r="145" spans="1:25" s="114" customFormat="1" ht="12" customHeight="1">
      <c r="A145" s="404">
        <v>122</v>
      </c>
      <c r="B145" s="374" t="s">
        <v>241</v>
      </c>
      <c r="C145" s="375" t="s">
        <v>9</v>
      </c>
      <c r="D145" s="330">
        <v>197619997.56</v>
      </c>
      <c r="E145" s="337">
        <f t="shared" si="43"/>
        <v>6.3094393306856187E-3</v>
      </c>
      <c r="F145" s="329">
        <v>152.99</v>
      </c>
      <c r="G145" s="329">
        <v>155.21</v>
      </c>
      <c r="H145" s="338">
        <v>1.7000000000000001E-2</v>
      </c>
      <c r="I145" s="338">
        <v>3.9199999999999999E-2</v>
      </c>
      <c r="J145" s="330">
        <v>199592627.5</v>
      </c>
      <c r="K145" s="318">
        <f t="shared" si="49"/>
        <v>6.2992751471877334E-3</v>
      </c>
      <c r="L145" s="329">
        <v>152.59</v>
      </c>
      <c r="M145" s="329">
        <v>154.97999999999999</v>
      </c>
      <c r="N145" s="338">
        <v>9.1000000000000004E-3</v>
      </c>
      <c r="O145" s="338">
        <v>5.9400000000000001E-2</v>
      </c>
      <c r="P145" s="333">
        <f t="shared" si="45"/>
        <v>9.9819348464523765E-3</v>
      </c>
      <c r="Q145" s="333">
        <f t="shared" si="46"/>
        <v>-1.4818632820051425E-3</v>
      </c>
      <c r="R145" s="333">
        <f t="shared" si="47"/>
        <v>-7.9000000000000008E-3</v>
      </c>
      <c r="S145" s="370">
        <f t="shared" si="48"/>
        <v>2.0200000000000003E-2</v>
      </c>
      <c r="T145" s="113"/>
      <c r="U145" s="142"/>
      <c r="V145" s="141"/>
    </row>
    <row r="146" spans="1:25" s="114" customFormat="1" ht="12" customHeight="1">
      <c r="A146" s="294"/>
      <c r="C146" s="248" t="s">
        <v>42</v>
      </c>
      <c r="D146" s="220">
        <f>SUM(D122:D145)</f>
        <v>31321324637.973106</v>
      </c>
      <c r="E146" s="266">
        <f>(D146/$D$168)</f>
        <v>1.9904004172748992E-2</v>
      </c>
      <c r="F146" s="268"/>
      <c r="G146" s="186"/>
      <c r="H146" s="281"/>
      <c r="I146" s="281"/>
      <c r="J146" s="220">
        <f>SUM(J122:J145)</f>
        <v>31685014995.591473</v>
      </c>
      <c r="K146" s="266">
        <f>(J146/$J$168)</f>
        <v>1.9342433080010889E-2</v>
      </c>
      <c r="L146" s="268"/>
      <c r="M146" s="186"/>
      <c r="N146" s="281"/>
      <c r="O146" s="281"/>
      <c r="P146" s="270">
        <f t="shared" ref="P146" si="50">((J146-D146)/D146)</f>
        <v>1.1611589286917901E-2</v>
      </c>
      <c r="Q146" s="270"/>
      <c r="R146" s="270">
        <f t="shared" ref="R146:S146" si="51">N146-H146</f>
        <v>0</v>
      </c>
      <c r="S146" s="370">
        <f t="shared" si="51"/>
        <v>0</v>
      </c>
      <c r="T146" s="113"/>
      <c r="U146" s="142"/>
      <c r="V146" s="141"/>
    </row>
    <row r="147" spans="1:25" s="114" customFormat="1" ht="5.25" customHeight="1">
      <c r="A147" s="412"/>
      <c r="B147" s="413"/>
      <c r="C147" s="414"/>
      <c r="D147" s="414"/>
      <c r="E147" s="414"/>
      <c r="F147" s="414"/>
      <c r="G147" s="414"/>
      <c r="H147" s="414"/>
      <c r="I147" s="414"/>
      <c r="J147" s="414"/>
      <c r="K147" s="414"/>
      <c r="L147" s="414"/>
      <c r="M147" s="414"/>
      <c r="N147" s="414"/>
      <c r="O147" s="414"/>
      <c r="P147" s="414"/>
      <c r="Q147" s="414"/>
      <c r="R147" s="414"/>
      <c r="S147" s="415"/>
      <c r="T147" s="113"/>
      <c r="U147" s="142"/>
      <c r="V147" s="141"/>
    </row>
    <row r="148" spans="1:25" s="114" customFormat="1" ht="12" customHeight="1">
      <c r="A148" s="408" t="s">
        <v>67</v>
      </c>
      <c r="B148" s="409"/>
      <c r="C148" s="410"/>
      <c r="D148" s="410"/>
      <c r="E148" s="410"/>
      <c r="F148" s="410"/>
      <c r="G148" s="410"/>
      <c r="H148" s="410"/>
      <c r="I148" s="410"/>
      <c r="J148" s="410"/>
      <c r="K148" s="410"/>
      <c r="L148" s="410"/>
      <c r="M148" s="410"/>
      <c r="N148" s="410"/>
      <c r="O148" s="410"/>
      <c r="P148" s="410"/>
      <c r="Q148" s="410"/>
      <c r="R148" s="410"/>
      <c r="S148" s="411"/>
      <c r="U148" s="143"/>
      <c r="V148" s="141"/>
    </row>
    <row r="149" spans="1:25" s="114" customFormat="1" ht="12" customHeight="1">
      <c r="A149" s="402">
        <v>123</v>
      </c>
      <c r="B149" s="374" t="s">
        <v>26</v>
      </c>
      <c r="C149" s="375" t="s">
        <v>6</v>
      </c>
      <c r="D149" s="326">
        <v>532477716.75</v>
      </c>
      <c r="E149" s="337">
        <f>(D149/$D$152)</f>
        <v>0.17634361591646827</v>
      </c>
      <c r="F149" s="326">
        <v>46.096800000000002</v>
      </c>
      <c r="G149" s="326">
        <v>47.486600000000003</v>
      </c>
      <c r="H149" s="319">
        <v>0.42880000000000001</v>
      </c>
      <c r="I149" s="319">
        <v>3.61E-2</v>
      </c>
      <c r="J149" s="326">
        <v>535215028.16000003</v>
      </c>
      <c r="K149" s="318">
        <f>(J149/$J$152)</f>
        <v>0.17499276096993502</v>
      </c>
      <c r="L149" s="326">
        <v>46.307200000000002</v>
      </c>
      <c r="M149" s="326">
        <v>47.703400000000002</v>
      </c>
      <c r="N149" s="319">
        <v>0.23810000000000001</v>
      </c>
      <c r="O149" s="319">
        <v>4.7500000000000001E-2</v>
      </c>
      <c r="P149" s="333">
        <f>((J149-D149)/D149)</f>
        <v>5.140706031244501E-3</v>
      </c>
      <c r="Q149" s="333">
        <f>((M149-G149)/G149)</f>
        <v>4.5654984774652048E-3</v>
      </c>
      <c r="R149" s="333">
        <f t="shared" ref="R149:S151" si="52">N149-H149</f>
        <v>-0.19070000000000001</v>
      </c>
      <c r="S149" s="370">
        <f t="shared" si="52"/>
        <v>1.14E-2</v>
      </c>
      <c r="U149" s="115"/>
      <c r="V149" s="141"/>
    </row>
    <row r="150" spans="1:25" s="114" customFormat="1" ht="11.25" customHeight="1">
      <c r="A150" s="404">
        <v>124</v>
      </c>
      <c r="B150" s="374" t="s">
        <v>250</v>
      </c>
      <c r="C150" s="375" t="s">
        <v>196</v>
      </c>
      <c r="D150" s="325">
        <v>607669075.78999996</v>
      </c>
      <c r="E150" s="337">
        <f>(D150/$D$152)</f>
        <v>0.20124515774946183</v>
      </c>
      <c r="F150" s="326">
        <v>16.824100000000001</v>
      </c>
      <c r="G150" s="326">
        <v>16.986599999999999</v>
      </c>
      <c r="H150" s="338">
        <v>8.0000000000000004E-4</v>
      </c>
      <c r="I150" s="338">
        <v>6.4199999999999993E-2</v>
      </c>
      <c r="J150" s="325">
        <v>607669075.78999996</v>
      </c>
      <c r="K150" s="318">
        <f t="shared" ref="K150:K151" si="53">(J150/$J$152)</f>
        <v>0.19868218142923977</v>
      </c>
      <c r="L150" s="326">
        <v>16.969899999999999</v>
      </c>
      <c r="M150" s="326">
        <v>17.139299999999999</v>
      </c>
      <c r="N150" s="338">
        <v>1.09E-2</v>
      </c>
      <c r="O150" s="338">
        <v>7.3599999999999999E-2</v>
      </c>
      <c r="P150" s="333">
        <f>((J150-D150)/D150)</f>
        <v>0</v>
      </c>
      <c r="Q150" s="111">
        <f>((M150-G150)/G150)</f>
        <v>8.9894387340609307E-3</v>
      </c>
      <c r="R150" s="333">
        <f t="shared" si="52"/>
        <v>1.01E-2</v>
      </c>
      <c r="S150" s="370">
        <f t="shared" si="52"/>
        <v>9.4000000000000056E-3</v>
      </c>
    </row>
    <row r="151" spans="1:25" s="114" customFormat="1" ht="12" customHeight="1">
      <c r="A151" s="400">
        <v>125</v>
      </c>
      <c r="B151" s="374" t="s">
        <v>25</v>
      </c>
      <c r="C151" s="375" t="s">
        <v>5</v>
      </c>
      <c r="D151" s="325">
        <v>1879399528.9000001</v>
      </c>
      <c r="E151" s="337">
        <f>(D151/$D$152)</f>
        <v>0.62241122633406987</v>
      </c>
      <c r="F151" s="326">
        <v>1.49</v>
      </c>
      <c r="G151" s="326">
        <v>1.5</v>
      </c>
      <c r="H151" s="338">
        <v>0</v>
      </c>
      <c r="I151" s="338">
        <v>4.1700000000000001E-2</v>
      </c>
      <c r="J151" s="325">
        <v>1915614003.02</v>
      </c>
      <c r="K151" s="318">
        <f t="shared" si="53"/>
        <v>0.62632505760082513</v>
      </c>
      <c r="L151" s="326">
        <v>1.51</v>
      </c>
      <c r="M151" s="326">
        <v>1.53</v>
      </c>
      <c r="N151" s="338">
        <v>0.02</v>
      </c>
      <c r="O151" s="338">
        <v>6.25E-2</v>
      </c>
      <c r="P151" s="333">
        <f>((J151-D151)/D151)</f>
        <v>1.9269172713476189E-2</v>
      </c>
      <c r="Q151" s="333">
        <f>((M151-G151)/G151)</f>
        <v>2.0000000000000018E-2</v>
      </c>
      <c r="R151" s="333">
        <f t="shared" si="52"/>
        <v>0.02</v>
      </c>
      <c r="S151" s="370">
        <f t="shared" si="52"/>
        <v>2.0799999999999999E-2</v>
      </c>
      <c r="W151" s="184"/>
      <c r="X151" s="185"/>
      <c r="Y151" s="112"/>
    </row>
    <row r="152" spans="1:25" s="114" customFormat="1" ht="12.75" customHeight="1">
      <c r="A152" s="218"/>
      <c r="C152" s="290" t="s">
        <v>42</v>
      </c>
      <c r="D152" s="220">
        <f>SUM(D149:D151)</f>
        <v>3019546321.4400001</v>
      </c>
      <c r="E152" s="266">
        <f>(D152/$D$168)</f>
        <v>1.9188544314912455E-3</v>
      </c>
      <c r="F152" s="11"/>
      <c r="G152" s="11"/>
      <c r="H152" s="280"/>
      <c r="I152" s="280"/>
      <c r="J152" s="220">
        <f>SUM(J149:J151)</f>
        <v>3058498106.9700003</v>
      </c>
      <c r="K152" s="266">
        <f>(J152/$J$168)</f>
        <v>1.8670906410376746E-3</v>
      </c>
      <c r="L152" s="268"/>
      <c r="M152" s="186"/>
      <c r="N152" s="281"/>
      <c r="O152" s="281"/>
      <c r="P152" s="270">
        <f>((J152-D152)/D152)</f>
        <v>1.2899880108951062E-2</v>
      </c>
      <c r="Q152" s="270"/>
      <c r="R152" s="270">
        <f>N152-H152</f>
        <v>0</v>
      </c>
      <c r="S152" s="370">
        <f t="shared" ref="S152" si="54">O152-I152</f>
        <v>0</v>
      </c>
      <c r="V152" s="113"/>
    </row>
    <row r="153" spans="1:25" s="114" customFormat="1" ht="4.5" customHeight="1">
      <c r="A153" s="412"/>
      <c r="B153" s="413"/>
      <c r="C153" s="414"/>
      <c r="D153" s="414"/>
      <c r="E153" s="414"/>
      <c r="F153" s="414"/>
      <c r="G153" s="414"/>
      <c r="H153" s="414"/>
      <c r="I153" s="414"/>
      <c r="J153" s="414"/>
      <c r="K153" s="414"/>
      <c r="L153" s="414"/>
      <c r="M153" s="414"/>
      <c r="N153" s="414"/>
      <c r="O153" s="414"/>
      <c r="P153" s="414"/>
      <c r="Q153" s="414"/>
      <c r="R153" s="414"/>
      <c r="S153" s="415"/>
      <c r="V153" s="113"/>
    </row>
    <row r="154" spans="1:25" s="114" customFormat="1" ht="12.75" customHeight="1">
      <c r="A154" s="408" t="s">
        <v>204</v>
      </c>
      <c r="B154" s="409"/>
      <c r="C154" s="410"/>
      <c r="D154" s="410"/>
      <c r="E154" s="410"/>
      <c r="F154" s="410"/>
      <c r="G154" s="410"/>
      <c r="H154" s="410"/>
      <c r="I154" s="410"/>
      <c r="J154" s="410"/>
      <c r="K154" s="410"/>
      <c r="L154" s="410"/>
      <c r="M154" s="410"/>
      <c r="N154" s="410"/>
      <c r="O154" s="410"/>
      <c r="P154" s="410"/>
      <c r="Q154" s="410"/>
      <c r="R154" s="410"/>
      <c r="S154" s="411"/>
      <c r="V154" s="113"/>
    </row>
    <row r="155" spans="1:25" s="114" customFormat="1" ht="12.75" customHeight="1">
      <c r="A155" s="416" t="s">
        <v>205</v>
      </c>
      <c r="B155" s="417"/>
      <c r="C155" s="418"/>
      <c r="D155" s="418"/>
      <c r="E155" s="418"/>
      <c r="F155" s="418"/>
      <c r="G155" s="418"/>
      <c r="H155" s="418"/>
      <c r="I155" s="418"/>
      <c r="J155" s="418"/>
      <c r="K155" s="418"/>
      <c r="L155" s="418"/>
      <c r="M155" s="418"/>
      <c r="N155" s="418"/>
      <c r="O155" s="418"/>
      <c r="P155" s="418"/>
      <c r="Q155" s="418"/>
      <c r="R155" s="418"/>
      <c r="S155" s="419"/>
      <c r="V155" s="113"/>
    </row>
    <row r="156" spans="1:25" s="114" customFormat="1" ht="12" customHeight="1">
      <c r="A156" s="396">
        <v>126</v>
      </c>
      <c r="B156" s="374" t="s">
        <v>132</v>
      </c>
      <c r="C156" s="375" t="s">
        <v>23</v>
      </c>
      <c r="D156" s="320">
        <v>3496297059.2199998</v>
      </c>
      <c r="E156" s="337">
        <f>(D156/$D$167)</f>
        <v>0.13941234017738824</v>
      </c>
      <c r="F156" s="321">
        <v>1.72</v>
      </c>
      <c r="G156" s="321">
        <v>1.74</v>
      </c>
      <c r="H156" s="324">
        <v>4.8999999999999998E-3</v>
      </c>
      <c r="I156" s="324">
        <v>6.83E-2</v>
      </c>
      <c r="J156" s="320">
        <v>3519541965.3000002</v>
      </c>
      <c r="K156" s="337">
        <f>(J156/$J$167)</f>
        <v>0.13953481165876708</v>
      </c>
      <c r="L156" s="321">
        <v>1.72</v>
      </c>
      <c r="M156" s="321">
        <v>1.75</v>
      </c>
      <c r="N156" s="324">
        <v>7.4000000000000003E-3</v>
      </c>
      <c r="O156" s="324">
        <v>7.6200000000000004E-2</v>
      </c>
      <c r="P156" s="111">
        <f>((J156-D156)/D156)</f>
        <v>6.6484356695898665E-3</v>
      </c>
      <c r="Q156" s="111">
        <f>((M156-G156)/G156)</f>
        <v>5.7471264367816143E-3</v>
      </c>
      <c r="R156" s="333">
        <f>N156-H156</f>
        <v>2.5000000000000005E-3</v>
      </c>
      <c r="S156" s="370">
        <f t="shared" ref="S156:S157" si="55">O156-I156</f>
        <v>7.9000000000000042E-3</v>
      </c>
      <c r="V156" s="113"/>
    </row>
    <row r="157" spans="1:25" s="114" customFormat="1" ht="12.75" customHeight="1">
      <c r="A157" s="402">
        <v>127</v>
      </c>
      <c r="B157" s="374" t="s">
        <v>66</v>
      </c>
      <c r="C157" s="375" t="s">
        <v>5</v>
      </c>
      <c r="D157" s="320">
        <v>316030577.88999999</v>
      </c>
      <c r="E157" s="337">
        <f>(D157/$D$167)</f>
        <v>1.2601492860874482E-2</v>
      </c>
      <c r="F157" s="321">
        <v>278.14</v>
      </c>
      <c r="G157" s="321">
        <v>281.64</v>
      </c>
      <c r="H157" s="324">
        <v>1.46E-2</v>
      </c>
      <c r="I157" s="324">
        <v>6.08E-2</v>
      </c>
      <c r="J157" s="320">
        <v>325327433.61000001</v>
      </c>
      <c r="K157" s="337">
        <f>(J157/$J$167)</f>
        <v>1.2897843703458171E-2</v>
      </c>
      <c r="L157" s="321">
        <v>279.63</v>
      </c>
      <c r="M157" s="321">
        <v>282.93</v>
      </c>
      <c r="N157" s="324">
        <v>4.5999999999999999E-3</v>
      </c>
      <c r="O157" s="324">
        <v>6.5699999999999995E-2</v>
      </c>
      <c r="P157" s="333">
        <f>((J157-D157)/D157)</f>
        <v>2.9417582887298847E-2</v>
      </c>
      <c r="Q157" s="333">
        <f>((M157-G157)/G157)</f>
        <v>4.5803152961227831E-3</v>
      </c>
      <c r="R157" s="333">
        <f>N157-H157</f>
        <v>-0.01</v>
      </c>
      <c r="S157" s="370">
        <f t="shared" si="55"/>
        <v>4.8999999999999946E-3</v>
      </c>
      <c r="T157" s="191"/>
    </row>
    <row r="158" spans="1:25" s="114" customFormat="1" ht="6" customHeight="1">
      <c r="A158" s="412"/>
      <c r="B158" s="413"/>
      <c r="C158" s="414"/>
      <c r="D158" s="414"/>
      <c r="E158" s="414"/>
      <c r="F158" s="414"/>
      <c r="G158" s="414"/>
      <c r="H158" s="414"/>
      <c r="I158" s="414"/>
      <c r="J158" s="414"/>
      <c r="K158" s="414"/>
      <c r="L158" s="414"/>
      <c r="M158" s="414"/>
      <c r="N158" s="414"/>
      <c r="O158" s="414"/>
      <c r="P158" s="414"/>
      <c r="Q158" s="414"/>
      <c r="R158" s="414"/>
      <c r="S158" s="415"/>
      <c r="T158" s="191"/>
    </row>
    <row r="159" spans="1:25" s="114" customFormat="1" ht="12" customHeight="1">
      <c r="A159" s="416" t="s">
        <v>206</v>
      </c>
      <c r="B159" s="417"/>
      <c r="C159" s="418"/>
      <c r="D159" s="418"/>
      <c r="E159" s="418"/>
      <c r="F159" s="418"/>
      <c r="G159" s="418"/>
      <c r="H159" s="418"/>
      <c r="I159" s="418"/>
      <c r="J159" s="418"/>
      <c r="K159" s="418"/>
      <c r="L159" s="418"/>
      <c r="M159" s="418"/>
      <c r="N159" s="418"/>
      <c r="O159" s="418"/>
      <c r="P159" s="418"/>
      <c r="Q159" s="418"/>
      <c r="R159" s="418"/>
      <c r="S159" s="419"/>
      <c r="T159" s="191"/>
    </row>
    <row r="160" spans="1:25" s="114" customFormat="1" ht="12" customHeight="1">
      <c r="A160" s="404">
        <v>128</v>
      </c>
      <c r="B160" s="374" t="s">
        <v>236</v>
      </c>
      <c r="C160" s="375" t="s">
        <v>237</v>
      </c>
      <c r="D160" s="330">
        <v>499448705.5</v>
      </c>
      <c r="E160" s="337">
        <f t="shared" ref="E160:E166" si="56">(D160/$D$167)</f>
        <v>1.9915159282219579E-2</v>
      </c>
      <c r="F160" s="330">
        <v>1029.3599999999999</v>
      </c>
      <c r="G160" s="330">
        <v>1029.3599999999999</v>
      </c>
      <c r="H160" s="338">
        <v>-3.4700000000000002E-2</v>
      </c>
      <c r="I160" s="338">
        <v>2.9399999999999999E-2</v>
      </c>
      <c r="J160" s="330">
        <v>500931777.48000002</v>
      </c>
      <c r="K160" s="337">
        <f t="shared" ref="K160:K166" si="57">(J160/$J$167)</f>
        <v>1.9859806166171192E-2</v>
      </c>
      <c r="L160" s="330">
        <v>1031.5899999999999</v>
      </c>
      <c r="M160" s="330">
        <v>1031.5899999999999</v>
      </c>
      <c r="N160" s="338">
        <v>3.1600000000000003E-2</v>
      </c>
      <c r="O160" s="338">
        <v>2.2000000000000001E-3</v>
      </c>
      <c r="P160" s="333">
        <f t="shared" ref="P160:P166" si="58">((J160-D160)/D160)</f>
        <v>2.9694180076316546E-3</v>
      </c>
      <c r="Q160" s="333">
        <f t="shared" ref="Q160:Q166" si="59">((M160-G160)/G160)</f>
        <v>2.1663946529882822E-3</v>
      </c>
      <c r="R160" s="333">
        <f t="shared" ref="R160:S166" si="60">N160-H160</f>
        <v>6.6299999999999998E-2</v>
      </c>
      <c r="S160" s="370">
        <f t="shared" si="60"/>
        <v>-2.7199999999999998E-2</v>
      </c>
      <c r="T160" s="191"/>
    </row>
    <row r="161" spans="1:20" s="114" customFormat="1" ht="12" customHeight="1">
      <c r="A161" s="396">
        <v>129</v>
      </c>
      <c r="B161" s="374" t="s">
        <v>239</v>
      </c>
      <c r="C161" s="375" t="s">
        <v>90</v>
      </c>
      <c r="D161" s="330">
        <v>61747437.560000002</v>
      </c>
      <c r="E161" s="337">
        <f t="shared" si="56"/>
        <v>2.462134831334162E-3</v>
      </c>
      <c r="F161" s="330">
        <v>104.43</v>
      </c>
      <c r="G161" s="330">
        <v>104.43</v>
      </c>
      <c r="H161" s="338">
        <v>-5.7999999999999996E-3</v>
      </c>
      <c r="I161" s="338">
        <v>6.08E-2</v>
      </c>
      <c r="J161" s="330">
        <v>62015270.850000001</v>
      </c>
      <c r="K161" s="337">
        <f t="shared" si="57"/>
        <v>2.4586407047669867E-3</v>
      </c>
      <c r="L161" s="330">
        <v>104.58</v>
      </c>
      <c r="M161" s="330">
        <v>104.58</v>
      </c>
      <c r="N161" s="338">
        <v>1.4E-3</v>
      </c>
      <c r="O161" s="338">
        <v>6.4000000000000001E-2</v>
      </c>
      <c r="P161" s="333">
        <f t="shared" si="58"/>
        <v>4.3375612103699916E-3</v>
      </c>
      <c r="Q161" s="333">
        <f t="shared" si="59"/>
        <v>1.4363688595230438E-3</v>
      </c>
      <c r="R161" s="333">
        <f t="shared" si="60"/>
        <v>7.1999999999999998E-3</v>
      </c>
      <c r="S161" s="370">
        <f t="shared" si="60"/>
        <v>3.2000000000000015E-3</v>
      </c>
      <c r="T161" s="191"/>
    </row>
    <row r="162" spans="1:20" s="114" customFormat="1" ht="12" customHeight="1">
      <c r="A162" s="397">
        <v>130</v>
      </c>
      <c r="B162" s="399" t="s">
        <v>243</v>
      </c>
      <c r="C162" s="375" t="s">
        <v>101</v>
      </c>
      <c r="D162" s="325">
        <v>51957353.259999998</v>
      </c>
      <c r="E162" s="337">
        <f t="shared" si="56"/>
        <v>2.0717622343611234E-3</v>
      </c>
      <c r="F162" s="326">
        <v>99.87</v>
      </c>
      <c r="G162" s="326">
        <v>103.54</v>
      </c>
      <c r="H162" s="338">
        <v>1.9E-3</v>
      </c>
      <c r="I162" s="338">
        <v>2.5999999999999999E-2</v>
      </c>
      <c r="J162" s="325">
        <v>52024825.420000002</v>
      </c>
      <c r="K162" s="337">
        <f t="shared" si="57"/>
        <v>2.0625621993233343E-3</v>
      </c>
      <c r="L162" s="326">
        <v>100</v>
      </c>
      <c r="M162" s="326">
        <v>103.79</v>
      </c>
      <c r="N162" s="338">
        <v>1.9E-3</v>
      </c>
      <c r="O162" s="338">
        <v>2.7900000000000001E-2</v>
      </c>
      <c r="P162" s="333">
        <f t="shared" si="58"/>
        <v>1.2986065641636165E-3</v>
      </c>
      <c r="Q162" s="333">
        <f t="shared" si="59"/>
        <v>2.4145257871354066E-3</v>
      </c>
      <c r="R162" s="333">
        <f t="shared" si="60"/>
        <v>0</v>
      </c>
      <c r="S162" s="370">
        <f t="shared" si="60"/>
        <v>1.9000000000000024E-3</v>
      </c>
      <c r="T162" s="191"/>
    </row>
    <row r="163" spans="1:20" s="114" customFormat="1" ht="12" customHeight="1">
      <c r="A163" s="398">
        <v>131</v>
      </c>
      <c r="B163" s="374" t="s">
        <v>192</v>
      </c>
      <c r="C163" s="375" t="s">
        <v>191</v>
      </c>
      <c r="D163" s="330">
        <v>9482030679.6000004</v>
      </c>
      <c r="E163" s="337">
        <f t="shared" si="56"/>
        <v>0.37808917957667382</v>
      </c>
      <c r="F163" s="330">
        <v>127.74</v>
      </c>
      <c r="G163" s="330">
        <v>127.74</v>
      </c>
      <c r="H163" s="338">
        <v>2.5000000000000001E-3</v>
      </c>
      <c r="I163" s="338">
        <v>0.1265</v>
      </c>
      <c r="J163" s="330">
        <v>9396906448.2999992</v>
      </c>
      <c r="K163" s="337">
        <f t="shared" si="57"/>
        <v>0.37254721903190319</v>
      </c>
      <c r="L163" s="330">
        <v>128.03</v>
      </c>
      <c r="M163" s="330">
        <v>128.03</v>
      </c>
      <c r="N163" s="338">
        <v>2.3E-3</v>
      </c>
      <c r="O163" s="338">
        <v>0.12690000000000001</v>
      </c>
      <c r="P163" s="333">
        <f t="shared" si="58"/>
        <v>-8.9774262683140899E-3</v>
      </c>
      <c r="Q163" s="333">
        <f t="shared" si="59"/>
        <v>2.2702364177235499E-3</v>
      </c>
      <c r="R163" s="333">
        <f t="shared" si="60"/>
        <v>-2.0000000000000009E-4</v>
      </c>
      <c r="S163" s="370">
        <f t="shared" si="60"/>
        <v>4.0000000000001146E-4</v>
      </c>
      <c r="T163" s="191"/>
    </row>
    <row r="164" spans="1:20" s="114" customFormat="1" ht="12" customHeight="1">
      <c r="A164" s="396">
        <v>132</v>
      </c>
      <c r="B164" s="374" t="s">
        <v>179</v>
      </c>
      <c r="C164" s="375" t="s">
        <v>178</v>
      </c>
      <c r="D164" s="330">
        <v>445518069.19999999</v>
      </c>
      <c r="E164" s="337">
        <f t="shared" si="56"/>
        <v>1.77647138004744E-2</v>
      </c>
      <c r="F164" s="331">
        <v>101.88</v>
      </c>
      <c r="G164" s="331">
        <v>101.88</v>
      </c>
      <c r="H164" s="338">
        <v>1.9E-3</v>
      </c>
      <c r="I164" s="338">
        <v>3.1800000000000002E-2</v>
      </c>
      <c r="J164" s="330">
        <v>447138004.60000002</v>
      </c>
      <c r="K164" s="337">
        <f t="shared" si="57"/>
        <v>1.7727112752872032E-2</v>
      </c>
      <c r="L164" s="331">
        <v>101.98</v>
      </c>
      <c r="M164" s="331">
        <v>101.98</v>
      </c>
      <c r="N164" s="338">
        <v>1E-3</v>
      </c>
      <c r="O164" s="338">
        <v>3.1800000000000002E-2</v>
      </c>
      <c r="P164" s="333">
        <f t="shared" si="58"/>
        <v>3.636071153991336E-3</v>
      </c>
      <c r="Q164" s="333">
        <f t="shared" si="59"/>
        <v>9.8154691794276132E-4</v>
      </c>
      <c r="R164" s="333">
        <f t="shared" si="60"/>
        <v>-8.9999999999999998E-4</v>
      </c>
      <c r="S164" s="370">
        <f t="shared" si="60"/>
        <v>0</v>
      </c>
      <c r="T164" s="191"/>
    </row>
    <row r="165" spans="1:20" s="322" customFormat="1" ht="12" customHeight="1">
      <c r="A165" s="402">
        <v>133</v>
      </c>
      <c r="B165" s="374" t="s">
        <v>134</v>
      </c>
      <c r="C165" s="375" t="s">
        <v>5</v>
      </c>
      <c r="D165" s="330">
        <v>8288395262.54</v>
      </c>
      <c r="E165" s="337">
        <f t="shared" si="56"/>
        <v>0.3304938225482662</v>
      </c>
      <c r="F165" s="331">
        <v>123.42</v>
      </c>
      <c r="G165" s="331">
        <v>123.42</v>
      </c>
      <c r="H165" s="338">
        <v>1.4E-3</v>
      </c>
      <c r="I165" s="338">
        <v>1.9800000000000002E-2</v>
      </c>
      <c r="J165" s="330">
        <v>8311811544.6199999</v>
      </c>
      <c r="K165" s="337">
        <f t="shared" si="57"/>
        <v>0.32952783909279487</v>
      </c>
      <c r="L165" s="331">
        <v>123.57</v>
      </c>
      <c r="M165" s="331">
        <v>123.57</v>
      </c>
      <c r="N165" s="338">
        <v>8.9999999999999998E-4</v>
      </c>
      <c r="O165" s="338">
        <v>2.1100000000000001E-2</v>
      </c>
      <c r="P165" s="333">
        <f t="shared" si="58"/>
        <v>2.8251888741155358E-3</v>
      </c>
      <c r="Q165" s="333">
        <f t="shared" si="59"/>
        <v>1.2153621779289537E-3</v>
      </c>
      <c r="R165" s="333">
        <f t="shared" si="60"/>
        <v>-5.0000000000000001E-4</v>
      </c>
      <c r="S165" s="370">
        <f t="shared" si="60"/>
        <v>1.2999999999999991E-3</v>
      </c>
      <c r="T165" s="323"/>
    </row>
    <row r="166" spans="1:20" s="114" customFormat="1" ht="12" customHeight="1">
      <c r="A166" s="398">
        <v>134</v>
      </c>
      <c r="B166" s="374" t="s">
        <v>168</v>
      </c>
      <c r="C166" s="375" t="s">
        <v>41</v>
      </c>
      <c r="D166" s="330">
        <v>2437395386.98</v>
      </c>
      <c r="E166" s="337">
        <f t="shared" si="56"/>
        <v>9.7189394688407968E-2</v>
      </c>
      <c r="F166" s="331">
        <v>1.1468</v>
      </c>
      <c r="G166" s="331">
        <v>1.1468</v>
      </c>
      <c r="H166" s="338">
        <v>0.2109</v>
      </c>
      <c r="I166" s="338">
        <v>0.125</v>
      </c>
      <c r="J166" s="330">
        <v>2607699840.98</v>
      </c>
      <c r="K166" s="337">
        <f t="shared" si="57"/>
        <v>0.10338416468994309</v>
      </c>
      <c r="L166" s="331">
        <v>1.1508</v>
      </c>
      <c r="M166" s="331">
        <v>1.1508</v>
      </c>
      <c r="N166" s="338">
        <v>0.1991</v>
      </c>
      <c r="O166" s="338">
        <v>0.129</v>
      </c>
      <c r="P166" s="333">
        <f t="shared" si="58"/>
        <v>6.9871492704764615E-2</v>
      </c>
      <c r="Q166" s="333">
        <f t="shared" si="59"/>
        <v>3.487966515521454E-3</v>
      </c>
      <c r="R166" s="333">
        <f t="shared" si="60"/>
        <v>-1.1800000000000005E-2</v>
      </c>
      <c r="S166" s="370">
        <f t="shared" si="60"/>
        <v>4.0000000000000036E-3</v>
      </c>
      <c r="T166" s="191"/>
    </row>
    <row r="167" spans="1:20" s="114" customFormat="1" ht="12" customHeight="1">
      <c r="A167" s="265"/>
      <c r="C167" s="290" t="s">
        <v>42</v>
      </c>
      <c r="D167" s="76">
        <f>SUM(D156:D166)</f>
        <v>25078820531.75</v>
      </c>
      <c r="E167" s="266">
        <f>(D167/$D$168)</f>
        <v>1.593703185549172E-2</v>
      </c>
      <c r="F167" s="267"/>
      <c r="G167" s="72"/>
      <c r="H167" s="249"/>
      <c r="I167" s="249"/>
      <c r="J167" s="76">
        <f>SUM(J156:J166)</f>
        <v>25223397111.16</v>
      </c>
      <c r="K167" s="266">
        <f>(J167/$J$168)</f>
        <v>1.5397874065738464E-2</v>
      </c>
      <c r="L167" s="268"/>
      <c r="M167" s="72"/>
      <c r="N167" s="269"/>
      <c r="O167" s="269"/>
      <c r="P167" s="270">
        <f t="shared" ref="P167:P168" si="61">((J167-D167)/D167)</f>
        <v>5.7648875164190705E-3</v>
      </c>
      <c r="Q167" s="270"/>
      <c r="R167" s="270">
        <f t="shared" ref="R167:S167" si="62">N167-H167</f>
        <v>0</v>
      </c>
      <c r="S167" s="370">
        <f t="shared" si="62"/>
        <v>0</v>
      </c>
      <c r="T167" s="139" t="s">
        <v>274</v>
      </c>
    </row>
    <row r="168" spans="1:20" s="114" customFormat="1" ht="12" customHeight="1">
      <c r="A168" s="271"/>
      <c r="B168" s="272"/>
      <c r="C168" s="272" t="s">
        <v>28</v>
      </c>
      <c r="D168" s="273">
        <f>SUM(D22,D54,D87,D112,D119,D146,D152,D167)</f>
        <v>1573619276108.0618</v>
      </c>
      <c r="E168" s="274"/>
      <c r="F168" s="274"/>
      <c r="G168" s="275"/>
      <c r="H168" s="276"/>
      <c r="I168" s="276"/>
      <c r="J168" s="273">
        <f>SUM(J22,J54,J87,J112,J119,J146,J152,J167)</f>
        <v>1638109066451.2014</v>
      </c>
      <c r="K168" s="274"/>
      <c r="L168" s="274"/>
      <c r="M168" s="275"/>
      <c r="N168" s="277"/>
      <c r="O168" s="277"/>
      <c r="P168" s="278">
        <f t="shared" si="61"/>
        <v>4.0981825351452471E-2</v>
      </c>
      <c r="Q168" s="278"/>
      <c r="R168" s="278"/>
      <c r="S168" s="279"/>
      <c r="T168" s="140">
        <f>((J168-D168)/D168)</f>
        <v>4.0981825351452471E-2</v>
      </c>
    </row>
    <row r="169" spans="1:20" s="114" customFormat="1" ht="6.75" customHeight="1">
      <c r="A169" s="412"/>
      <c r="B169" s="413"/>
      <c r="C169" s="414"/>
      <c r="D169" s="414"/>
      <c r="E169" s="414"/>
      <c r="F169" s="414"/>
      <c r="G169" s="414"/>
      <c r="H169" s="414"/>
      <c r="I169" s="414"/>
      <c r="J169" s="414"/>
      <c r="K169" s="414"/>
      <c r="L169" s="414"/>
      <c r="M169" s="414"/>
      <c r="N169" s="414"/>
      <c r="O169" s="414"/>
      <c r="P169" s="414"/>
      <c r="Q169" s="414"/>
      <c r="R169" s="414"/>
      <c r="S169" s="371"/>
      <c r="T169" s="191"/>
    </row>
    <row r="170" spans="1:20" s="114" customFormat="1" ht="12" customHeight="1">
      <c r="A170" s="462" t="s">
        <v>207</v>
      </c>
      <c r="B170" s="463"/>
      <c r="C170" s="464"/>
      <c r="D170" s="464"/>
      <c r="E170" s="464"/>
      <c r="F170" s="464"/>
      <c r="G170" s="464"/>
      <c r="H170" s="464"/>
      <c r="I170" s="464"/>
      <c r="J170" s="464"/>
      <c r="K170" s="464"/>
      <c r="L170" s="464"/>
      <c r="M170" s="464"/>
      <c r="N170" s="464"/>
      <c r="O170" s="464"/>
      <c r="P170" s="464"/>
      <c r="Q170" s="464"/>
      <c r="R170" s="464"/>
      <c r="S170" s="465"/>
      <c r="T170" s="191"/>
    </row>
    <row r="171" spans="1:20" s="114" customFormat="1" ht="25.5" customHeight="1">
      <c r="A171" s="246"/>
      <c r="B171" s="247"/>
      <c r="C171" s="247"/>
      <c r="D171" s="261" t="s">
        <v>211</v>
      </c>
      <c r="E171" s="262"/>
      <c r="F171" s="262"/>
      <c r="G171" s="368" t="s">
        <v>212</v>
      </c>
      <c r="H171" s="263"/>
      <c r="I171" s="263"/>
      <c r="J171" s="264" t="s">
        <v>211</v>
      </c>
      <c r="K171" s="262"/>
      <c r="L171" s="260" t="s">
        <v>221</v>
      </c>
      <c r="M171" s="260" t="s">
        <v>222</v>
      </c>
      <c r="N171" s="368"/>
      <c r="O171" s="368"/>
      <c r="P171" s="429" t="s">
        <v>63</v>
      </c>
      <c r="Q171" s="429"/>
      <c r="R171" s="429"/>
      <c r="S171" s="369"/>
      <c r="T171" s="191"/>
    </row>
    <row r="172" spans="1:20" s="114" customFormat="1" ht="12" customHeight="1">
      <c r="A172" s="286" t="s">
        <v>1</v>
      </c>
      <c r="B172" s="288" t="s">
        <v>2</v>
      </c>
      <c r="C172" s="287" t="s">
        <v>200</v>
      </c>
      <c r="D172" s="202"/>
      <c r="E172" s="202"/>
      <c r="F172" s="202"/>
      <c r="G172" s="202"/>
      <c r="H172" s="202"/>
      <c r="I172" s="202"/>
      <c r="J172" s="229"/>
      <c r="K172" s="230"/>
      <c r="L172" s="230"/>
      <c r="M172" s="231"/>
      <c r="N172" s="231"/>
      <c r="O172" s="231"/>
      <c r="P172" s="303" t="s">
        <v>210</v>
      </c>
      <c r="Q172" s="301" t="s">
        <v>213</v>
      </c>
      <c r="R172" s="301" t="s">
        <v>223</v>
      </c>
      <c r="S172" s="372"/>
      <c r="T172" s="191"/>
    </row>
    <row r="173" spans="1:20" s="114" customFormat="1" ht="12" customHeight="1">
      <c r="A173" s="404">
        <v>1</v>
      </c>
      <c r="B173" s="374" t="s">
        <v>227</v>
      </c>
      <c r="C173" s="375" t="s">
        <v>120</v>
      </c>
      <c r="D173" s="330">
        <v>91842597312</v>
      </c>
      <c r="E173" s="337">
        <f>(D173/$D$175)</f>
        <v>0.9763174772040305</v>
      </c>
      <c r="F173" s="331">
        <v>107.59</v>
      </c>
      <c r="G173" s="331">
        <v>107.59</v>
      </c>
      <c r="H173" s="327">
        <v>0</v>
      </c>
      <c r="I173" s="327">
        <v>0.13800000000000001</v>
      </c>
      <c r="J173" s="330">
        <v>91842597312</v>
      </c>
      <c r="K173" s="337">
        <f>(J173/$J$175)</f>
        <v>0.97626452463968705</v>
      </c>
      <c r="L173" s="331">
        <v>107.58</v>
      </c>
      <c r="M173" s="331">
        <v>107.58</v>
      </c>
      <c r="N173" s="327">
        <v>0</v>
      </c>
      <c r="O173" s="327">
        <v>0.13800000000000001</v>
      </c>
      <c r="P173" s="333">
        <f>((J173-D173)/D173)</f>
        <v>0</v>
      </c>
      <c r="Q173" s="333">
        <f>((M173-G173)/G173)</f>
        <v>-9.2945441026165212E-5</v>
      </c>
      <c r="R173" s="333">
        <f>N173-H173</f>
        <v>0</v>
      </c>
      <c r="S173" s="370">
        <f t="shared" ref="S173:S175" si="63">O173-I173</f>
        <v>0</v>
      </c>
      <c r="T173" s="191"/>
    </row>
    <row r="174" spans="1:20" s="114" customFormat="1" ht="12" customHeight="1">
      <c r="A174" s="398">
        <v>2</v>
      </c>
      <c r="B174" s="374" t="s">
        <v>252</v>
      </c>
      <c r="C174" s="375" t="s">
        <v>41</v>
      </c>
      <c r="D174" s="330">
        <v>2227824918.9099998</v>
      </c>
      <c r="E174" s="337">
        <f>(D174/$D$175)</f>
        <v>2.3682522795969475E-2</v>
      </c>
      <c r="F174" s="332">
        <v>1000000</v>
      </c>
      <c r="G174" s="332">
        <v>1000000</v>
      </c>
      <c r="H174" s="327">
        <v>2.7000000000000001E-3</v>
      </c>
      <c r="I174" s="327">
        <v>0.16389999999999999</v>
      </c>
      <c r="J174" s="330">
        <v>2232927296.3499999</v>
      </c>
      <c r="K174" s="337">
        <f>(J174/$J$175)</f>
        <v>2.3735475360312883E-2</v>
      </c>
      <c r="L174" s="332">
        <v>1000000</v>
      </c>
      <c r="M174" s="332">
        <v>1000000</v>
      </c>
      <c r="N174" s="327">
        <v>2.3E-3</v>
      </c>
      <c r="O174" s="327">
        <v>0.16309999999999999</v>
      </c>
      <c r="P174" s="333">
        <f>((J174-D174)/D174)</f>
        <v>2.2902955239842097E-3</v>
      </c>
      <c r="Q174" s="333">
        <f>((M174-G174)/G174)</f>
        <v>0</v>
      </c>
      <c r="R174" s="333">
        <f>N174-H174</f>
        <v>-4.0000000000000018E-4</v>
      </c>
      <c r="S174" s="370">
        <f t="shared" si="63"/>
        <v>-7.9999999999999516E-4</v>
      </c>
      <c r="T174" s="139" t="s">
        <v>215</v>
      </c>
    </row>
    <row r="175" spans="1:20" s="114" customFormat="1" ht="12" customHeight="1">
      <c r="A175" s="272"/>
      <c r="B175" s="272"/>
      <c r="C175" s="272" t="s">
        <v>208</v>
      </c>
      <c r="D175" s="380">
        <f>SUM(D173:D174)</f>
        <v>94070422230.910004</v>
      </c>
      <c r="E175" s="380"/>
      <c r="F175" s="381"/>
      <c r="G175" s="381"/>
      <c r="H175" s="382"/>
      <c r="I175" s="382"/>
      <c r="J175" s="380">
        <f>SUM(J173:J174)</f>
        <v>94075524608.350006</v>
      </c>
      <c r="K175" s="383"/>
      <c r="L175" s="381"/>
      <c r="M175" s="381"/>
      <c r="N175" s="382"/>
      <c r="O175" s="382"/>
      <c r="P175" s="384">
        <f>((J175-D175)/D175)</f>
        <v>5.4239975956288238E-5</v>
      </c>
      <c r="Q175" s="385"/>
      <c r="R175" s="384">
        <f>N175-H175</f>
        <v>0</v>
      </c>
      <c r="S175" s="386">
        <f t="shared" si="63"/>
        <v>0</v>
      </c>
      <c r="T175" s="140">
        <f>((J175-D175)/D175)</f>
        <v>5.4239975956288238E-5</v>
      </c>
    </row>
    <row r="176" spans="1:20" s="114" customFormat="1" ht="7.5" customHeight="1">
      <c r="A176" s="420"/>
      <c r="B176" s="421"/>
      <c r="C176" s="422"/>
      <c r="D176" s="422"/>
      <c r="E176" s="422"/>
      <c r="F176" s="422"/>
      <c r="G176" s="422"/>
      <c r="H176" s="422"/>
      <c r="I176" s="422"/>
      <c r="J176" s="422"/>
      <c r="K176" s="422"/>
      <c r="L176" s="422"/>
      <c r="M176" s="422"/>
      <c r="N176" s="422"/>
      <c r="O176" s="422"/>
      <c r="P176" s="422"/>
      <c r="Q176" s="422"/>
      <c r="R176" s="422"/>
      <c r="S176" s="423"/>
      <c r="T176" s="191"/>
    </row>
    <row r="177" spans="1:20" s="114" customFormat="1" ht="12" customHeight="1">
      <c r="A177" s="462" t="s">
        <v>46</v>
      </c>
      <c r="B177" s="463"/>
      <c r="C177" s="464"/>
      <c r="D177" s="464"/>
      <c r="E177" s="464"/>
      <c r="F177" s="464"/>
      <c r="G177" s="464"/>
      <c r="H177" s="464"/>
      <c r="I177" s="464"/>
      <c r="J177" s="464"/>
      <c r="K177" s="464"/>
      <c r="L177" s="464"/>
      <c r="M177" s="464"/>
      <c r="N177" s="464"/>
      <c r="O177" s="464"/>
      <c r="P177" s="464"/>
      <c r="Q177" s="464"/>
      <c r="R177" s="464"/>
      <c r="S177" s="465"/>
      <c r="T177" s="191"/>
    </row>
    <row r="178" spans="1:20" s="114" customFormat="1" ht="25.5" customHeight="1">
      <c r="A178" s="255"/>
      <c r="B178" s="257" t="s">
        <v>46</v>
      </c>
      <c r="C178" s="256" t="s">
        <v>200</v>
      </c>
      <c r="D178" s="257" t="s">
        <v>74</v>
      </c>
      <c r="E178" s="258" t="s">
        <v>62</v>
      </c>
      <c r="F178" s="258"/>
      <c r="G178" s="258" t="s">
        <v>75</v>
      </c>
      <c r="H178" s="259"/>
      <c r="I178" s="259"/>
      <c r="J178" s="260" t="s">
        <v>74</v>
      </c>
      <c r="K178" s="258" t="s">
        <v>62</v>
      </c>
      <c r="L178" s="260" t="s">
        <v>221</v>
      </c>
      <c r="M178" s="260" t="s">
        <v>222</v>
      </c>
      <c r="N178" s="258"/>
      <c r="O178" s="258"/>
      <c r="P178" s="429" t="s">
        <v>63</v>
      </c>
      <c r="Q178" s="429"/>
      <c r="R178" s="429"/>
      <c r="S178" s="373"/>
      <c r="T178" s="191"/>
    </row>
    <row r="179" spans="1:20" s="114" customFormat="1" ht="12" customHeight="1">
      <c r="A179" s="192"/>
      <c r="B179" s="68"/>
      <c r="C179" s="68"/>
      <c r="D179" s="202"/>
      <c r="E179" s="202"/>
      <c r="F179" s="202"/>
      <c r="G179" s="202"/>
      <c r="H179" s="225"/>
      <c r="I179" s="225"/>
      <c r="J179" s="221"/>
      <c r="K179" s="202"/>
      <c r="L179" s="202"/>
      <c r="M179" s="202"/>
      <c r="N179" s="224"/>
      <c r="O179" s="224"/>
      <c r="P179" s="301" t="s">
        <v>210</v>
      </c>
      <c r="Q179" s="304" t="s">
        <v>122</v>
      </c>
      <c r="R179" s="301" t="s">
        <v>223</v>
      </c>
      <c r="S179" s="370">
        <f t="shared" ref="S179:S192" si="64">O179-I179</f>
        <v>0</v>
      </c>
      <c r="T179" s="191"/>
    </row>
    <row r="180" spans="1:20" s="114" customFormat="1" ht="12" customHeight="1">
      <c r="A180" s="398">
        <v>1</v>
      </c>
      <c r="B180" s="374" t="s">
        <v>231</v>
      </c>
      <c r="C180" s="375" t="s">
        <v>89</v>
      </c>
      <c r="D180" s="328">
        <v>522098857.57276869</v>
      </c>
      <c r="E180" s="196">
        <f t="shared" ref="E180:E191" si="65">(D180/$D$192)</f>
        <v>7.029123170997062E-2</v>
      </c>
      <c r="F180" s="332">
        <v>120.2</v>
      </c>
      <c r="G180" s="332">
        <v>123.17</v>
      </c>
      <c r="H180" s="339">
        <v>4.3999999999999997E-2</v>
      </c>
      <c r="I180" s="339">
        <v>1.9E-3</v>
      </c>
      <c r="J180" s="328">
        <v>519525167.3496632</v>
      </c>
      <c r="K180" s="196">
        <f t="shared" ref="K180:K190" si="66">(J180/$J$192)</f>
        <v>6.988413144287843E-2</v>
      </c>
      <c r="L180" s="332">
        <v>119.61</v>
      </c>
      <c r="M180" s="332">
        <v>122.58</v>
      </c>
      <c r="N180" s="339">
        <v>0.04</v>
      </c>
      <c r="O180" s="339">
        <v>1.4E-3</v>
      </c>
      <c r="P180" s="333">
        <f t="shared" ref="P180:P191" si="67">((J180-D180)/D180)</f>
        <v>-4.9295074788528459E-3</v>
      </c>
      <c r="Q180" s="333">
        <f t="shared" ref="Q180:Q191" si="68">((M180-G180)/G180)</f>
        <v>-4.7901274661037866E-3</v>
      </c>
      <c r="R180" s="333">
        <f t="shared" ref="R180:R191" si="69">N180-H180</f>
        <v>-3.9999999999999966E-3</v>
      </c>
      <c r="S180" s="370">
        <f t="shared" si="64"/>
        <v>-5.0000000000000001E-4</v>
      </c>
      <c r="T180" s="191"/>
    </row>
    <row r="181" spans="1:20" s="114" customFormat="1" ht="12" customHeight="1">
      <c r="A181" s="396">
        <v>2</v>
      </c>
      <c r="B181" s="374" t="s">
        <v>98</v>
      </c>
      <c r="C181" s="375" t="s">
        <v>23</v>
      </c>
      <c r="D181" s="328">
        <v>557400845.73000002</v>
      </c>
      <c r="E181" s="196">
        <f t="shared" si="65"/>
        <v>7.504401021808435E-2</v>
      </c>
      <c r="F181" s="332">
        <v>16.690000000000001</v>
      </c>
      <c r="G181" s="332">
        <v>16.690000000000001</v>
      </c>
      <c r="H181" s="339">
        <v>1.8499999999999999E-2</v>
      </c>
      <c r="I181" s="339">
        <v>7.51E-2</v>
      </c>
      <c r="J181" s="328">
        <v>557626122.53999996</v>
      </c>
      <c r="K181" s="196">
        <f t="shared" si="66"/>
        <v>7.5009296358765229E-2</v>
      </c>
      <c r="L181" s="332">
        <v>16.7</v>
      </c>
      <c r="M181" s="332">
        <v>16.7</v>
      </c>
      <c r="N181" s="339">
        <v>4.0000000000000002E-4</v>
      </c>
      <c r="O181" s="339">
        <v>7.5499999999999998E-2</v>
      </c>
      <c r="P181" s="333">
        <f t="shared" si="67"/>
        <v>4.0415584534126244E-4</v>
      </c>
      <c r="Q181" s="333">
        <f t="shared" si="68"/>
        <v>5.9916117435578249E-4</v>
      </c>
      <c r="R181" s="333">
        <f t="shared" si="69"/>
        <v>-1.8099999999999998E-2</v>
      </c>
      <c r="S181" s="370">
        <f t="shared" si="64"/>
        <v>3.9999999999999758E-4</v>
      </c>
      <c r="T181" s="191"/>
    </row>
    <row r="182" spans="1:20" s="114" customFormat="1" ht="12" customHeight="1">
      <c r="A182" s="398">
        <v>3</v>
      </c>
      <c r="B182" s="374" t="s">
        <v>190</v>
      </c>
      <c r="C182" s="375" t="s">
        <v>55</v>
      </c>
      <c r="D182" s="328">
        <v>183224591.63</v>
      </c>
      <c r="E182" s="196">
        <f t="shared" si="65"/>
        <v>2.4667899648552715E-2</v>
      </c>
      <c r="F182" s="332">
        <v>17.399999999999999</v>
      </c>
      <c r="G182" s="332">
        <v>17.5</v>
      </c>
      <c r="H182" s="339">
        <v>-2.7982207499454348E-2</v>
      </c>
      <c r="I182" s="339">
        <v>-3.4416620509855833E-2</v>
      </c>
      <c r="J182" s="328">
        <v>180605396.69</v>
      </c>
      <c r="K182" s="196">
        <f t="shared" si="66"/>
        <v>2.4294205699340782E-2</v>
      </c>
      <c r="L182" s="332">
        <v>17.399999999999999</v>
      </c>
      <c r="M182" s="332">
        <v>17.5</v>
      </c>
      <c r="N182" s="339">
        <v>-1.4294996739788846E-2</v>
      </c>
      <c r="O182" s="339">
        <v>-4.8219631771661775E-2</v>
      </c>
      <c r="P182" s="333">
        <f t="shared" si="67"/>
        <v>-1.4294996739788873E-2</v>
      </c>
      <c r="Q182" s="333">
        <f t="shared" si="68"/>
        <v>0</v>
      </c>
      <c r="R182" s="333">
        <f t="shared" si="69"/>
        <v>1.3687210759665502E-2</v>
      </c>
      <c r="S182" s="370">
        <f t="shared" si="64"/>
        <v>-1.3803011261805942E-2</v>
      </c>
      <c r="T182" s="191"/>
    </row>
    <row r="183" spans="1:20" s="114" customFormat="1" ht="12" customHeight="1">
      <c r="A183" s="398">
        <v>4</v>
      </c>
      <c r="B183" s="374" t="s">
        <v>189</v>
      </c>
      <c r="C183" s="375" t="s">
        <v>55</v>
      </c>
      <c r="D183" s="328">
        <v>240711278.88999999</v>
      </c>
      <c r="E183" s="196">
        <f t="shared" si="65"/>
        <v>3.2407449344594864E-2</v>
      </c>
      <c r="F183" s="332">
        <v>16.399999999999999</v>
      </c>
      <c r="G183" s="332">
        <v>16.5</v>
      </c>
      <c r="H183" s="339">
        <v>2.3734053600450444E-2</v>
      </c>
      <c r="I183" s="339">
        <v>3.5821479089744646E-2</v>
      </c>
      <c r="J183" s="328">
        <v>264482468.94999999</v>
      </c>
      <c r="K183" s="196">
        <f t="shared" si="66"/>
        <v>3.5576962938542026E-2</v>
      </c>
      <c r="L183" s="332">
        <v>16.399999999999999</v>
      </c>
      <c r="M183" s="332">
        <v>16.5</v>
      </c>
      <c r="N183" s="339">
        <v>9.8753951911256133E-2</v>
      </c>
      <c r="O183" s="339">
        <v>0.13811294362441928</v>
      </c>
      <c r="P183" s="333">
        <f t="shared" si="67"/>
        <v>9.8753951911256049E-2</v>
      </c>
      <c r="Q183" s="333">
        <f t="shared" si="68"/>
        <v>0</v>
      </c>
      <c r="R183" s="333">
        <f t="shared" si="69"/>
        <v>7.5019898310805688E-2</v>
      </c>
      <c r="S183" s="370">
        <f t="shared" si="64"/>
        <v>0.10229146453467464</v>
      </c>
      <c r="T183" s="191"/>
    </row>
    <row r="184" spans="1:20" s="114" customFormat="1" ht="12" customHeight="1">
      <c r="A184" s="398">
        <v>5</v>
      </c>
      <c r="B184" s="374" t="s">
        <v>32</v>
      </c>
      <c r="C184" s="375" t="s">
        <v>31</v>
      </c>
      <c r="D184" s="328">
        <v>656795400</v>
      </c>
      <c r="E184" s="196">
        <f t="shared" si="65"/>
        <v>8.8425701335705792E-2</v>
      </c>
      <c r="F184" s="332">
        <v>12300</v>
      </c>
      <c r="G184" s="332">
        <v>12300</v>
      </c>
      <c r="H184" s="339">
        <v>0</v>
      </c>
      <c r="I184" s="339">
        <v>0</v>
      </c>
      <c r="J184" s="328">
        <v>614077000</v>
      </c>
      <c r="K184" s="196">
        <f t="shared" si="66"/>
        <v>8.2602808258498278E-2</v>
      </c>
      <c r="L184" s="332">
        <v>11500</v>
      </c>
      <c r="M184" s="332">
        <v>11500</v>
      </c>
      <c r="N184" s="339">
        <v>0</v>
      </c>
      <c r="O184" s="339">
        <v>0</v>
      </c>
      <c r="P184" s="333">
        <f t="shared" si="67"/>
        <v>-6.5040650406504072E-2</v>
      </c>
      <c r="Q184" s="333">
        <f t="shared" si="68"/>
        <v>-6.5040650406504072E-2</v>
      </c>
      <c r="R184" s="333">
        <f t="shared" si="69"/>
        <v>0</v>
      </c>
      <c r="S184" s="370">
        <f t="shared" si="64"/>
        <v>0</v>
      </c>
      <c r="T184" s="191"/>
    </row>
    <row r="185" spans="1:20" s="114" customFormat="1" ht="12" customHeight="1">
      <c r="A185" s="402">
        <v>6</v>
      </c>
      <c r="B185" s="374" t="s">
        <v>96</v>
      </c>
      <c r="C185" s="375" t="s">
        <v>39</v>
      </c>
      <c r="D185" s="328">
        <v>631488101.87</v>
      </c>
      <c r="E185" s="196">
        <f t="shared" si="65"/>
        <v>8.5018528285990394E-2</v>
      </c>
      <c r="F185" s="332">
        <v>73</v>
      </c>
      <c r="G185" s="332">
        <v>73</v>
      </c>
      <c r="H185" s="339">
        <v>8.6E-3</v>
      </c>
      <c r="I185" s="339">
        <v>2.9399999999999999E-2</v>
      </c>
      <c r="J185" s="328">
        <v>643963752.39999998</v>
      </c>
      <c r="K185" s="196">
        <f t="shared" si="66"/>
        <v>8.6623036467609521E-2</v>
      </c>
      <c r="L185" s="332">
        <v>73</v>
      </c>
      <c r="M185" s="332">
        <v>73</v>
      </c>
      <c r="N185" s="339">
        <v>1.9699999999999999E-2</v>
      </c>
      <c r="O185" s="339">
        <v>4.9700000000000001E-2</v>
      </c>
      <c r="P185" s="333">
        <f t="shared" si="67"/>
        <v>1.9755955010167785E-2</v>
      </c>
      <c r="Q185" s="333">
        <f t="shared" si="68"/>
        <v>0</v>
      </c>
      <c r="R185" s="333">
        <f t="shared" si="69"/>
        <v>1.1099999999999999E-2</v>
      </c>
      <c r="S185" s="370">
        <f t="shared" si="64"/>
        <v>2.0300000000000002E-2</v>
      </c>
      <c r="T185" s="191"/>
    </row>
    <row r="186" spans="1:20" s="114" customFormat="1" ht="12" customHeight="1">
      <c r="A186" s="402">
        <v>7</v>
      </c>
      <c r="B186" s="374" t="s">
        <v>40</v>
      </c>
      <c r="C186" s="375" t="s">
        <v>39</v>
      </c>
      <c r="D186" s="328">
        <v>477351382.81</v>
      </c>
      <c r="E186" s="196">
        <f t="shared" si="65"/>
        <v>6.4266788117796236E-2</v>
      </c>
      <c r="F186" s="332">
        <v>228.6</v>
      </c>
      <c r="G186" s="332">
        <v>228.6</v>
      </c>
      <c r="H186" s="339">
        <v>2.3400000000000001E-2</v>
      </c>
      <c r="I186" s="339">
        <v>6.8000000000000005E-2</v>
      </c>
      <c r="J186" s="328">
        <v>476720425.44</v>
      </c>
      <c r="K186" s="196">
        <f t="shared" si="66"/>
        <v>6.4126234813435518E-2</v>
      </c>
      <c r="L186" s="332">
        <v>248.95</v>
      </c>
      <c r="M186" s="332">
        <v>248.95</v>
      </c>
      <c r="N186" s="339">
        <v>-1.2999999999999999E-3</v>
      </c>
      <c r="O186" s="339">
        <v>6.6500000000000004E-2</v>
      </c>
      <c r="P186" s="333">
        <f t="shared" si="67"/>
        <v>-1.3217880846720926E-3</v>
      </c>
      <c r="Q186" s="333">
        <f t="shared" si="68"/>
        <v>8.9020122484689393E-2</v>
      </c>
      <c r="R186" s="333">
        <f t="shared" si="69"/>
        <v>-2.47E-2</v>
      </c>
      <c r="S186" s="370">
        <f t="shared" si="64"/>
        <v>-1.5000000000000013E-3</v>
      </c>
      <c r="T186" s="191"/>
    </row>
    <row r="187" spans="1:20" s="114" customFormat="1" ht="12" customHeight="1">
      <c r="A187" s="398">
        <v>8</v>
      </c>
      <c r="B187" s="374" t="s">
        <v>50</v>
      </c>
      <c r="C187" s="375" t="s">
        <v>29</v>
      </c>
      <c r="D187" s="328">
        <v>164375317.97</v>
      </c>
      <c r="E187" s="196">
        <f t="shared" si="65"/>
        <v>2.2130183575854664E-2</v>
      </c>
      <c r="F187" s="332">
        <v>7.31</v>
      </c>
      <c r="G187" s="332">
        <v>7.41</v>
      </c>
      <c r="H187" s="339">
        <v>0</v>
      </c>
      <c r="I187" s="339">
        <v>0</v>
      </c>
      <c r="J187" s="328">
        <v>164394642.63</v>
      </c>
      <c r="K187" s="196">
        <f t="shared" si="66"/>
        <v>2.2113609765371828E-2</v>
      </c>
      <c r="L187" s="332">
        <v>7.31</v>
      </c>
      <c r="M187" s="332">
        <v>7.41</v>
      </c>
      <c r="N187" s="339">
        <v>0</v>
      </c>
      <c r="O187" s="339">
        <v>0</v>
      </c>
      <c r="P187" s="333">
        <f t="shared" si="67"/>
        <v>1.175642440644486E-4</v>
      </c>
      <c r="Q187" s="333">
        <f t="shared" si="68"/>
        <v>0</v>
      </c>
      <c r="R187" s="333">
        <f t="shared" si="69"/>
        <v>0</v>
      </c>
      <c r="S187" s="370">
        <f t="shared" si="64"/>
        <v>0</v>
      </c>
      <c r="T187" s="191"/>
    </row>
    <row r="188" spans="1:20" s="114" customFormat="1" ht="12" customHeight="1">
      <c r="A188" s="398">
        <v>9</v>
      </c>
      <c r="B188" s="374" t="s">
        <v>60</v>
      </c>
      <c r="C188" s="375" t="s">
        <v>29</v>
      </c>
      <c r="D188" s="75">
        <v>360064239.17000002</v>
      </c>
      <c r="E188" s="196">
        <f t="shared" si="65"/>
        <v>4.8476181280372184E-2</v>
      </c>
      <c r="F188" s="332">
        <v>4.33</v>
      </c>
      <c r="G188" s="332">
        <v>4.43</v>
      </c>
      <c r="H188" s="339">
        <v>0</v>
      </c>
      <c r="I188" s="339">
        <v>0</v>
      </c>
      <c r="J188" s="75">
        <v>379381189.43000001</v>
      </c>
      <c r="K188" s="196">
        <f t="shared" si="66"/>
        <v>5.1032609342749044E-2</v>
      </c>
      <c r="L188" s="332">
        <v>4.5599999999999996</v>
      </c>
      <c r="M188" s="332">
        <v>4.66</v>
      </c>
      <c r="N188" s="339">
        <v>0</v>
      </c>
      <c r="O188" s="339">
        <v>0</v>
      </c>
      <c r="P188" s="333">
        <f t="shared" si="67"/>
        <v>5.3648621991809975E-2</v>
      </c>
      <c r="Q188" s="333">
        <f t="shared" si="68"/>
        <v>5.1918735891647957E-2</v>
      </c>
      <c r="R188" s="333">
        <f t="shared" si="69"/>
        <v>0</v>
      </c>
      <c r="S188" s="370">
        <f t="shared" si="64"/>
        <v>0</v>
      </c>
      <c r="T188" s="191"/>
    </row>
    <row r="189" spans="1:20" s="114" customFormat="1" ht="12" customHeight="1">
      <c r="A189" s="398">
        <v>10</v>
      </c>
      <c r="B189" s="374" t="s">
        <v>94</v>
      </c>
      <c r="C189" s="375" t="s">
        <v>29</v>
      </c>
      <c r="D189" s="328">
        <v>507164044.56</v>
      </c>
      <c r="E189" s="196">
        <f t="shared" si="65"/>
        <v>6.8280527440464936E-2</v>
      </c>
      <c r="F189" s="332">
        <v>143.07</v>
      </c>
      <c r="G189" s="332">
        <v>145.07</v>
      </c>
      <c r="H189" s="339">
        <v>0</v>
      </c>
      <c r="I189" s="339">
        <v>0</v>
      </c>
      <c r="J189" s="328">
        <v>507266573.44999999</v>
      </c>
      <c r="K189" s="196">
        <f t="shared" si="66"/>
        <v>6.8235161881385856E-2</v>
      </c>
      <c r="L189" s="332">
        <v>143.1</v>
      </c>
      <c r="M189" s="332">
        <v>145.1</v>
      </c>
      <c r="N189" s="339">
        <v>0</v>
      </c>
      <c r="O189" s="339">
        <v>0</v>
      </c>
      <c r="P189" s="333">
        <f t="shared" si="67"/>
        <v>2.0216119636189237E-4</v>
      </c>
      <c r="Q189" s="333">
        <f t="shared" si="68"/>
        <v>2.0679671882540247E-4</v>
      </c>
      <c r="R189" s="333">
        <f t="shared" si="69"/>
        <v>0</v>
      </c>
      <c r="S189" s="370">
        <f t="shared" si="64"/>
        <v>0</v>
      </c>
      <c r="T189" s="191"/>
    </row>
    <row r="190" spans="1:20" s="114" customFormat="1" ht="12" customHeight="1">
      <c r="A190" s="398">
        <v>11</v>
      </c>
      <c r="B190" s="374" t="s">
        <v>30</v>
      </c>
      <c r="C190" s="375" t="s">
        <v>29</v>
      </c>
      <c r="D190" s="328">
        <v>2867818359.6500001</v>
      </c>
      <c r="E190" s="196">
        <f t="shared" si="65"/>
        <v>0.38610022201048394</v>
      </c>
      <c r="F190" s="332">
        <v>19.149999999999999</v>
      </c>
      <c r="G190" s="332">
        <v>19.350000000000001</v>
      </c>
      <c r="H190" s="339">
        <v>0</v>
      </c>
      <c r="I190" s="339">
        <v>0</v>
      </c>
      <c r="J190" s="328">
        <v>2866807508.1999998</v>
      </c>
      <c r="K190" s="196">
        <f t="shared" si="66"/>
        <v>0.38562973521865795</v>
      </c>
      <c r="L190" s="332">
        <v>19.09</v>
      </c>
      <c r="M190" s="332">
        <v>19.29</v>
      </c>
      <c r="N190" s="339">
        <v>0</v>
      </c>
      <c r="O190" s="339">
        <v>0</v>
      </c>
      <c r="P190" s="333">
        <f t="shared" si="67"/>
        <v>-3.5248098841366451E-4</v>
      </c>
      <c r="Q190" s="333">
        <f t="shared" si="68"/>
        <v>-3.1007751937985671E-3</v>
      </c>
      <c r="R190" s="333">
        <f t="shared" si="69"/>
        <v>0</v>
      </c>
      <c r="S190" s="370">
        <f t="shared" si="64"/>
        <v>0</v>
      </c>
      <c r="T190" s="191"/>
    </row>
    <row r="191" spans="1:20" s="114" customFormat="1" ht="12" customHeight="1">
      <c r="A191" s="398">
        <v>12</v>
      </c>
      <c r="B191" s="374" t="s">
        <v>51</v>
      </c>
      <c r="C191" s="375" t="s">
        <v>29</v>
      </c>
      <c r="D191" s="75">
        <v>259160288.34</v>
      </c>
      <c r="E191" s="196">
        <f t="shared" si="65"/>
        <v>3.4891277032129395E-2</v>
      </c>
      <c r="F191" s="332">
        <v>24.37</v>
      </c>
      <c r="G191" s="332">
        <v>24.57</v>
      </c>
      <c r="H191" s="339">
        <v>0</v>
      </c>
      <c r="I191" s="339">
        <v>0</v>
      </c>
      <c r="J191" s="75">
        <v>259243253.44999999</v>
      </c>
      <c r="K191" s="196">
        <v>0.24610000000000001</v>
      </c>
      <c r="L191" s="332">
        <v>24.39</v>
      </c>
      <c r="M191" s="332">
        <v>24.59</v>
      </c>
      <c r="N191" s="339">
        <v>0</v>
      </c>
      <c r="O191" s="339">
        <v>0</v>
      </c>
      <c r="P191" s="333">
        <f t="shared" si="67"/>
        <v>3.2013048963404507E-4</v>
      </c>
      <c r="Q191" s="333">
        <f t="shared" si="68"/>
        <v>8.1400081400079662E-4</v>
      </c>
      <c r="R191" s="333">
        <f t="shared" si="69"/>
        <v>0</v>
      </c>
      <c r="S191" s="370">
        <f t="shared" si="64"/>
        <v>0</v>
      </c>
      <c r="T191" s="193"/>
    </row>
    <row r="192" spans="1:20" s="114" customFormat="1" ht="12" customHeight="1">
      <c r="A192" s="387"/>
      <c r="B192" s="388"/>
      <c r="C192" s="388" t="s">
        <v>33</v>
      </c>
      <c r="D192" s="380">
        <f>SUM(D180:D191)</f>
        <v>7427652708.1927681</v>
      </c>
      <c r="E192" s="380"/>
      <c r="F192" s="383"/>
      <c r="G192" s="381"/>
      <c r="H192" s="382"/>
      <c r="I192" s="382"/>
      <c r="J192" s="380">
        <f>SUM(J180:J191)</f>
        <v>7434093500.5296631</v>
      </c>
      <c r="K192" s="383"/>
      <c r="L192" s="383"/>
      <c r="M192" s="381"/>
      <c r="N192" s="382"/>
      <c r="O192" s="382"/>
      <c r="P192" s="384">
        <f t="shared" ref="P192" si="70">((J192-D192)/D192)</f>
        <v>8.671369798685844E-4</v>
      </c>
      <c r="Q192" s="385"/>
      <c r="R192" s="384">
        <f t="shared" ref="R192" si="71">N192-H192</f>
        <v>0</v>
      </c>
      <c r="S192" s="386">
        <f t="shared" si="64"/>
        <v>0</v>
      </c>
      <c r="T192" s="139" t="s">
        <v>273</v>
      </c>
    </row>
    <row r="193" spans="1:20" s="114" customFormat="1" ht="12" customHeight="1" thickBot="1">
      <c r="A193" s="250"/>
      <c r="B193" s="251"/>
      <c r="C193" s="251" t="s">
        <v>43</v>
      </c>
      <c r="D193" s="252">
        <f>SUM(D168,D175,D192)</f>
        <v>1675117351047.1646</v>
      </c>
      <c r="E193" s="252"/>
      <c r="F193" s="252"/>
      <c r="G193" s="253"/>
      <c r="H193" s="254"/>
      <c r="I193" s="254"/>
      <c r="J193" s="252">
        <f>SUM(J168,J175,J192)</f>
        <v>1739618684560.0811</v>
      </c>
      <c r="K193" s="232"/>
      <c r="L193" s="232"/>
      <c r="M193" s="233"/>
      <c r="N193" s="234"/>
      <c r="O193" s="234"/>
      <c r="P193" s="215"/>
      <c r="Q193" s="219"/>
      <c r="R193" s="219"/>
      <c r="S193" s="216"/>
      <c r="T193" s="140">
        <f>((J192-D192)/D192)</f>
        <v>8.671369798685844E-4</v>
      </c>
    </row>
    <row r="194" spans="1:20" ht="12" customHeight="1">
      <c r="A194" s="235"/>
      <c r="B194" s="94"/>
      <c r="C194" s="236"/>
      <c r="D194" s="66"/>
      <c r="E194" s="66"/>
      <c r="F194" s="66"/>
      <c r="G194" s="237"/>
      <c r="H194" s="238"/>
      <c r="I194" s="238"/>
      <c r="J194" s="7"/>
      <c r="K194" s="66"/>
      <c r="L194" s="66"/>
      <c r="M194" s="239"/>
      <c r="N194" s="240"/>
      <c r="O194" s="240"/>
    </row>
    <row r="195" spans="1:20" ht="12" customHeight="1">
      <c r="A195" s="240"/>
      <c r="B195" s="239"/>
      <c r="C195" s="242"/>
      <c r="D195" s="239"/>
      <c r="E195" s="239"/>
      <c r="F195" s="239"/>
      <c r="G195" s="239"/>
      <c r="H195" s="241"/>
      <c r="I195" s="241"/>
      <c r="J195" s="243"/>
      <c r="K195" s="239"/>
      <c r="L195" s="239"/>
      <c r="M195" s="239"/>
      <c r="N195" s="240"/>
      <c r="O195" s="240"/>
    </row>
    <row r="196" spans="1:20" ht="12" customHeight="1">
      <c r="A196" s="240"/>
      <c r="B196" s="242"/>
      <c r="C196" s="239"/>
      <c r="D196" s="239"/>
      <c r="E196" s="239"/>
      <c r="F196" s="239"/>
      <c r="G196" s="239"/>
      <c r="H196" s="241"/>
      <c r="I196" s="241"/>
      <c r="J196" s="243"/>
      <c r="K196" s="239"/>
      <c r="L196" s="239"/>
      <c r="M196" s="239"/>
      <c r="N196" s="240"/>
      <c r="O196" s="240"/>
    </row>
    <row r="197" spans="1:20" ht="12" customHeight="1">
      <c r="A197" s="240"/>
      <c r="B197" s="245"/>
      <c r="C197" s="244"/>
      <c r="D197" s="239"/>
      <c r="E197" s="239"/>
      <c r="F197" s="239"/>
      <c r="G197" s="239"/>
      <c r="H197" s="241"/>
      <c r="I197" s="241"/>
      <c r="J197" s="243"/>
      <c r="K197" s="239"/>
      <c r="L197" s="239"/>
      <c r="M197" s="239"/>
      <c r="N197" s="240"/>
      <c r="O197" s="240"/>
    </row>
    <row r="198" spans="1:20" ht="12" customHeight="1">
      <c r="A198" s="240"/>
      <c r="B198" s="244"/>
      <c r="C198" s="244"/>
      <c r="D198" s="239"/>
      <c r="E198" s="239"/>
      <c r="F198" s="239"/>
      <c r="G198" s="239"/>
      <c r="H198" s="241"/>
      <c r="I198" s="241"/>
      <c r="J198" s="243"/>
      <c r="K198" s="239"/>
      <c r="L198" s="239"/>
      <c r="M198" s="239"/>
      <c r="N198" s="240"/>
      <c r="O198" s="240"/>
    </row>
    <row r="199" spans="1:20" ht="12" customHeight="1">
      <c r="A199" s="240"/>
      <c r="B199" s="244"/>
      <c r="C199" s="244"/>
      <c r="D199" s="239"/>
      <c r="E199" s="239"/>
      <c r="F199" s="239"/>
      <c r="G199" s="239"/>
      <c r="H199" s="241"/>
      <c r="I199" s="241"/>
      <c r="J199" s="243"/>
      <c r="K199" s="239"/>
      <c r="L199" s="239"/>
      <c r="M199" s="239"/>
      <c r="N199" s="240"/>
      <c r="O199" s="240"/>
    </row>
    <row r="200" spans="1:20" ht="12" customHeight="1">
      <c r="A200" s="240"/>
      <c r="B200" s="244"/>
      <c r="C200" s="244"/>
      <c r="D200" s="239"/>
      <c r="E200" s="239"/>
      <c r="F200" s="239"/>
      <c r="G200" s="239"/>
      <c r="H200" s="241"/>
      <c r="I200" s="241"/>
      <c r="J200" s="243"/>
      <c r="K200" s="239"/>
      <c r="L200" s="239"/>
      <c r="M200" s="239"/>
      <c r="N200" s="240"/>
      <c r="O200" s="240"/>
    </row>
    <row r="201" spans="1:20" ht="12" customHeight="1">
      <c r="A201" s="240"/>
      <c r="B201" s="245"/>
      <c r="C201" s="244"/>
      <c r="D201" s="239"/>
      <c r="E201" s="239"/>
      <c r="F201" s="239"/>
      <c r="G201" s="239"/>
      <c r="H201" s="241"/>
      <c r="I201" s="241"/>
      <c r="J201" s="243"/>
      <c r="K201" s="239"/>
      <c r="L201" s="239"/>
      <c r="M201" s="239"/>
      <c r="N201" s="240"/>
      <c r="O201" s="240"/>
    </row>
    <row r="202" spans="1:20" ht="12" customHeight="1">
      <c r="B202" s="244"/>
      <c r="C202" s="244"/>
      <c r="D202" s="239"/>
      <c r="E202" s="239"/>
      <c r="F202" s="239"/>
      <c r="G202" s="239"/>
      <c r="H202" s="241"/>
      <c r="I202" s="241"/>
      <c r="J202" s="243"/>
      <c r="K202" s="239"/>
      <c r="L202" s="239"/>
      <c r="M202" s="239"/>
      <c r="N202" s="240"/>
      <c r="O202" s="240"/>
    </row>
    <row r="203" spans="1:20" ht="12" customHeight="1">
      <c r="B203" s="4"/>
      <c r="C203" s="4"/>
    </row>
    <row r="204" spans="1:20" ht="12" customHeight="1">
      <c r="B204" s="4"/>
      <c r="C204" s="4"/>
    </row>
    <row r="205" spans="1:20" ht="12" customHeight="1">
      <c r="B205" s="6"/>
      <c r="C205" s="4"/>
    </row>
    <row r="206" spans="1:20" ht="12" customHeight="1">
      <c r="B206" s="4"/>
      <c r="C206" s="4"/>
    </row>
    <row r="207" spans="1:20" ht="12" customHeight="1">
      <c r="B207" s="4"/>
      <c r="C207" s="4"/>
    </row>
    <row r="208" spans="1:20" ht="12" customHeight="1">
      <c r="B208" s="4"/>
      <c r="C208" s="4"/>
    </row>
    <row r="209" spans="2:3" ht="12" customHeight="1">
      <c r="B209" s="4"/>
      <c r="C209" s="4"/>
    </row>
    <row r="210" spans="2:3" ht="12" customHeight="1">
      <c r="B210" s="4"/>
      <c r="C210" s="4"/>
    </row>
    <row r="211" spans="2:3" ht="12" customHeight="1">
      <c r="B211" s="4"/>
      <c r="C211" s="4"/>
    </row>
    <row r="212" spans="2:3" ht="12" customHeight="1">
      <c r="B212" s="4"/>
      <c r="C212" s="4"/>
    </row>
    <row r="213" spans="2:3" ht="12" customHeight="1">
      <c r="B213" s="4"/>
      <c r="C213" s="4"/>
    </row>
    <row r="214" spans="2:3" ht="12" customHeight="1">
      <c r="B214" s="4"/>
      <c r="C214" s="4"/>
    </row>
    <row r="215" spans="2:3" ht="12" customHeight="1">
      <c r="B215" s="4"/>
      <c r="C215" s="4"/>
    </row>
    <row r="216" spans="2:3" ht="12" customHeight="1">
      <c r="B216" s="4"/>
      <c r="C216" s="4"/>
    </row>
    <row r="217" spans="2:3" ht="12" customHeight="1">
      <c r="B217" s="4"/>
      <c r="C217" s="4"/>
    </row>
    <row r="218" spans="2:3" ht="12" customHeight="1">
      <c r="B218" s="4"/>
      <c r="C218" s="4"/>
    </row>
    <row r="219" spans="2:3" ht="12" customHeight="1">
      <c r="B219" s="4"/>
      <c r="C219" s="4"/>
    </row>
    <row r="220" spans="2:3" ht="12" customHeight="1">
      <c r="B220" s="4"/>
      <c r="C220" s="4"/>
    </row>
    <row r="221" spans="2:3" ht="12" customHeight="1">
      <c r="B221" s="4"/>
      <c r="C221" s="4"/>
    </row>
    <row r="222" spans="2:3" ht="12" customHeight="1">
      <c r="B222" s="4"/>
      <c r="C222" s="4"/>
    </row>
    <row r="223" spans="2:3" ht="12" customHeight="1">
      <c r="B223" s="4"/>
      <c r="C223" s="4"/>
    </row>
    <row r="224" spans="2:3" ht="12" customHeight="1">
      <c r="B224" s="4"/>
      <c r="C224" s="4"/>
    </row>
    <row r="225" spans="2:3" ht="12" customHeight="1">
      <c r="B225" s="4"/>
      <c r="C225" s="4"/>
    </row>
    <row r="226" spans="2:3" ht="12" customHeight="1">
      <c r="B226" s="4"/>
      <c r="C226" s="4"/>
    </row>
    <row r="227" spans="2:3" ht="12" customHeight="1">
      <c r="B227" s="4"/>
      <c r="C227" s="4"/>
    </row>
    <row r="228" spans="2:3" ht="12" customHeight="1">
      <c r="B228" s="4"/>
      <c r="C228" s="4"/>
    </row>
    <row r="229" spans="2:3" ht="12" customHeight="1">
      <c r="B229" s="4"/>
      <c r="C229" s="4"/>
    </row>
    <row r="230" spans="2:3" ht="12" customHeight="1">
      <c r="B230" s="4"/>
      <c r="C230" s="4"/>
    </row>
    <row r="231" spans="2:3" ht="12" customHeight="1">
      <c r="B231" s="4"/>
      <c r="C231" s="4"/>
    </row>
    <row r="232" spans="2:3" ht="12" customHeight="1">
      <c r="B232" s="4"/>
      <c r="C232" s="4"/>
    </row>
    <row r="233" spans="2:3" ht="12" customHeight="1">
      <c r="B233" s="4"/>
      <c r="C233" s="4"/>
    </row>
    <row r="234" spans="2:3" ht="12" customHeight="1">
      <c r="B234" s="4"/>
      <c r="C234" s="4"/>
    </row>
    <row r="235" spans="2:3" ht="12" customHeight="1">
      <c r="B235" s="4"/>
      <c r="C235" s="4"/>
    </row>
    <row r="236" spans="2:3" ht="12" customHeight="1">
      <c r="B236" s="4"/>
      <c r="C236" s="4"/>
    </row>
    <row r="237" spans="2:3" ht="12" customHeight="1">
      <c r="B237" s="4"/>
      <c r="C237" s="4"/>
    </row>
    <row r="238" spans="2:3" ht="12" customHeight="1">
      <c r="B238" s="5"/>
      <c r="C238" s="5"/>
    </row>
    <row r="239" spans="2:3" ht="12" customHeight="1">
      <c r="B239" s="5"/>
      <c r="C239" s="5"/>
    </row>
    <row r="240" spans="2:3" ht="12" customHeight="1">
      <c r="B240" s="5"/>
      <c r="C240" s="5"/>
    </row>
  </sheetData>
  <protectedRanges>
    <protectedRange password="CADF" sqref="E47" name="Yield_1_1_2_1_1_1"/>
    <protectedRange password="CADF" sqref="E52" name="Yield_1_1_1_1"/>
    <protectedRange password="CADF" sqref="J19 D19" name="Fund Name_1_1_1_3_1_1"/>
    <protectedRange password="CADF" sqref="N19:O19 H19:I19" name="Yield_1_1_2_1_3"/>
    <protectedRange password="CADF" sqref="L19:M19 F19:G19" name="Fund Name_1_1_1_1_1_1"/>
    <protectedRange password="CADF" sqref="J47 D47" name="Yield_2_1_2_3_1"/>
    <protectedRange password="CADF" sqref="J52 D52" name="Yield_2_1_2_4_1"/>
    <protectedRange password="CADF" sqref="N52:O52 H52:I52" name="Yield_1_1_1_1_1"/>
    <protectedRange password="CADF" sqref="J77 D77" name="Yield_2_1_2_1_1"/>
    <protectedRange password="CADF" sqref="N77:O77 H77:I77" name="Yield_1_1_2_1_2_1"/>
    <protectedRange password="CADF" sqref="L77:M77 F77:G77" name="Fund Name_2_2_1_1"/>
    <protectedRange password="CADF" sqref="F76" name="BidOffer Prices_2_1_1_1_1_1_1_1_2"/>
    <protectedRange password="CADF" sqref="M76 G76" name="BidOffer Prices_2_1_1_1_1_1_1_1_1_1"/>
    <protectedRange password="CADF" sqref="J143:J145 D143:D145" name="Fund Name_1_1_1_2"/>
    <protectedRange password="CADF" sqref="N143:O145 H143:I145" name="Yield_1_1_2_2"/>
    <protectedRange password="CADF" sqref="L143:M145 F143:G145" name="Fund Name_1_1_1_1_2"/>
    <protectedRange password="CADF" sqref="N47:O47 H47:I47" name="Yield_1_1_2_1_1_1_1_1"/>
    <protectedRange password="CADF" sqref="J94:J95 D94:D95" name="Yield_2_1_2_6_3"/>
  </protectedRanges>
  <mergeCells count="43">
    <mergeCell ref="W119:W121"/>
    <mergeCell ref="V71:V83"/>
    <mergeCell ref="T122:T123"/>
    <mergeCell ref="P178:R178"/>
    <mergeCell ref="P171:R171"/>
    <mergeCell ref="A169:R169"/>
    <mergeCell ref="A114:S114"/>
    <mergeCell ref="A154:S154"/>
    <mergeCell ref="A155:S155"/>
    <mergeCell ref="A153:S153"/>
    <mergeCell ref="U103:U104"/>
    <mergeCell ref="A102:S102"/>
    <mergeCell ref="A101:S101"/>
    <mergeCell ref="A113:S113"/>
    <mergeCell ref="A121:S121"/>
    <mergeCell ref="A120:S120"/>
    <mergeCell ref="U70:V70"/>
    <mergeCell ref="V30:W30"/>
    <mergeCell ref="P2:Q2"/>
    <mergeCell ref="R2:S2"/>
    <mergeCell ref="V31:W31"/>
    <mergeCell ref="V32:W32"/>
    <mergeCell ref="V35:W35"/>
    <mergeCell ref="U40:U41"/>
    <mergeCell ref="A4:S4"/>
    <mergeCell ref="A5:S5"/>
    <mergeCell ref="A24:S24"/>
    <mergeCell ref="A23:S23"/>
    <mergeCell ref="A1:S1"/>
    <mergeCell ref="A56:S56"/>
    <mergeCell ref="A55:S55"/>
    <mergeCell ref="A89:S89"/>
    <mergeCell ref="A90:S90"/>
    <mergeCell ref="A88:S88"/>
    <mergeCell ref="D2:I2"/>
    <mergeCell ref="J2:O2"/>
    <mergeCell ref="A148:S148"/>
    <mergeCell ref="A147:S147"/>
    <mergeCell ref="A177:S177"/>
    <mergeCell ref="A159:S159"/>
    <mergeCell ref="A158:S158"/>
    <mergeCell ref="A170:S170"/>
    <mergeCell ref="A176:S176"/>
  </mergeCells>
  <pageMargins left="0.44" right="0.49" top="0.17" bottom="0.69" header="0.33" footer="0.55000000000000004"/>
  <pageSetup paperSize="9" scale="95" orientation="landscape" r:id="rId1"/>
  <rowBreaks count="4" manualBreakCount="4">
    <brk id="45" max="16383" man="1"/>
    <brk id="89" max="16383" man="1"/>
    <brk id="100" max="16383" man="1"/>
    <brk id="139" max="16383" man="1"/>
  </rowBreaks>
  <colBreaks count="1" manualBreakCount="1">
    <brk id="10" max="191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showGridLines="0" zoomScaleNormal="100" workbookViewId="0">
      <selection activeCell="M1" sqref="M1"/>
    </sheetView>
  </sheetViews>
  <sheetFormatPr defaultColWidth="8.85546875" defaultRowHeight="15"/>
  <cols>
    <col min="1" max="1" width="11.42578125" customWidth="1"/>
    <col min="2" max="2" width="17.28515625" customWidth="1"/>
    <col min="4" max="4" width="4.28515625" customWidth="1"/>
    <col min="5" max="5" width="30.7109375" customWidth="1"/>
    <col min="6" max="6" width="22.7109375" customWidth="1"/>
    <col min="12" max="12" width="3.28515625" customWidth="1"/>
  </cols>
  <sheetData>
    <row r="3" spans="1:7">
      <c r="E3" s="104"/>
      <c r="F3" s="104"/>
      <c r="G3" s="104"/>
    </row>
    <row r="4" spans="1:7">
      <c r="E4" s="104"/>
      <c r="F4" s="104"/>
      <c r="G4" s="104"/>
    </row>
    <row r="5" spans="1:7">
      <c r="E5" s="104"/>
      <c r="F5" s="104"/>
      <c r="G5" s="104"/>
    </row>
    <row r="6" spans="1:7">
      <c r="E6" s="101" t="s">
        <v>65</v>
      </c>
      <c r="F6" s="102" t="s">
        <v>156</v>
      </c>
      <c r="G6" s="104"/>
    </row>
    <row r="7" spans="1:7">
      <c r="E7" s="197" t="s">
        <v>0</v>
      </c>
      <c r="F7" s="103">
        <f>'NAV Trend'!J2</f>
        <v>16794813036.269999</v>
      </c>
      <c r="G7" s="104"/>
    </row>
    <row r="8" spans="1:7">
      <c r="E8" s="197" t="s">
        <v>44</v>
      </c>
      <c r="F8" s="103">
        <f>'NAV Trend'!J3</f>
        <v>792540018978.42993</v>
      </c>
      <c r="G8" s="104"/>
    </row>
    <row r="9" spans="1:7">
      <c r="A9" s="104"/>
      <c r="B9" s="104"/>
      <c r="E9" s="197" t="s">
        <v>199</v>
      </c>
      <c r="F9" s="103">
        <f>'NAV Trend'!J4</f>
        <v>324966477016.1626</v>
      </c>
      <c r="G9" s="104"/>
    </row>
    <row r="10" spans="1:7">
      <c r="A10" s="450"/>
      <c r="B10" s="450"/>
      <c r="E10" s="197" t="s">
        <v>201</v>
      </c>
      <c r="F10" s="103">
        <f>'NAV Trend'!J5</f>
        <v>332681726568.12634</v>
      </c>
      <c r="G10" s="104"/>
    </row>
    <row r="11" spans="1:7">
      <c r="A11" s="97"/>
      <c r="B11" s="97"/>
      <c r="E11" s="197" t="s">
        <v>219</v>
      </c>
      <c r="F11" s="103">
        <f>'NAV Trend'!J6</f>
        <v>47216549017.909996</v>
      </c>
      <c r="G11" s="104"/>
    </row>
    <row r="12" spans="1:7">
      <c r="A12" s="98"/>
      <c r="B12" s="99"/>
      <c r="E12" s="197" t="s">
        <v>61</v>
      </c>
      <c r="F12" s="103">
        <f>'NAV Trend'!J7</f>
        <v>31321324637.973106</v>
      </c>
      <c r="G12" s="104"/>
    </row>
    <row r="13" spans="1:7">
      <c r="A13" s="98"/>
      <c r="B13" s="99"/>
      <c r="E13" s="197" t="s">
        <v>67</v>
      </c>
      <c r="F13" s="103">
        <f>'NAV Trend'!J8</f>
        <v>3019546321.4400001</v>
      </c>
      <c r="G13" s="104"/>
    </row>
    <row r="14" spans="1:7">
      <c r="A14" s="98"/>
      <c r="B14" s="99"/>
      <c r="E14" s="197" t="s">
        <v>214</v>
      </c>
      <c r="F14" s="198">
        <f>'NAV Trend'!J9</f>
        <v>25078820531.75</v>
      </c>
      <c r="G14" s="104"/>
    </row>
    <row r="15" spans="1:7">
      <c r="A15" s="98"/>
      <c r="B15" s="99"/>
      <c r="E15" s="104"/>
      <c r="F15" s="104"/>
      <c r="G15" s="104"/>
    </row>
    <row r="16" spans="1:7">
      <c r="A16" s="98"/>
      <c r="B16" s="99"/>
      <c r="E16" s="104"/>
      <c r="F16" s="104"/>
      <c r="G16" s="104"/>
    </row>
    <row r="17" spans="1:13">
      <c r="A17" s="98"/>
      <c r="B17" s="99"/>
      <c r="E17" s="104"/>
      <c r="F17" s="104"/>
      <c r="G17" s="104"/>
    </row>
    <row r="18" spans="1:13">
      <c r="A18" s="98"/>
      <c r="B18" s="99"/>
      <c r="E18" s="104"/>
      <c r="F18" s="104"/>
      <c r="G18" s="104"/>
    </row>
    <row r="19" spans="1:13">
      <c r="A19" s="98"/>
      <c r="B19" s="99"/>
      <c r="E19" s="104"/>
      <c r="F19" s="104"/>
      <c r="G19" s="104"/>
    </row>
    <row r="24" spans="1:13" s="95" customFormat="1" ht="21.75" customHeight="1"/>
    <row r="25" spans="1:13" ht="30.75" customHeight="1">
      <c r="B25" s="456" t="s">
        <v>158</v>
      </c>
      <c r="M25" s="96"/>
    </row>
    <row r="26" spans="1:13" ht="43.5" customHeight="1">
      <c r="B26" s="457" t="s">
        <v>288</v>
      </c>
      <c r="C26" s="457"/>
      <c r="D26" s="457"/>
      <c r="E26" s="457"/>
      <c r="F26" s="457"/>
      <c r="G26" s="457"/>
      <c r="H26" s="457"/>
      <c r="I26" s="457"/>
      <c r="J26" s="457"/>
      <c r="K26" s="457"/>
      <c r="L26" s="457"/>
      <c r="M26" s="100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6"/>
  <sheetViews>
    <sheetView topLeftCell="B1" zoomScale="120" zoomScaleNormal="120" workbookViewId="0">
      <pane xSplit="1" topLeftCell="C1" activePane="topRight" state="frozen"/>
      <selection activeCell="B1" sqref="B1"/>
      <selection pane="topRight" activeCell="F18" sqref="F18"/>
    </sheetView>
  </sheetViews>
  <sheetFormatPr defaultColWidth="8.85546875" defaultRowHeight="15"/>
  <cols>
    <col min="1" max="1" width="0.28515625" hidden="1" customWidth="1"/>
    <col min="2" max="2" width="32" customWidth="1"/>
    <col min="3" max="3" width="21.7109375" customWidth="1"/>
    <col min="4" max="4" width="22.28515625" customWidth="1"/>
    <col min="5" max="5" width="22.140625" customWidth="1"/>
    <col min="6" max="6" width="23.140625" customWidth="1"/>
    <col min="7" max="7" width="22.140625" customWidth="1"/>
    <col min="8" max="8" width="23.28515625" customWidth="1"/>
    <col min="9" max="9" width="23.85546875" customWidth="1"/>
    <col min="10" max="10" width="22.7109375" customWidth="1"/>
    <col min="11" max="11" width="23" customWidth="1"/>
  </cols>
  <sheetData>
    <row r="1" spans="2:24" ht="16.5">
      <c r="B1" s="350" t="s">
        <v>65</v>
      </c>
      <c r="C1" s="344">
        <v>44995</v>
      </c>
      <c r="D1" s="344">
        <v>45002</v>
      </c>
      <c r="E1" s="344">
        <v>45009</v>
      </c>
      <c r="F1" s="344">
        <v>45016</v>
      </c>
      <c r="G1" s="344">
        <v>45022</v>
      </c>
      <c r="H1" s="344">
        <v>45030</v>
      </c>
      <c r="I1" s="344">
        <v>45036</v>
      </c>
      <c r="J1" s="344">
        <v>45044</v>
      </c>
      <c r="K1" s="344">
        <v>45051</v>
      </c>
      <c r="L1" s="308"/>
    </row>
    <row r="2" spans="2:24" s="110" customFormat="1" ht="16.5">
      <c r="B2" s="351" t="s">
        <v>0</v>
      </c>
      <c r="C2" s="345">
        <v>17294675587.010002</v>
      </c>
      <c r="D2" s="345">
        <v>17018697028.65</v>
      </c>
      <c r="E2" s="345">
        <v>17022340090.360001</v>
      </c>
      <c r="F2" s="345">
        <v>16999391000.99</v>
      </c>
      <c r="G2" s="345">
        <v>16887170786.960003</v>
      </c>
      <c r="H2" s="345">
        <v>16546902385.180002</v>
      </c>
      <c r="I2" s="345">
        <v>16580432011.360001</v>
      </c>
      <c r="J2" s="345">
        <v>16794813036.269999</v>
      </c>
      <c r="K2" s="345">
        <v>16995023834.229998</v>
      </c>
    </row>
    <row r="3" spans="2:24" s="110" customFormat="1" ht="16.5">
      <c r="B3" s="351" t="s">
        <v>44</v>
      </c>
      <c r="C3" s="346">
        <v>809621970053.67017</v>
      </c>
      <c r="D3" s="346">
        <v>808804557491.32593</v>
      </c>
      <c r="E3" s="346">
        <v>808555564328.63843</v>
      </c>
      <c r="F3" s="346">
        <v>806141589764.57471</v>
      </c>
      <c r="G3" s="346">
        <v>809389465815.42651</v>
      </c>
      <c r="H3" s="346">
        <v>813597370074.91248</v>
      </c>
      <c r="I3" s="346">
        <v>806059217034.32275</v>
      </c>
      <c r="J3" s="346">
        <v>792540018978.42993</v>
      </c>
      <c r="K3" s="346">
        <v>806100368208.14038</v>
      </c>
    </row>
    <row r="4" spans="2:24" s="110" customFormat="1" ht="16.5">
      <c r="B4" s="351" t="s">
        <v>199</v>
      </c>
      <c r="C4" s="345">
        <v>337681545776.1922</v>
      </c>
      <c r="D4" s="345">
        <v>338781243498.64948</v>
      </c>
      <c r="E4" s="345">
        <v>329560582532.39893</v>
      </c>
      <c r="F4" s="345">
        <v>325274738811.00598</v>
      </c>
      <c r="G4" s="345">
        <v>324645636399.64471</v>
      </c>
      <c r="H4" s="345">
        <v>325325671083.40485</v>
      </c>
      <c r="I4" s="345">
        <v>325304566651.13672</v>
      </c>
      <c r="J4" s="345">
        <v>324966477016.1626</v>
      </c>
      <c r="K4" s="345">
        <v>326343931654.87665</v>
      </c>
    </row>
    <row r="5" spans="2:24" s="110" customFormat="1" ht="16.5">
      <c r="B5" s="351" t="s">
        <v>201</v>
      </c>
      <c r="C5" s="346">
        <v>319613321483.23999</v>
      </c>
      <c r="D5" s="346">
        <v>317395334099.62982</v>
      </c>
      <c r="E5" s="346">
        <v>313889534077.08875</v>
      </c>
      <c r="F5" s="346">
        <v>315799107802.45465</v>
      </c>
      <c r="G5" s="346">
        <v>328369020682.2923</v>
      </c>
      <c r="H5" s="346">
        <v>329288437990.39252</v>
      </c>
      <c r="I5" s="346">
        <v>333300918749.29321</v>
      </c>
      <c r="J5" s="346">
        <v>332681726568.12634</v>
      </c>
      <c r="K5" s="346">
        <v>334539052167.92297</v>
      </c>
    </row>
    <row r="6" spans="2:24" s="110" customFormat="1" ht="16.5">
      <c r="B6" s="351" t="s">
        <v>220</v>
      </c>
      <c r="C6" s="345">
        <v>46432760216.860001</v>
      </c>
      <c r="D6" s="345">
        <v>46442483642.769997</v>
      </c>
      <c r="E6" s="345">
        <v>46448137747.110001</v>
      </c>
      <c r="F6" s="345">
        <v>46504435280.830002</v>
      </c>
      <c r="G6" s="345">
        <v>46547556602.110001</v>
      </c>
      <c r="H6" s="345">
        <v>46562248546.230003</v>
      </c>
      <c r="I6" s="345">
        <v>47203225292.739998</v>
      </c>
      <c r="J6" s="345">
        <v>47216549017.909996</v>
      </c>
      <c r="K6" s="345">
        <v>94163780372.309998</v>
      </c>
    </row>
    <row r="7" spans="2:24" s="110" customFormat="1" ht="16.5">
      <c r="B7" s="351" t="s">
        <v>229</v>
      </c>
      <c r="C7" s="347">
        <v>31644276857.633732</v>
      </c>
      <c r="D7" s="347">
        <v>31193956823.055714</v>
      </c>
      <c r="E7" s="347">
        <v>31270923143.617718</v>
      </c>
      <c r="F7" s="347">
        <v>31357580652.94627</v>
      </c>
      <c r="G7" s="347">
        <v>31214054403.725143</v>
      </c>
      <c r="H7" s="347">
        <v>31040700634.661449</v>
      </c>
      <c r="I7" s="347">
        <v>31064229357.892361</v>
      </c>
      <c r="J7" s="347">
        <v>31321324637.973106</v>
      </c>
      <c r="K7" s="347">
        <v>31685014995.591473</v>
      </c>
    </row>
    <row r="8" spans="2:24" s="289" customFormat="1" ht="16.5">
      <c r="B8" s="351" t="s">
        <v>67</v>
      </c>
      <c r="C8" s="345">
        <v>3184420481.5599999</v>
      </c>
      <c r="D8" s="345">
        <v>3138053697.2600002</v>
      </c>
      <c r="E8" s="345">
        <v>3062737011.3699999</v>
      </c>
      <c r="F8" s="345">
        <v>3065619906.6200004</v>
      </c>
      <c r="G8" s="345">
        <v>3044973052.6900001</v>
      </c>
      <c r="H8" s="345">
        <v>2397610345.79</v>
      </c>
      <c r="I8" s="345">
        <v>3016712191.5299997</v>
      </c>
      <c r="J8" s="345">
        <v>3019546321.4400001</v>
      </c>
      <c r="K8" s="345">
        <v>3058498106.9700003</v>
      </c>
    </row>
    <row r="9" spans="2:24" ht="16.5">
      <c r="B9" s="351" t="s">
        <v>214</v>
      </c>
      <c r="C9" s="345">
        <v>25118658682.680004</v>
      </c>
      <c r="D9" s="345">
        <v>25167427500.150002</v>
      </c>
      <c r="E9" s="345">
        <v>25123628784.880001</v>
      </c>
      <c r="F9" s="345">
        <v>25237093944.099998</v>
      </c>
      <c r="G9" s="345">
        <v>25308511589.740002</v>
      </c>
      <c r="H9" s="345">
        <v>25115154237.279999</v>
      </c>
      <c r="I9" s="345">
        <v>25259823709.369999</v>
      </c>
      <c r="J9" s="345">
        <v>25078820531.75</v>
      </c>
      <c r="K9" s="345">
        <v>25223397111.16</v>
      </c>
    </row>
    <row r="10" spans="2:24" s="1" customFormat="1" ht="15.75">
      <c r="B10" s="352" t="s">
        <v>257</v>
      </c>
      <c r="C10" s="353">
        <f t="shared" ref="C10:D10" si="0">SUM(C2:C9)</f>
        <v>1590591629138.8462</v>
      </c>
      <c r="D10" s="353">
        <f t="shared" si="0"/>
        <v>1587941753781.491</v>
      </c>
      <c r="E10" s="353">
        <f t="shared" ref="E10:J10" si="1">SUM(E2:E9)</f>
        <v>1574933447715.4641</v>
      </c>
      <c r="F10" s="353">
        <f t="shared" si="1"/>
        <v>1570379557163.522</v>
      </c>
      <c r="G10" s="353">
        <f t="shared" si="1"/>
        <v>1585406389332.5886</v>
      </c>
      <c r="H10" s="353">
        <f t="shared" si="1"/>
        <v>1589874095297.8513</v>
      </c>
      <c r="I10" s="353">
        <f t="shared" si="1"/>
        <v>1587789124997.645</v>
      </c>
      <c r="J10" s="353">
        <f t="shared" si="1"/>
        <v>1573619276108.0618</v>
      </c>
      <c r="K10" s="353">
        <f t="shared" ref="K10" si="2">SUM(K2:K9)</f>
        <v>1638109066451.2014</v>
      </c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</row>
    <row r="11" spans="2:24" ht="6.75" customHeight="1">
      <c r="B11" s="348"/>
      <c r="C11" s="349"/>
      <c r="D11" s="349"/>
      <c r="E11" s="349"/>
      <c r="F11" s="349"/>
      <c r="G11" s="349"/>
      <c r="H11" s="349"/>
      <c r="I11" s="349"/>
      <c r="J11" s="348"/>
      <c r="K11" s="348"/>
    </row>
    <row r="12" spans="2:24" ht="15.75">
      <c r="B12" s="354" t="s">
        <v>117</v>
      </c>
      <c r="C12" s="355" t="s">
        <v>116</v>
      </c>
      <c r="D12" s="356">
        <f>(C10+D10)/2</f>
        <v>1589266691460.1685</v>
      </c>
      <c r="E12" s="357">
        <f t="shared" ref="E12:K12" si="3">(D10+E10)/2</f>
        <v>1581437600748.4775</v>
      </c>
      <c r="F12" s="357">
        <f t="shared" si="3"/>
        <v>1572656502439.4932</v>
      </c>
      <c r="G12" s="357">
        <f t="shared" si="3"/>
        <v>1577892973248.0552</v>
      </c>
      <c r="H12" s="357">
        <f>(G10+H10)/2</f>
        <v>1587640242315.22</v>
      </c>
      <c r="I12" s="357">
        <f t="shared" si="3"/>
        <v>1588831610147.748</v>
      </c>
      <c r="J12" s="357">
        <f t="shared" si="3"/>
        <v>1580704200552.8535</v>
      </c>
      <c r="K12" s="357">
        <f t="shared" si="3"/>
        <v>1605864171279.6316</v>
      </c>
    </row>
    <row r="13" spans="2:24">
      <c r="B13" s="8"/>
      <c r="C13" s="10"/>
      <c r="D13" s="10"/>
      <c r="E13" s="10"/>
      <c r="F13" s="10"/>
      <c r="G13" s="10"/>
      <c r="H13" s="10"/>
      <c r="I13" s="10"/>
    </row>
    <row r="14" spans="2:24">
      <c r="B14" s="8"/>
      <c r="C14" s="10"/>
      <c r="D14" s="10"/>
      <c r="E14" s="10"/>
      <c r="F14" s="10"/>
      <c r="G14" s="10"/>
      <c r="H14" s="291"/>
      <c r="I14" s="92"/>
      <c r="J14" s="91"/>
    </row>
    <row r="15" spans="2:24" ht="16.5">
      <c r="B15" s="350" t="s">
        <v>65</v>
      </c>
      <c r="C15" s="344">
        <v>45044</v>
      </c>
      <c r="D15" s="344">
        <v>45051</v>
      </c>
      <c r="E15" s="10"/>
      <c r="F15" s="10"/>
      <c r="G15" s="10"/>
      <c r="H15" s="361"/>
      <c r="I15" s="361"/>
    </row>
    <row r="16" spans="2:24" ht="16.5">
      <c r="B16" s="351" t="s">
        <v>0</v>
      </c>
      <c r="C16" s="345">
        <v>16794813036.269999</v>
      </c>
      <c r="D16" s="345">
        <v>16995023834.229998</v>
      </c>
      <c r="E16" s="10"/>
      <c r="F16" s="10"/>
      <c r="G16" s="10"/>
      <c r="H16" s="363"/>
      <c r="I16" s="363"/>
      <c r="J16" s="92"/>
    </row>
    <row r="17" spans="2:10" ht="16.5">
      <c r="B17" s="351" t="s">
        <v>44</v>
      </c>
      <c r="C17" s="346">
        <v>792540018978.42993</v>
      </c>
      <c r="D17" s="346">
        <v>806100368208.14038</v>
      </c>
      <c r="E17" s="10"/>
      <c r="F17" s="10"/>
      <c r="G17" s="10"/>
      <c r="H17" s="364"/>
      <c r="I17" s="364"/>
    </row>
    <row r="18" spans="2:10" ht="16.5">
      <c r="B18" s="351" t="s">
        <v>199</v>
      </c>
      <c r="C18" s="345">
        <v>324966477016.1626</v>
      </c>
      <c r="D18" s="345">
        <v>326343931654.87665</v>
      </c>
      <c r="E18" s="9"/>
      <c r="F18" s="9"/>
      <c r="G18" s="9"/>
      <c r="H18" s="363"/>
      <c r="I18" s="363"/>
    </row>
    <row r="19" spans="2:10" ht="16.5">
      <c r="B19" s="351" t="s">
        <v>201</v>
      </c>
      <c r="C19" s="346">
        <v>332681726568.12634</v>
      </c>
      <c r="D19" s="346">
        <v>334539052167.92297</v>
      </c>
      <c r="E19" s="8"/>
      <c r="F19" s="8"/>
      <c r="G19" s="8"/>
      <c r="H19" s="364"/>
      <c r="I19" s="364"/>
    </row>
    <row r="20" spans="2:10" ht="16.5">
      <c r="B20" s="351" t="s">
        <v>220</v>
      </c>
      <c r="C20" s="345">
        <v>47216549017.909996</v>
      </c>
      <c r="D20" s="345">
        <v>94163780372.309998</v>
      </c>
      <c r="E20" s="8"/>
      <c r="F20" s="8"/>
      <c r="G20" s="8"/>
      <c r="H20" s="363"/>
      <c r="I20" s="363"/>
      <c r="J20" s="93"/>
    </row>
    <row r="21" spans="2:10" ht="16.5">
      <c r="B21" s="351" t="s">
        <v>229</v>
      </c>
      <c r="C21" s="347">
        <v>31321324637.973106</v>
      </c>
      <c r="D21" s="347">
        <v>31685014995.591473</v>
      </c>
      <c r="E21" s="8"/>
      <c r="F21" s="8"/>
      <c r="G21" s="8"/>
      <c r="H21" s="365"/>
      <c r="I21" s="365"/>
    </row>
    <row r="22" spans="2:10" ht="16.5">
      <c r="B22" s="351" t="s">
        <v>67</v>
      </c>
      <c r="C22" s="345">
        <v>3019546321.4400001</v>
      </c>
      <c r="D22" s="345">
        <v>3058498106.9700003</v>
      </c>
      <c r="E22" s="8"/>
      <c r="F22" s="8"/>
      <c r="G22" s="8"/>
      <c r="H22" s="363"/>
      <c r="I22" s="363"/>
    </row>
    <row r="23" spans="2:10" ht="16.5">
      <c r="B23" s="351" t="s">
        <v>214</v>
      </c>
      <c r="C23" s="345">
        <v>25078820531.75</v>
      </c>
      <c r="D23" s="345">
        <v>25223397111.16</v>
      </c>
      <c r="E23" s="8"/>
      <c r="F23" s="8"/>
      <c r="G23" s="8"/>
      <c r="H23" s="363"/>
      <c r="I23" s="363"/>
    </row>
    <row r="24" spans="2:10" ht="16.5">
      <c r="B24" s="362"/>
      <c r="C24" s="363"/>
      <c r="D24" s="8"/>
      <c r="E24" s="8"/>
      <c r="F24" s="8"/>
      <c r="G24" s="8"/>
      <c r="H24" s="363"/>
    </row>
    <row r="25" spans="2:10" ht="16.5">
      <c r="B25" s="362"/>
      <c r="C25" s="363"/>
      <c r="D25" s="8"/>
      <c r="E25" s="8"/>
      <c r="F25" s="8"/>
      <c r="G25" s="8"/>
      <c r="H25" s="363"/>
    </row>
    <row r="26" spans="2:10">
      <c r="B26" s="8"/>
      <c r="C26" s="8"/>
      <c r="D26" s="8"/>
      <c r="E26" s="8"/>
      <c r="F26" s="8"/>
      <c r="G26" s="8"/>
      <c r="H26" s="8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89"/>
  <sheetViews>
    <sheetView zoomScaleNormal="100" workbookViewId="0">
      <pane xSplit="1" ySplit="8" topLeftCell="AD9" activePane="bottomRight" state="frozen"/>
      <selection pane="topRight" activeCell="E1" sqref="E1"/>
      <selection pane="bottomLeft" activeCell="A8" sqref="A8"/>
      <selection pane="bottomRight" activeCell="AP1" sqref="AP1"/>
    </sheetView>
  </sheetViews>
  <sheetFormatPr defaultColWidth="8.85546875" defaultRowHeight="15"/>
  <cols>
    <col min="1" max="1" width="37.140625" customWidth="1"/>
    <col min="2" max="2" width="20.5703125" style="360" customWidth="1"/>
    <col min="3" max="3" width="9.28515625" style="360" customWidth="1"/>
    <col min="4" max="4" width="21.140625" style="360" customWidth="1"/>
    <col min="5" max="7" width="9.28515625" style="360" customWidth="1"/>
    <col min="8" max="8" width="18.85546875" style="360" customWidth="1"/>
    <col min="9" max="11" width="9.28515625" style="360" customWidth="1"/>
    <col min="12" max="12" width="18.5703125" style="376" customWidth="1"/>
    <col min="13" max="15" width="9.28515625" style="376" customWidth="1"/>
    <col min="16" max="16" width="17.28515625" style="376" customWidth="1"/>
    <col min="17" max="19" width="9.28515625" style="376" customWidth="1"/>
    <col min="20" max="20" width="19" style="376" customWidth="1"/>
    <col min="21" max="21" width="9.85546875" style="376" customWidth="1"/>
    <col min="22" max="23" width="9.28515625" style="376" customWidth="1"/>
    <col min="24" max="24" width="19.85546875" style="376" customWidth="1"/>
    <col min="25" max="27" width="9.28515625" style="376" customWidth="1"/>
    <col min="28" max="28" width="20.42578125" style="376" customWidth="1"/>
    <col min="29" max="31" width="9.28515625" style="376" customWidth="1"/>
    <col min="32" max="32" width="21.140625" style="376" customWidth="1"/>
    <col min="33" max="35" width="9.28515625" style="376" customWidth="1"/>
    <col min="36" max="36" width="8.28515625" customWidth="1"/>
    <col min="37" max="37" width="9" customWidth="1"/>
    <col min="38" max="38" width="7.28515625" customWidth="1"/>
    <col min="39" max="39" width="7.140625" customWidth="1"/>
    <col min="40" max="40" width="6.85546875" customWidth="1"/>
    <col min="41" max="41" width="7" customWidth="1"/>
    <col min="43" max="43" width="13.42578125" hidden="1" customWidth="1"/>
    <col min="44" max="44" width="9.7109375" hidden="1" customWidth="1"/>
    <col min="45" max="46" width="6.42578125" hidden="1" customWidth="1"/>
    <col min="47" max="47" width="10.7109375" customWidth="1"/>
    <col min="48" max="48" width="15.7109375" bestFit="1" customWidth="1"/>
  </cols>
  <sheetData>
    <row r="1" spans="1:49" s="110" customFormat="1" ht="37.5" customHeight="1" thickBot="1">
      <c r="A1" s="466" t="s">
        <v>72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  <c r="AD1" s="467"/>
      <c r="AE1" s="467"/>
      <c r="AF1" s="467"/>
      <c r="AG1" s="467"/>
      <c r="AH1" s="467"/>
      <c r="AI1" s="467"/>
      <c r="AJ1" s="467"/>
      <c r="AK1" s="467"/>
      <c r="AL1" s="467"/>
      <c r="AM1" s="467"/>
      <c r="AN1" s="467"/>
      <c r="AO1" s="468"/>
    </row>
    <row r="2" spans="1:49" ht="30.75" customHeight="1">
      <c r="A2" s="203"/>
      <c r="B2" s="451" t="s">
        <v>262</v>
      </c>
      <c r="C2" s="451"/>
      <c r="D2" s="451" t="s">
        <v>263</v>
      </c>
      <c r="E2" s="451"/>
      <c r="F2" s="451" t="s">
        <v>63</v>
      </c>
      <c r="G2" s="451"/>
      <c r="H2" s="451" t="s">
        <v>267</v>
      </c>
      <c r="I2" s="451"/>
      <c r="J2" s="451" t="s">
        <v>63</v>
      </c>
      <c r="K2" s="451"/>
      <c r="L2" s="451" t="s">
        <v>271</v>
      </c>
      <c r="M2" s="451"/>
      <c r="N2" s="451" t="s">
        <v>63</v>
      </c>
      <c r="O2" s="451"/>
      <c r="P2" s="451" t="s">
        <v>272</v>
      </c>
      <c r="Q2" s="451"/>
      <c r="R2" s="451" t="s">
        <v>63</v>
      </c>
      <c r="S2" s="451"/>
      <c r="T2" s="451" t="s">
        <v>277</v>
      </c>
      <c r="U2" s="451"/>
      <c r="V2" s="451" t="s">
        <v>63</v>
      </c>
      <c r="W2" s="451"/>
      <c r="X2" s="451" t="s">
        <v>282</v>
      </c>
      <c r="Y2" s="451"/>
      <c r="Z2" s="451" t="s">
        <v>63</v>
      </c>
      <c r="AA2" s="451"/>
      <c r="AB2" s="451" t="s">
        <v>284</v>
      </c>
      <c r="AC2" s="451"/>
      <c r="AD2" s="451" t="s">
        <v>63</v>
      </c>
      <c r="AE2" s="451"/>
      <c r="AF2" s="451" t="s">
        <v>287</v>
      </c>
      <c r="AG2" s="451"/>
      <c r="AH2" s="451" t="s">
        <v>63</v>
      </c>
      <c r="AI2" s="451"/>
      <c r="AJ2" s="451" t="s">
        <v>80</v>
      </c>
      <c r="AK2" s="451"/>
      <c r="AL2" s="451" t="s">
        <v>81</v>
      </c>
      <c r="AM2" s="451"/>
      <c r="AN2" s="451" t="s">
        <v>71</v>
      </c>
      <c r="AO2" s="452"/>
      <c r="AP2" s="14"/>
      <c r="AQ2" s="453" t="s">
        <v>85</v>
      </c>
      <c r="AR2" s="454"/>
      <c r="AS2" s="14"/>
      <c r="AT2" s="14"/>
    </row>
    <row r="3" spans="1:49" ht="14.25" customHeight="1">
      <c r="A3" s="204" t="s">
        <v>2</v>
      </c>
      <c r="B3" s="194" t="s">
        <v>59</v>
      </c>
      <c r="C3" s="195" t="s">
        <v>3</v>
      </c>
      <c r="D3" s="194" t="s">
        <v>59</v>
      </c>
      <c r="E3" s="195" t="s">
        <v>3</v>
      </c>
      <c r="F3" s="199" t="s">
        <v>59</v>
      </c>
      <c r="G3" s="200" t="s">
        <v>3</v>
      </c>
      <c r="H3" s="194" t="s">
        <v>59</v>
      </c>
      <c r="I3" s="195" t="s">
        <v>3</v>
      </c>
      <c r="J3" s="199" t="s">
        <v>59</v>
      </c>
      <c r="K3" s="200" t="s">
        <v>3</v>
      </c>
      <c r="L3" s="194" t="s">
        <v>59</v>
      </c>
      <c r="M3" s="195" t="s">
        <v>3</v>
      </c>
      <c r="N3" s="199" t="s">
        <v>59</v>
      </c>
      <c r="O3" s="200" t="s">
        <v>3</v>
      </c>
      <c r="P3" s="194" t="s">
        <v>59</v>
      </c>
      <c r="Q3" s="195" t="s">
        <v>3</v>
      </c>
      <c r="R3" s="199" t="s">
        <v>59</v>
      </c>
      <c r="S3" s="200" t="s">
        <v>3</v>
      </c>
      <c r="T3" s="194" t="s">
        <v>59</v>
      </c>
      <c r="U3" s="195" t="s">
        <v>3</v>
      </c>
      <c r="V3" s="199" t="s">
        <v>59</v>
      </c>
      <c r="W3" s="200" t="s">
        <v>3</v>
      </c>
      <c r="X3" s="194" t="s">
        <v>59</v>
      </c>
      <c r="Y3" s="195" t="s">
        <v>3</v>
      </c>
      <c r="Z3" s="199" t="s">
        <v>59</v>
      </c>
      <c r="AA3" s="200" t="s">
        <v>3</v>
      </c>
      <c r="AB3" s="194" t="s">
        <v>59</v>
      </c>
      <c r="AC3" s="195" t="s">
        <v>3</v>
      </c>
      <c r="AD3" s="199" t="s">
        <v>59</v>
      </c>
      <c r="AE3" s="200" t="s">
        <v>3</v>
      </c>
      <c r="AF3" s="194" t="s">
        <v>59</v>
      </c>
      <c r="AG3" s="195" t="s">
        <v>3</v>
      </c>
      <c r="AH3" s="199" t="s">
        <v>59</v>
      </c>
      <c r="AI3" s="200" t="s">
        <v>3</v>
      </c>
      <c r="AJ3" s="199" t="s">
        <v>59</v>
      </c>
      <c r="AK3" s="200" t="s">
        <v>3</v>
      </c>
      <c r="AL3" s="199" t="s">
        <v>59</v>
      </c>
      <c r="AM3" s="200" t="s">
        <v>3</v>
      </c>
      <c r="AN3" s="199" t="s">
        <v>59</v>
      </c>
      <c r="AO3" s="201" t="s">
        <v>3</v>
      </c>
      <c r="AP3" s="14"/>
      <c r="AQ3" s="17" t="s">
        <v>59</v>
      </c>
      <c r="AR3" s="18" t="s">
        <v>3</v>
      </c>
      <c r="AS3" s="14"/>
      <c r="AT3" s="14"/>
    </row>
    <row r="4" spans="1:49">
      <c r="A4" s="205" t="s">
        <v>0</v>
      </c>
      <c r="B4" s="67" t="s">
        <v>4</v>
      </c>
      <c r="C4" s="67" t="s">
        <v>4</v>
      </c>
      <c r="D4" s="67" t="s">
        <v>4</v>
      </c>
      <c r="E4" s="67" t="s">
        <v>4</v>
      </c>
      <c r="F4" s="19" t="s">
        <v>79</v>
      </c>
      <c r="G4" s="19" t="s">
        <v>79</v>
      </c>
      <c r="H4" s="67" t="s">
        <v>4</v>
      </c>
      <c r="I4" s="67" t="s">
        <v>4</v>
      </c>
      <c r="J4" s="19" t="s">
        <v>79</v>
      </c>
      <c r="K4" s="19" t="s">
        <v>79</v>
      </c>
      <c r="L4" s="67" t="s">
        <v>4</v>
      </c>
      <c r="M4" s="67" t="s">
        <v>4</v>
      </c>
      <c r="N4" s="19" t="s">
        <v>79</v>
      </c>
      <c r="O4" s="19" t="s">
        <v>79</v>
      </c>
      <c r="P4" s="67" t="s">
        <v>4</v>
      </c>
      <c r="Q4" s="67" t="s">
        <v>4</v>
      </c>
      <c r="R4" s="19" t="s">
        <v>79</v>
      </c>
      <c r="S4" s="19" t="s">
        <v>79</v>
      </c>
      <c r="T4" s="67" t="s">
        <v>4</v>
      </c>
      <c r="U4" s="67" t="s">
        <v>4</v>
      </c>
      <c r="V4" s="19" t="s">
        <v>79</v>
      </c>
      <c r="W4" s="19" t="s">
        <v>79</v>
      </c>
      <c r="X4" s="67" t="s">
        <v>4</v>
      </c>
      <c r="Y4" s="67" t="s">
        <v>4</v>
      </c>
      <c r="Z4" s="19" t="s">
        <v>79</v>
      </c>
      <c r="AA4" s="19" t="s">
        <v>79</v>
      </c>
      <c r="AB4" s="67" t="s">
        <v>4</v>
      </c>
      <c r="AC4" s="67" t="s">
        <v>4</v>
      </c>
      <c r="AD4" s="19" t="s">
        <v>79</v>
      </c>
      <c r="AE4" s="19" t="s">
        <v>79</v>
      </c>
      <c r="AF4" s="67" t="s">
        <v>4</v>
      </c>
      <c r="AG4" s="67" t="s">
        <v>4</v>
      </c>
      <c r="AH4" s="19" t="s">
        <v>79</v>
      </c>
      <c r="AI4" s="19" t="s">
        <v>79</v>
      </c>
      <c r="AJ4" s="20" t="s">
        <v>79</v>
      </c>
      <c r="AK4" s="20" t="s">
        <v>79</v>
      </c>
      <c r="AL4" s="21" t="s">
        <v>79</v>
      </c>
      <c r="AM4" s="21" t="s">
        <v>79</v>
      </c>
      <c r="AN4" s="15" t="s">
        <v>79</v>
      </c>
      <c r="AO4" s="16" t="s">
        <v>79</v>
      </c>
      <c r="AP4" s="14"/>
      <c r="AQ4" s="22" t="s">
        <v>4</v>
      </c>
      <c r="AR4" s="22" t="s">
        <v>4</v>
      </c>
      <c r="AS4" s="14"/>
      <c r="AT4" s="14"/>
    </row>
    <row r="5" spans="1:49">
      <c r="A5" s="206" t="s">
        <v>13</v>
      </c>
      <c r="B5" s="330">
        <v>435912689.94999999</v>
      </c>
      <c r="C5" s="329">
        <v>206.36539999999999</v>
      </c>
      <c r="D5" s="330">
        <v>429461307.76999998</v>
      </c>
      <c r="E5" s="329">
        <v>203.44919999999999</v>
      </c>
      <c r="F5" s="23">
        <f t="shared" ref="F5:F20" si="0">((D5-B5)/B5)</f>
        <v>-1.4799711797194968E-2</v>
      </c>
      <c r="G5" s="23">
        <f t="shared" ref="G5:G20" si="1">((E5-C5)/C5)</f>
        <v>-1.4131244869537256E-2</v>
      </c>
      <c r="H5" s="330">
        <v>428538467.31999999</v>
      </c>
      <c r="I5" s="329">
        <v>203.11279999999999</v>
      </c>
      <c r="J5" s="23">
        <f t="shared" ref="J5:J20" si="2">((H5-D5)/D5)</f>
        <v>-2.1488325800335419E-3</v>
      </c>
      <c r="K5" s="23">
        <f t="shared" ref="K5:K20" si="3">((I5-E5)/E5)</f>
        <v>-1.6534840146827691E-3</v>
      </c>
      <c r="L5" s="330">
        <v>426531501.76999998</v>
      </c>
      <c r="M5" s="329">
        <v>202.834</v>
      </c>
      <c r="N5" s="23">
        <f t="shared" ref="N5:N20" si="4">((L5-H5)/H5)</f>
        <v>-4.6832798057808017E-3</v>
      </c>
      <c r="O5" s="23">
        <f t="shared" ref="O5:O20" si="5">((M5-I5)/I5)</f>
        <v>-1.372636288801049E-3</v>
      </c>
      <c r="P5" s="330">
        <v>419865459.12</v>
      </c>
      <c r="Q5" s="329">
        <v>199.80719999999999</v>
      </c>
      <c r="R5" s="23">
        <f t="shared" ref="R5:R20" si="6">((P5-L5)/L5)</f>
        <v>-1.5628488452406334E-2</v>
      </c>
      <c r="S5" s="23">
        <f t="shared" ref="S5:S20" si="7">((Q5-M5)/M5)</f>
        <v>-1.4922547501898146E-2</v>
      </c>
      <c r="T5" s="330">
        <v>413703612.5</v>
      </c>
      <c r="U5" s="329">
        <v>196.5668</v>
      </c>
      <c r="V5" s="23">
        <f t="shared" ref="V5:V20" si="8">((T5-P5)/P5)</f>
        <v>-1.4675764548278578E-2</v>
      </c>
      <c r="W5" s="23">
        <f t="shared" ref="W5:W20" si="9">((U5-Q5)/Q5)</f>
        <v>-1.6217633798982188E-2</v>
      </c>
      <c r="X5" s="330">
        <v>413555769.92000002</v>
      </c>
      <c r="Y5" s="329">
        <v>196.5264</v>
      </c>
      <c r="Z5" s="23">
        <f t="shared" ref="Z5:Z20" si="10">((X5-T5)/T5)</f>
        <v>-3.5736352193439769E-4</v>
      </c>
      <c r="AA5" s="23">
        <f t="shared" ref="AA5:AA20" si="11">((Y5-U5)/U5)</f>
        <v>-2.0552809528366601E-4</v>
      </c>
      <c r="AB5" s="330">
        <v>426683527.77999997</v>
      </c>
      <c r="AC5" s="329">
        <v>202.7312</v>
      </c>
      <c r="AD5" s="23">
        <f t="shared" ref="AD5:AD20" si="12">((AB5-X5)/X5)</f>
        <v>3.1743621573795101E-2</v>
      </c>
      <c r="AE5" s="23">
        <f t="shared" ref="AE5:AE20" si="13">((AC5-Y5)/Y5)</f>
        <v>3.157234854960965E-2</v>
      </c>
      <c r="AF5" s="330">
        <v>431434117.44999999</v>
      </c>
      <c r="AG5" s="329">
        <v>204.9342</v>
      </c>
      <c r="AH5" s="23">
        <f t="shared" ref="AH5:AH20" si="14">((AF5-AB5)/AB5)</f>
        <v>1.1133754552740651E-2</v>
      </c>
      <c r="AI5" s="23">
        <f t="shared" ref="AI5:AI20" si="15">((AG5-AC5)/AC5)</f>
        <v>1.0866605633469356E-2</v>
      </c>
      <c r="AJ5" s="24">
        <f>AVERAGE(F5,J5,N5,R5,V5,Z5,AD5,AH5)</f>
        <v>-1.1770080723866078E-3</v>
      </c>
      <c r="AK5" s="24">
        <f>AVERAGE(G5,K5,O5,S5,W5,AA5,AE5,AI5)</f>
        <v>-7.5801504826325853E-4</v>
      </c>
      <c r="AL5" s="25">
        <f>((AF5-D5)/D5)</f>
        <v>4.5936843303624334E-3</v>
      </c>
      <c r="AM5" s="25">
        <f>((AG5-E5)/E5)</f>
        <v>7.2991193870509874E-3</v>
      </c>
      <c r="AN5" s="26">
        <f>STDEV(F5,J5,N5,R5,V5,Z5,AD5,AH5)</f>
        <v>1.615050951247525E-2</v>
      </c>
      <c r="AO5" s="78">
        <f>STDEV(G5,K5,O5,S5,W5,AA5,AE5,AI5)</f>
        <v>1.603721631321281E-2</v>
      </c>
      <c r="AP5" s="27"/>
      <c r="AQ5" s="28">
        <v>7877662528.1199999</v>
      </c>
      <c r="AR5" s="28">
        <v>7704.04</v>
      </c>
      <c r="AS5" s="29" t="e">
        <f>(#REF!/AQ5)-1</f>
        <v>#REF!</v>
      </c>
      <c r="AT5" s="29" t="e">
        <f>(#REF!/AR5)-1</f>
        <v>#REF!</v>
      </c>
    </row>
    <row r="6" spans="1:49">
      <c r="A6" s="206" t="s">
        <v>140</v>
      </c>
      <c r="B6" s="329">
        <v>474727635.32999998</v>
      </c>
      <c r="C6" s="329">
        <v>160.06960000000001</v>
      </c>
      <c r="D6" s="329">
        <v>461296914.10000002</v>
      </c>
      <c r="E6" s="329">
        <v>155.51669999999999</v>
      </c>
      <c r="F6" s="23">
        <f t="shared" si="0"/>
        <v>-2.8291424872840591E-2</v>
      </c>
      <c r="G6" s="23">
        <f t="shared" si="1"/>
        <v>-2.8443252185299531E-2</v>
      </c>
      <c r="H6" s="329">
        <v>461966312.47000003</v>
      </c>
      <c r="I6" s="329">
        <v>156.00899999999999</v>
      </c>
      <c r="J6" s="23">
        <f t="shared" si="2"/>
        <v>1.4511225840433272E-3</v>
      </c>
      <c r="K6" s="23">
        <f t="shared" si="3"/>
        <v>3.1655764300554234E-3</v>
      </c>
      <c r="L6" s="329">
        <v>464674941.26999998</v>
      </c>
      <c r="M6" s="329">
        <v>156.94110000000001</v>
      </c>
      <c r="N6" s="23">
        <f t="shared" si="4"/>
        <v>5.8632604302198982E-3</v>
      </c>
      <c r="O6" s="23">
        <f t="shared" si="5"/>
        <v>5.9746553083477221E-3</v>
      </c>
      <c r="P6" s="329">
        <v>460001180.99000001</v>
      </c>
      <c r="Q6" s="329">
        <v>155.28960000000001</v>
      </c>
      <c r="R6" s="23">
        <f t="shared" si="6"/>
        <v>-1.0058128521469542E-2</v>
      </c>
      <c r="S6" s="23">
        <f t="shared" si="7"/>
        <v>-1.0523056101938872E-2</v>
      </c>
      <c r="T6" s="329">
        <v>457015174.61000001</v>
      </c>
      <c r="U6" s="329">
        <v>154.28749999999999</v>
      </c>
      <c r="V6" s="23">
        <f t="shared" si="8"/>
        <v>-6.4913015518212507E-3</v>
      </c>
      <c r="W6" s="23">
        <f t="shared" si="9"/>
        <v>-6.4531043933400102E-3</v>
      </c>
      <c r="X6" s="329">
        <v>450867293.81</v>
      </c>
      <c r="Y6" s="329">
        <v>152.21360000000001</v>
      </c>
      <c r="Z6" s="23">
        <f t="shared" si="10"/>
        <v>-1.3452246536991661E-2</v>
      </c>
      <c r="AA6" s="23">
        <f t="shared" si="11"/>
        <v>-1.3441788868184271E-2</v>
      </c>
      <c r="AB6" s="329">
        <v>458403469.83999997</v>
      </c>
      <c r="AC6" s="329">
        <v>154.75110000000001</v>
      </c>
      <c r="AD6" s="23">
        <f t="shared" si="12"/>
        <v>1.6714843000290438E-2</v>
      </c>
      <c r="AE6" s="23">
        <f t="shared" si="13"/>
        <v>1.6670652293881715E-2</v>
      </c>
      <c r="AF6" s="329">
        <v>470621417.10000002</v>
      </c>
      <c r="AG6" s="329">
        <v>158.98480000000001</v>
      </c>
      <c r="AH6" s="23">
        <f t="shared" si="14"/>
        <v>2.6653260858310195E-2</v>
      </c>
      <c r="AI6" s="23">
        <f t="shared" si="15"/>
        <v>2.735812540266272E-2</v>
      </c>
      <c r="AJ6" s="24">
        <f t="shared" ref="AJ6:AJ69" si="16">AVERAGE(F6,J6,N6,R6,V6,Z6,AD6,AH6)</f>
        <v>-9.5132682628239771E-4</v>
      </c>
      <c r="AK6" s="24">
        <f t="shared" ref="AK6:AK69" si="17">AVERAGE(G6,K6,O6,S6,W6,AA6,AE6,AI6)</f>
        <v>-7.115240142268886E-4</v>
      </c>
      <c r="AL6" s="25">
        <f t="shared" ref="AL6:AL69" si="18">((AF6-D6)/D6)</f>
        <v>2.021366871311572E-2</v>
      </c>
      <c r="AM6" s="25">
        <f t="shared" ref="AM6:AM69" si="19">((AG6-E6)/E6)</f>
        <v>2.230049891747974E-2</v>
      </c>
      <c r="AN6" s="26">
        <f t="shared" ref="AN6:AN69" si="20">STDEV(F6,J6,N6,R6,V6,Z6,AD6,AH6)</f>
        <v>1.7499780782738877E-2</v>
      </c>
      <c r="AO6" s="78">
        <f t="shared" ref="AO6:AO69" si="21">STDEV(G6,K6,O6,S6,W6,AA6,AE6,AI6)</f>
        <v>1.776884300094702E-2</v>
      </c>
      <c r="AP6" s="30"/>
      <c r="AQ6" s="31">
        <v>486981928.81999999</v>
      </c>
      <c r="AR6" s="32">
        <v>0.95</v>
      </c>
      <c r="AS6" s="29" t="e">
        <f>(#REF!/AQ6)-1</f>
        <v>#REF!</v>
      </c>
      <c r="AT6" s="29" t="e">
        <f>(#REF!/AR6)-1</f>
        <v>#REF!</v>
      </c>
    </row>
    <row r="7" spans="1:49">
      <c r="A7" s="206" t="s">
        <v>11</v>
      </c>
      <c r="B7" s="329">
        <v>2486012624.3099999</v>
      </c>
      <c r="C7" s="329">
        <v>24.469200000000001</v>
      </c>
      <c r="D7" s="329">
        <v>2443908316.0900002</v>
      </c>
      <c r="E7" s="329">
        <v>24.079799999999999</v>
      </c>
      <c r="F7" s="23">
        <f t="shared" si="0"/>
        <v>-1.6936482062992728E-2</v>
      </c>
      <c r="G7" s="23">
        <f t="shared" si="1"/>
        <v>-1.591388357608757E-2</v>
      </c>
      <c r="H7" s="329">
        <v>2440871964</v>
      </c>
      <c r="I7" s="329">
        <v>24.042300000000001</v>
      </c>
      <c r="J7" s="23">
        <f t="shared" si="2"/>
        <v>-1.2424165301168095E-3</v>
      </c>
      <c r="K7" s="23">
        <f t="shared" si="3"/>
        <v>-1.5573219046668939E-3</v>
      </c>
      <c r="L7" s="329">
        <v>2450114056.6500001</v>
      </c>
      <c r="M7" s="329">
        <v>24.135400000000001</v>
      </c>
      <c r="N7" s="23">
        <f t="shared" si="4"/>
        <v>3.7863897764037311E-3</v>
      </c>
      <c r="O7" s="23">
        <f t="shared" si="5"/>
        <v>3.8723416644830043E-3</v>
      </c>
      <c r="P7" s="329">
        <v>2407790657.52</v>
      </c>
      <c r="Q7" s="329">
        <v>23.709800000000001</v>
      </c>
      <c r="R7" s="23">
        <f t="shared" si="6"/>
        <v>-1.7274052616092571E-2</v>
      </c>
      <c r="S7" s="23">
        <f t="shared" si="7"/>
        <v>-1.763384903502736E-2</v>
      </c>
      <c r="T7" s="329">
        <v>2380937587.1799998</v>
      </c>
      <c r="U7" s="329">
        <v>23.444800000000001</v>
      </c>
      <c r="V7" s="23">
        <f t="shared" si="8"/>
        <v>-1.1152576847215838E-2</v>
      </c>
      <c r="W7" s="23">
        <f t="shared" si="9"/>
        <v>-1.1176812963415994E-2</v>
      </c>
      <c r="X7" s="329">
        <v>2368659531.9499998</v>
      </c>
      <c r="Y7" s="329">
        <v>23.3535</v>
      </c>
      <c r="Z7" s="23">
        <f t="shared" si="10"/>
        <v>-5.1568152378753613E-3</v>
      </c>
      <c r="AA7" s="23">
        <f t="shared" si="11"/>
        <v>-3.8942537364362408E-3</v>
      </c>
      <c r="AB7" s="329">
        <v>2399333308.2600002</v>
      </c>
      <c r="AC7" s="329">
        <v>23.644100000000002</v>
      </c>
      <c r="AD7" s="23">
        <f t="shared" si="12"/>
        <v>1.2949846061138311E-2</v>
      </c>
      <c r="AE7" s="23">
        <f t="shared" si="13"/>
        <v>1.2443530948251924E-2</v>
      </c>
      <c r="AF7" s="329">
        <v>2414176649.5999999</v>
      </c>
      <c r="AG7" s="329">
        <v>23.817799999999998</v>
      </c>
      <c r="AH7" s="23">
        <f t="shared" si="14"/>
        <v>6.1864440796531462E-3</v>
      </c>
      <c r="AI7" s="23">
        <f t="shared" si="15"/>
        <v>7.3464416069969514E-3</v>
      </c>
      <c r="AJ7" s="24">
        <f t="shared" si="16"/>
        <v>-3.6049579221372648E-3</v>
      </c>
      <c r="AK7" s="24">
        <f t="shared" si="17"/>
        <v>-3.3142258744877722E-3</v>
      </c>
      <c r="AL7" s="25">
        <f t="shared" si="18"/>
        <v>-1.2165622701250852E-2</v>
      </c>
      <c r="AM7" s="25">
        <f t="shared" si="19"/>
        <v>-1.0880489040606669E-2</v>
      </c>
      <c r="AN7" s="26">
        <f t="shared" si="20"/>
        <v>1.1045976700993394E-2</v>
      </c>
      <c r="AO7" s="78">
        <f t="shared" si="21"/>
        <v>1.0971716140641604E-2</v>
      </c>
      <c r="AP7" s="30"/>
      <c r="AQ7" s="28">
        <v>204065067.03999999</v>
      </c>
      <c r="AR7" s="32">
        <v>105.02</v>
      </c>
      <c r="AS7" s="29" t="e">
        <f>(#REF!/AQ7)-1</f>
        <v>#REF!</v>
      </c>
      <c r="AT7" s="29" t="e">
        <f>(#REF!/AR7)-1</f>
        <v>#REF!</v>
      </c>
    </row>
    <row r="8" spans="1:49">
      <c r="A8" s="206" t="s">
        <v>83</v>
      </c>
      <c r="B8" s="330">
        <v>276411289.94999999</v>
      </c>
      <c r="C8" s="329">
        <v>142.72999999999999</v>
      </c>
      <c r="D8" s="330">
        <v>272102441.94</v>
      </c>
      <c r="E8" s="329">
        <v>140.68</v>
      </c>
      <c r="F8" s="23">
        <f t="shared" si="0"/>
        <v>-1.5588538408758259E-2</v>
      </c>
      <c r="G8" s="23">
        <f t="shared" si="1"/>
        <v>-1.4362782876760198E-2</v>
      </c>
      <c r="H8" s="330">
        <v>270013216.83999997</v>
      </c>
      <c r="I8" s="329">
        <v>139.41999999999999</v>
      </c>
      <c r="J8" s="23">
        <f t="shared" si="2"/>
        <v>-7.6780828760835184E-3</v>
      </c>
      <c r="K8" s="23">
        <f t="shared" si="3"/>
        <v>-8.956497014501132E-3</v>
      </c>
      <c r="L8" s="330">
        <v>265055857.36000001</v>
      </c>
      <c r="M8" s="329">
        <v>140.81</v>
      </c>
      <c r="N8" s="23">
        <f t="shared" si="4"/>
        <v>-1.8359691936626607E-2</v>
      </c>
      <c r="O8" s="23">
        <f t="shared" si="5"/>
        <v>9.969875197245839E-3</v>
      </c>
      <c r="P8" s="330">
        <v>262752285.47999999</v>
      </c>
      <c r="Q8" s="329">
        <v>139.56</v>
      </c>
      <c r="R8" s="23">
        <f t="shared" si="6"/>
        <v>-8.6908921875712541E-3</v>
      </c>
      <c r="S8" s="23">
        <f t="shared" si="7"/>
        <v>-8.8772104253959233E-3</v>
      </c>
      <c r="T8" s="330">
        <v>257911619.90000001</v>
      </c>
      <c r="U8" s="329">
        <v>136.97</v>
      </c>
      <c r="V8" s="23">
        <f t="shared" si="8"/>
        <v>-1.8422924737484126E-2</v>
      </c>
      <c r="W8" s="23">
        <f t="shared" si="9"/>
        <v>-1.8558326167956458E-2</v>
      </c>
      <c r="X8" s="330">
        <v>239874505.08000001</v>
      </c>
      <c r="Y8" s="329">
        <v>127.34</v>
      </c>
      <c r="Z8" s="23">
        <f t="shared" si="10"/>
        <v>-6.9935254669772212E-2</v>
      </c>
      <c r="AA8" s="23">
        <f t="shared" si="11"/>
        <v>-7.0307366576622579E-2</v>
      </c>
      <c r="AB8" s="330">
        <v>253303753.62</v>
      </c>
      <c r="AC8" s="329">
        <v>134.46</v>
      </c>
      <c r="AD8" s="23">
        <f t="shared" si="12"/>
        <v>5.5984476280717003E-2</v>
      </c>
      <c r="AE8" s="23">
        <f t="shared" si="13"/>
        <v>5.5913302968431007E-2</v>
      </c>
      <c r="AF8" s="330">
        <v>253303753.62</v>
      </c>
      <c r="AG8" s="329">
        <v>134.46</v>
      </c>
      <c r="AH8" s="23">
        <f t="shared" si="14"/>
        <v>0</v>
      </c>
      <c r="AI8" s="23">
        <f t="shared" si="15"/>
        <v>0</v>
      </c>
      <c r="AJ8" s="24">
        <f t="shared" si="16"/>
        <v>-1.0336363566947372E-2</v>
      </c>
      <c r="AK8" s="24">
        <f t="shared" si="17"/>
        <v>-6.8973756119449304E-3</v>
      </c>
      <c r="AL8" s="25">
        <f t="shared" si="18"/>
        <v>-6.9086804903225385E-2</v>
      </c>
      <c r="AM8" s="25">
        <f t="shared" si="19"/>
        <v>-4.4213818595393792E-2</v>
      </c>
      <c r="AN8" s="26">
        <f t="shared" si="20"/>
        <v>3.4277122051902795E-2</v>
      </c>
      <c r="AO8" s="78">
        <f t="shared" si="21"/>
        <v>3.4842412657151295E-2</v>
      </c>
      <c r="AP8" s="30"/>
      <c r="AQ8" s="33">
        <v>166618649</v>
      </c>
      <c r="AR8" s="34">
        <v>9.4</v>
      </c>
      <c r="AS8" s="29" t="e">
        <f>(#REF!/AQ8)-1</f>
        <v>#REF!</v>
      </c>
      <c r="AT8" s="29" t="e">
        <f>(#REF!/AR8)-1</f>
        <v>#REF!</v>
      </c>
      <c r="AU8" s="93"/>
    </row>
    <row r="9" spans="1:49" s="88" customFormat="1">
      <c r="A9" s="206" t="s">
        <v>53</v>
      </c>
      <c r="B9" s="329">
        <v>388830642.97000003</v>
      </c>
      <c r="C9" s="329">
        <v>181.25</v>
      </c>
      <c r="D9" s="329">
        <v>379955757.45999998</v>
      </c>
      <c r="E9" s="329">
        <v>177.1</v>
      </c>
      <c r="F9" s="23">
        <f t="shared" si="0"/>
        <v>-2.2824552720976742E-2</v>
      </c>
      <c r="G9" s="23">
        <f t="shared" si="1"/>
        <v>-2.2896551724137962E-2</v>
      </c>
      <c r="H9" s="329">
        <v>379469811.12</v>
      </c>
      <c r="I9" s="329">
        <v>176.95</v>
      </c>
      <c r="J9" s="23">
        <f t="shared" si="2"/>
        <v>-1.2789550637382617E-3</v>
      </c>
      <c r="K9" s="23">
        <f t="shared" si="3"/>
        <v>-8.4697910784870521E-4</v>
      </c>
      <c r="L9" s="329">
        <v>382853259.39999998</v>
      </c>
      <c r="M9" s="329">
        <v>178.5</v>
      </c>
      <c r="N9" s="23">
        <f t="shared" si="4"/>
        <v>8.9162515194918125E-3</v>
      </c>
      <c r="O9" s="23">
        <f t="shared" si="5"/>
        <v>8.7595365922577655E-3</v>
      </c>
      <c r="P9" s="329">
        <v>380537889.02999997</v>
      </c>
      <c r="Q9" s="329">
        <v>178.5</v>
      </c>
      <c r="R9" s="23">
        <f t="shared" si="6"/>
        <v>-6.0476705190615513E-3</v>
      </c>
      <c r="S9" s="23">
        <f t="shared" si="7"/>
        <v>0</v>
      </c>
      <c r="T9" s="329">
        <v>378423731.22000003</v>
      </c>
      <c r="U9" s="329">
        <v>176.47</v>
      </c>
      <c r="V9" s="23">
        <f t="shared" si="8"/>
        <v>-5.5557090921720849E-3</v>
      </c>
      <c r="W9" s="23">
        <f t="shared" si="9"/>
        <v>-1.1372549019607849E-2</v>
      </c>
      <c r="X9" s="329">
        <v>385710588.06999999</v>
      </c>
      <c r="Y9" s="329">
        <v>179.83</v>
      </c>
      <c r="Z9" s="23">
        <f t="shared" si="10"/>
        <v>1.9255813652351746E-2</v>
      </c>
      <c r="AA9" s="23">
        <f t="shared" si="11"/>
        <v>1.9040063466878299E-2</v>
      </c>
      <c r="AB9" s="329">
        <v>391185242.54000002</v>
      </c>
      <c r="AC9" s="329">
        <v>182.4</v>
      </c>
      <c r="AD9" s="23">
        <f t="shared" si="12"/>
        <v>1.4193684693474037E-2</v>
      </c>
      <c r="AE9" s="23">
        <f t="shared" si="13"/>
        <v>1.4291275093143485E-2</v>
      </c>
      <c r="AF9" s="329">
        <v>397400267.23000002</v>
      </c>
      <c r="AG9" s="329">
        <v>185.22</v>
      </c>
      <c r="AH9" s="23">
        <f t="shared" si="14"/>
        <v>1.5887676768288339E-2</v>
      </c>
      <c r="AI9" s="23">
        <f t="shared" si="15"/>
        <v>1.5460526315789435E-2</v>
      </c>
      <c r="AJ9" s="24">
        <f t="shared" si="16"/>
        <v>2.8183174047071618E-3</v>
      </c>
      <c r="AK9" s="24">
        <f t="shared" si="17"/>
        <v>2.8044152020593083E-3</v>
      </c>
      <c r="AL9" s="25">
        <f t="shared" si="18"/>
        <v>4.5911950082336943E-2</v>
      </c>
      <c r="AM9" s="25">
        <f t="shared" si="19"/>
        <v>4.5849802371541529E-2</v>
      </c>
      <c r="AN9" s="26">
        <f t="shared" si="20"/>
        <v>1.4296141887569227E-2</v>
      </c>
      <c r="AO9" s="78">
        <f t="shared" si="21"/>
        <v>1.4510628048568338E-2</v>
      </c>
      <c r="AP9" s="30"/>
      <c r="AQ9" s="33"/>
      <c r="AR9" s="34"/>
      <c r="AS9" s="29"/>
      <c r="AT9" s="29"/>
    </row>
    <row r="10" spans="1:49">
      <c r="A10" s="206" t="s">
        <v>8</v>
      </c>
      <c r="B10" s="330">
        <v>269099988.37</v>
      </c>
      <c r="C10" s="329">
        <v>138.47999999999999</v>
      </c>
      <c r="D10" s="330">
        <v>262294308.96000001</v>
      </c>
      <c r="E10" s="329">
        <v>134.93</v>
      </c>
      <c r="F10" s="23">
        <f t="shared" si="0"/>
        <v>-2.5290522869300548E-2</v>
      </c>
      <c r="G10" s="23">
        <f t="shared" si="1"/>
        <v>-2.5635470826111954E-2</v>
      </c>
      <c r="H10" s="330">
        <v>261189734.56</v>
      </c>
      <c r="I10" s="329">
        <v>134.36000000000001</v>
      </c>
      <c r="J10" s="23">
        <f t="shared" si="2"/>
        <v>-4.2112023107922407E-3</v>
      </c>
      <c r="K10" s="23">
        <f t="shared" si="3"/>
        <v>-4.2244126584154241E-3</v>
      </c>
      <c r="L10" s="330">
        <v>263121268.24000001</v>
      </c>
      <c r="M10" s="329">
        <v>135.38</v>
      </c>
      <c r="N10" s="23">
        <f t="shared" si="4"/>
        <v>7.3951362723112648E-3</v>
      </c>
      <c r="O10" s="23">
        <f t="shared" si="5"/>
        <v>7.5915451027090035E-3</v>
      </c>
      <c r="P10" s="330">
        <v>260761523.71000001</v>
      </c>
      <c r="Q10" s="329">
        <v>134.13999999999999</v>
      </c>
      <c r="R10" s="23">
        <f t="shared" si="6"/>
        <v>-8.968277425022193E-3</v>
      </c>
      <c r="S10" s="23">
        <f t="shared" si="7"/>
        <v>-9.159403161471482E-3</v>
      </c>
      <c r="T10" s="330">
        <v>261028734.77000001</v>
      </c>
      <c r="U10" s="329">
        <v>134.28</v>
      </c>
      <c r="V10" s="23">
        <f t="shared" si="8"/>
        <v>1.0247334660353307E-3</v>
      </c>
      <c r="W10" s="23">
        <f t="shared" si="9"/>
        <v>1.0436857015059997E-3</v>
      </c>
      <c r="X10" s="330">
        <v>263123783.63</v>
      </c>
      <c r="Y10" s="329">
        <v>135.38</v>
      </c>
      <c r="Z10" s="23">
        <f t="shared" si="10"/>
        <v>8.02612349113975E-3</v>
      </c>
      <c r="AA10" s="23">
        <f t="shared" si="11"/>
        <v>8.1918379505510446E-3</v>
      </c>
      <c r="AB10" s="330">
        <v>266937356.22999999</v>
      </c>
      <c r="AC10" s="329">
        <v>137.35</v>
      </c>
      <c r="AD10" s="23">
        <f t="shared" si="12"/>
        <v>1.449345455355177E-2</v>
      </c>
      <c r="AE10" s="23">
        <f t="shared" si="13"/>
        <v>1.455163244201506E-2</v>
      </c>
      <c r="AF10" s="330">
        <v>268366586.72</v>
      </c>
      <c r="AG10" s="329">
        <v>137.27000000000001</v>
      </c>
      <c r="AH10" s="23">
        <f t="shared" si="14"/>
        <v>5.354179385700323E-3</v>
      </c>
      <c r="AI10" s="23">
        <f t="shared" si="15"/>
        <v>-5.8245358572977125E-4</v>
      </c>
      <c r="AJ10" s="24">
        <f t="shared" si="16"/>
        <v>-2.7204692954706754E-4</v>
      </c>
      <c r="AK10" s="24">
        <f t="shared" si="17"/>
        <v>-1.0278798793684403E-3</v>
      </c>
      <c r="AL10" s="25">
        <f t="shared" si="18"/>
        <v>2.315062718698184E-2</v>
      </c>
      <c r="AM10" s="25">
        <f t="shared" si="19"/>
        <v>1.7342325650337238E-2</v>
      </c>
      <c r="AN10" s="26">
        <f t="shared" si="20"/>
        <v>1.2513232623734258E-2</v>
      </c>
      <c r="AO10" s="78">
        <f t="shared" si="21"/>
        <v>1.2469286275217104E-2</v>
      </c>
      <c r="AP10" s="30"/>
      <c r="AQ10" s="28">
        <v>1147996444.8800001</v>
      </c>
      <c r="AR10" s="32">
        <v>0.69840000000000002</v>
      </c>
      <c r="AS10" s="29" t="e">
        <f>(#REF!/AQ10)-1</f>
        <v>#REF!</v>
      </c>
      <c r="AT10" s="29" t="e">
        <f>(#REF!/AR10)-1</f>
        <v>#REF!</v>
      </c>
    </row>
    <row r="11" spans="1:49">
      <c r="A11" s="206" t="s">
        <v>225</v>
      </c>
      <c r="B11" s="74">
        <v>26679311.77</v>
      </c>
      <c r="C11" s="329">
        <v>107.44</v>
      </c>
      <c r="D11" s="74">
        <v>25526916.879999999</v>
      </c>
      <c r="E11" s="329">
        <v>102.78</v>
      </c>
      <c r="F11" s="23">
        <f t="shared" si="0"/>
        <v>-4.3194325998162759E-2</v>
      </c>
      <c r="G11" s="23">
        <f t="shared" si="1"/>
        <v>-4.3373045420699897E-2</v>
      </c>
      <c r="H11" s="74">
        <v>25667814.68</v>
      </c>
      <c r="I11" s="329">
        <v>103.2</v>
      </c>
      <c r="J11" s="23">
        <f t="shared" si="2"/>
        <v>5.5195776545342344E-3</v>
      </c>
      <c r="K11" s="23">
        <f t="shared" si="3"/>
        <v>4.0863981319322991E-3</v>
      </c>
      <c r="L11" s="74">
        <v>26274947.98</v>
      </c>
      <c r="M11" s="329">
        <v>105.74</v>
      </c>
      <c r="N11" s="23">
        <f t="shared" si="4"/>
        <v>2.3653486187628994E-2</v>
      </c>
      <c r="O11" s="23">
        <f t="shared" si="5"/>
        <v>2.4612403100775115E-2</v>
      </c>
      <c r="P11" s="74">
        <v>26260978.399999999</v>
      </c>
      <c r="Q11" s="329">
        <v>105.68</v>
      </c>
      <c r="R11" s="23">
        <f t="shared" si="6"/>
        <v>-5.3166917820866172E-4</v>
      </c>
      <c r="S11" s="23">
        <f t="shared" si="7"/>
        <v>-5.6742954416482002E-4</v>
      </c>
      <c r="T11" s="74">
        <v>26047390.780000001</v>
      </c>
      <c r="U11" s="329">
        <v>104.81</v>
      </c>
      <c r="V11" s="23">
        <f t="shared" si="8"/>
        <v>-8.1332697033099626E-3</v>
      </c>
      <c r="W11" s="23">
        <f t="shared" si="9"/>
        <v>-8.2323996971991348E-3</v>
      </c>
      <c r="X11" s="74">
        <v>25302738.41</v>
      </c>
      <c r="Y11" s="329">
        <v>101.8</v>
      </c>
      <c r="Z11" s="23">
        <f t="shared" si="10"/>
        <v>-2.8588367114750254E-2</v>
      </c>
      <c r="AA11" s="23">
        <f t="shared" si="11"/>
        <v>-2.8718633718156712E-2</v>
      </c>
      <c r="AB11" s="74">
        <v>25667146</v>
      </c>
      <c r="AC11" s="329">
        <v>103.28</v>
      </c>
      <c r="AD11" s="23">
        <f t="shared" si="12"/>
        <v>1.4401903228623697E-2</v>
      </c>
      <c r="AE11" s="23">
        <f t="shared" si="13"/>
        <v>1.4538310412573714E-2</v>
      </c>
      <c r="AF11" s="74">
        <v>26679738</v>
      </c>
      <c r="AG11" s="329">
        <v>107.37</v>
      </c>
      <c r="AH11" s="23">
        <f t="shared" si="14"/>
        <v>3.9450899605277499E-2</v>
      </c>
      <c r="AI11" s="23">
        <f t="shared" si="15"/>
        <v>3.9601084430673929E-2</v>
      </c>
      <c r="AJ11" s="24">
        <f t="shared" si="16"/>
        <v>3.2227933520409882E-4</v>
      </c>
      <c r="AK11" s="24">
        <f t="shared" si="17"/>
        <v>2.4333596196681167E-4</v>
      </c>
      <c r="AL11" s="25">
        <f t="shared" si="18"/>
        <v>4.5161001049179625E-2</v>
      </c>
      <c r="AM11" s="25">
        <f t="shared" si="19"/>
        <v>4.4658493870402834E-2</v>
      </c>
      <c r="AN11" s="26">
        <f t="shared" si="20"/>
        <v>2.6998380405739285E-2</v>
      </c>
      <c r="AO11" s="78">
        <f t="shared" si="21"/>
        <v>2.719159289052437E-2</v>
      </c>
      <c r="AP11" s="30"/>
      <c r="AQ11" s="28">
        <v>2845469436.1399999</v>
      </c>
      <c r="AR11" s="32">
        <v>13.0688</v>
      </c>
      <c r="AS11" s="29" t="e">
        <f>(#REF!/AQ11)-1</f>
        <v>#REF!</v>
      </c>
      <c r="AT11" s="29" t="e">
        <f>(#REF!/AR11)-1</f>
        <v>#REF!</v>
      </c>
    </row>
    <row r="12" spans="1:49" ht="12.75" customHeight="1">
      <c r="A12" s="206" t="s">
        <v>45</v>
      </c>
      <c r="B12" s="330">
        <v>1069902564.84</v>
      </c>
      <c r="C12" s="329">
        <v>2.1800000000000002</v>
      </c>
      <c r="D12" s="330">
        <v>1048171294.73</v>
      </c>
      <c r="E12" s="329">
        <v>2.14</v>
      </c>
      <c r="F12" s="23">
        <f t="shared" si="0"/>
        <v>-2.0311447812306017E-2</v>
      </c>
      <c r="G12" s="23">
        <f t="shared" si="1"/>
        <v>-1.8348623853211024E-2</v>
      </c>
      <c r="H12" s="330">
        <v>1048349970.13</v>
      </c>
      <c r="I12" s="329">
        <v>2.14</v>
      </c>
      <c r="J12" s="23">
        <f t="shared" si="2"/>
        <v>1.7046393170498092E-4</v>
      </c>
      <c r="K12" s="23">
        <f t="shared" si="3"/>
        <v>0</v>
      </c>
      <c r="L12" s="330">
        <v>1039547469.9</v>
      </c>
      <c r="M12" s="329">
        <v>2.12</v>
      </c>
      <c r="N12" s="23">
        <f t="shared" si="4"/>
        <v>-8.396528335769848E-3</v>
      </c>
      <c r="O12" s="23">
        <f t="shared" si="5"/>
        <v>-9.3457943925233725E-3</v>
      </c>
      <c r="P12" s="330">
        <v>1064328708.47</v>
      </c>
      <c r="Q12" s="329">
        <v>2.17</v>
      </c>
      <c r="R12" s="23">
        <f t="shared" si="6"/>
        <v>2.3838486733447489E-2</v>
      </c>
      <c r="S12" s="23">
        <f t="shared" si="7"/>
        <v>2.3584905660377273E-2</v>
      </c>
      <c r="T12" s="330">
        <v>1024827540.0700001</v>
      </c>
      <c r="U12" s="329">
        <v>2.09</v>
      </c>
      <c r="V12" s="23">
        <f t="shared" si="8"/>
        <v>-3.7113692495229153E-2</v>
      </c>
      <c r="W12" s="23">
        <f t="shared" si="9"/>
        <v>-3.6866359447004643E-2</v>
      </c>
      <c r="X12" s="330">
        <v>1005563680.53</v>
      </c>
      <c r="Y12" s="329">
        <v>2.0499999999999998</v>
      </c>
      <c r="Z12" s="23">
        <f t="shared" si="10"/>
        <v>-1.8797171998992415E-2</v>
      </c>
      <c r="AA12" s="23">
        <f t="shared" si="11"/>
        <v>-1.9138755980861261E-2</v>
      </c>
      <c r="AB12" s="330">
        <v>1031899682.33</v>
      </c>
      <c r="AC12" s="329">
        <v>2.1</v>
      </c>
      <c r="AD12" s="23">
        <f t="shared" si="12"/>
        <v>2.6190287407873779E-2</v>
      </c>
      <c r="AE12" s="23">
        <f t="shared" si="13"/>
        <v>2.4390243902439157E-2</v>
      </c>
      <c r="AF12" s="330">
        <v>1039769742.6900001</v>
      </c>
      <c r="AG12" s="329">
        <v>2.12</v>
      </c>
      <c r="AH12" s="23">
        <f t="shared" si="14"/>
        <v>7.6267688562803339E-3</v>
      </c>
      <c r="AI12" s="23">
        <f t="shared" si="15"/>
        <v>9.5238095238095316E-3</v>
      </c>
      <c r="AJ12" s="24">
        <f t="shared" si="16"/>
        <v>-3.3491042141238557E-3</v>
      </c>
      <c r="AK12" s="24">
        <f t="shared" si="17"/>
        <v>-3.2750718233717918E-3</v>
      </c>
      <c r="AL12" s="25">
        <f t="shared" si="18"/>
        <v>-8.0154380130817542E-3</v>
      </c>
      <c r="AM12" s="25">
        <f t="shared" si="19"/>
        <v>-9.3457943925233725E-3</v>
      </c>
      <c r="AN12" s="26">
        <f t="shared" si="20"/>
        <v>2.2156861946474721E-2</v>
      </c>
      <c r="AO12" s="78">
        <f t="shared" si="21"/>
        <v>2.1730368041041642E-2</v>
      </c>
      <c r="AP12" s="30"/>
      <c r="AQ12" s="33">
        <v>155057555.75</v>
      </c>
      <c r="AR12" s="33">
        <v>111.51</v>
      </c>
      <c r="AS12" s="29" t="e">
        <f>(#REF!/AQ12)-1</f>
        <v>#REF!</v>
      </c>
      <c r="AT12" s="29" t="e">
        <f>(#REF!/AR12)-1</f>
        <v>#REF!</v>
      </c>
      <c r="AU12" s="83"/>
      <c r="AV12" s="84"/>
      <c r="AW12" s="89"/>
    </row>
    <row r="13" spans="1:49" ht="12.75" customHeight="1">
      <c r="A13" s="206" t="s">
        <v>54</v>
      </c>
      <c r="B13" s="329">
        <v>319008569.52999997</v>
      </c>
      <c r="C13" s="329">
        <v>13.0755</v>
      </c>
      <c r="D13" s="329">
        <v>312528895.77999997</v>
      </c>
      <c r="E13" s="329">
        <v>12.9788</v>
      </c>
      <c r="F13" s="23">
        <f t="shared" si="0"/>
        <v>-2.0311911242844035E-2</v>
      </c>
      <c r="G13" s="23">
        <f t="shared" si="1"/>
        <v>-7.3955106879278216E-3</v>
      </c>
      <c r="H13" s="329">
        <v>313263269.95999998</v>
      </c>
      <c r="I13" s="329">
        <v>13.016299999999999</v>
      </c>
      <c r="J13" s="23">
        <f t="shared" si="2"/>
        <v>2.3497801000677992E-3</v>
      </c>
      <c r="K13" s="23">
        <f t="shared" si="3"/>
        <v>2.8893272105279108E-3</v>
      </c>
      <c r="L13" s="329">
        <v>314249687.81999999</v>
      </c>
      <c r="M13" s="329">
        <v>13.0548</v>
      </c>
      <c r="N13" s="23">
        <f t="shared" si="4"/>
        <v>3.1488462088963324E-3</v>
      </c>
      <c r="O13" s="23">
        <f t="shared" si="5"/>
        <v>2.9578297980225464E-3</v>
      </c>
      <c r="P13" s="329">
        <v>315086006.37</v>
      </c>
      <c r="Q13" s="329">
        <v>12.976599999999999</v>
      </c>
      <c r="R13" s="23">
        <f t="shared" si="6"/>
        <v>2.6613186342417283E-3</v>
      </c>
      <c r="S13" s="23">
        <f t="shared" si="7"/>
        <v>-5.9901338971106955E-3</v>
      </c>
      <c r="T13" s="329">
        <v>303964969.38999999</v>
      </c>
      <c r="U13" s="329">
        <v>12.6791</v>
      </c>
      <c r="V13" s="23">
        <f t="shared" si="8"/>
        <v>-3.5295242426414769E-2</v>
      </c>
      <c r="W13" s="23">
        <f t="shared" si="9"/>
        <v>-2.2925881972165239E-2</v>
      </c>
      <c r="X13" s="329">
        <v>311153691.87</v>
      </c>
      <c r="Y13" s="329">
        <v>13.002700000000001</v>
      </c>
      <c r="Z13" s="23">
        <f t="shared" si="10"/>
        <v>2.3649838645638743E-2</v>
      </c>
      <c r="AA13" s="23">
        <f t="shared" si="11"/>
        <v>2.5522316252730933E-2</v>
      </c>
      <c r="AB13" s="329">
        <v>310381485.08999997</v>
      </c>
      <c r="AC13" s="329">
        <v>12.965</v>
      </c>
      <c r="AD13" s="23">
        <f t="shared" si="12"/>
        <v>-2.4817535519477589E-3</v>
      </c>
      <c r="AE13" s="23">
        <f t="shared" si="13"/>
        <v>-2.8993978173764644E-3</v>
      </c>
      <c r="AF13" s="329">
        <v>327568482.69999999</v>
      </c>
      <c r="AG13" s="329">
        <v>13.675599999999999</v>
      </c>
      <c r="AH13" s="23">
        <f t="shared" si="14"/>
        <v>5.5373784956974398E-2</v>
      </c>
      <c r="AI13" s="23">
        <f t="shared" si="15"/>
        <v>5.4809101426918583E-2</v>
      </c>
      <c r="AJ13" s="24">
        <f t="shared" si="16"/>
        <v>3.6368326655765548E-3</v>
      </c>
      <c r="AK13" s="24">
        <f t="shared" si="17"/>
        <v>5.8709562892024685E-3</v>
      </c>
      <c r="AL13" s="25">
        <f t="shared" si="18"/>
        <v>4.8122228450155562E-2</v>
      </c>
      <c r="AM13" s="25">
        <f t="shared" si="19"/>
        <v>5.3687552007889765E-2</v>
      </c>
      <c r="AN13" s="26">
        <f t="shared" si="20"/>
        <v>2.7273128602906774E-2</v>
      </c>
      <c r="AO13" s="78">
        <f t="shared" si="21"/>
        <v>2.3968300575438767E-2</v>
      </c>
      <c r="AP13" s="30"/>
      <c r="AQ13" s="38">
        <v>212579164.06</v>
      </c>
      <c r="AR13" s="38">
        <v>9.9</v>
      </c>
      <c r="AS13" s="29" t="e">
        <f>(#REF!/AQ13)-1</f>
        <v>#REF!</v>
      </c>
      <c r="AT13" s="29" t="e">
        <f>(#REF!/AR13)-1</f>
        <v>#REF!</v>
      </c>
    </row>
    <row r="14" spans="1:49" ht="12.75" customHeight="1">
      <c r="A14" s="206" t="s">
        <v>129</v>
      </c>
      <c r="B14" s="329">
        <v>306939721.04999995</v>
      </c>
      <c r="C14" s="329">
        <v>1.58</v>
      </c>
      <c r="D14" s="329">
        <v>297011968.00999999</v>
      </c>
      <c r="E14" s="329">
        <v>1.53</v>
      </c>
      <c r="F14" s="23">
        <f t="shared" si="0"/>
        <v>-3.2344308537319441E-2</v>
      </c>
      <c r="G14" s="23">
        <f t="shared" si="1"/>
        <v>-3.1645569620253194E-2</v>
      </c>
      <c r="H14" s="329">
        <v>299478576.27999997</v>
      </c>
      <c r="I14" s="329">
        <v>1.54</v>
      </c>
      <c r="J14" s="23">
        <f t="shared" si="2"/>
        <v>8.3047436994758868E-3</v>
      </c>
      <c r="K14" s="23">
        <f t="shared" si="3"/>
        <v>6.5359477124183061E-3</v>
      </c>
      <c r="L14" s="329">
        <v>300929321.88999999</v>
      </c>
      <c r="M14" s="329">
        <v>-80.06</v>
      </c>
      <c r="N14" s="23">
        <f t="shared" si="4"/>
        <v>4.8442383693036786E-3</v>
      </c>
      <c r="O14" s="23">
        <f t="shared" si="5"/>
        <v>-52.987012987012989</v>
      </c>
      <c r="P14" s="329">
        <v>297835987.75999999</v>
      </c>
      <c r="Q14" s="329">
        <v>1.54</v>
      </c>
      <c r="R14" s="23">
        <f t="shared" si="6"/>
        <v>-1.0279271260680657E-2</v>
      </c>
      <c r="S14" s="23">
        <f t="shared" si="7"/>
        <v>-1.01923557332001</v>
      </c>
      <c r="T14" s="329">
        <v>294779075.10000002</v>
      </c>
      <c r="U14" s="329">
        <v>1.5246459999999999</v>
      </c>
      <c r="V14" s="23">
        <f t="shared" si="8"/>
        <v>-1.0263745100082619E-2</v>
      </c>
      <c r="W14" s="23">
        <f t="shared" si="9"/>
        <v>-9.9701298701299276E-3</v>
      </c>
      <c r="X14" s="329">
        <v>286199169.50999999</v>
      </c>
      <c r="Y14" s="329">
        <v>1.4858210000000001</v>
      </c>
      <c r="Z14" s="23">
        <f t="shared" si="10"/>
        <v>-2.9106223320259115E-2</v>
      </c>
      <c r="AA14" s="23">
        <f t="shared" si="11"/>
        <v>-2.5464927596307529E-2</v>
      </c>
      <c r="AB14" s="329">
        <v>295967065.02999997</v>
      </c>
      <c r="AC14" s="329">
        <v>1.533102</v>
      </c>
      <c r="AD14" s="23">
        <f t="shared" si="12"/>
        <v>3.4129713013226211E-2</v>
      </c>
      <c r="AE14" s="23">
        <f t="shared" si="13"/>
        <v>3.1821464362127003E-2</v>
      </c>
      <c r="AF14" s="329">
        <v>304563016.81999999</v>
      </c>
      <c r="AG14" s="329">
        <v>1.5771029999999999</v>
      </c>
      <c r="AH14" s="23">
        <f t="shared" si="14"/>
        <v>2.9043609258106857E-2</v>
      </c>
      <c r="AI14" s="23">
        <f t="shared" si="15"/>
        <v>2.870063440005946E-2</v>
      </c>
      <c r="AJ14" s="24">
        <f t="shared" si="16"/>
        <v>-7.0890548477864921E-4</v>
      </c>
      <c r="AK14" s="24">
        <f t="shared" si="17"/>
        <v>-6.7507838926181369</v>
      </c>
      <c r="AL14" s="25">
        <f t="shared" si="18"/>
        <v>2.5423382298674808E-2</v>
      </c>
      <c r="AM14" s="25">
        <f t="shared" si="19"/>
        <v>3.0786274509803851E-2</v>
      </c>
      <c r="AN14" s="26">
        <f t="shared" si="20"/>
        <v>2.4498157360331157E-2</v>
      </c>
      <c r="AO14" s="78">
        <f t="shared" si="21"/>
        <v>18.685675757037107</v>
      </c>
      <c r="AP14" s="30"/>
      <c r="AQ14" s="28">
        <v>305162610.31</v>
      </c>
      <c r="AR14" s="28">
        <v>1481.86</v>
      </c>
      <c r="AS14" s="29" t="e">
        <f>(#REF!/AQ14)-1</f>
        <v>#REF!</v>
      </c>
      <c r="AT14" s="29" t="e">
        <f>(#REF!/AR14)-1</f>
        <v>#REF!</v>
      </c>
    </row>
    <row r="15" spans="1:49" s="88" customFormat="1" ht="12.75" customHeight="1">
      <c r="A15" s="206" t="s">
        <v>10</v>
      </c>
      <c r="B15" s="330">
        <v>762898115.92999995</v>
      </c>
      <c r="C15" s="329">
        <v>20.38</v>
      </c>
      <c r="D15" s="330">
        <v>735184085.69000006</v>
      </c>
      <c r="E15" s="329">
        <v>20.38</v>
      </c>
      <c r="F15" s="23">
        <f t="shared" si="0"/>
        <v>-3.6327301983457516E-2</v>
      </c>
      <c r="G15" s="23">
        <f t="shared" si="1"/>
        <v>0</v>
      </c>
      <c r="H15" s="330">
        <v>742740589.78999996</v>
      </c>
      <c r="I15" s="329">
        <v>20.38</v>
      </c>
      <c r="J15" s="23">
        <f t="shared" si="2"/>
        <v>1.0278383668911739E-2</v>
      </c>
      <c r="K15" s="23">
        <f t="shared" si="3"/>
        <v>0</v>
      </c>
      <c r="L15" s="330">
        <v>725060937.08000004</v>
      </c>
      <c r="M15" s="329">
        <v>20.38</v>
      </c>
      <c r="N15" s="23">
        <f t="shared" si="4"/>
        <v>-2.3803267187805916E-2</v>
      </c>
      <c r="O15" s="23">
        <f t="shared" si="5"/>
        <v>0</v>
      </c>
      <c r="P15" s="330">
        <v>749352694.53999996</v>
      </c>
      <c r="Q15" s="329">
        <v>20.38</v>
      </c>
      <c r="R15" s="23">
        <f t="shared" si="6"/>
        <v>3.3503056388375911E-2</v>
      </c>
      <c r="S15" s="23">
        <f t="shared" si="7"/>
        <v>0</v>
      </c>
      <c r="T15" s="330">
        <v>661891481.22000003</v>
      </c>
      <c r="U15" s="329">
        <v>20.38</v>
      </c>
      <c r="V15" s="23">
        <f t="shared" si="8"/>
        <v>-0.11671568536053527</v>
      </c>
      <c r="W15" s="23">
        <f t="shared" si="9"/>
        <v>0</v>
      </c>
      <c r="X15" s="330">
        <v>708251814.41999996</v>
      </c>
      <c r="Y15" s="329">
        <v>20.38</v>
      </c>
      <c r="Z15" s="23">
        <f t="shared" si="10"/>
        <v>7.0042196516184874E-2</v>
      </c>
      <c r="AA15" s="23">
        <f t="shared" si="11"/>
        <v>0</v>
      </c>
      <c r="AB15" s="330">
        <v>725857123.89999998</v>
      </c>
      <c r="AC15" s="329">
        <v>18.989999999999998</v>
      </c>
      <c r="AD15" s="23">
        <f t="shared" si="12"/>
        <v>2.4857415288681357E-2</v>
      </c>
      <c r="AE15" s="23">
        <f t="shared" si="13"/>
        <v>-6.8204121687929373E-2</v>
      </c>
      <c r="AF15" s="330">
        <v>733608279.30999994</v>
      </c>
      <c r="AG15" s="329">
        <v>18.79</v>
      </c>
      <c r="AH15" s="23">
        <f t="shared" si="14"/>
        <v>1.0678624146241525E-2</v>
      </c>
      <c r="AI15" s="23">
        <f t="shared" si="15"/>
        <v>-1.0531858873091065E-2</v>
      </c>
      <c r="AJ15" s="24">
        <f t="shared" si="16"/>
        <v>-3.4358223154254113E-3</v>
      </c>
      <c r="AK15" s="24">
        <f t="shared" si="17"/>
        <v>-9.8419975701275544E-3</v>
      </c>
      <c r="AL15" s="25">
        <f t="shared" si="18"/>
        <v>-2.1434174252033165E-3</v>
      </c>
      <c r="AM15" s="25">
        <f t="shared" si="19"/>
        <v>-7.8017664376840032E-2</v>
      </c>
      <c r="AN15" s="26">
        <f t="shared" si="20"/>
        <v>5.6417213643451605E-2</v>
      </c>
      <c r="AO15" s="78">
        <f t="shared" si="21"/>
        <v>2.3868098665018517E-2</v>
      </c>
      <c r="AP15" s="30"/>
      <c r="AQ15" s="28"/>
      <c r="AR15" s="28"/>
      <c r="AS15" s="29"/>
      <c r="AT15" s="29"/>
    </row>
    <row r="16" spans="1:49" s="376" customFormat="1" ht="12.75" customHeight="1">
      <c r="A16" s="207" t="s">
        <v>68</v>
      </c>
      <c r="B16" s="330">
        <v>354805850.94</v>
      </c>
      <c r="C16" s="329">
        <v>3522.51</v>
      </c>
      <c r="D16" s="330">
        <v>348904658.19999999</v>
      </c>
      <c r="E16" s="329">
        <v>3463.63</v>
      </c>
      <c r="F16" s="23">
        <f t="shared" si="0"/>
        <v>-1.6632174256331358E-2</v>
      </c>
      <c r="G16" s="23">
        <f t="shared" si="1"/>
        <v>-1.6715353540515173E-2</v>
      </c>
      <c r="H16" s="330">
        <v>349493434.01999998</v>
      </c>
      <c r="I16" s="329">
        <v>3469.32</v>
      </c>
      <c r="J16" s="23">
        <f>((H16-D16)/D16)</f>
        <v>1.6874977337290042E-3</v>
      </c>
      <c r="K16" s="23">
        <f>((I16-E16)/E16)</f>
        <v>1.6427851704714576E-3</v>
      </c>
      <c r="L16" s="330">
        <v>352366013.08999997</v>
      </c>
      <c r="M16" s="329">
        <v>3497.56</v>
      </c>
      <c r="N16" s="23">
        <f>((L16-H16)/H16)</f>
        <v>8.2192647711819607E-3</v>
      </c>
      <c r="O16" s="23">
        <f>((M16-I16)/I16)</f>
        <v>8.1399236738034491E-3</v>
      </c>
      <c r="P16" s="330">
        <v>348432570.62</v>
      </c>
      <c r="Q16" s="329">
        <v>3458.4</v>
      </c>
      <c r="R16" s="23">
        <f>((P16-L16)/L16)</f>
        <v>-1.1162945130565996E-2</v>
      </c>
      <c r="S16" s="23">
        <f>((Q16-M16)/M16)</f>
        <v>-1.1196376902755023E-2</v>
      </c>
      <c r="T16" s="330">
        <v>342252402.37</v>
      </c>
      <c r="U16" s="329">
        <v>3416.91</v>
      </c>
      <c r="V16" s="23">
        <f t="shared" si="8"/>
        <v>-1.7737056667816744E-2</v>
      </c>
      <c r="W16" s="23">
        <f t="shared" si="9"/>
        <v>-1.1996877168632961E-2</v>
      </c>
      <c r="X16" s="330">
        <v>346673108.77999997</v>
      </c>
      <c r="Y16" s="329">
        <v>3461.04</v>
      </c>
      <c r="Z16" s="23">
        <f t="shared" si="10"/>
        <v>1.2916509509905085E-2</v>
      </c>
      <c r="AA16" s="23">
        <f t="shared" si="11"/>
        <v>1.2915177748316494E-2</v>
      </c>
      <c r="AB16" s="330">
        <v>352597487.56</v>
      </c>
      <c r="AC16" s="329">
        <v>3520.07</v>
      </c>
      <c r="AD16" s="23">
        <f t="shared" si="12"/>
        <v>1.7089236603464574E-2</v>
      </c>
      <c r="AE16" s="23">
        <f t="shared" si="13"/>
        <v>1.7055567112775408E-2</v>
      </c>
      <c r="AF16" s="330">
        <v>360902095.77999997</v>
      </c>
      <c r="AG16" s="329">
        <v>3602.14</v>
      </c>
      <c r="AH16" s="23">
        <f t="shared" si="14"/>
        <v>2.3552658521387819E-2</v>
      </c>
      <c r="AI16" s="23">
        <f t="shared" si="15"/>
        <v>2.3314877260963478E-2</v>
      </c>
      <c r="AJ16" s="24">
        <f t="shared" si="16"/>
        <v>2.2416238856192935E-3</v>
      </c>
      <c r="AK16" s="24">
        <f t="shared" si="17"/>
        <v>2.8949654193033908E-3</v>
      </c>
      <c r="AL16" s="25">
        <f t="shared" si="18"/>
        <v>3.4386005741209633E-2</v>
      </c>
      <c r="AM16" s="25">
        <f t="shared" si="19"/>
        <v>3.9989837251669422E-2</v>
      </c>
      <c r="AN16" s="26">
        <f t="shared" si="20"/>
        <v>1.5854943499361448E-2</v>
      </c>
      <c r="AO16" s="78">
        <f t="shared" si="21"/>
        <v>1.4889474476646632E-2</v>
      </c>
      <c r="AP16" s="30"/>
      <c r="AQ16" s="28"/>
      <c r="AR16" s="28"/>
      <c r="AS16" s="29"/>
      <c r="AT16" s="29"/>
    </row>
    <row r="17" spans="1:46" s="88" customFormat="1" ht="12.75" customHeight="1">
      <c r="A17" s="206" t="s">
        <v>233</v>
      </c>
      <c r="B17" s="330">
        <v>7620449943.2399998</v>
      </c>
      <c r="C17" s="329">
        <v>13070.04</v>
      </c>
      <c r="D17" s="330">
        <v>7537530831.6000004</v>
      </c>
      <c r="E17" s="329">
        <v>13084.42</v>
      </c>
      <c r="F17" s="23">
        <f t="shared" si="0"/>
        <v>-1.0881130675696628E-2</v>
      </c>
      <c r="G17" s="23">
        <f t="shared" si="1"/>
        <v>1.1002261661019553E-3</v>
      </c>
      <c r="H17" s="330">
        <v>7532733781</v>
      </c>
      <c r="I17" s="329">
        <v>13075.22</v>
      </c>
      <c r="J17" s="23">
        <f t="shared" si="2"/>
        <v>-6.3642202031060963E-4</v>
      </c>
      <c r="K17" s="23">
        <f t="shared" si="3"/>
        <v>-7.0312631358522028E-4</v>
      </c>
      <c r="L17" s="330">
        <v>7558720483.8299999</v>
      </c>
      <c r="M17" s="329">
        <v>13130.14</v>
      </c>
      <c r="N17" s="23">
        <f t="shared" si="4"/>
        <v>3.4498368833300367E-3</v>
      </c>
      <c r="O17" s="23">
        <f t="shared" si="5"/>
        <v>4.200311734716515E-3</v>
      </c>
      <c r="P17" s="330">
        <v>7475572117.2399998</v>
      </c>
      <c r="Q17" s="329">
        <v>13003.9</v>
      </c>
      <c r="R17" s="23">
        <f t="shared" si="6"/>
        <v>-1.100032297369315E-2</v>
      </c>
      <c r="S17" s="23">
        <f t="shared" si="7"/>
        <v>-9.6145204849300767E-3</v>
      </c>
      <c r="T17" s="330">
        <v>7333365642.3800001</v>
      </c>
      <c r="U17" s="329">
        <v>12784.96</v>
      </c>
      <c r="V17" s="23">
        <f t="shared" si="8"/>
        <v>-1.9022821615491639E-2</v>
      </c>
      <c r="W17" s="23">
        <f t="shared" si="9"/>
        <v>-1.6836487515283917E-2</v>
      </c>
      <c r="X17" s="330">
        <v>7376946748.9499998</v>
      </c>
      <c r="Y17" s="329">
        <v>12875.55</v>
      </c>
      <c r="Z17" s="23">
        <f t="shared" si="10"/>
        <v>5.9428519857433028E-3</v>
      </c>
      <c r="AA17" s="23">
        <f t="shared" si="11"/>
        <v>7.0856694115585929E-3</v>
      </c>
      <c r="AB17" s="330">
        <v>7449446127.3000002</v>
      </c>
      <c r="AC17" s="329">
        <v>12999.2</v>
      </c>
      <c r="AD17" s="23">
        <f t="shared" si="12"/>
        <v>9.8278299704846871E-3</v>
      </c>
      <c r="AE17" s="23">
        <f t="shared" si="13"/>
        <v>9.6034732496865349E-3</v>
      </c>
      <c r="AF17" s="330">
        <v>7561137652.1700001</v>
      </c>
      <c r="AG17" s="329">
        <v>13195.08</v>
      </c>
      <c r="AH17" s="23">
        <f t="shared" si="14"/>
        <v>1.4993265668528528E-2</v>
      </c>
      <c r="AI17" s="23">
        <f t="shared" si="15"/>
        <v>1.5068619607360391E-2</v>
      </c>
      <c r="AJ17" s="24">
        <f t="shared" si="16"/>
        <v>-9.1586409713818374E-4</v>
      </c>
      <c r="AK17" s="24">
        <f t="shared" si="17"/>
        <v>1.2380207319530969E-3</v>
      </c>
      <c r="AL17" s="25">
        <f t="shared" si="18"/>
        <v>3.1319036827062168E-3</v>
      </c>
      <c r="AM17" s="25">
        <f t="shared" si="19"/>
        <v>8.4573867240580677E-3</v>
      </c>
      <c r="AN17" s="26">
        <f t="shared" si="20"/>
        <v>1.1732564880563089E-2</v>
      </c>
      <c r="AO17" s="78">
        <f t="shared" si="21"/>
        <v>1.0368144637593295E-2</v>
      </c>
      <c r="AP17" s="30"/>
      <c r="AQ17" s="28"/>
      <c r="AR17" s="28"/>
      <c r="AS17" s="29"/>
      <c r="AT17" s="29"/>
    </row>
    <row r="18" spans="1:46" s="110" customFormat="1" ht="12.75" customHeight="1">
      <c r="A18" s="206" t="s">
        <v>253</v>
      </c>
      <c r="B18" s="74">
        <v>58175802.869999997</v>
      </c>
      <c r="C18" s="329">
        <v>111.00620000000001</v>
      </c>
      <c r="D18" s="74">
        <v>57452432.57</v>
      </c>
      <c r="E18" s="329">
        <v>109.61199999999999</v>
      </c>
      <c r="F18" s="23">
        <f t="shared" si="0"/>
        <v>-1.2434212581757483E-2</v>
      </c>
      <c r="G18" s="23">
        <f t="shared" si="1"/>
        <v>-1.2559658829867268E-2</v>
      </c>
      <c r="H18" s="74">
        <v>57461236.189999998</v>
      </c>
      <c r="I18" s="329">
        <v>109.6285</v>
      </c>
      <c r="J18" s="23">
        <f t="shared" si="2"/>
        <v>1.532331984249926E-4</v>
      </c>
      <c r="K18" s="23">
        <f t="shared" si="3"/>
        <v>1.5053096376316217E-4</v>
      </c>
      <c r="L18" s="74">
        <v>57641691.409999996</v>
      </c>
      <c r="M18" s="329">
        <v>109.7247</v>
      </c>
      <c r="N18" s="23">
        <f t="shared" si="4"/>
        <v>3.1404688093258164E-3</v>
      </c>
      <c r="O18" s="23">
        <f t="shared" si="5"/>
        <v>8.7750904190056478E-4</v>
      </c>
      <c r="P18" s="74">
        <v>57428707.299999997</v>
      </c>
      <c r="Q18" s="329">
        <v>109.3078</v>
      </c>
      <c r="R18" s="23">
        <f t="shared" si="6"/>
        <v>-3.6949663479696184E-3</v>
      </c>
      <c r="S18" s="23">
        <f t="shared" si="7"/>
        <v>-3.7995091351354644E-3</v>
      </c>
      <c r="T18" s="74">
        <v>57356204.850000001</v>
      </c>
      <c r="U18" s="329">
        <v>109.1682</v>
      </c>
      <c r="V18" s="23">
        <f t="shared" si="8"/>
        <v>-1.2624774857155027E-3</v>
      </c>
      <c r="W18" s="23">
        <f t="shared" si="9"/>
        <v>-1.277127524293797E-3</v>
      </c>
      <c r="X18" s="74">
        <v>56645942.009999998</v>
      </c>
      <c r="Y18" s="329">
        <v>107.8116</v>
      </c>
      <c r="Z18" s="23">
        <f t="shared" si="10"/>
        <v>-1.2383365354411233E-2</v>
      </c>
      <c r="AA18" s="23">
        <f t="shared" si="11"/>
        <v>-1.2426695686106395E-2</v>
      </c>
      <c r="AB18" s="74">
        <v>58043001.25</v>
      </c>
      <c r="AC18" s="329">
        <v>110.4457</v>
      </c>
      <c r="AD18" s="23">
        <f t="shared" si="12"/>
        <v>2.4663006570768514E-2</v>
      </c>
      <c r="AE18" s="23">
        <f t="shared" si="13"/>
        <v>2.4432435841783295E-2</v>
      </c>
      <c r="AF18" s="74">
        <v>58755040</v>
      </c>
      <c r="AG18" s="329">
        <v>111.5488</v>
      </c>
      <c r="AH18" s="23">
        <f t="shared" si="14"/>
        <v>1.2267435085466053E-2</v>
      </c>
      <c r="AI18" s="23">
        <f t="shared" si="15"/>
        <v>9.9877134193544683E-3</v>
      </c>
      <c r="AJ18" s="24">
        <f t="shared" si="16"/>
        <v>1.3061402367664421E-3</v>
      </c>
      <c r="AK18" s="24">
        <f t="shared" si="17"/>
        <v>6.731497614248206E-4</v>
      </c>
      <c r="AL18" s="25">
        <f t="shared" si="18"/>
        <v>2.2672798552313755E-2</v>
      </c>
      <c r="AM18" s="25">
        <f t="shared" si="19"/>
        <v>1.7669598219173133E-2</v>
      </c>
      <c r="AN18" s="26">
        <f t="shared" si="20"/>
        <v>1.241080099084362E-2</v>
      </c>
      <c r="AO18" s="78">
        <f t="shared" si="21"/>
        <v>1.2083643592939257E-2</v>
      </c>
      <c r="AP18" s="30"/>
      <c r="AQ18" s="28"/>
      <c r="AR18" s="28"/>
      <c r="AS18" s="29"/>
      <c r="AT18" s="29"/>
    </row>
    <row r="19" spans="1:46" s="306" customFormat="1" ht="12.75" customHeight="1">
      <c r="A19" s="206" t="s">
        <v>77</v>
      </c>
      <c r="B19" s="329">
        <v>2084138691.0699999</v>
      </c>
      <c r="C19" s="314">
        <v>1.0980000000000001</v>
      </c>
      <c r="D19" s="329">
        <v>2053266136.0699999</v>
      </c>
      <c r="E19" s="314">
        <v>1.0818000000000001</v>
      </c>
      <c r="F19" s="23">
        <f t="shared" si="0"/>
        <v>-1.4813100074520465E-2</v>
      </c>
      <c r="G19" s="23">
        <f t="shared" si="1"/>
        <v>-1.4754098360655729E-2</v>
      </c>
      <c r="H19" s="329">
        <v>2057001149.2</v>
      </c>
      <c r="I19" s="314">
        <v>1.0833999999999999</v>
      </c>
      <c r="J19" s="23">
        <f t="shared" si="2"/>
        <v>1.8190594314037721E-3</v>
      </c>
      <c r="K19" s="23">
        <f t="shared" si="3"/>
        <v>1.4790164540578884E-3</v>
      </c>
      <c r="L19" s="329">
        <v>2017311576.4400001</v>
      </c>
      <c r="M19" s="314">
        <v>1.0631999999999999</v>
      </c>
      <c r="N19" s="23">
        <f t="shared" si="4"/>
        <v>-1.9294871456652266E-2</v>
      </c>
      <c r="O19" s="23">
        <f t="shared" si="5"/>
        <v>-1.864500646114085E-2</v>
      </c>
      <c r="P19" s="329">
        <v>2009640542.96</v>
      </c>
      <c r="Q19" s="314">
        <v>1.0593999999999999</v>
      </c>
      <c r="R19" s="23">
        <f t="shared" si="6"/>
        <v>-3.8026022204945072E-3</v>
      </c>
      <c r="S19" s="23">
        <f t="shared" si="7"/>
        <v>-3.574115876598971E-3</v>
      </c>
      <c r="T19" s="329">
        <v>2003579694.8599999</v>
      </c>
      <c r="U19" s="314">
        <v>1.0548</v>
      </c>
      <c r="V19" s="23">
        <f t="shared" si="8"/>
        <v>-3.0158866575577333E-3</v>
      </c>
      <c r="W19" s="23">
        <f t="shared" si="9"/>
        <v>-4.3420804228808171E-3</v>
      </c>
      <c r="X19" s="329">
        <v>2002532110.3800001</v>
      </c>
      <c r="Y19" s="314">
        <v>1.0547</v>
      </c>
      <c r="Z19" s="23">
        <f t="shared" si="10"/>
        <v>-5.2285640680391329E-4</v>
      </c>
      <c r="AA19" s="23">
        <f t="shared" si="11"/>
        <v>-9.4804702313224296E-5</v>
      </c>
      <c r="AB19" s="329">
        <v>2004917093.0599999</v>
      </c>
      <c r="AC19" s="314">
        <v>1.0557000000000001</v>
      </c>
      <c r="AD19" s="23">
        <f t="shared" si="12"/>
        <v>1.1909834891722434E-3</v>
      </c>
      <c r="AE19" s="23">
        <f t="shared" si="13"/>
        <v>9.4813691097005018E-4</v>
      </c>
      <c r="AF19" s="329">
        <v>1994889341.1199999</v>
      </c>
      <c r="AG19" s="314">
        <v>1.0508999999999999</v>
      </c>
      <c r="AH19" s="23">
        <f t="shared" si="14"/>
        <v>-5.0015793544336664E-3</v>
      </c>
      <c r="AI19" s="23">
        <f t="shared" si="15"/>
        <v>-4.5467462347259045E-3</v>
      </c>
      <c r="AJ19" s="24">
        <f t="shared" si="16"/>
        <v>-5.4301066562358171E-3</v>
      </c>
      <c r="AK19" s="24">
        <f t="shared" si="17"/>
        <v>-5.4412123366609447E-3</v>
      </c>
      <c r="AL19" s="25">
        <f t="shared" si="18"/>
        <v>-2.8431187718185726E-2</v>
      </c>
      <c r="AM19" s="25">
        <f t="shared" si="19"/>
        <v>-2.8563505268996252E-2</v>
      </c>
      <c r="AN19" s="26">
        <f t="shared" si="20"/>
        <v>7.6476278459173931E-3</v>
      </c>
      <c r="AO19" s="78">
        <f t="shared" si="21"/>
        <v>7.4052265332075961E-3</v>
      </c>
      <c r="AP19" s="30"/>
      <c r="AQ19" s="28"/>
      <c r="AR19" s="28"/>
      <c r="AS19" s="29"/>
      <c r="AT19" s="29"/>
    </row>
    <row r="20" spans="1:46">
      <c r="A20" s="206" t="s">
        <v>126</v>
      </c>
      <c r="B20" s="330">
        <v>360682144.88999999</v>
      </c>
      <c r="C20" s="329">
        <v>1.37</v>
      </c>
      <c r="D20" s="330">
        <v>354100762.80000001</v>
      </c>
      <c r="E20" s="329">
        <v>1.34</v>
      </c>
      <c r="F20" s="23">
        <f t="shared" si="0"/>
        <v>-1.8247041566216562E-2</v>
      </c>
      <c r="G20" s="23">
        <f t="shared" si="1"/>
        <v>-2.1897810218978121E-2</v>
      </c>
      <c r="H20" s="330">
        <v>354100762.80000001</v>
      </c>
      <c r="I20" s="329">
        <v>1.33</v>
      </c>
      <c r="J20" s="23">
        <f t="shared" si="2"/>
        <v>0</v>
      </c>
      <c r="K20" s="23">
        <f t="shared" si="3"/>
        <v>-7.462686567164185E-3</v>
      </c>
      <c r="L20" s="330">
        <v>354937986.86000001</v>
      </c>
      <c r="M20" s="329">
        <v>1.34</v>
      </c>
      <c r="N20" s="23">
        <f t="shared" si="4"/>
        <v>2.3643667225672588E-3</v>
      </c>
      <c r="O20" s="23">
        <f t="shared" si="5"/>
        <v>7.5187969924812095E-3</v>
      </c>
      <c r="P20" s="330">
        <v>351523477.44999999</v>
      </c>
      <c r="Q20" s="329">
        <v>1.33</v>
      </c>
      <c r="R20" s="23">
        <f t="shared" si="6"/>
        <v>-9.6200168378901309E-3</v>
      </c>
      <c r="S20" s="23">
        <f t="shared" si="7"/>
        <v>-7.462686567164185E-3</v>
      </c>
      <c r="T20" s="330">
        <v>349817523.98000002</v>
      </c>
      <c r="U20" s="329">
        <v>1.32</v>
      </c>
      <c r="V20" s="23">
        <f t="shared" si="8"/>
        <v>-4.8530285441393331E-3</v>
      </c>
      <c r="W20" s="23">
        <f t="shared" si="9"/>
        <v>-7.5187969924812095E-3</v>
      </c>
      <c r="X20" s="330">
        <v>339371534.04000002</v>
      </c>
      <c r="Y20" s="329">
        <v>1.28</v>
      </c>
      <c r="Z20" s="23">
        <f t="shared" si="10"/>
        <v>-2.9861254007953079E-2</v>
      </c>
      <c r="AA20" s="23">
        <f t="shared" si="11"/>
        <v>-3.0303030303030328E-2</v>
      </c>
      <c r="AB20" s="330">
        <v>344190166.48000002</v>
      </c>
      <c r="AC20" s="329">
        <v>1.3</v>
      </c>
      <c r="AD20" s="23">
        <f t="shared" si="12"/>
        <v>1.4198693634192813E-2</v>
      </c>
      <c r="AE20" s="23">
        <f t="shared" si="13"/>
        <v>1.5625000000000014E-2</v>
      </c>
      <c r="AF20" s="330">
        <v>351847653.92000002</v>
      </c>
      <c r="AG20" s="329">
        <v>1.33</v>
      </c>
      <c r="AH20" s="23">
        <f t="shared" si="14"/>
        <v>2.2247839089397557E-2</v>
      </c>
      <c r="AI20" s="23">
        <f t="shared" si="15"/>
        <v>2.3076923076923096E-2</v>
      </c>
      <c r="AJ20" s="24">
        <f t="shared" si="16"/>
        <v>-2.9713051887551838E-3</v>
      </c>
      <c r="AK20" s="24">
        <f t="shared" si="17"/>
        <v>-3.5530363224267141E-3</v>
      </c>
      <c r="AL20" s="25">
        <f t="shared" si="18"/>
        <v>-6.3629032091991732E-3</v>
      </c>
      <c r="AM20" s="25">
        <f t="shared" si="19"/>
        <v>-7.462686567164185E-3</v>
      </c>
      <c r="AN20" s="26">
        <f t="shared" si="20"/>
        <v>1.678552040014011E-2</v>
      </c>
      <c r="AO20" s="78">
        <f t="shared" si="21"/>
        <v>1.8118373479469749E-2</v>
      </c>
      <c r="AP20" s="30"/>
      <c r="AQ20" s="39">
        <v>100020653.31</v>
      </c>
      <c r="AR20" s="28">
        <v>100</v>
      </c>
      <c r="AS20" s="29" t="e">
        <f>(#REF!/AQ20)-1</f>
        <v>#REF!</v>
      </c>
      <c r="AT20" s="29" t="e">
        <f>(#REF!/AR20)-1</f>
        <v>#REF!</v>
      </c>
    </row>
    <row r="21" spans="1:46">
      <c r="A21" s="208" t="s">
        <v>42</v>
      </c>
      <c r="B21" s="70">
        <f>SUM(B5:B20)</f>
        <v>17294675587.010002</v>
      </c>
      <c r="C21" s="87"/>
      <c r="D21" s="70">
        <f>SUM(D5:D20)</f>
        <v>17018697028.649998</v>
      </c>
      <c r="E21" s="87"/>
      <c r="F21" s="23">
        <f>((D21-B21)/B21)</f>
        <v>-1.5957429034823375E-2</v>
      </c>
      <c r="G21" s="23"/>
      <c r="H21" s="70">
        <f>SUM(H5:H20)</f>
        <v>17022340090.360001</v>
      </c>
      <c r="I21" s="87"/>
      <c r="J21" s="23">
        <f>((H21-D21)/D21)</f>
        <v>2.1406231651400893E-4</v>
      </c>
      <c r="K21" s="23"/>
      <c r="L21" s="70">
        <f>SUM(L5:L20)</f>
        <v>16999391000.990002</v>
      </c>
      <c r="M21" s="87"/>
      <c r="N21" s="23">
        <f>((L21-H21)/H21)</f>
        <v>-1.3481747661119364E-3</v>
      </c>
      <c r="O21" s="23"/>
      <c r="P21" s="70">
        <f>SUM(P5:P20)</f>
        <v>16887170786.959999</v>
      </c>
      <c r="Q21" s="87"/>
      <c r="R21" s="23">
        <f>((P21-L21)/L21)</f>
        <v>-6.6014255465661779E-3</v>
      </c>
      <c r="S21" s="23"/>
      <c r="T21" s="70">
        <f>SUM(T5:T20)</f>
        <v>16546902385.180002</v>
      </c>
      <c r="U21" s="87"/>
      <c r="V21" s="23">
        <f>((T21-P21)/P21)</f>
        <v>-2.0149520963141241E-2</v>
      </c>
      <c r="W21" s="23"/>
      <c r="X21" s="70">
        <f>SUM(X5:X20)</f>
        <v>16580432011.360001</v>
      </c>
      <c r="Y21" s="87"/>
      <c r="Z21" s="23">
        <f>((X21-T21)/T21)</f>
        <v>2.0263385496265894E-3</v>
      </c>
      <c r="AA21" s="23"/>
      <c r="AB21" s="70">
        <f>SUM(AB5:AB20)</f>
        <v>16794813036.269999</v>
      </c>
      <c r="AC21" s="87"/>
      <c r="AD21" s="23">
        <f>((AB21-X21)/X21)</f>
        <v>1.2929761104120559E-2</v>
      </c>
      <c r="AE21" s="23"/>
      <c r="AF21" s="70">
        <f>SUM(AF5:AF20)</f>
        <v>16995023834.229998</v>
      </c>
      <c r="AG21" s="87"/>
      <c r="AH21" s="23">
        <f>((AF21-AB21)/AB21)</f>
        <v>1.1920989982301369E-2</v>
      </c>
      <c r="AI21" s="23"/>
      <c r="AJ21" s="24">
        <f t="shared" si="16"/>
        <v>-2.1206747947600259E-3</v>
      </c>
      <c r="AK21" s="24"/>
      <c r="AL21" s="25">
        <f t="shared" si="18"/>
        <v>-1.3910109792863469E-3</v>
      </c>
      <c r="AM21" s="25"/>
      <c r="AN21" s="26">
        <f t="shared" si="20"/>
        <v>1.1853279432726616E-2</v>
      </c>
      <c r="AO21" s="78"/>
      <c r="AP21" s="30"/>
      <c r="AQ21" s="40">
        <f>SUM(AQ5:AQ20)</f>
        <v>13501614037.429998</v>
      </c>
      <c r="AR21" s="41"/>
      <c r="AS21" s="29" t="e">
        <f>(#REF!/AQ21)-1</f>
        <v>#REF!</v>
      </c>
      <c r="AT21" s="29" t="e">
        <f>(#REF!/AR21)-1</f>
        <v>#REF!</v>
      </c>
    </row>
    <row r="22" spans="1:46" s="110" customFormat="1" ht="6" customHeight="1">
      <c r="A22" s="208"/>
      <c r="B22" s="87"/>
      <c r="C22" s="87"/>
      <c r="D22" s="87"/>
      <c r="E22" s="87"/>
      <c r="F22" s="23"/>
      <c r="G22" s="23"/>
      <c r="H22" s="87"/>
      <c r="I22" s="87"/>
      <c r="J22" s="23"/>
      <c r="K22" s="23"/>
      <c r="L22" s="87"/>
      <c r="M22" s="87"/>
      <c r="N22" s="23"/>
      <c r="O22" s="23"/>
      <c r="P22" s="87"/>
      <c r="Q22" s="87"/>
      <c r="R22" s="23"/>
      <c r="S22" s="23"/>
      <c r="T22" s="87"/>
      <c r="U22" s="87"/>
      <c r="V22" s="23"/>
      <c r="W22" s="23"/>
      <c r="X22" s="87"/>
      <c r="Y22" s="87"/>
      <c r="Z22" s="23"/>
      <c r="AA22" s="23"/>
      <c r="AB22" s="87"/>
      <c r="AC22" s="87"/>
      <c r="AD22" s="23"/>
      <c r="AE22" s="23"/>
      <c r="AF22" s="87"/>
      <c r="AG22" s="87"/>
      <c r="AH22" s="23"/>
      <c r="AI22" s="23"/>
      <c r="AJ22" s="24"/>
      <c r="AK22" s="24"/>
      <c r="AL22" s="25"/>
      <c r="AM22" s="25"/>
      <c r="AN22" s="26"/>
      <c r="AO22" s="78"/>
      <c r="AP22" s="30"/>
      <c r="AQ22" s="40"/>
      <c r="AR22" s="41"/>
      <c r="AS22" s="29"/>
      <c r="AT22" s="29"/>
    </row>
    <row r="23" spans="1:46">
      <c r="A23" s="205" t="s">
        <v>44</v>
      </c>
      <c r="B23" s="87"/>
      <c r="C23" s="87"/>
      <c r="D23" s="87"/>
      <c r="E23" s="87"/>
      <c r="F23" s="23"/>
      <c r="G23" s="23"/>
      <c r="H23" s="87"/>
      <c r="I23" s="87"/>
      <c r="J23" s="23"/>
      <c r="K23" s="23"/>
      <c r="L23" s="87"/>
      <c r="M23" s="87"/>
      <c r="N23" s="23"/>
      <c r="O23" s="23"/>
      <c r="P23" s="87"/>
      <c r="Q23" s="87"/>
      <c r="R23" s="23"/>
      <c r="S23" s="23"/>
      <c r="T23" s="87"/>
      <c r="U23" s="87"/>
      <c r="V23" s="23"/>
      <c r="W23" s="23"/>
      <c r="X23" s="87"/>
      <c r="Y23" s="87"/>
      <c r="Z23" s="23"/>
      <c r="AA23" s="23"/>
      <c r="AB23" s="87"/>
      <c r="AC23" s="87"/>
      <c r="AD23" s="23"/>
      <c r="AE23" s="23"/>
      <c r="AF23" s="87"/>
      <c r="AG23" s="87"/>
      <c r="AH23" s="23"/>
      <c r="AI23" s="23"/>
      <c r="AJ23" s="24"/>
      <c r="AK23" s="24"/>
      <c r="AL23" s="25"/>
      <c r="AM23" s="25"/>
      <c r="AN23" s="26"/>
      <c r="AO23" s="78"/>
      <c r="AP23" s="30"/>
      <c r="AQ23" s="40"/>
      <c r="AR23" s="13"/>
      <c r="AS23" s="29" t="e">
        <f>(#REF!/AQ23)-1</f>
        <v>#REF!</v>
      </c>
      <c r="AT23" s="29" t="e">
        <f>(#REF!/AR23)-1</f>
        <v>#REF!</v>
      </c>
    </row>
    <row r="24" spans="1:46">
      <c r="A24" s="206" t="s">
        <v>100</v>
      </c>
      <c r="B24" s="325">
        <v>18992335336.509998</v>
      </c>
      <c r="C24" s="314">
        <v>100</v>
      </c>
      <c r="D24" s="325">
        <v>13980669762.65</v>
      </c>
      <c r="E24" s="314">
        <v>100</v>
      </c>
      <c r="F24" s="23">
        <f t="shared" ref="F24:F52" si="22">((D24-B24)/B24)</f>
        <v>-0.26387832170516712</v>
      </c>
      <c r="G24" s="23">
        <f t="shared" ref="G24:G52" si="23">((E24-C24)/C24)</f>
        <v>0</v>
      </c>
      <c r="H24" s="325">
        <v>15079766415.41</v>
      </c>
      <c r="I24" s="314">
        <v>100</v>
      </c>
      <c r="J24" s="23">
        <f t="shared" ref="J24:J52" si="24">((H24-D24)/D24)</f>
        <v>7.8615450577073739E-2</v>
      </c>
      <c r="K24" s="23">
        <f t="shared" ref="K24:K52" si="25">((I24-E24)/E24)</f>
        <v>0</v>
      </c>
      <c r="L24" s="325">
        <v>14948475440.860001</v>
      </c>
      <c r="M24" s="314">
        <v>100</v>
      </c>
      <c r="N24" s="23">
        <f t="shared" ref="N24:N52" si="26">((L24-H24)/H24)</f>
        <v>-8.7064329070663266E-3</v>
      </c>
      <c r="O24" s="23">
        <f t="shared" ref="O24:O52" si="27">((M24-I24)/I24)</f>
        <v>0</v>
      </c>
      <c r="P24" s="325">
        <v>14917305381.5</v>
      </c>
      <c r="Q24" s="314">
        <v>100</v>
      </c>
      <c r="R24" s="23">
        <f t="shared" ref="R24:R52" si="28">((P24-L24)/L24)</f>
        <v>-2.0851664427798912E-3</v>
      </c>
      <c r="S24" s="23">
        <f t="shared" ref="S24:S52" si="29">((Q24-M24)/M24)</f>
        <v>0</v>
      </c>
      <c r="T24" s="325">
        <v>17371324724.130001</v>
      </c>
      <c r="U24" s="314">
        <v>100</v>
      </c>
      <c r="V24" s="23">
        <f t="shared" ref="V24:V52" si="30">((T24-P24)/P24)</f>
        <v>0.16450821913677541</v>
      </c>
      <c r="W24" s="23">
        <f t="shared" ref="W24:W52" si="31">((U24-Q24)/Q24)</f>
        <v>0</v>
      </c>
      <c r="X24" s="325">
        <v>17486667728.57</v>
      </c>
      <c r="Y24" s="314">
        <v>100</v>
      </c>
      <c r="Z24" s="23">
        <f t="shared" ref="Z24:Z52" si="32">((X24-T24)/T24)</f>
        <v>6.6398508042267504E-3</v>
      </c>
      <c r="AA24" s="23">
        <f t="shared" ref="AA24:AA52" si="33">((Y24-U24)/U24)</f>
        <v>0</v>
      </c>
      <c r="AB24" s="325">
        <v>17465062170.860001</v>
      </c>
      <c r="AC24" s="314">
        <v>100</v>
      </c>
      <c r="AD24" s="23">
        <f t="shared" ref="AD24:AD52" si="34">((AB24-X24)/X24)</f>
        <v>-1.2355445900478555E-3</v>
      </c>
      <c r="AE24" s="23">
        <f t="shared" ref="AE24:AE52" si="35">((AC24-Y24)/Y24)</f>
        <v>0</v>
      </c>
      <c r="AF24" s="325">
        <v>17614943373.200001</v>
      </c>
      <c r="AG24" s="314">
        <v>100</v>
      </c>
      <c r="AH24" s="23">
        <f t="shared" ref="AH24:AH52" si="36">((AF24-AB24)/AB24)</f>
        <v>8.5817731923149409E-3</v>
      </c>
      <c r="AI24" s="23">
        <f t="shared" ref="AI24:AI52" si="37">((AG24-AC24)/AC24)</f>
        <v>0</v>
      </c>
      <c r="AJ24" s="24">
        <f t="shared" si="16"/>
        <v>-2.1950214918337926E-3</v>
      </c>
      <c r="AK24" s="24">
        <f t="shared" si="17"/>
        <v>0</v>
      </c>
      <c r="AL24" s="25">
        <f t="shared" si="18"/>
        <v>0.25994989312022304</v>
      </c>
      <c r="AM24" s="25">
        <f t="shared" si="19"/>
        <v>0</v>
      </c>
      <c r="AN24" s="26">
        <f t="shared" si="20"/>
        <v>0.12132363911541282</v>
      </c>
      <c r="AO24" s="78">
        <f t="shared" si="21"/>
        <v>0</v>
      </c>
      <c r="AP24" s="30"/>
      <c r="AQ24" s="28">
        <v>58847545464.410004</v>
      </c>
      <c r="AR24" s="42">
        <v>100</v>
      </c>
      <c r="AS24" s="29" t="e">
        <f>(#REF!/AQ24)-1</f>
        <v>#REF!</v>
      </c>
      <c r="AT24" s="29" t="e">
        <f>(#REF!/AR24)-1</f>
        <v>#REF!</v>
      </c>
    </row>
    <row r="25" spans="1:46">
      <c r="A25" s="206" t="s">
        <v>118</v>
      </c>
      <c r="B25" s="325">
        <v>705897969.86000001</v>
      </c>
      <c r="C25" s="314">
        <v>100</v>
      </c>
      <c r="D25" s="325">
        <v>708856913.88</v>
      </c>
      <c r="E25" s="314">
        <v>100</v>
      </c>
      <c r="F25" s="23">
        <f t="shared" si="22"/>
        <v>4.1917446236413251E-3</v>
      </c>
      <c r="G25" s="23">
        <f t="shared" si="23"/>
        <v>0</v>
      </c>
      <c r="H25" s="325">
        <v>724415910.40999997</v>
      </c>
      <c r="I25" s="314">
        <v>100</v>
      </c>
      <c r="J25" s="23">
        <f t="shared" si="24"/>
        <v>2.1949417753205271E-2</v>
      </c>
      <c r="K25" s="23">
        <f t="shared" si="25"/>
        <v>0</v>
      </c>
      <c r="L25" s="325">
        <v>749367264.89999998</v>
      </c>
      <c r="M25" s="314">
        <v>100</v>
      </c>
      <c r="N25" s="23">
        <f t="shared" si="26"/>
        <v>3.4443410382687778E-2</v>
      </c>
      <c r="O25" s="23">
        <f t="shared" si="27"/>
        <v>0</v>
      </c>
      <c r="P25" s="325">
        <v>758391576.14999998</v>
      </c>
      <c r="Q25" s="314">
        <v>100</v>
      </c>
      <c r="R25" s="23">
        <f t="shared" si="28"/>
        <v>1.2042574679592199E-2</v>
      </c>
      <c r="S25" s="23">
        <f t="shared" si="29"/>
        <v>0</v>
      </c>
      <c r="T25" s="325">
        <v>766148632.13</v>
      </c>
      <c r="U25" s="314">
        <v>100</v>
      </c>
      <c r="V25" s="23">
        <f t="shared" si="30"/>
        <v>1.0228299237418975E-2</v>
      </c>
      <c r="W25" s="23">
        <f t="shared" si="31"/>
        <v>0</v>
      </c>
      <c r="X25" s="325">
        <v>759033782.70000005</v>
      </c>
      <c r="Y25" s="314">
        <v>100</v>
      </c>
      <c r="Z25" s="23">
        <f t="shared" si="32"/>
        <v>-9.2865132581646387E-3</v>
      </c>
      <c r="AA25" s="23">
        <f t="shared" si="33"/>
        <v>0</v>
      </c>
      <c r="AB25" s="325">
        <v>757578529.94000006</v>
      </c>
      <c r="AC25" s="314">
        <v>100</v>
      </c>
      <c r="AD25" s="23">
        <f t="shared" si="34"/>
        <v>-1.9172437290253831E-3</v>
      </c>
      <c r="AE25" s="23">
        <f t="shared" si="35"/>
        <v>0</v>
      </c>
      <c r="AF25" s="325">
        <v>773424588.75</v>
      </c>
      <c r="AG25" s="314">
        <v>100</v>
      </c>
      <c r="AH25" s="23">
        <f t="shared" si="36"/>
        <v>2.0916721084024047E-2</v>
      </c>
      <c r="AI25" s="23">
        <f t="shared" si="37"/>
        <v>0</v>
      </c>
      <c r="AJ25" s="24">
        <f t="shared" si="16"/>
        <v>1.1571051346672447E-2</v>
      </c>
      <c r="AK25" s="24">
        <f t="shared" si="17"/>
        <v>0</v>
      </c>
      <c r="AL25" s="25">
        <f t="shared" si="18"/>
        <v>9.1087035487292217E-2</v>
      </c>
      <c r="AM25" s="25">
        <f t="shared" si="19"/>
        <v>0</v>
      </c>
      <c r="AN25" s="26">
        <f t="shared" si="20"/>
        <v>1.409989073142718E-2</v>
      </c>
      <c r="AO25" s="78">
        <f t="shared" si="21"/>
        <v>0</v>
      </c>
      <c r="AP25" s="30"/>
      <c r="AQ25" s="28">
        <v>56630718400</v>
      </c>
      <c r="AR25" s="42">
        <v>100</v>
      </c>
      <c r="AS25" s="29" t="e">
        <f>(#REF!/AQ25)-1</f>
        <v>#REF!</v>
      </c>
      <c r="AT25" s="29" t="e">
        <f>(#REF!/AR25)-1</f>
        <v>#REF!</v>
      </c>
    </row>
    <row r="26" spans="1:46">
      <c r="A26" s="206" t="s">
        <v>37</v>
      </c>
      <c r="B26" s="325">
        <v>1958119876.29</v>
      </c>
      <c r="C26" s="314">
        <v>100</v>
      </c>
      <c r="D26" s="325">
        <v>2272988259.2800002</v>
      </c>
      <c r="E26" s="314">
        <v>100</v>
      </c>
      <c r="F26" s="23">
        <f t="shared" si="22"/>
        <v>0.16080138238858663</v>
      </c>
      <c r="G26" s="23">
        <f t="shared" si="23"/>
        <v>0</v>
      </c>
      <c r="H26" s="325">
        <v>2397783622.0599999</v>
      </c>
      <c r="I26" s="314">
        <v>100</v>
      </c>
      <c r="J26" s="23">
        <f t="shared" si="24"/>
        <v>5.4903654812335174E-2</v>
      </c>
      <c r="K26" s="23">
        <f t="shared" si="25"/>
        <v>0</v>
      </c>
      <c r="L26" s="325">
        <v>2449458946.7199998</v>
      </c>
      <c r="M26" s="314">
        <v>100</v>
      </c>
      <c r="N26" s="23">
        <f t="shared" si="26"/>
        <v>2.1551287691090406E-2</v>
      </c>
      <c r="O26" s="23">
        <f t="shared" si="27"/>
        <v>0</v>
      </c>
      <c r="P26" s="325">
        <v>2562208773.8000002</v>
      </c>
      <c r="Q26" s="314">
        <v>100</v>
      </c>
      <c r="R26" s="23">
        <f t="shared" si="28"/>
        <v>4.6030502871248553E-2</v>
      </c>
      <c r="S26" s="23">
        <f t="shared" si="29"/>
        <v>0</v>
      </c>
      <c r="T26" s="325">
        <v>2611053785.0900002</v>
      </c>
      <c r="U26" s="314">
        <v>100</v>
      </c>
      <c r="V26" s="23">
        <f t="shared" si="30"/>
        <v>1.9063634388215036E-2</v>
      </c>
      <c r="W26" s="23">
        <f t="shared" si="31"/>
        <v>0</v>
      </c>
      <c r="X26" s="325">
        <v>2808123670.1100001</v>
      </c>
      <c r="Y26" s="314">
        <v>100</v>
      </c>
      <c r="Z26" s="23">
        <f t="shared" si="32"/>
        <v>7.54752300183687E-2</v>
      </c>
      <c r="AA26" s="23">
        <f t="shared" si="33"/>
        <v>0</v>
      </c>
      <c r="AB26" s="325">
        <v>2909772089.7399998</v>
      </c>
      <c r="AC26" s="314">
        <v>100</v>
      </c>
      <c r="AD26" s="23">
        <f t="shared" si="34"/>
        <v>3.6197985406396953E-2</v>
      </c>
      <c r="AE26" s="23">
        <f t="shared" si="35"/>
        <v>0</v>
      </c>
      <c r="AF26" s="325">
        <v>2977946608.1900001</v>
      </c>
      <c r="AG26" s="314">
        <v>100</v>
      </c>
      <c r="AH26" s="23">
        <f t="shared" si="36"/>
        <v>2.3429504561675814E-2</v>
      </c>
      <c r="AI26" s="23">
        <f t="shared" si="37"/>
        <v>0</v>
      </c>
      <c r="AJ26" s="24">
        <f t="shared" si="16"/>
        <v>5.4681647767239654E-2</v>
      </c>
      <c r="AK26" s="24">
        <f t="shared" si="17"/>
        <v>0</v>
      </c>
      <c r="AL26" s="25">
        <f t="shared" si="18"/>
        <v>0.31014605818215046</v>
      </c>
      <c r="AM26" s="25">
        <f t="shared" si="19"/>
        <v>0</v>
      </c>
      <c r="AN26" s="26">
        <f t="shared" si="20"/>
        <v>4.6985208309384019E-2</v>
      </c>
      <c r="AO26" s="78">
        <f t="shared" si="21"/>
        <v>0</v>
      </c>
      <c r="AP26" s="30"/>
      <c r="AQ26" s="28">
        <v>366113097.69999999</v>
      </c>
      <c r="AR26" s="32">
        <v>1.1357999999999999</v>
      </c>
      <c r="AS26" s="29" t="e">
        <f>(#REF!/AQ26)-1</f>
        <v>#REF!</v>
      </c>
      <c r="AT26" s="29" t="e">
        <f>(#REF!/AR26)-1</f>
        <v>#REF!</v>
      </c>
    </row>
    <row r="27" spans="1:46">
      <c r="A27" s="206" t="s">
        <v>143</v>
      </c>
      <c r="B27" s="325">
        <v>419286552.29000002</v>
      </c>
      <c r="C27" s="314">
        <v>100</v>
      </c>
      <c r="D27" s="325">
        <v>439076582.25</v>
      </c>
      <c r="E27" s="314">
        <v>100</v>
      </c>
      <c r="F27" s="23">
        <f t="shared" si="22"/>
        <v>4.7199295689102333E-2</v>
      </c>
      <c r="G27" s="23">
        <f t="shared" si="23"/>
        <v>0</v>
      </c>
      <c r="H27" s="325">
        <v>425550249.77999997</v>
      </c>
      <c r="I27" s="314">
        <v>100</v>
      </c>
      <c r="J27" s="23">
        <f t="shared" si="24"/>
        <v>-3.0806317204816105E-2</v>
      </c>
      <c r="K27" s="23">
        <f t="shared" si="25"/>
        <v>0</v>
      </c>
      <c r="L27" s="325">
        <v>449598803.33999997</v>
      </c>
      <c r="M27" s="314">
        <v>100</v>
      </c>
      <c r="N27" s="23">
        <f t="shared" si="26"/>
        <v>5.6511665948809971E-2</v>
      </c>
      <c r="O27" s="23">
        <f t="shared" si="27"/>
        <v>0</v>
      </c>
      <c r="P27" s="325">
        <v>483121043.02999997</v>
      </c>
      <c r="Q27" s="314">
        <v>100</v>
      </c>
      <c r="R27" s="23">
        <f t="shared" si="28"/>
        <v>7.4560340109823389E-2</v>
      </c>
      <c r="S27" s="23">
        <f t="shared" si="29"/>
        <v>0</v>
      </c>
      <c r="T27" s="325">
        <v>470428276.13</v>
      </c>
      <c r="U27" s="314">
        <v>100</v>
      </c>
      <c r="V27" s="23">
        <f t="shared" si="30"/>
        <v>-2.6272436448626816E-2</v>
      </c>
      <c r="W27" s="23">
        <f t="shared" si="31"/>
        <v>0</v>
      </c>
      <c r="X27" s="325">
        <v>467823613.89999998</v>
      </c>
      <c r="Y27" s="314">
        <v>100</v>
      </c>
      <c r="Z27" s="23">
        <f t="shared" si="32"/>
        <v>-5.5367892666388883E-3</v>
      </c>
      <c r="AA27" s="23">
        <f t="shared" si="33"/>
        <v>0</v>
      </c>
      <c r="AB27" s="325">
        <v>440703789.61000001</v>
      </c>
      <c r="AC27" s="314">
        <v>100</v>
      </c>
      <c r="AD27" s="23">
        <f t="shared" si="34"/>
        <v>-5.7970191081027779E-2</v>
      </c>
      <c r="AE27" s="23">
        <f t="shared" si="35"/>
        <v>0</v>
      </c>
      <c r="AF27" s="325">
        <v>445987014.75</v>
      </c>
      <c r="AG27" s="314">
        <v>100</v>
      </c>
      <c r="AH27" s="23">
        <f t="shared" si="36"/>
        <v>1.1988154548603646E-2</v>
      </c>
      <c r="AI27" s="23">
        <f t="shared" si="37"/>
        <v>0</v>
      </c>
      <c r="AJ27" s="24">
        <f t="shared" si="16"/>
        <v>8.7092152869037189E-3</v>
      </c>
      <c r="AK27" s="24">
        <f t="shared" si="17"/>
        <v>0</v>
      </c>
      <c r="AL27" s="25">
        <f t="shared" si="18"/>
        <v>1.5738558555294029E-2</v>
      </c>
      <c r="AM27" s="25">
        <f t="shared" si="19"/>
        <v>0</v>
      </c>
      <c r="AN27" s="26">
        <f t="shared" si="20"/>
        <v>4.7128953501986398E-2</v>
      </c>
      <c r="AO27" s="78">
        <f t="shared" si="21"/>
        <v>0</v>
      </c>
      <c r="AP27" s="30"/>
      <c r="AQ27" s="28">
        <v>691810420.35000002</v>
      </c>
      <c r="AR27" s="42">
        <v>100</v>
      </c>
      <c r="AS27" s="29" t="e">
        <f>(#REF!/AQ27)-1</f>
        <v>#REF!</v>
      </c>
      <c r="AT27" s="29" t="e">
        <f>(#REF!/AR27)-1</f>
        <v>#REF!</v>
      </c>
    </row>
    <row r="28" spans="1:46">
      <c r="A28" s="206" t="s">
        <v>15</v>
      </c>
      <c r="B28" s="325">
        <v>74104348755.869995</v>
      </c>
      <c r="C28" s="314">
        <v>1</v>
      </c>
      <c r="D28" s="325">
        <v>74585025672.039993</v>
      </c>
      <c r="E28" s="314">
        <v>1</v>
      </c>
      <c r="F28" s="23">
        <f t="shared" si="22"/>
        <v>6.4864872877237519E-3</v>
      </c>
      <c r="G28" s="23">
        <f t="shared" si="23"/>
        <v>0</v>
      </c>
      <c r="H28" s="325">
        <v>75352239204.960007</v>
      </c>
      <c r="I28" s="314">
        <v>1</v>
      </c>
      <c r="J28" s="23">
        <f t="shared" si="24"/>
        <v>1.0286428488924179E-2</v>
      </c>
      <c r="K28" s="23">
        <f t="shared" si="25"/>
        <v>0</v>
      </c>
      <c r="L28" s="325">
        <v>75871633613.800003</v>
      </c>
      <c r="M28" s="314">
        <v>1</v>
      </c>
      <c r="N28" s="23">
        <f t="shared" si="26"/>
        <v>6.8928861878574084E-3</v>
      </c>
      <c r="O28" s="23">
        <f t="shared" si="27"/>
        <v>0</v>
      </c>
      <c r="P28" s="325">
        <v>77644321729.720001</v>
      </c>
      <c r="Q28" s="314">
        <v>1</v>
      </c>
      <c r="R28" s="23">
        <f t="shared" si="28"/>
        <v>2.3364306678083317E-2</v>
      </c>
      <c r="S28" s="23">
        <f t="shared" si="29"/>
        <v>0</v>
      </c>
      <c r="T28" s="325">
        <v>77373682481.070007</v>
      </c>
      <c r="U28" s="314">
        <v>1</v>
      </c>
      <c r="V28" s="23">
        <f t="shared" si="30"/>
        <v>-3.4856283450075015E-3</v>
      </c>
      <c r="W28" s="23">
        <f t="shared" si="31"/>
        <v>0</v>
      </c>
      <c r="X28" s="325">
        <v>77181859873.679993</v>
      </c>
      <c r="Y28" s="314">
        <v>1</v>
      </c>
      <c r="Z28" s="23">
        <f t="shared" si="32"/>
        <v>-2.4791712277226216E-3</v>
      </c>
      <c r="AA28" s="23">
        <f t="shared" si="33"/>
        <v>0</v>
      </c>
      <c r="AB28" s="325">
        <v>77432709637.889999</v>
      </c>
      <c r="AC28" s="314">
        <v>1</v>
      </c>
      <c r="AD28" s="23">
        <f t="shared" si="34"/>
        <v>3.250112974999061E-3</v>
      </c>
      <c r="AE28" s="23">
        <f t="shared" si="35"/>
        <v>0</v>
      </c>
      <c r="AF28" s="325">
        <v>78231363248.449997</v>
      </c>
      <c r="AG28" s="314">
        <v>1</v>
      </c>
      <c r="AH28" s="23">
        <f t="shared" si="36"/>
        <v>1.0314163281833469E-2</v>
      </c>
      <c r="AI28" s="23">
        <f t="shared" si="37"/>
        <v>0</v>
      </c>
      <c r="AJ28" s="24">
        <f t="shared" si="16"/>
        <v>6.8286981658363831E-3</v>
      </c>
      <c r="AK28" s="24">
        <f t="shared" si="17"/>
        <v>0</v>
      </c>
      <c r="AL28" s="25">
        <f t="shared" si="18"/>
        <v>4.8888333060893775E-2</v>
      </c>
      <c r="AM28" s="25">
        <f t="shared" si="19"/>
        <v>0</v>
      </c>
      <c r="AN28" s="26">
        <f t="shared" si="20"/>
        <v>8.4809027426121664E-3</v>
      </c>
      <c r="AO28" s="78">
        <f t="shared" si="21"/>
        <v>0</v>
      </c>
      <c r="AP28" s="30"/>
      <c r="AQ28" s="28">
        <v>13880602273.7041</v>
      </c>
      <c r="AR28" s="35">
        <v>1</v>
      </c>
      <c r="AS28" s="29" t="e">
        <f>(#REF!/AQ28)-1</f>
        <v>#REF!</v>
      </c>
      <c r="AT28" s="29" t="e">
        <f>(#REF!/AR28)-1</f>
        <v>#REF!</v>
      </c>
    </row>
    <row r="29" spans="1:46">
      <c r="A29" s="206" t="s">
        <v>84</v>
      </c>
      <c r="B29" s="325">
        <v>36920276232.629997</v>
      </c>
      <c r="C29" s="314">
        <v>1</v>
      </c>
      <c r="D29" s="325">
        <v>35971838996.849998</v>
      </c>
      <c r="E29" s="314">
        <v>1</v>
      </c>
      <c r="F29" s="23">
        <f t="shared" si="22"/>
        <v>-2.5688790349346673E-2</v>
      </c>
      <c r="G29" s="23">
        <f t="shared" si="23"/>
        <v>0</v>
      </c>
      <c r="H29" s="325">
        <v>35646070514.709999</v>
      </c>
      <c r="I29" s="314">
        <v>1</v>
      </c>
      <c r="J29" s="23">
        <f t="shared" si="24"/>
        <v>-9.0562087239556052E-3</v>
      </c>
      <c r="K29" s="23">
        <f t="shared" si="25"/>
        <v>0</v>
      </c>
      <c r="L29" s="325">
        <v>36418046507.919998</v>
      </c>
      <c r="M29" s="314">
        <v>1</v>
      </c>
      <c r="N29" s="23">
        <f t="shared" si="26"/>
        <v>2.1656692646989776E-2</v>
      </c>
      <c r="O29" s="23">
        <f t="shared" si="27"/>
        <v>0</v>
      </c>
      <c r="P29" s="325">
        <v>36637222597.720001</v>
      </c>
      <c r="Q29" s="314">
        <v>1</v>
      </c>
      <c r="R29" s="23">
        <f t="shared" si="28"/>
        <v>6.0183373578903479E-3</v>
      </c>
      <c r="S29" s="23">
        <f t="shared" si="29"/>
        <v>0</v>
      </c>
      <c r="T29" s="325">
        <v>37901167101.580002</v>
      </c>
      <c r="U29" s="314">
        <v>1</v>
      </c>
      <c r="V29" s="23">
        <f t="shared" si="30"/>
        <v>3.449891706416245E-2</v>
      </c>
      <c r="W29" s="23">
        <f t="shared" si="31"/>
        <v>0</v>
      </c>
      <c r="X29" s="325">
        <v>37669834097.889999</v>
      </c>
      <c r="Y29" s="314">
        <v>1</v>
      </c>
      <c r="Z29" s="23">
        <f t="shared" si="32"/>
        <v>-6.1035852291830553E-3</v>
      </c>
      <c r="AA29" s="23">
        <f t="shared" si="33"/>
        <v>0</v>
      </c>
      <c r="AB29" s="325">
        <v>38293583803.980003</v>
      </c>
      <c r="AC29" s="314">
        <v>1</v>
      </c>
      <c r="AD29" s="23">
        <f t="shared" si="34"/>
        <v>1.655833430190079E-2</v>
      </c>
      <c r="AE29" s="23">
        <f t="shared" si="35"/>
        <v>0</v>
      </c>
      <c r="AF29" s="325">
        <v>38293583803.980003</v>
      </c>
      <c r="AG29" s="314">
        <v>1</v>
      </c>
      <c r="AH29" s="23">
        <f t="shared" si="36"/>
        <v>0</v>
      </c>
      <c r="AI29" s="23">
        <f t="shared" si="37"/>
        <v>0</v>
      </c>
      <c r="AJ29" s="24">
        <f t="shared" si="16"/>
        <v>4.7354621335572531E-3</v>
      </c>
      <c r="AK29" s="24">
        <f t="shared" si="17"/>
        <v>0</v>
      </c>
      <c r="AL29" s="25">
        <f t="shared" si="18"/>
        <v>6.4543400389769245E-2</v>
      </c>
      <c r="AM29" s="25">
        <f t="shared" si="19"/>
        <v>0</v>
      </c>
      <c r="AN29" s="26">
        <f t="shared" si="20"/>
        <v>1.9158631923200064E-2</v>
      </c>
      <c r="AO29" s="78">
        <f t="shared" si="21"/>
        <v>0</v>
      </c>
      <c r="AP29" s="30"/>
      <c r="AQ29" s="38">
        <v>246915130.99000001</v>
      </c>
      <c r="AR29" s="35">
        <v>10</v>
      </c>
      <c r="AS29" s="29" t="e">
        <f>(#REF!/AQ29)-1</f>
        <v>#REF!</v>
      </c>
      <c r="AT29" s="29" t="e">
        <f>(#REF!/AR29)-1</f>
        <v>#REF!</v>
      </c>
    </row>
    <row r="30" spans="1:46">
      <c r="A30" s="206" t="s">
        <v>99</v>
      </c>
      <c r="B30" s="325">
        <v>5640578434.3100004</v>
      </c>
      <c r="C30" s="314">
        <v>100</v>
      </c>
      <c r="D30" s="325">
        <v>5621722089.6599998</v>
      </c>
      <c r="E30" s="314">
        <v>100</v>
      </c>
      <c r="F30" s="23">
        <f t="shared" si="22"/>
        <v>-3.3429806658308134E-3</v>
      </c>
      <c r="G30" s="23">
        <f t="shared" si="23"/>
        <v>0</v>
      </c>
      <c r="H30" s="325">
        <v>5414533660.1499996</v>
      </c>
      <c r="I30" s="314">
        <v>100</v>
      </c>
      <c r="J30" s="23">
        <f t="shared" si="24"/>
        <v>-3.6854975433787573E-2</v>
      </c>
      <c r="K30" s="23">
        <f t="shared" si="25"/>
        <v>0</v>
      </c>
      <c r="L30" s="325">
        <v>5229773332.5</v>
      </c>
      <c r="M30" s="314">
        <v>100</v>
      </c>
      <c r="N30" s="23">
        <f t="shared" si="26"/>
        <v>-3.4123036118475468E-2</v>
      </c>
      <c r="O30" s="23">
        <f t="shared" si="27"/>
        <v>0</v>
      </c>
      <c r="P30" s="325">
        <v>5250605455.4700003</v>
      </c>
      <c r="Q30" s="314">
        <v>100</v>
      </c>
      <c r="R30" s="23">
        <f t="shared" si="28"/>
        <v>3.9833701473332957E-3</v>
      </c>
      <c r="S30" s="23">
        <f t="shared" si="29"/>
        <v>0</v>
      </c>
      <c r="T30" s="325">
        <v>5879797445.79</v>
      </c>
      <c r="U30" s="314">
        <v>100</v>
      </c>
      <c r="V30" s="23">
        <f t="shared" si="30"/>
        <v>0.1198322737551185</v>
      </c>
      <c r="W30" s="23">
        <f t="shared" si="31"/>
        <v>0</v>
      </c>
      <c r="X30" s="325">
        <v>5879797445.79</v>
      </c>
      <c r="Y30" s="314">
        <v>100</v>
      </c>
      <c r="Z30" s="23">
        <f t="shared" si="32"/>
        <v>0</v>
      </c>
      <c r="AA30" s="23">
        <f t="shared" si="33"/>
        <v>0</v>
      </c>
      <c r="AB30" s="325">
        <v>5953054706.3500004</v>
      </c>
      <c r="AC30" s="314">
        <v>100</v>
      </c>
      <c r="AD30" s="23">
        <f t="shared" si="34"/>
        <v>1.2459146974944423E-2</v>
      </c>
      <c r="AE30" s="23">
        <f t="shared" si="35"/>
        <v>0</v>
      </c>
      <c r="AF30" s="325">
        <v>6026943927.4200001</v>
      </c>
      <c r="AG30" s="314">
        <v>100</v>
      </c>
      <c r="AH30" s="23">
        <f t="shared" si="36"/>
        <v>1.241198421898989E-2</v>
      </c>
      <c r="AI30" s="23">
        <f t="shared" si="37"/>
        <v>0</v>
      </c>
      <c r="AJ30" s="24">
        <f t="shared" si="16"/>
        <v>9.295722859786533E-3</v>
      </c>
      <c r="AK30" s="24">
        <f t="shared" si="17"/>
        <v>0</v>
      </c>
      <c r="AL30" s="25">
        <f t="shared" si="18"/>
        <v>7.2081442536144277E-2</v>
      </c>
      <c r="AM30" s="25">
        <f t="shared" si="19"/>
        <v>0</v>
      </c>
      <c r="AN30" s="26">
        <f t="shared" si="20"/>
        <v>4.8590844797084344E-2</v>
      </c>
      <c r="AO30" s="78">
        <f t="shared" si="21"/>
        <v>0</v>
      </c>
      <c r="AP30" s="30"/>
      <c r="AQ30" s="38"/>
      <c r="AR30" s="35"/>
      <c r="AS30" s="29"/>
      <c r="AT30" s="29"/>
    </row>
    <row r="31" spans="1:46">
      <c r="A31" s="206" t="s">
        <v>171</v>
      </c>
      <c r="B31" s="325">
        <v>10885735684.75</v>
      </c>
      <c r="C31" s="314">
        <v>100</v>
      </c>
      <c r="D31" s="325">
        <v>11051466997.779999</v>
      </c>
      <c r="E31" s="314">
        <v>100</v>
      </c>
      <c r="F31" s="23">
        <f t="shared" si="22"/>
        <v>1.5224631373529895E-2</v>
      </c>
      <c r="G31" s="23">
        <f t="shared" si="23"/>
        <v>0</v>
      </c>
      <c r="H31" s="325">
        <v>11490691079.289999</v>
      </c>
      <c r="I31" s="314">
        <v>100</v>
      </c>
      <c r="J31" s="23">
        <f t="shared" si="24"/>
        <v>3.9743509309508943E-2</v>
      </c>
      <c r="K31" s="23">
        <f t="shared" si="25"/>
        <v>0</v>
      </c>
      <c r="L31" s="325">
        <v>11441647419.370001</v>
      </c>
      <c r="M31" s="314">
        <v>100</v>
      </c>
      <c r="N31" s="23">
        <f t="shared" si="26"/>
        <v>-4.2681210017377425E-3</v>
      </c>
      <c r="O31" s="23">
        <f t="shared" si="27"/>
        <v>0</v>
      </c>
      <c r="P31" s="325">
        <v>11863696748.280001</v>
      </c>
      <c r="Q31" s="314">
        <v>100</v>
      </c>
      <c r="R31" s="23">
        <f t="shared" si="28"/>
        <v>3.6887111920220199E-2</v>
      </c>
      <c r="S31" s="23">
        <f t="shared" si="29"/>
        <v>0</v>
      </c>
      <c r="T31" s="325">
        <v>11980549973.41</v>
      </c>
      <c r="U31" s="314">
        <v>100</v>
      </c>
      <c r="V31" s="23">
        <f t="shared" si="30"/>
        <v>9.8496470037419438E-3</v>
      </c>
      <c r="W31" s="23">
        <f t="shared" si="31"/>
        <v>0</v>
      </c>
      <c r="X31" s="325">
        <v>11745578760.279999</v>
      </c>
      <c r="Y31" s="314">
        <v>100</v>
      </c>
      <c r="Z31" s="23">
        <f t="shared" si="32"/>
        <v>-1.9612723426846296E-2</v>
      </c>
      <c r="AA31" s="23">
        <f t="shared" si="33"/>
        <v>0</v>
      </c>
      <c r="AB31" s="325">
        <v>11817360862.35</v>
      </c>
      <c r="AC31" s="314">
        <v>100</v>
      </c>
      <c r="AD31" s="23">
        <f t="shared" si="34"/>
        <v>6.1114146467389921E-3</v>
      </c>
      <c r="AE31" s="23">
        <f t="shared" si="35"/>
        <v>0</v>
      </c>
      <c r="AF31" s="325">
        <v>12009793803.210001</v>
      </c>
      <c r="AG31" s="314">
        <v>100</v>
      </c>
      <c r="AH31" s="23">
        <f t="shared" si="36"/>
        <v>1.6283918473970795E-2</v>
      </c>
      <c r="AI31" s="23">
        <f t="shared" si="37"/>
        <v>0</v>
      </c>
      <c r="AJ31" s="24">
        <f t="shared" si="16"/>
        <v>1.2527423537390839E-2</v>
      </c>
      <c r="AK31" s="24">
        <f t="shared" si="17"/>
        <v>0</v>
      </c>
      <c r="AL31" s="25">
        <f t="shared" si="18"/>
        <v>8.6714895463426658E-2</v>
      </c>
      <c r="AM31" s="25">
        <f t="shared" si="19"/>
        <v>0</v>
      </c>
      <c r="AN31" s="26">
        <f t="shared" si="20"/>
        <v>1.9708268560905452E-2</v>
      </c>
      <c r="AO31" s="78">
        <f t="shared" si="21"/>
        <v>0</v>
      </c>
      <c r="AP31" s="30"/>
      <c r="AQ31" s="38"/>
      <c r="AR31" s="35"/>
      <c r="AS31" s="29"/>
      <c r="AT31" s="29"/>
    </row>
    <row r="32" spans="1:46">
      <c r="A32" s="206" t="s">
        <v>91</v>
      </c>
      <c r="B32" s="325">
        <v>6065778548.3100004</v>
      </c>
      <c r="C32" s="314">
        <v>100</v>
      </c>
      <c r="D32" s="325">
        <v>5680740532.8299999</v>
      </c>
      <c r="E32" s="314">
        <v>100</v>
      </c>
      <c r="F32" s="23">
        <f t="shared" si="22"/>
        <v>-6.3477097360779305E-2</v>
      </c>
      <c r="G32" s="23">
        <f t="shared" si="23"/>
        <v>0</v>
      </c>
      <c r="H32" s="325">
        <v>5620145931.1400003</v>
      </c>
      <c r="I32" s="314">
        <v>100</v>
      </c>
      <c r="J32" s="23">
        <f t="shared" si="24"/>
        <v>-1.0666673005009243E-2</v>
      </c>
      <c r="K32" s="23">
        <f t="shared" si="25"/>
        <v>0</v>
      </c>
      <c r="L32" s="325">
        <v>5424353559.4499998</v>
      </c>
      <c r="M32" s="314">
        <v>100</v>
      </c>
      <c r="N32" s="23">
        <f t="shared" si="26"/>
        <v>-3.4837595693940578E-2</v>
      </c>
      <c r="O32" s="23">
        <f t="shared" si="27"/>
        <v>0</v>
      </c>
      <c r="P32" s="325">
        <v>5538913822.2399998</v>
      </c>
      <c r="Q32" s="314">
        <v>100</v>
      </c>
      <c r="R32" s="23">
        <f t="shared" si="28"/>
        <v>2.1119615735670401E-2</v>
      </c>
      <c r="S32" s="23">
        <f t="shared" si="29"/>
        <v>0</v>
      </c>
      <c r="T32" s="325">
        <v>5759383477.2700005</v>
      </c>
      <c r="U32" s="314">
        <v>100</v>
      </c>
      <c r="V32" s="23">
        <f t="shared" si="30"/>
        <v>3.9803770577683452E-2</v>
      </c>
      <c r="W32" s="23">
        <f t="shared" si="31"/>
        <v>0</v>
      </c>
      <c r="X32" s="325">
        <v>5673758694.9499998</v>
      </c>
      <c r="Y32" s="314">
        <v>100</v>
      </c>
      <c r="Z32" s="23">
        <f t="shared" si="32"/>
        <v>-1.4867004890007352E-2</v>
      </c>
      <c r="AA32" s="23">
        <f t="shared" si="33"/>
        <v>0</v>
      </c>
      <c r="AB32" s="325">
        <v>5658224894.1199999</v>
      </c>
      <c r="AC32" s="314">
        <v>100</v>
      </c>
      <c r="AD32" s="23">
        <f t="shared" si="34"/>
        <v>-2.7378324784636996E-3</v>
      </c>
      <c r="AE32" s="23">
        <f t="shared" si="35"/>
        <v>0</v>
      </c>
      <c r="AF32" s="325">
        <v>5611898702.1599998</v>
      </c>
      <c r="AG32" s="314">
        <v>100</v>
      </c>
      <c r="AH32" s="23">
        <f t="shared" si="36"/>
        <v>-8.1874073277189794E-3</v>
      </c>
      <c r="AI32" s="23">
        <f t="shared" si="37"/>
        <v>0</v>
      </c>
      <c r="AJ32" s="24">
        <f t="shared" si="16"/>
        <v>-9.2312780553206655E-3</v>
      </c>
      <c r="AK32" s="24">
        <f t="shared" si="17"/>
        <v>0</v>
      </c>
      <c r="AL32" s="25">
        <f t="shared" si="18"/>
        <v>-1.2118460660568989E-2</v>
      </c>
      <c r="AM32" s="25">
        <f t="shared" si="19"/>
        <v>0</v>
      </c>
      <c r="AN32" s="26">
        <f t="shared" si="20"/>
        <v>3.1624993372457375E-2</v>
      </c>
      <c r="AO32" s="78">
        <f t="shared" si="21"/>
        <v>0</v>
      </c>
      <c r="AP32" s="30"/>
      <c r="AQ32" s="38"/>
      <c r="AR32" s="35"/>
      <c r="AS32" s="29"/>
      <c r="AT32" s="29"/>
    </row>
    <row r="33" spans="1:47">
      <c r="A33" s="206" t="s">
        <v>185</v>
      </c>
      <c r="B33" s="325">
        <v>45471762.240000002</v>
      </c>
      <c r="C33" s="314">
        <v>100</v>
      </c>
      <c r="D33" s="325">
        <v>45471762.240000002</v>
      </c>
      <c r="E33" s="314">
        <v>100</v>
      </c>
      <c r="F33" s="23">
        <f t="shared" si="22"/>
        <v>0</v>
      </c>
      <c r="G33" s="23">
        <f t="shared" si="23"/>
        <v>0</v>
      </c>
      <c r="H33" s="325">
        <v>45471762.240000002</v>
      </c>
      <c r="I33" s="314">
        <v>100</v>
      </c>
      <c r="J33" s="23">
        <f t="shared" si="24"/>
        <v>0</v>
      </c>
      <c r="K33" s="23">
        <f t="shared" si="25"/>
        <v>0</v>
      </c>
      <c r="L33" s="325">
        <v>44514190.369999997</v>
      </c>
      <c r="M33" s="314">
        <v>100</v>
      </c>
      <c r="N33" s="23">
        <f t="shared" si="26"/>
        <v>-2.1058604787426966E-2</v>
      </c>
      <c r="O33" s="23">
        <f t="shared" si="27"/>
        <v>0</v>
      </c>
      <c r="P33" s="325">
        <v>44514190.369999997</v>
      </c>
      <c r="Q33" s="314">
        <v>100</v>
      </c>
      <c r="R33" s="23">
        <f t="shared" si="28"/>
        <v>0</v>
      </c>
      <c r="S33" s="23">
        <f t="shared" si="29"/>
        <v>0</v>
      </c>
      <c r="T33" s="325">
        <v>44514190.369999997</v>
      </c>
      <c r="U33" s="314">
        <v>100</v>
      </c>
      <c r="V33" s="23">
        <f t="shared" si="30"/>
        <v>0</v>
      </c>
      <c r="W33" s="23">
        <f t="shared" si="31"/>
        <v>0</v>
      </c>
      <c r="X33" s="325">
        <v>44514190.369999997</v>
      </c>
      <c r="Y33" s="314">
        <v>100</v>
      </c>
      <c r="Z33" s="23">
        <f t="shared" si="32"/>
        <v>0</v>
      </c>
      <c r="AA33" s="23">
        <f t="shared" si="33"/>
        <v>0</v>
      </c>
      <c r="AB33" s="325">
        <v>44514190.369999997</v>
      </c>
      <c r="AC33" s="314">
        <v>100</v>
      </c>
      <c r="AD33" s="23">
        <f t="shared" si="34"/>
        <v>0</v>
      </c>
      <c r="AE33" s="23">
        <f t="shared" si="35"/>
        <v>0</v>
      </c>
      <c r="AF33" s="325">
        <v>44514190.369999997</v>
      </c>
      <c r="AG33" s="314">
        <v>100</v>
      </c>
      <c r="AH33" s="23">
        <f t="shared" si="36"/>
        <v>0</v>
      </c>
      <c r="AI33" s="23">
        <f t="shared" si="37"/>
        <v>0</v>
      </c>
      <c r="AJ33" s="24">
        <f t="shared" si="16"/>
        <v>-2.6323255984283707E-3</v>
      </c>
      <c r="AK33" s="24">
        <f t="shared" si="17"/>
        <v>0</v>
      </c>
      <c r="AL33" s="25">
        <f t="shared" si="18"/>
        <v>-2.1058604787426966E-2</v>
      </c>
      <c r="AM33" s="25">
        <f t="shared" si="19"/>
        <v>0</v>
      </c>
      <c r="AN33" s="26">
        <f t="shared" si="20"/>
        <v>7.4453411237585506E-3</v>
      </c>
      <c r="AO33" s="78">
        <f t="shared" si="21"/>
        <v>0</v>
      </c>
      <c r="AP33" s="30"/>
      <c r="AQ33" s="38"/>
      <c r="AR33" s="35"/>
      <c r="AS33" s="29"/>
      <c r="AT33" s="29"/>
    </row>
    <row r="34" spans="1:47">
      <c r="A34" s="206" t="s">
        <v>111</v>
      </c>
      <c r="B34" s="325">
        <v>4405184484.8699999</v>
      </c>
      <c r="C34" s="314">
        <v>1</v>
      </c>
      <c r="D34" s="325">
        <v>4498390504.2799997</v>
      </c>
      <c r="E34" s="314">
        <v>1</v>
      </c>
      <c r="F34" s="23">
        <f t="shared" si="22"/>
        <v>2.1158255625870894E-2</v>
      </c>
      <c r="G34" s="23">
        <f t="shared" si="23"/>
        <v>0</v>
      </c>
      <c r="H34" s="325">
        <v>4670253756.5299997</v>
      </c>
      <c r="I34" s="314">
        <v>1</v>
      </c>
      <c r="J34" s="23">
        <f t="shared" si="24"/>
        <v>3.8205498630339112E-2</v>
      </c>
      <c r="K34" s="23">
        <f t="shared" si="25"/>
        <v>0</v>
      </c>
      <c r="L34" s="325">
        <v>4719689364.1099997</v>
      </c>
      <c r="M34" s="314">
        <v>1</v>
      </c>
      <c r="N34" s="23">
        <f t="shared" si="26"/>
        <v>1.0585208033049279E-2</v>
      </c>
      <c r="O34" s="23">
        <f t="shared" si="27"/>
        <v>0</v>
      </c>
      <c r="P34" s="325">
        <v>4623949433.0600004</v>
      </c>
      <c r="Q34" s="314">
        <v>1</v>
      </c>
      <c r="R34" s="23">
        <f t="shared" si="28"/>
        <v>-2.0285218721815833E-2</v>
      </c>
      <c r="S34" s="23">
        <f t="shared" si="29"/>
        <v>0</v>
      </c>
      <c r="T34" s="325">
        <v>4726651313.3299999</v>
      </c>
      <c r="U34" s="314">
        <v>1</v>
      </c>
      <c r="V34" s="23">
        <f t="shared" si="30"/>
        <v>2.2210857137776759E-2</v>
      </c>
      <c r="W34" s="23">
        <f t="shared" si="31"/>
        <v>0</v>
      </c>
      <c r="X34" s="325">
        <v>4728974521.3100004</v>
      </c>
      <c r="Y34" s="314">
        <v>1</v>
      </c>
      <c r="Z34" s="23">
        <f t="shared" si="32"/>
        <v>4.9151245268476537E-4</v>
      </c>
      <c r="AA34" s="23">
        <f t="shared" si="33"/>
        <v>0</v>
      </c>
      <c r="AB34" s="325">
        <v>5790344995.2299995</v>
      </c>
      <c r="AC34" s="314">
        <v>1</v>
      </c>
      <c r="AD34" s="23">
        <f t="shared" si="34"/>
        <v>0.22443987996492373</v>
      </c>
      <c r="AE34" s="23">
        <f t="shared" si="35"/>
        <v>0</v>
      </c>
      <c r="AF34" s="325">
        <v>5806944067.2600002</v>
      </c>
      <c r="AG34" s="314">
        <v>1</v>
      </c>
      <c r="AH34" s="23">
        <f t="shared" si="36"/>
        <v>2.8666810084156912E-3</v>
      </c>
      <c r="AI34" s="23">
        <f t="shared" si="37"/>
        <v>0</v>
      </c>
      <c r="AJ34" s="24">
        <f t="shared" si="16"/>
        <v>3.7459084266405554E-2</v>
      </c>
      <c r="AK34" s="24">
        <f t="shared" si="17"/>
        <v>0</v>
      </c>
      <c r="AL34" s="25">
        <f t="shared" si="18"/>
        <v>0.29089372337394354</v>
      </c>
      <c r="AM34" s="25">
        <f t="shared" si="19"/>
        <v>0</v>
      </c>
      <c r="AN34" s="26">
        <f t="shared" si="20"/>
        <v>7.7533813839746502E-2</v>
      </c>
      <c r="AO34" s="78">
        <f t="shared" si="21"/>
        <v>0</v>
      </c>
      <c r="AP34" s="30"/>
      <c r="AQ34" s="38"/>
      <c r="AR34" s="35"/>
      <c r="AS34" s="29"/>
      <c r="AT34" s="29"/>
    </row>
    <row r="35" spans="1:47">
      <c r="A35" s="206" t="s">
        <v>103</v>
      </c>
      <c r="B35" s="325">
        <v>12051645668.299999</v>
      </c>
      <c r="C35" s="69">
        <v>100</v>
      </c>
      <c r="D35" s="325">
        <v>12190329228</v>
      </c>
      <c r="E35" s="69">
        <v>100</v>
      </c>
      <c r="F35" s="23">
        <f t="shared" si="22"/>
        <v>1.1507437533181591E-2</v>
      </c>
      <c r="G35" s="23">
        <f t="shared" si="23"/>
        <v>0</v>
      </c>
      <c r="H35" s="325">
        <v>12198025079.200001</v>
      </c>
      <c r="I35" s="69">
        <v>100</v>
      </c>
      <c r="J35" s="23">
        <f t="shared" si="24"/>
        <v>6.3130790449236935E-4</v>
      </c>
      <c r="K35" s="23">
        <f t="shared" si="25"/>
        <v>0</v>
      </c>
      <c r="L35" s="325">
        <v>12310082217</v>
      </c>
      <c r="M35" s="69">
        <v>100</v>
      </c>
      <c r="N35" s="23">
        <f t="shared" si="26"/>
        <v>9.1864983939964513E-3</v>
      </c>
      <c r="O35" s="23">
        <f t="shared" si="27"/>
        <v>0</v>
      </c>
      <c r="P35" s="325">
        <v>12179909900.700001</v>
      </c>
      <c r="Q35" s="69">
        <v>100</v>
      </c>
      <c r="R35" s="23">
        <f t="shared" si="28"/>
        <v>-1.0574447351800268E-2</v>
      </c>
      <c r="S35" s="23">
        <f t="shared" si="29"/>
        <v>0</v>
      </c>
      <c r="T35" s="325">
        <v>12233470293.200001</v>
      </c>
      <c r="U35" s="69">
        <v>100</v>
      </c>
      <c r="V35" s="23">
        <f t="shared" si="30"/>
        <v>4.3974374963908222E-3</v>
      </c>
      <c r="W35" s="23">
        <f t="shared" si="31"/>
        <v>0</v>
      </c>
      <c r="X35" s="325">
        <v>12266567111.559999</v>
      </c>
      <c r="Y35" s="69">
        <v>100</v>
      </c>
      <c r="Z35" s="23">
        <f t="shared" si="32"/>
        <v>2.705431702269767E-3</v>
      </c>
      <c r="AA35" s="23">
        <f t="shared" si="33"/>
        <v>0</v>
      </c>
      <c r="AB35" s="325">
        <v>12471768934.690001</v>
      </c>
      <c r="AC35" s="69">
        <v>100</v>
      </c>
      <c r="AD35" s="23">
        <f t="shared" si="34"/>
        <v>1.672854526158497E-2</v>
      </c>
      <c r="AE35" s="23">
        <f t="shared" si="35"/>
        <v>0</v>
      </c>
      <c r="AF35" s="325">
        <v>12497940144.360001</v>
      </c>
      <c r="AG35" s="69">
        <v>100</v>
      </c>
      <c r="AH35" s="23">
        <f t="shared" si="36"/>
        <v>2.0984360604376921E-3</v>
      </c>
      <c r="AI35" s="23">
        <f t="shared" si="37"/>
        <v>0</v>
      </c>
      <c r="AJ35" s="24">
        <f t="shared" si="16"/>
        <v>4.5850808750691752E-3</v>
      </c>
      <c r="AK35" s="24">
        <f t="shared" si="17"/>
        <v>0</v>
      </c>
      <c r="AL35" s="25">
        <f t="shared" si="18"/>
        <v>2.5234012191684557E-2</v>
      </c>
      <c r="AM35" s="25">
        <f t="shared" si="19"/>
        <v>0</v>
      </c>
      <c r="AN35" s="26">
        <f t="shared" si="20"/>
        <v>8.2093248586226422E-3</v>
      </c>
      <c r="AO35" s="78">
        <f t="shared" si="21"/>
        <v>0</v>
      </c>
      <c r="AP35" s="30"/>
      <c r="AQ35" s="38"/>
      <c r="AR35" s="35"/>
      <c r="AS35" s="29"/>
      <c r="AT35" s="29"/>
    </row>
    <row r="36" spans="1:47">
      <c r="A36" s="206" t="s">
        <v>102</v>
      </c>
      <c r="B36" s="325">
        <v>433159382.01999998</v>
      </c>
      <c r="C36" s="69">
        <v>1000000</v>
      </c>
      <c r="D36" s="325">
        <v>434059949.23000002</v>
      </c>
      <c r="E36" s="69">
        <v>1000000</v>
      </c>
      <c r="F36" s="23">
        <f t="shared" si="22"/>
        <v>2.0790666146957818E-3</v>
      </c>
      <c r="G36" s="23">
        <f t="shared" si="23"/>
        <v>0</v>
      </c>
      <c r="H36" s="325">
        <v>434960340.06999999</v>
      </c>
      <c r="I36" s="69">
        <v>1000000</v>
      </c>
      <c r="J36" s="23">
        <f t="shared" si="24"/>
        <v>2.0743467385028742E-3</v>
      </c>
      <c r="K36" s="23">
        <f t="shared" si="25"/>
        <v>0</v>
      </c>
      <c r="L36" s="325">
        <v>436108767.47000003</v>
      </c>
      <c r="M36" s="69">
        <v>1000000</v>
      </c>
      <c r="N36" s="23">
        <f t="shared" si="26"/>
        <v>2.6403037109434266E-3</v>
      </c>
      <c r="O36" s="23">
        <f t="shared" si="27"/>
        <v>0</v>
      </c>
      <c r="P36" s="325">
        <v>431349439.44</v>
      </c>
      <c r="Q36" s="69">
        <v>1000000</v>
      </c>
      <c r="R36" s="23">
        <f t="shared" si="28"/>
        <v>-1.0913167505460494E-2</v>
      </c>
      <c r="S36" s="23">
        <f t="shared" si="29"/>
        <v>0</v>
      </c>
      <c r="T36" s="325">
        <v>421161670.00999999</v>
      </c>
      <c r="U36" s="69">
        <v>1000000</v>
      </c>
      <c r="V36" s="23">
        <f t="shared" si="30"/>
        <v>-2.3618367148514886E-2</v>
      </c>
      <c r="W36" s="23">
        <f t="shared" si="31"/>
        <v>0</v>
      </c>
      <c r="X36" s="325">
        <v>421970744.52999997</v>
      </c>
      <c r="Y36" s="69">
        <v>1000000</v>
      </c>
      <c r="Z36" s="23">
        <f t="shared" si="32"/>
        <v>1.9210544966752801E-3</v>
      </c>
      <c r="AA36" s="23">
        <f t="shared" si="33"/>
        <v>0</v>
      </c>
      <c r="AB36" s="325">
        <v>422854694.23000002</v>
      </c>
      <c r="AC36" s="69">
        <v>1000000</v>
      </c>
      <c r="AD36" s="23">
        <f t="shared" si="34"/>
        <v>2.0948127600282094E-3</v>
      </c>
      <c r="AE36" s="23">
        <f t="shared" si="35"/>
        <v>0</v>
      </c>
      <c r="AF36" s="325">
        <v>423733184.42000002</v>
      </c>
      <c r="AG36" s="69">
        <v>1000000</v>
      </c>
      <c r="AH36" s="23">
        <f t="shared" si="36"/>
        <v>2.0775226147121059E-3</v>
      </c>
      <c r="AI36" s="23">
        <f t="shared" si="37"/>
        <v>0</v>
      </c>
      <c r="AJ36" s="24">
        <f t="shared" si="16"/>
        <v>-2.7055534648022131E-3</v>
      </c>
      <c r="AK36" s="24">
        <f t="shared" si="17"/>
        <v>0</v>
      </c>
      <c r="AL36" s="25">
        <f t="shared" si="18"/>
        <v>-2.3791102653721339E-2</v>
      </c>
      <c r="AM36" s="25">
        <f t="shared" si="19"/>
        <v>0</v>
      </c>
      <c r="AN36" s="26">
        <f t="shared" si="20"/>
        <v>9.6091902625736018E-3</v>
      </c>
      <c r="AO36" s="78">
        <f t="shared" si="21"/>
        <v>0</v>
      </c>
      <c r="AP36" s="30"/>
      <c r="AQ36" s="38"/>
      <c r="AR36" s="35"/>
      <c r="AS36" s="29"/>
      <c r="AT36" s="29"/>
    </row>
    <row r="37" spans="1:47">
      <c r="A37" s="206" t="s">
        <v>175</v>
      </c>
      <c r="B37" s="325">
        <v>1228915509.6700001</v>
      </c>
      <c r="C37" s="314">
        <v>1</v>
      </c>
      <c r="D37" s="325">
        <v>1274877255.9100001</v>
      </c>
      <c r="E37" s="314">
        <v>1</v>
      </c>
      <c r="F37" s="23">
        <f t="shared" si="22"/>
        <v>3.7400249145152449E-2</v>
      </c>
      <c r="G37" s="23">
        <f t="shared" si="23"/>
        <v>0</v>
      </c>
      <c r="H37" s="325">
        <v>1315553282.3</v>
      </c>
      <c r="I37" s="314">
        <v>1</v>
      </c>
      <c r="J37" s="23">
        <f t="shared" si="24"/>
        <v>3.1905837367037782E-2</v>
      </c>
      <c r="K37" s="23">
        <f t="shared" si="25"/>
        <v>0</v>
      </c>
      <c r="L37" s="325">
        <v>1381363532.47</v>
      </c>
      <c r="M37" s="314">
        <v>1</v>
      </c>
      <c r="N37" s="23">
        <f t="shared" si="26"/>
        <v>5.0024769848122846E-2</v>
      </c>
      <c r="O37" s="23">
        <f t="shared" si="27"/>
        <v>0</v>
      </c>
      <c r="P37" s="325">
        <v>1387569275.3900001</v>
      </c>
      <c r="Q37" s="314">
        <v>1</v>
      </c>
      <c r="R37" s="23">
        <f t="shared" si="28"/>
        <v>4.4924762918155652E-3</v>
      </c>
      <c r="S37" s="23">
        <f t="shared" si="29"/>
        <v>0</v>
      </c>
      <c r="T37" s="325">
        <v>1406729107.5799999</v>
      </c>
      <c r="U37" s="314">
        <v>1</v>
      </c>
      <c r="V37" s="23">
        <f t="shared" si="30"/>
        <v>1.3808198646236686E-2</v>
      </c>
      <c r="W37" s="23">
        <f t="shared" si="31"/>
        <v>0</v>
      </c>
      <c r="X37" s="325">
        <v>1406705114.5799999</v>
      </c>
      <c r="Y37" s="314">
        <v>1</v>
      </c>
      <c r="Z37" s="23">
        <f t="shared" si="32"/>
        <v>-1.7055877973034357E-5</v>
      </c>
      <c r="AA37" s="23">
        <f t="shared" si="33"/>
        <v>0</v>
      </c>
      <c r="AB37" s="325">
        <v>1685773727.1099999</v>
      </c>
      <c r="AC37" s="314">
        <v>1</v>
      </c>
      <c r="AD37" s="23">
        <f t="shared" si="34"/>
        <v>0.19838458653313529</v>
      </c>
      <c r="AE37" s="23">
        <f t="shared" si="35"/>
        <v>0</v>
      </c>
      <c r="AF37" s="325">
        <v>1789189666.3800001</v>
      </c>
      <c r="AG37" s="314">
        <v>1</v>
      </c>
      <c r="AH37" s="23">
        <f t="shared" si="36"/>
        <v>6.1346275367152009E-2</v>
      </c>
      <c r="AI37" s="23">
        <f t="shared" si="37"/>
        <v>0</v>
      </c>
      <c r="AJ37" s="24">
        <f t="shared" si="16"/>
        <v>4.9668167165084945E-2</v>
      </c>
      <c r="AK37" s="24">
        <f t="shared" si="17"/>
        <v>0</v>
      </c>
      <c r="AL37" s="25">
        <f t="shared" si="18"/>
        <v>0.40342112002216773</v>
      </c>
      <c r="AM37" s="25">
        <f t="shared" si="19"/>
        <v>0</v>
      </c>
      <c r="AN37" s="26">
        <f t="shared" si="20"/>
        <v>6.3823957342043977E-2</v>
      </c>
      <c r="AO37" s="78">
        <f t="shared" si="21"/>
        <v>0</v>
      </c>
      <c r="AP37" s="30"/>
      <c r="AQ37" s="38"/>
      <c r="AR37" s="35"/>
      <c r="AS37" s="29"/>
      <c r="AT37" s="29"/>
      <c r="AU37" s="90"/>
    </row>
    <row r="38" spans="1:47">
      <c r="A38" s="206" t="s">
        <v>138</v>
      </c>
      <c r="B38" s="325">
        <v>275291743.25</v>
      </c>
      <c r="C38" s="314">
        <v>1</v>
      </c>
      <c r="D38" s="325">
        <v>286059134.94</v>
      </c>
      <c r="E38" s="314">
        <v>1</v>
      </c>
      <c r="F38" s="23">
        <f t="shared" si="22"/>
        <v>3.9112657586035313E-2</v>
      </c>
      <c r="G38" s="23">
        <f t="shared" si="23"/>
        <v>0</v>
      </c>
      <c r="H38" s="325">
        <v>275732345.54000002</v>
      </c>
      <c r="I38" s="314">
        <v>1</v>
      </c>
      <c r="J38" s="23">
        <f t="shared" si="24"/>
        <v>-3.6100190969835619E-2</v>
      </c>
      <c r="K38" s="23">
        <f t="shared" si="25"/>
        <v>0</v>
      </c>
      <c r="L38" s="392">
        <v>276937216.77999997</v>
      </c>
      <c r="M38" s="314">
        <v>1</v>
      </c>
      <c r="N38" s="23">
        <f t="shared" si="26"/>
        <v>4.3697130912962161E-3</v>
      </c>
      <c r="O38" s="23">
        <f t="shared" si="27"/>
        <v>0</v>
      </c>
      <c r="P38" s="325">
        <v>275337983.68000001</v>
      </c>
      <c r="Q38" s="314">
        <v>1</v>
      </c>
      <c r="R38" s="23">
        <f t="shared" si="28"/>
        <v>-5.7747135563596041E-3</v>
      </c>
      <c r="S38" s="23">
        <f t="shared" si="29"/>
        <v>0</v>
      </c>
      <c r="T38" s="325">
        <v>272271411.38999999</v>
      </c>
      <c r="U38" s="314">
        <v>1</v>
      </c>
      <c r="V38" s="23">
        <f t="shared" si="30"/>
        <v>-1.1137483644697624E-2</v>
      </c>
      <c r="W38" s="23">
        <f t="shared" si="31"/>
        <v>0</v>
      </c>
      <c r="X38" s="325">
        <v>272828408.80000001</v>
      </c>
      <c r="Y38" s="314">
        <v>1</v>
      </c>
      <c r="Z38" s="23">
        <f t="shared" si="32"/>
        <v>2.045743279312518E-3</v>
      </c>
      <c r="AA38" s="23">
        <f t="shared" si="33"/>
        <v>0</v>
      </c>
      <c r="AB38" s="325">
        <v>287229960.88</v>
      </c>
      <c r="AC38" s="314">
        <v>1</v>
      </c>
      <c r="AD38" s="23">
        <f t="shared" si="34"/>
        <v>5.2786116164893981E-2</v>
      </c>
      <c r="AE38" s="23">
        <f t="shared" si="35"/>
        <v>0</v>
      </c>
      <c r="AF38" s="325">
        <v>312532306.63</v>
      </c>
      <c r="AG38" s="314">
        <v>1</v>
      </c>
      <c r="AH38" s="23">
        <f t="shared" si="36"/>
        <v>8.8090899962107047E-2</v>
      </c>
      <c r="AI38" s="23">
        <f t="shared" si="37"/>
        <v>0</v>
      </c>
      <c r="AJ38" s="24">
        <f t="shared" si="16"/>
        <v>1.6674092739094031E-2</v>
      </c>
      <c r="AK38" s="24">
        <f t="shared" si="17"/>
        <v>0</v>
      </c>
      <c r="AL38" s="25">
        <f t="shared" si="18"/>
        <v>9.254440238572581E-2</v>
      </c>
      <c r="AM38" s="25">
        <f t="shared" si="19"/>
        <v>0</v>
      </c>
      <c r="AN38" s="26">
        <f t="shared" si="20"/>
        <v>4.0241896885659607E-2</v>
      </c>
      <c r="AO38" s="78">
        <f t="shared" si="21"/>
        <v>0</v>
      </c>
      <c r="AP38" s="30"/>
      <c r="AQ38" s="38"/>
      <c r="AR38" s="35"/>
      <c r="AS38" s="29"/>
      <c r="AT38" s="29"/>
    </row>
    <row r="39" spans="1:47" s="86" customFormat="1">
      <c r="A39" s="206" t="s">
        <v>14</v>
      </c>
      <c r="B39" s="325">
        <v>188775014355.03</v>
      </c>
      <c r="C39" s="314">
        <v>100</v>
      </c>
      <c r="D39" s="325">
        <v>188154815155.57999</v>
      </c>
      <c r="E39" s="314">
        <v>100</v>
      </c>
      <c r="F39" s="23">
        <f t="shared" si="22"/>
        <v>-3.2853881726296725E-3</v>
      </c>
      <c r="G39" s="23">
        <f t="shared" si="23"/>
        <v>0</v>
      </c>
      <c r="H39" s="325">
        <v>185242091999.23999</v>
      </c>
      <c r="I39" s="314">
        <v>100</v>
      </c>
      <c r="J39" s="23">
        <f t="shared" si="24"/>
        <v>-1.548046035352083E-2</v>
      </c>
      <c r="K39" s="23">
        <f t="shared" si="25"/>
        <v>0</v>
      </c>
      <c r="L39" s="325">
        <v>187678330513.03</v>
      </c>
      <c r="M39" s="314">
        <v>100</v>
      </c>
      <c r="N39" s="23">
        <f t="shared" si="26"/>
        <v>1.3151646515631037E-2</v>
      </c>
      <c r="O39" s="23">
        <f t="shared" si="27"/>
        <v>0</v>
      </c>
      <c r="P39" s="325">
        <v>190601254188.38</v>
      </c>
      <c r="Q39" s="314">
        <v>100</v>
      </c>
      <c r="R39" s="23">
        <f t="shared" si="28"/>
        <v>1.5574113790121739E-2</v>
      </c>
      <c r="S39" s="23">
        <f t="shared" si="29"/>
        <v>0</v>
      </c>
      <c r="T39" s="325">
        <v>191364530207.37</v>
      </c>
      <c r="U39" s="314">
        <v>100</v>
      </c>
      <c r="V39" s="23">
        <f t="shared" si="30"/>
        <v>4.0045697613070759E-3</v>
      </c>
      <c r="W39" s="23">
        <f t="shared" si="31"/>
        <v>0</v>
      </c>
      <c r="X39" s="325">
        <v>187315477912.81</v>
      </c>
      <c r="Y39" s="314">
        <v>100</v>
      </c>
      <c r="Z39" s="23">
        <f t="shared" si="32"/>
        <v>-2.115884427575104E-2</v>
      </c>
      <c r="AA39" s="23">
        <f t="shared" si="33"/>
        <v>0</v>
      </c>
      <c r="AB39" s="325">
        <v>187253980669.20999</v>
      </c>
      <c r="AC39" s="314">
        <v>100</v>
      </c>
      <c r="AD39" s="23">
        <f t="shared" si="34"/>
        <v>-3.2830839333325841E-4</v>
      </c>
      <c r="AE39" s="23">
        <f t="shared" si="35"/>
        <v>0</v>
      </c>
      <c r="AF39" s="325">
        <v>192496167589.39999</v>
      </c>
      <c r="AG39" s="314">
        <v>100</v>
      </c>
      <c r="AH39" s="23">
        <f t="shared" si="36"/>
        <v>2.799506264943168E-2</v>
      </c>
      <c r="AI39" s="23">
        <f t="shared" si="37"/>
        <v>0</v>
      </c>
      <c r="AJ39" s="24">
        <f t="shared" si="16"/>
        <v>2.5590489401570915E-3</v>
      </c>
      <c r="AK39" s="24">
        <f t="shared" si="17"/>
        <v>0</v>
      </c>
      <c r="AL39" s="25">
        <f t="shared" si="18"/>
        <v>2.3073299666714689E-2</v>
      </c>
      <c r="AM39" s="25">
        <f t="shared" si="19"/>
        <v>0</v>
      </c>
      <c r="AN39" s="26">
        <f t="shared" si="20"/>
        <v>1.6305704488228288E-2</v>
      </c>
      <c r="AO39" s="78">
        <f t="shared" si="21"/>
        <v>0</v>
      </c>
      <c r="AP39" s="30"/>
      <c r="AQ39" s="38"/>
      <c r="AR39" s="35"/>
      <c r="AS39" s="29"/>
      <c r="AT39" s="29"/>
    </row>
    <row r="40" spans="1:47" s="88" customFormat="1">
      <c r="A40" s="206" t="s">
        <v>125</v>
      </c>
      <c r="B40" s="325">
        <v>543885418.99000001</v>
      </c>
      <c r="C40" s="314">
        <v>10</v>
      </c>
      <c r="D40" s="325">
        <v>557624504.15999997</v>
      </c>
      <c r="E40" s="314">
        <v>10</v>
      </c>
      <c r="F40" s="23">
        <f t="shared" si="22"/>
        <v>2.5260991911703678E-2</v>
      </c>
      <c r="G40" s="23">
        <f t="shared" si="23"/>
        <v>0</v>
      </c>
      <c r="H40" s="325">
        <v>553782189.70000005</v>
      </c>
      <c r="I40" s="314">
        <v>10</v>
      </c>
      <c r="J40" s="23">
        <f t="shared" si="24"/>
        <v>-6.8905050465598592E-3</v>
      </c>
      <c r="K40" s="23">
        <f t="shared" si="25"/>
        <v>0</v>
      </c>
      <c r="L40" s="325">
        <v>555217093.20000005</v>
      </c>
      <c r="M40" s="314">
        <v>10</v>
      </c>
      <c r="N40" s="23">
        <f t="shared" si="26"/>
        <v>2.5910972340539322E-3</v>
      </c>
      <c r="O40" s="23">
        <f t="shared" si="27"/>
        <v>0</v>
      </c>
      <c r="P40" s="325">
        <v>564368553.01999986</v>
      </c>
      <c r="Q40" s="314">
        <v>10</v>
      </c>
      <c r="R40" s="23">
        <f t="shared" si="28"/>
        <v>1.6482669449629641E-2</v>
      </c>
      <c r="S40" s="23">
        <f t="shared" si="29"/>
        <v>0</v>
      </c>
      <c r="T40" s="325">
        <v>566052668.36000001</v>
      </c>
      <c r="U40" s="314">
        <v>10</v>
      </c>
      <c r="V40" s="23">
        <f t="shared" si="30"/>
        <v>2.9840701275580667E-3</v>
      </c>
      <c r="W40" s="23">
        <f t="shared" si="31"/>
        <v>0</v>
      </c>
      <c r="X40" s="325">
        <v>576028225.34000003</v>
      </c>
      <c r="Y40" s="314">
        <v>10</v>
      </c>
      <c r="Z40" s="23">
        <f t="shared" si="32"/>
        <v>1.7623019089198486E-2</v>
      </c>
      <c r="AA40" s="23">
        <f t="shared" si="33"/>
        <v>0</v>
      </c>
      <c r="AB40" s="325">
        <v>576712461.97000003</v>
      </c>
      <c r="AC40" s="314">
        <v>10</v>
      </c>
      <c r="AD40" s="23">
        <f t="shared" si="34"/>
        <v>1.1878526084309936E-3</v>
      </c>
      <c r="AE40" s="23">
        <f t="shared" si="35"/>
        <v>0</v>
      </c>
      <c r="AF40" s="325">
        <v>593191366.59000003</v>
      </c>
      <c r="AG40" s="314">
        <v>10</v>
      </c>
      <c r="AH40" s="23">
        <f t="shared" si="36"/>
        <v>2.8573866019314872E-2</v>
      </c>
      <c r="AI40" s="23">
        <f t="shared" si="37"/>
        <v>0</v>
      </c>
      <c r="AJ40" s="24">
        <f t="shared" si="16"/>
        <v>1.0976632674166226E-2</v>
      </c>
      <c r="AK40" s="24">
        <f t="shared" si="17"/>
        <v>0</v>
      </c>
      <c r="AL40" s="25">
        <f t="shared" si="18"/>
        <v>6.3782818302753091E-2</v>
      </c>
      <c r="AM40" s="25">
        <f t="shared" si="19"/>
        <v>0</v>
      </c>
      <c r="AN40" s="26">
        <f t="shared" si="20"/>
        <v>1.2747265924037339E-2</v>
      </c>
      <c r="AO40" s="78">
        <f t="shared" si="21"/>
        <v>0</v>
      </c>
      <c r="AP40" s="30"/>
      <c r="AQ40" s="38"/>
      <c r="AR40" s="35"/>
      <c r="AS40" s="29"/>
      <c r="AT40" s="29"/>
    </row>
    <row r="41" spans="1:47" s="88" customFormat="1">
      <c r="A41" s="206" t="s">
        <v>88</v>
      </c>
      <c r="B41" s="391">
        <v>1938666160.8900001</v>
      </c>
      <c r="C41" s="314">
        <v>100</v>
      </c>
      <c r="D41" s="325">
        <v>1942064732.1259909</v>
      </c>
      <c r="E41" s="314">
        <v>100</v>
      </c>
      <c r="F41" s="23">
        <f t="shared" si="22"/>
        <v>1.753046143040198E-3</v>
      </c>
      <c r="G41" s="23">
        <f t="shared" si="23"/>
        <v>0</v>
      </c>
      <c r="H41" s="325">
        <v>1981432324.1183076</v>
      </c>
      <c r="I41" s="314">
        <v>100</v>
      </c>
      <c r="J41" s="23">
        <f t="shared" si="24"/>
        <v>2.0270998870990653E-2</v>
      </c>
      <c r="K41" s="23">
        <f t="shared" si="25"/>
        <v>0</v>
      </c>
      <c r="L41" s="325">
        <v>1985237577.5648279</v>
      </c>
      <c r="M41" s="314">
        <v>100</v>
      </c>
      <c r="N41" s="23">
        <f t="shared" si="26"/>
        <v>1.9204559248389066E-3</v>
      </c>
      <c r="O41" s="23">
        <f t="shared" si="27"/>
        <v>0</v>
      </c>
      <c r="P41" s="325">
        <v>1989076260.7164867</v>
      </c>
      <c r="Q41" s="314">
        <v>100</v>
      </c>
      <c r="R41" s="23">
        <f t="shared" si="28"/>
        <v>1.9336139890961848E-3</v>
      </c>
      <c r="S41" s="23">
        <f t="shared" si="29"/>
        <v>0</v>
      </c>
      <c r="T41" s="325">
        <v>1993015380.4723482</v>
      </c>
      <c r="U41" s="314">
        <v>100</v>
      </c>
      <c r="V41" s="23">
        <f t="shared" si="30"/>
        <v>1.9803764358650622E-3</v>
      </c>
      <c r="W41" s="23">
        <f t="shared" si="31"/>
        <v>0</v>
      </c>
      <c r="X41" s="325">
        <v>1944259518.2226605</v>
      </c>
      <c r="Y41" s="314">
        <v>100</v>
      </c>
      <c r="Z41" s="23">
        <f t="shared" si="32"/>
        <v>-2.4463364772494854E-2</v>
      </c>
      <c r="AA41" s="23">
        <f t="shared" si="33"/>
        <v>0</v>
      </c>
      <c r="AB41" s="325">
        <v>2001244623.9100001</v>
      </c>
      <c r="AC41" s="314">
        <v>100</v>
      </c>
      <c r="AD41" s="23">
        <f t="shared" si="34"/>
        <v>2.930941325128876E-2</v>
      </c>
      <c r="AE41" s="23">
        <f t="shared" si="35"/>
        <v>0</v>
      </c>
      <c r="AF41" s="325">
        <v>2005360529.7502565</v>
      </c>
      <c r="AG41" s="314">
        <v>100</v>
      </c>
      <c r="AH41" s="23">
        <f t="shared" si="36"/>
        <v>2.0566730279154284E-3</v>
      </c>
      <c r="AI41" s="23">
        <f t="shared" si="37"/>
        <v>0</v>
      </c>
      <c r="AJ41" s="24">
        <f t="shared" si="16"/>
        <v>4.3451516088175426E-3</v>
      </c>
      <c r="AK41" s="24">
        <f t="shared" si="17"/>
        <v>0</v>
      </c>
      <c r="AL41" s="25">
        <f t="shared" si="18"/>
        <v>3.2592012293521933E-2</v>
      </c>
      <c r="AM41" s="25">
        <f t="shared" si="19"/>
        <v>0</v>
      </c>
      <c r="AN41" s="26">
        <f t="shared" si="20"/>
        <v>1.5748108983507376E-2</v>
      </c>
      <c r="AO41" s="78">
        <f t="shared" si="21"/>
        <v>0</v>
      </c>
      <c r="AP41" s="30"/>
      <c r="AQ41" s="38"/>
      <c r="AR41" s="35"/>
      <c r="AS41" s="29"/>
      <c r="AT41" s="29"/>
    </row>
    <row r="42" spans="1:47" s="88" customFormat="1">
      <c r="A42" s="206" t="s">
        <v>124</v>
      </c>
      <c r="B42" s="390">
        <v>3441863108.5100002</v>
      </c>
      <c r="C42" s="314">
        <v>1</v>
      </c>
      <c r="D42" s="325">
        <v>3447863775.1300001</v>
      </c>
      <c r="E42" s="314">
        <v>1</v>
      </c>
      <c r="F42" s="23">
        <f t="shared" si="22"/>
        <v>1.7434355843970809E-3</v>
      </c>
      <c r="G42" s="23">
        <f t="shared" si="23"/>
        <v>0</v>
      </c>
      <c r="H42" s="325">
        <v>3476810877.98</v>
      </c>
      <c r="I42" s="314">
        <v>1</v>
      </c>
      <c r="J42" s="23">
        <f t="shared" si="24"/>
        <v>8.3956631520073523E-3</v>
      </c>
      <c r="K42" s="23">
        <f t="shared" si="25"/>
        <v>0</v>
      </c>
      <c r="L42" s="325">
        <v>3486958519.25</v>
      </c>
      <c r="M42" s="314">
        <v>1</v>
      </c>
      <c r="N42" s="23">
        <f t="shared" si="26"/>
        <v>2.9186635759422385E-3</v>
      </c>
      <c r="O42" s="23">
        <f t="shared" si="27"/>
        <v>0</v>
      </c>
      <c r="P42" s="325">
        <v>3518153364.8099999</v>
      </c>
      <c r="Q42" s="314">
        <v>1</v>
      </c>
      <c r="R42" s="23">
        <f t="shared" si="28"/>
        <v>8.9461475918874867E-3</v>
      </c>
      <c r="S42" s="23">
        <f t="shared" si="29"/>
        <v>0</v>
      </c>
      <c r="T42" s="325">
        <v>3385593879.98</v>
      </c>
      <c r="U42" s="314">
        <v>1</v>
      </c>
      <c r="V42" s="23">
        <f t="shared" si="30"/>
        <v>-3.7678711268222066E-2</v>
      </c>
      <c r="W42" s="23">
        <f t="shared" si="31"/>
        <v>0</v>
      </c>
      <c r="X42" s="325">
        <v>3400869061.6399999</v>
      </c>
      <c r="Y42" s="314">
        <v>1</v>
      </c>
      <c r="Z42" s="23">
        <f t="shared" si="32"/>
        <v>4.511817483581369E-3</v>
      </c>
      <c r="AA42" s="23">
        <f t="shared" si="33"/>
        <v>0</v>
      </c>
      <c r="AB42" s="325">
        <v>3416346956.9899998</v>
      </c>
      <c r="AC42" s="314">
        <v>1</v>
      </c>
      <c r="AD42" s="23">
        <f t="shared" si="34"/>
        <v>4.551158856594145E-3</v>
      </c>
      <c r="AE42" s="23">
        <f t="shared" si="35"/>
        <v>0</v>
      </c>
      <c r="AF42" s="325">
        <v>3429760394.7600002</v>
      </c>
      <c r="AG42" s="314">
        <v>1</v>
      </c>
      <c r="AH42" s="23">
        <f t="shared" si="36"/>
        <v>3.9262516187227297E-3</v>
      </c>
      <c r="AI42" s="23">
        <f t="shared" si="37"/>
        <v>0</v>
      </c>
      <c r="AJ42" s="24">
        <f t="shared" si="16"/>
        <v>-3.3569667563620802E-4</v>
      </c>
      <c r="AK42" s="24">
        <f t="shared" si="17"/>
        <v>0</v>
      </c>
      <c r="AL42" s="25">
        <f t="shared" si="18"/>
        <v>-5.2506077822976945E-3</v>
      </c>
      <c r="AM42" s="25">
        <f t="shared" si="19"/>
        <v>0</v>
      </c>
      <c r="AN42" s="26">
        <f t="shared" si="20"/>
        <v>1.5294012001390283E-2</v>
      </c>
      <c r="AO42" s="78">
        <f t="shared" si="21"/>
        <v>0</v>
      </c>
      <c r="AP42" s="30"/>
      <c r="AQ42" s="38"/>
      <c r="AR42" s="35"/>
      <c r="AS42" s="29"/>
      <c r="AT42" s="29"/>
    </row>
    <row r="43" spans="1:47" s="88" customFormat="1">
      <c r="A43" s="206" t="s">
        <v>56</v>
      </c>
      <c r="B43" s="320">
        <v>2257935914.8699999</v>
      </c>
      <c r="C43" s="314">
        <v>10</v>
      </c>
      <c r="D43" s="320">
        <v>2255059076.5799999</v>
      </c>
      <c r="E43" s="314">
        <v>10</v>
      </c>
      <c r="F43" s="23">
        <f t="shared" si="22"/>
        <v>-1.2741009481509553E-3</v>
      </c>
      <c r="G43" s="23">
        <f t="shared" si="23"/>
        <v>0</v>
      </c>
      <c r="H43" s="320">
        <v>2255059076.5799999</v>
      </c>
      <c r="I43" s="314">
        <v>10</v>
      </c>
      <c r="J43" s="23">
        <f t="shared" si="24"/>
        <v>0</v>
      </c>
      <c r="K43" s="23">
        <f t="shared" si="25"/>
        <v>0</v>
      </c>
      <c r="L43" s="320">
        <v>2316329440.1500001</v>
      </c>
      <c r="M43" s="314">
        <v>10</v>
      </c>
      <c r="N43" s="23">
        <f t="shared" si="26"/>
        <v>2.717018113020888E-2</v>
      </c>
      <c r="O43" s="23">
        <f t="shared" si="27"/>
        <v>0</v>
      </c>
      <c r="P43" s="320">
        <v>2413724439.21</v>
      </c>
      <c r="Q43" s="314">
        <v>10</v>
      </c>
      <c r="R43" s="23">
        <f t="shared" si="28"/>
        <v>4.2047127395528364E-2</v>
      </c>
      <c r="S43" s="23">
        <f t="shared" si="29"/>
        <v>0</v>
      </c>
      <c r="T43" s="320">
        <v>2402197227.46</v>
      </c>
      <c r="U43" s="314">
        <v>10</v>
      </c>
      <c r="V43" s="23">
        <f t="shared" si="30"/>
        <v>-4.7756950059190681E-3</v>
      </c>
      <c r="W43" s="23">
        <f t="shared" si="31"/>
        <v>0</v>
      </c>
      <c r="X43" s="320">
        <v>2539946506.8800001</v>
      </c>
      <c r="Y43" s="314">
        <v>10</v>
      </c>
      <c r="Z43" s="23">
        <f t="shared" si="32"/>
        <v>5.7343034887127643E-2</v>
      </c>
      <c r="AA43" s="23">
        <f t="shared" si="33"/>
        <v>0</v>
      </c>
      <c r="AB43" s="320">
        <v>2561825347.02</v>
      </c>
      <c r="AC43" s="314">
        <v>10</v>
      </c>
      <c r="AD43" s="23">
        <f t="shared" si="34"/>
        <v>8.6138980016847791E-3</v>
      </c>
      <c r="AE43" s="23">
        <f t="shared" si="35"/>
        <v>0</v>
      </c>
      <c r="AF43" s="320">
        <v>2679078960.8699999</v>
      </c>
      <c r="AG43" s="314">
        <v>10</v>
      </c>
      <c r="AH43" s="23">
        <f t="shared" si="36"/>
        <v>4.5769558017057323E-2</v>
      </c>
      <c r="AI43" s="23">
        <f t="shared" si="37"/>
        <v>0</v>
      </c>
      <c r="AJ43" s="24">
        <f t="shared" si="16"/>
        <v>2.1861750434692118E-2</v>
      </c>
      <c r="AK43" s="24">
        <f t="shared" si="17"/>
        <v>0</v>
      </c>
      <c r="AL43" s="25">
        <f t="shared" si="18"/>
        <v>0.18803049937523778</v>
      </c>
      <c r="AM43" s="25">
        <f t="shared" si="19"/>
        <v>0</v>
      </c>
      <c r="AN43" s="26">
        <f t="shared" si="20"/>
        <v>2.439085465103745E-2</v>
      </c>
      <c r="AO43" s="78">
        <f t="shared" si="21"/>
        <v>0</v>
      </c>
      <c r="AP43" s="30"/>
      <c r="AQ43" s="38"/>
      <c r="AR43" s="35"/>
      <c r="AS43" s="29"/>
      <c r="AT43" s="29"/>
    </row>
    <row r="44" spans="1:47" s="88" customFormat="1">
      <c r="A44" s="206" t="s">
        <v>194</v>
      </c>
      <c r="B44" s="325">
        <v>3482440324.3200002</v>
      </c>
      <c r="C44" s="314">
        <v>100</v>
      </c>
      <c r="D44" s="325">
        <v>3244236768.46</v>
      </c>
      <c r="E44" s="314">
        <v>100</v>
      </c>
      <c r="F44" s="23">
        <f t="shared" si="22"/>
        <v>-6.8401331731797313E-2</v>
      </c>
      <c r="G44" s="23">
        <f t="shared" si="23"/>
        <v>0</v>
      </c>
      <c r="H44" s="325">
        <v>3358168679.6300001</v>
      </c>
      <c r="I44" s="314">
        <v>100</v>
      </c>
      <c r="J44" s="23">
        <f t="shared" si="24"/>
        <v>3.511824792741073E-2</v>
      </c>
      <c r="K44" s="23">
        <f t="shared" si="25"/>
        <v>0</v>
      </c>
      <c r="L44" s="325">
        <v>3316688999.2100005</v>
      </c>
      <c r="M44" s="314">
        <v>100</v>
      </c>
      <c r="N44" s="23">
        <f t="shared" si="26"/>
        <v>-1.2351875196623474E-2</v>
      </c>
      <c r="O44" s="23">
        <f t="shared" si="27"/>
        <v>0</v>
      </c>
      <c r="P44" s="325">
        <v>3374386717.5100002</v>
      </c>
      <c r="Q44" s="314">
        <v>100</v>
      </c>
      <c r="R44" s="23">
        <f t="shared" si="28"/>
        <v>1.7396179838912448E-2</v>
      </c>
      <c r="S44" s="23">
        <f t="shared" si="29"/>
        <v>0</v>
      </c>
      <c r="T44" s="325">
        <v>3423385900.6399999</v>
      </c>
      <c r="U44" s="314">
        <v>100</v>
      </c>
      <c r="V44" s="23">
        <f t="shared" si="30"/>
        <v>1.4520915126810573E-2</v>
      </c>
      <c r="W44" s="23">
        <f t="shared" si="31"/>
        <v>0</v>
      </c>
      <c r="X44" s="325">
        <v>3396479970.9400001</v>
      </c>
      <c r="Y44" s="314">
        <v>100</v>
      </c>
      <c r="Z44" s="23">
        <f t="shared" si="32"/>
        <v>-7.8594498198318111E-3</v>
      </c>
      <c r="AA44" s="23">
        <f t="shared" si="33"/>
        <v>0</v>
      </c>
      <c r="AB44" s="325">
        <v>3429573284.3099999</v>
      </c>
      <c r="AC44" s="314">
        <v>100</v>
      </c>
      <c r="AD44" s="23">
        <f t="shared" si="34"/>
        <v>9.7434148451171574E-3</v>
      </c>
      <c r="AE44" s="23">
        <f t="shared" si="35"/>
        <v>0</v>
      </c>
      <c r="AF44" s="325">
        <v>3495845153.1100001</v>
      </c>
      <c r="AG44" s="314">
        <v>100</v>
      </c>
      <c r="AH44" s="23">
        <f t="shared" si="36"/>
        <v>1.9323648543446568E-2</v>
      </c>
      <c r="AI44" s="23">
        <f t="shared" si="37"/>
        <v>0</v>
      </c>
      <c r="AJ44" s="24">
        <f t="shared" si="16"/>
        <v>9.3621869168061009E-4</v>
      </c>
      <c r="AK44" s="24">
        <f t="shared" si="17"/>
        <v>0</v>
      </c>
      <c r="AL44" s="25">
        <f t="shared" si="18"/>
        <v>7.7555493820950547E-2</v>
      </c>
      <c r="AM44" s="25">
        <f t="shared" si="19"/>
        <v>0</v>
      </c>
      <c r="AN44" s="26">
        <f t="shared" si="20"/>
        <v>3.1850505320035312E-2</v>
      </c>
      <c r="AO44" s="78">
        <f t="shared" si="21"/>
        <v>0</v>
      </c>
      <c r="AP44" s="30"/>
      <c r="AQ44" s="38"/>
      <c r="AR44" s="35"/>
      <c r="AS44" s="29"/>
      <c r="AT44" s="29"/>
    </row>
    <row r="45" spans="1:47" s="88" customFormat="1">
      <c r="A45" s="206" t="s">
        <v>166</v>
      </c>
      <c r="B45" s="325">
        <v>138214875.97</v>
      </c>
      <c r="C45" s="314">
        <v>1</v>
      </c>
      <c r="D45" s="325">
        <v>137814878.81</v>
      </c>
      <c r="E45" s="314">
        <v>1</v>
      </c>
      <c r="F45" s="23">
        <f t="shared" si="22"/>
        <v>-2.8940239405692999E-3</v>
      </c>
      <c r="G45" s="23">
        <f t="shared" si="23"/>
        <v>0</v>
      </c>
      <c r="H45" s="325">
        <v>137584800.62</v>
      </c>
      <c r="I45" s="314">
        <v>1</v>
      </c>
      <c r="J45" s="23">
        <f t="shared" si="24"/>
        <v>-1.6694727883278658E-3</v>
      </c>
      <c r="K45" s="23">
        <f t="shared" si="25"/>
        <v>0</v>
      </c>
      <c r="L45" s="391">
        <v>138279795.08000001</v>
      </c>
      <c r="M45" s="314">
        <v>1</v>
      </c>
      <c r="N45" s="23">
        <f t="shared" si="26"/>
        <v>5.0513898109976292E-3</v>
      </c>
      <c r="O45" s="23">
        <f t="shared" si="27"/>
        <v>0</v>
      </c>
      <c r="P45" s="325">
        <v>138309794.72</v>
      </c>
      <c r="Q45" s="314">
        <v>1</v>
      </c>
      <c r="R45" s="23">
        <f t="shared" si="28"/>
        <v>2.1694883176988933E-4</v>
      </c>
      <c r="S45" s="23">
        <f t="shared" si="29"/>
        <v>0</v>
      </c>
      <c r="T45" s="325">
        <v>138309794.56999999</v>
      </c>
      <c r="U45" s="314">
        <v>1</v>
      </c>
      <c r="V45" s="23">
        <f t="shared" si="30"/>
        <v>-1.0845219332740001E-9</v>
      </c>
      <c r="W45" s="23">
        <f t="shared" si="31"/>
        <v>0</v>
      </c>
      <c r="X45" s="325">
        <v>138164735.56</v>
      </c>
      <c r="Y45" s="314">
        <v>1</v>
      </c>
      <c r="Z45" s="23">
        <f t="shared" si="32"/>
        <v>-1.0487978125553112E-3</v>
      </c>
      <c r="AA45" s="23">
        <f t="shared" si="33"/>
        <v>0</v>
      </c>
      <c r="AB45" s="325">
        <v>138164735.56</v>
      </c>
      <c r="AC45" s="314">
        <v>1</v>
      </c>
      <c r="AD45" s="23">
        <f t="shared" si="34"/>
        <v>0</v>
      </c>
      <c r="AE45" s="23">
        <f t="shared" si="35"/>
        <v>0</v>
      </c>
      <c r="AF45" s="325">
        <v>140973409.09999999</v>
      </c>
      <c r="AG45" s="314">
        <v>1</v>
      </c>
      <c r="AH45" s="23">
        <f t="shared" si="36"/>
        <v>2.0328440022094389E-2</v>
      </c>
      <c r="AI45" s="23">
        <f t="shared" si="37"/>
        <v>0</v>
      </c>
      <c r="AJ45" s="24">
        <f t="shared" si="16"/>
        <v>2.4980603798609373E-3</v>
      </c>
      <c r="AK45" s="24">
        <f t="shared" si="17"/>
        <v>0</v>
      </c>
      <c r="AL45" s="25">
        <f t="shared" si="18"/>
        <v>2.2918645049599718E-2</v>
      </c>
      <c r="AM45" s="25">
        <f t="shared" si="19"/>
        <v>0</v>
      </c>
      <c r="AN45" s="26">
        <f t="shared" si="20"/>
        <v>7.5701398842508245E-3</v>
      </c>
      <c r="AO45" s="78">
        <f t="shared" si="21"/>
        <v>0</v>
      </c>
      <c r="AP45" s="30"/>
      <c r="AQ45" s="38"/>
      <c r="AR45" s="35"/>
      <c r="AS45" s="29"/>
      <c r="AT45" s="29"/>
    </row>
    <row r="46" spans="1:47" s="88" customFormat="1">
      <c r="A46" s="206" t="s">
        <v>97</v>
      </c>
      <c r="B46" s="320">
        <v>693192708.12</v>
      </c>
      <c r="C46" s="314">
        <v>10</v>
      </c>
      <c r="D46" s="320">
        <v>691339232.87</v>
      </c>
      <c r="E46" s="314">
        <v>10</v>
      </c>
      <c r="F46" s="23">
        <f t="shared" si="22"/>
        <v>-2.6738239284524344E-3</v>
      </c>
      <c r="G46" s="23">
        <f t="shared" si="23"/>
        <v>0</v>
      </c>
      <c r="H46" s="320">
        <v>695266452.15999997</v>
      </c>
      <c r="I46" s="314">
        <v>10</v>
      </c>
      <c r="J46" s="23">
        <f t="shared" si="24"/>
        <v>5.6805965917725359E-3</v>
      </c>
      <c r="K46" s="23">
        <f t="shared" si="25"/>
        <v>0</v>
      </c>
      <c r="L46" s="320">
        <v>699801665.99000001</v>
      </c>
      <c r="M46" s="314">
        <v>10</v>
      </c>
      <c r="N46" s="23">
        <f t="shared" si="26"/>
        <v>6.5229867138136633E-3</v>
      </c>
      <c r="O46" s="23">
        <f t="shared" si="27"/>
        <v>0</v>
      </c>
      <c r="P46" s="320">
        <v>690526572.61000001</v>
      </c>
      <c r="Q46" s="314">
        <v>10</v>
      </c>
      <c r="R46" s="23">
        <f t="shared" si="28"/>
        <v>-1.3253888681271779E-2</v>
      </c>
      <c r="S46" s="23">
        <f t="shared" si="29"/>
        <v>0</v>
      </c>
      <c r="T46" s="320">
        <v>664723800.10000002</v>
      </c>
      <c r="U46" s="314">
        <v>10</v>
      </c>
      <c r="V46" s="23">
        <f t="shared" si="30"/>
        <v>-3.7366806048422768E-2</v>
      </c>
      <c r="W46" s="23">
        <f t="shared" si="31"/>
        <v>0</v>
      </c>
      <c r="X46" s="320">
        <v>659667189.61000001</v>
      </c>
      <c r="Y46" s="314">
        <v>10</v>
      </c>
      <c r="Z46" s="23">
        <f t="shared" si="32"/>
        <v>-7.6070850618547145E-3</v>
      </c>
      <c r="AA46" s="23">
        <f t="shared" si="33"/>
        <v>0</v>
      </c>
      <c r="AB46" s="320">
        <v>647523127.77999997</v>
      </c>
      <c r="AC46" s="314">
        <v>10</v>
      </c>
      <c r="AD46" s="23">
        <f t="shared" si="34"/>
        <v>-1.8409376760392917E-2</v>
      </c>
      <c r="AE46" s="23">
        <f t="shared" si="35"/>
        <v>0</v>
      </c>
      <c r="AF46" s="320">
        <v>649816957.09000003</v>
      </c>
      <c r="AG46" s="314">
        <v>10</v>
      </c>
      <c r="AH46" s="23">
        <f t="shared" si="36"/>
        <v>3.5424669970698019E-3</v>
      </c>
      <c r="AI46" s="23">
        <f t="shared" si="37"/>
        <v>0</v>
      </c>
      <c r="AJ46" s="24">
        <f t="shared" si="16"/>
        <v>-7.9456162722173276E-3</v>
      </c>
      <c r="AK46" s="24">
        <f t="shared" si="17"/>
        <v>0</v>
      </c>
      <c r="AL46" s="25">
        <f t="shared" si="18"/>
        <v>-6.0060638548785863E-2</v>
      </c>
      <c r="AM46" s="25">
        <f t="shared" si="19"/>
        <v>0</v>
      </c>
      <c r="AN46" s="26">
        <f t="shared" si="20"/>
        <v>1.4919646931146668E-2</v>
      </c>
      <c r="AO46" s="78">
        <f t="shared" si="21"/>
        <v>0</v>
      </c>
      <c r="AP46" s="30"/>
      <c r="AQ46" s="38"/>
      <c r="AR46" s="35"/>
      <c r="AS46" s="29"/>
      <c r="AT46" s="29"/>
    </row>
    <row r="47" spans="1:47" s="95" customFormat="1">
      <c r="A47" s="206" t="s">
        <v>34</v>
      </c>
      <c r="B47" s="325">
        <v>362412988556.34998</v>
      </c>
      <c r="C47" s="314">
        <v>100</v>
      </c>
      <c r="D47" s="325">
        <v>364915008733.72998</v>
      </c>
      <c r="E47" s="314">
        <v>100</v>
      </c>
      <c r="F47" s="23">
        <f t="shared" si="22"/>
        <v>6.9037817528192066E-3</v>
      </c>
      <c r="G47" s="23">
        <f t="shared" si="23"/>
        <v>0</v>
      </c>
      <c r="H47" s="325">
        <v>368590836283.82001</v>
      </c>
      <c r="I47" s="314">
        <v>100</v>
      </c>
      <c r="J47" s="23">
        <f t="shared" si="24"/>
        <v>1.0073105961975363E-2</v>
      </c>
      <c r="K47" s="23">
        <f t="shared" si="25"/>
        <v>0</v>
      </c>
      <c r="L47" s="325">
        <v>365292848751.16998</v>
      </c>
      <c r="M47" s="314">
        <v>100</v>
      </c>
      <c r="N47" s="23">
        <f t="shared" si="26"/>
        <v>-8.9475570415715067E-3</v>
      </c>
      <c r="O47" s="23">
        <f t="shared" si="27"/>
        <v>0</v>
      </c>
      <c r="P47" s="325">
        <v>363019503293.75</v>
      </c>
      <c r="Q47" s="314">
        <v>100</v>
      </c>
      <c r="R47" s="23">
        <f t="shared" si="28"/>
        <v>-6.2233505670639044E-3</v>
      </c>
      <c r="S47" s="23">
        <f t="shared" si="29"/>
        <v>0</v>
      </c>
      <c r="T47" s="325">
        <v>361737432365.97998</v>
      </c>
      <c r="U47" s="314">
        <v>100</v>
      </c>
      <c r="V47" s="23">
        <f t="shared" si="30"/>
        <v>-3.5316860833578597E-3</v>
      </c>
      <c r="W47" s="23">
        <f t="shared" si="31"/>
        <v>0</v>
      </c>
      <c r="X47" s="325">
        <v>359236846418.01001</v>
      </c>
      <c r="Y47" s="314">
        <v>100</v>
      </c>
      <c r="Z47" s="23">
        <f t="shared" si="32"/>
        <v>-6.9127099499065869E-3</v>
      </c>
      <c r="AA47" s="23">
        <f t="shared" si="33"/>
        <v>0</v>
      </c>
      <c r="AB47" s="325">
        <v>343681468858.88</v>
      </c>
      <c r="AC47" s="314">
        <v>100</v>
      </c>
      <c r="AD47" s="23">
        <f t="shared" si="34"/>
        <v>-4.3301175016522891E-2</v>
      </c>
      <c r="AE47" s="23">
        <f t="shared" si="35"/>
        <v>0</v>
      </c>
      <c r="AF47" s="325">
        <v>346941578575.98999</v>
      </c>
      <c r="AG47" s="314">
        <v>100</v>
      </c>
      <c r="AH47" s="23">
        <f t="shared" si="36"/>
        <v>9.4858466705652605E-3</v>
      </c>
      <c r="AI47" s="23">
        <f t="shared" si="37"/>
        <v>0</v>
      </c>
      <c r="AJ47" s="24">
        <f t="shared" si="16"/>
        <v>-5.3067180341328651E-3</v>
      </c>
      <c r="AK47" s="24">
        <f t="shared" si="17"/>
        <v>0</v>
      </c>
      <c r="AL47" s="25">
        <f t="shared" si="18"/>
        <v>-4.9253743276026184E-2</v>
      </c>
      <c r="AM47" s="25">
        <f t="shared" si="19"/>
        <v>0</v>
      </c>
      <c r="AN47" s="26">
        <f t="shared" si="20"/>
        <v>1.7187453461614322E-2</v>
      </c>
      <c r="AO47" s="78">
        <f t="shared" si="21"/>
        <v>0</v>
      </c>
      <c r="AP47" s="30"/>
      <c r="AQ47" s="38"/>
      <c r="AR47" s="35"/>
      <c r="AS47" s="29"/>
      <c r="AT47" s="29"/>
    </row>
    <row r="48" spans="1:47" s="95" customFormat="1">
      <c r="A48" s="206" t="s">
        <v>155</v>
      </c>
      <c r="B48" s="325">
        <v>827005790.65999997</v>
      </c>
      <c r="C48" s="314">
        <v>1</v>
      </c>
      <c r="D48" s="325">
        <v>885317970.19000006</v>
      </c>
      <c r="E48" s="314">
        <v>1</v>
      </c>
      <c r="F48" s="23">
        <f t="shared" si="22"/>
        <v>7.0510001487974455E-2</v>
      </c>
      <c r="G48" s="23">
        <f t="shared" si="23"/>
        <v>0</v>
      </c>
      <c r="H48" s="325">
        <v>969381616.28999996</v>
      </c>
      <c r="I48" s="314">
        <v>1</v>
      </c>
      <c r="J48" s="23">
        <f t="shared" si="24"/>
        <v>9.4953055207903231E-2</v>
      </c>
      <c r="K48" s="23">
        <f t="shared" si="25"/>
        <v>0</v>
      </c>
      <c r="L48" s="325">
        <v>1011683385.29</v>
      </c>
      <c r="M48" s="314">
        <v>1</v>
      </c>
      <c r="N48" s="23">
        <f t="shared" si="26"/>
        <v>4.3637890681171132E-2</v>
      </c>
      <c r="O48" s="23">
        <f t="shared" si="27"/>
        <v>0</v>
      </c>
      <c r="P48" s="325">
        <v>1117767309.04</v>
      </c>
      <c r="Q48" s="314">
        <v>1</v>
      </c>
      <c r="R48" s="23">
        <f t="shared" si="28"/>
        <v>0.10485881778081287</v>
      </c>
      <c r="S48" s="23">
        <f t="shared" si="29"/>
        <v>0</v>
      </c>
      <c r="T48" s="325">
        <v>1171643511.78</v>
      </c>
      <c r="U48" s="314">
        <v>1</v>
      </c>
      <c r="V48" s="23">
        <f t="shared" si="30"/>
        <v>4.8199837572877179E-2</v>
      </c>
      <c r="W48" s="23">
        <f t="shared" si="31"/>
        <v>0</v>
      </c>
      <c r="X48" s="325">
        <v>1172970986.5999999</v>
      </c>
      <c r="Y48" s="314">
        <v>1</v>
      </c>
      <c r="Z48" s="23">
        <f t="shared" si="32"/>
        <v>1.1330023225095056E-3</v>
      </c>
      <c r="AA48" s="23">
        <f t="shared" si="33"/>
        <v>0</v>
      </c>
      <c r="AB48" s="325">
        <v>1278171502.02</v>
      </c>
      <c r="AC48" s="314">
        <v>1</v>
      </c>
      <c r="AD48" s="23">
        <f t="shared" si="34"/>
        <v>8.9687227239044209E-2</v>
      </c>
      <c r="AE48" s="23">
        <f t="shared" si="35"/>
        <v>0</v>
      </c>
      <c r="AF48" s="325">
        <v>1419447567.9300001</v>
      </c>
      <c r="AG48" s="314">
        <v>1</v>
      </c>
      <c r="AH48" s="23">
        <f t="shared" si="36"/>
        <v>0.11052981989250257</v>
      </c>
      <c r="AI48" s="23">
        <f t="shared" si="37"/>
        <v>0</v>
      </c>
      <c r="AJ48" s="24">
        <f t="shared" si="16"/>
        <v>7.0438706523099387E-2</v>
      </c>
      <c r="AK48" s="24">
        <f t="shared" si="17"/>
        <v>0</v>
      </c>
      <c r="AL48" s="25">
        <f t="shared" si="18"/>
        <v>0.60331950296385517</v>
      </c>
      <c r="AM48" s="25">
        <f t="shared" si="19"/>
        <v>0</v>
      </c>
      <c r="AN48" s="26">
        <f t="shared" si="20"/>
        <v>3.7377680527046805E-2</v>
      </c>
      <c r="AO48" s="78">
        <f t="shared" si="21"/>
        <v>0</v>
      </c>
      <c r="AP48" s="30"/>
      <c r="AQ48" s="38"/>
      <c r="AR48" s="35"/>
      <c r="AS48" s="29"/>
      <c r="AT48" s="29"/>
    </row>
    <row r="49" spans="1:48" s="105" customFormat="1">
      <c r="A49" s="206" t="s">
        <v>78</v>
      </c>
      <c r="B49" s="325">
        <v>49990421514.330002</v>
      </c>
      <c r="C49" s="314">
        <v>1</v>
      </c>
      <c r="D49" s="325">
        <v>51373094665.279999</v>
      </c>
      <c r="E49" s="314">
        <v>1</v>
      </c>
      <c r="F49" s="23">
        <f t="shared" si="22"/>
        <v>2.7658761600032656E-2</v>
      </c>
      <c r="G49" s="23">
        <f t="shared" si="23"/>
        <v>0</v>
      </c>
      <c r="H49" s="325">
        <v>47867257060.440002</v>
      </c>
      <c r="I49" s="314">
        <v>1</v>
      </c>
      <c r="J49" s="23">
        <f t="shared" si="24"/>
        <v>-6.8242678929159042E-2</v>
      </c>
      <c r="K49" s="23">
        <f t="shared" si="25"/>
        <v>0</v>
      </c>
      <c r="L49" s="325">
        <v>44684142200.93</v>
      </c>
      <c r="M49" s="314">
        <v>1</v>
      </c>
      <c r="N49" s="23">
        <f t="shared" si="26"/>
        <v>-6.6498793851730728E-2</v>
      </c>
      <c r="O49" s="23">
        <f t="shared" si="27"/>
        <v>0</v>
      </c>
      <c r="P49" s="325">
        <v>44757079119.07</v>
      </c>
      <c r="Q49" s="314">
        <v>1</v>
      </c>
      <c r="R49" s="23">
        <f t="shared" si="28"/>
        <v>1.6322774601339751E-3</v>
      </c>
      <c r="S49" s="23">
        <f t="shared" si="29"/>
        <v>0</v>
      </c>
      <c r="T49" s="325">
        <v>44528210991.18</v>
      </c>
      <c r="U49" s="314">
        <v>1</v>
      </c>
      <c r="V49" s="23">
        <f t="shared" si="30"/>
        <v>-5.1135626451656391E-3</v>
      </c>
      <c r="W49" s="23">
        <f t="shared" si="31"/>
        <v>0</v>
      </c>
      <c r="X49" s="325">
        <v>43466245458.650002</v>
      </c>
      <c r="Y49" s="314">
        <v>1</v>
      </c>
      <c r="Z49" s="23">
        <f t="shared" si="32"/>
        <v>-2.3849274625929825E-2</v>
      </c>
      <c r="AA49" s="23">
        <f t="shared" si="33"/>
        <v>0</v>
      </c>
      <c r="AB49" s="325">
        <v>42361939050.220001</v>
      </c>
      <c r="AC49" s="314">
        <v>1</v>
      </c>
      <c r="AD49" s="23">
        <f t="shared" si="34"/>
        <v>-2.5406068473996474E-2</v>
      </c>
      <c r="AE49" s="23">
        <f t="shared" si="35"/>
        <v>0</v>
      </c>
      <c r="AF49" s="325">
        <v>44507670041.57</v>
      </c>
      <c r="AG49" s="314">
        <v>1</v>
      </c>
      <c r="AH49" s="23">
        <f t="shared" si="36"/>
        <v>5.0652331773723538E-2</v>
      </c>
      <c r="AI49" s="23">
        <f t="shared" si="37"/>
        <v>0</v>
      </c>
      <c r="AJ49" s="24">
        <f t="shared" si="16"/>
        <v>-1.3645875961511443E-2</v>
      </c>
      <c r="AK49" s="24">
        <f t="shared" si="17"/>
        <v>0</v>
      </c>
      <c r="AL49" s="25">
        <f t="shared" si="18"/>
        <v>-0.13363852554418779</v>
      </c>
      <c r="AM49" s="25">
        <f t="shared" si="19"/>
        <v>0</v>
      </c>
      <c r="AN49" s="26">
        <f t="shared" si="20"/>
        <v>4.1684543625034341E-2</v>
      </c>
      <c r="AO49" s="78">
        <f t="shared" si="21"/>
        <v>0</v>
      </c>
      <c r="AP49" s="30"/>
      <c r="AQ49" s="38"/>
      <c r="AR49" s="35"/>
      <c r="AS49" s="29"/>
      <c r="AT49" s="29"/>
    </row>
    <row r="50" spans="1:48" s="105" customFormat="1">
      <c r="A50" s="206" t="s">
        <v>163</v>
      </c>
      <c r="B50" s="325">
        <v>957746188.88999999</v>
      </c>
      <c r="C50" s="314">
        <v>1</v>
      </c>
      <c r="D50" s="325">
        <v>1159340009.8</v>
      </c>
      <c r="E50" s="314">
        <v>1</v>
      </c>
      <c r="F50" s="23">
        <f t="shared" si="22"/>
        <v>0.21048772968090987</v>
      </c>
      <c r="G50" s="23">
        <f t="shared" si="23"/>
        <v>0</v>
      </c>
      <c r="H50" s="325">
        <v>1357157146.6500001</v>
      </c>
      <c r="I50" s="314">
        <v>1</v>
      </c>
      <c r="J50" s="23">
        <f t="shared" si="24"/>
        <v>0.17062909515572225</v>
      </c>
      <c r="K50" s="23">
        <f t="shared" si="25"/>
        <v>0</v>
      </c>
      <c r="L50" s="325">
        <v>1389889074.4200001</v>
      </c>
      <c r="M50" s="314">
        <v>1</v>
      </c>
      <c r="N50" s="23">
        <f t="shared" si="26"/>
        <v>2.4118008626189905E-2</v>
      </c>
      <c r="O50" s="23">
        <f t="shared" si="27"/>
        <v>0</v>
      </c>
      <c r="P50" s="325">
        <v>1386446347.23</v>
      </c>
      <c r="Q50" s="314">
        <v>1</v>
      </c>
      <c r="R50" s="23">
        <f t="shared" si="28"/>
        <v>-2.4769798204484091E-3</v>
      </c>
      <c r="S50" s="23">
        <f t="shared" si="29"/>
        <v>0</v>
      </c>
      <c r="T50" s="325">
        <v>1384878578.6400001</v>
      </c>
      <c r="U50" s="314">
        <v>1</v>
      </c>
      <c r="V50" s="23">
        <f t="shared" si="30"/>
        <v>-1.1307820119633048E-3</v>
      </c>
      <c r="W50" s="23">
        <f t="shared" si="31"/>
        <v>0</v>
      </c>
      <c r="X50" s="325">
        <v>1384878578.6400001</v>
      </c>
      <c r="Y50" s="314">
        <v>1</v>
      </c>
      <c r="Z50" s="23">
        <f t="shared" si="32"/>
        <v>0</v>
      </c>
      <c r="AA50" s="23">
        <f t="shared" si="33"/>
        <v>0</v>
      </c>
      <c r="AB50" s="325">
        <v>1191736841.5999999</v>
      </c>
      <c r="AC50" s="314">
        <v>1</v>
      </c>
      <c r="AD50" s="23">
        <f t="shared" si="34"/>
        <v>-0.13946474443244855</v>
      </c>
      <c r="AE50" s="23">
        <f t="shared" si="35"/>
        <v>0</v>
      </c>
      <c r="AF50" s="325">
        <v>1224875447.25</v>
      </c>
      <c r="AG50" s="314">
        <v>1</v>
      </c>
      <c r="AH50" s="23">
        <f t="shared" si="36"/>
        <v>2.7806982626725651E-2</v>
      </c>
      <c r="AI50" s="23">
        <f t="shared" si="37"/>
        <v>0</v>
      </c>
      <c r="AJ50" s="24">
        <f t="shared" si="16"/>
        <v>3.6246163728085923E-2</v>
      </c>
      <c r="AK50" s="24">
        <f t="shared" si="17"/>
        <v>0</v>
      </c>
      <c r="AL50" s="25">
        <f t="shared" si="18"/>
        <v>5.6528228902671701E-2</v>
      </c>
      <c r="AM50" s="25">
        <f t="shared" si="19"/>
        <v>0</v>
      </c>
      <c r="AN50" s="26">
        <f t="shared" si="20"/>
        <v>0.1093629821409631</v>
      </c>
      <c r="AO50" s="78">
        <f t="shared" si="21"/>
        <v>0</v>
      </c>
      <c r="AP50" s="30"/>
      <c r="AQ50" s="38"/>
      <c r="AR50" s="35"/>
      <c r="AS50" s="29"/>
      <c r="AT50" s="29"/>
    </row>
    <row r="51" spans="1:48" s="110" customFormat="1">
      <c r="A51" s="206" t="s">
        <v>135</v>
      </c>
      <c r="B51" s="325">
        <v>815776068.83000004</v>
      </c>
      <c r="C51" s="314">
        <v>1</v>
      </c>
      <c r="D51" s="325">
        <v>816664046.34000003</v>
      </c>
      <c r="E51" s="314">
        <v>1</v>
      </c>
      <c r="F51" s="23">
        <f t="shared" si="22"/>
        <v>1.0885064467183291E-3</v>
      </c>
      <c r="G51" s="23">
        <f t="shared" si="23"/>
        <v>0</v>
      </c>
      <c r="H51" s="325">
        <v>807604934.26999998</v>
      </c>
      <c r="I51" s="314">
        <v>1</v>
      </c>
      <c r="J51" s="23">
        <f t="shared" si="24"/>
        <v>-1.1092825881829615E-2</v>
      </c>
      <c r="K51" s="23">
        <f t="shared" si="25"/>
        <v>0</v>
      </c>
      <c r="L51" s="325">
        <v>813629894.64999998</v>
      </c>
      <c r="M51" s="314">
        <v>1</v>
      </c>
      <c r="N51" s="23">
        <f t="shared" si="26"/>
        <v>7.4602817842439276E-3</v>
      </c>
      <c r="O51" s="23">
        <f t="shared" si="27"/>
        <v>0</v>
      </c>
      <c r="P51" s="325">
        <v>808988012.13</v>
      </c>
      <c r="Q51" s="314">
        <v>1</v>
      </c>
      <c r="R51" s="23">
        <f t="shared" si="28"/>
        <v>-5.7051523678303198E-3</v>
      </c>
      <c r="S51" s="23">
        <f t="shared" si="29"/>
        <v>0</v>
      </c>
      <c r="T51" s="325">
        <v>829094220.49000001</v>
      </c>
      <c r="U51" s="314">
        <v>1</v>
      </c>
      <c r="V51" s="23">
        <f t="shared" si="30"/>
        <v>2.4853530656235554E-2</v>
      </c>
      <c r="W51" s="23">
        <f t="shared" si="31"/>
        <v>0</v>
      </c>
      <c r="X51" s="325">
        <v>828191396.59000003</v>
      </c>
      <c r="Y51" s="314">
        <v>1</v>
      </c>
      <c r="Z51" s="23">
        <f t="shared" si="32"/>
        <v>-1.0889279863347755E-3</v>
      </c>
      <c r="AA51" s="23">
        <f t="shared" si="33"/>
        <v>0</v>
      </c>
      <c r="AB51" s="325">
        <v>847503621.70000005</v>
      </c>
      <c r="AC51" s="314">
        <v>1</v>
      </c>
      <c r="AD51" s="23">
        <f t="shared" si="34"/>
        <v>2.3318553162368361E-2</v>
      </c>
      <c r="AE51" s="23">
        <f t="shared" si="35"/>
        <v>0</v>
      </c>
      <c r="AF51" s="325">
        <v>1326413539.1800001</v>
      </c>
      <c r="AG51" s="314">
        <v>1</v>
      </c>
      <c r="AH51" s="23">
        <f t="shared" si="36"/>
        <v>0.56508303353248079</v>
      </c>
      <c r="AI51" s="23">
        <f t="shared" si="37"/>
        <v>0</v>
      </c>
      <c r="AJ51" s="24">
        <f t="shared" si="16"/>
        <v>7.5489624918256532E-2</v>
      </c>
      <c r="AK51" s="24">
        <f t="shared" si="17"/>
        <v>0</v>
      </c>
      <c r="AL51" s="25">
        <f t="shared" si="18"/>
        <v>0.62418505519438172</v>
      </c>
      <c r="AM51" s="25">
        <f t="shared" si="19"/>
        <v>0</v>
      </c>
      <c r="AN51" s="26">
        <f t="shared" si="20"/>
        <v>0.19824387790794953</v>
      </c>
      <c r="AO51" s="78">
        <f t="shared" si="21"/>
        <v>0</v>
      </c>
      <c r="AP51" s="30"/>
      <c r="AQ51" s="38"/>
      <c r="AR51" s="35"/>
      <c r="AS51" s="29"/>
      <c r="AT51" s="29"/>
    </row>
    <row r="52" spans="1:48">
      <c r="A52" s="206" t="s">
        <v>115</v>
      </c>
      <c r="B52" s="325">
        <v>19214793126.740002</v>
      </c>
      <c r="C52" s="314">
        <v>1</v>
      </c>
      <c r="D52" s="325">
        <v>20182740300.450001</v>
      </c>
      <c r="E52" s="314">
        <v>1</v>
      </c>
      <c r="F52" s="23">
        <f t="shared" si="22"/>
        <v>5.0375102522595923E-2</v>
      </c>
      <c r="G52" s="23">
        <f t="shared" si="23"/>
        <v>0</v>
      </c>
      <c r="H52" s="325">
        <v>20171937733.349998</v>
      </c>
      <c r="I52" s="314">
        <v>1</v>
      </c>
      <c r="J52" s="23">
        <f t="shared" si="24"/>
        <v>-5.3523787846397803E-4</v>
      </c>
      <c r="K52" s="23">
        <f t="shared" si="25"/>
        <v>0</v>
      </c>
      <c r="L52" s="325">
        <v>20621502677.580002</v>
      </c>
      <c r="M52" s="314">
        <v>1</v>
      </c>
      <c r="N52" s="23">
        <f t="shared" si="26"/>
        <v>2.2286651395257064E-2</v>
      </c>
      <c r="O52" s="23">
        <f t="shared" si="27"/>
        <v>0</v>
      </c>
      <c r="P52" s="325">
        <v>20411464492.68</v>
      </c>
      <c r="Q52" s="314">
        <v>1</v>
      </c>
      <c r="R52" s="23">
        <f t="shared" si="28"/>
        <v>-1.0185396679571664E-2</v>
      </c>
      <c r="S52" s="23">
        <f t="shared" si="29"/>
        <v>0</v>
      </c>
      <c r="T52" s="325">
        <v>20789967665.41</v>
      </c>
      <c r="U52" s="314">
        <v>1</v>
      </c>
      <c r="V52" s="23">
        <f t="shared" si="30"/>
        <v>1.8543655839380811E-2</v>
      </c>
      <c r="W52" s="23">
        <f t="shared" si="31"/>
        <v>0</v>
      </c>
      <c r="X52" s="325">
        <v>21185153315.810001</v>
      </c>
      <c r="Y52" s="314">
        <v>1</v>
      </c>
      <c r="Z52" s="23">
        <f t="shared" si="32"/>
        <v>1.9008478356486565E-2</v>
      </c>
      <c r="AA52" s="23">
        <f t="shared" si="33"/>
        <v>0</v>
      </c>
      <c r="AB52" s="325">
        <v>21723290909.91</v>
      </c>
      <c r="AC52" s="314">
        <v>1</v>
      </c>
      <c r="AD52" s="23">
        <f t="shared" si="34"/>
        <v>2.5401637933788215E-2</v>
      </c>
      <c r="AE52" s="23">
        <f t="shared" si="35"/>
        <v>0</v>
      </c>
      <c r="AF52" s="325">
        <v>22329450046.02</v>
      </c>
      <c r="AG52" s="314">
        <v>1</v>
      </c>
      <c r="AH52" s="23">
        <f t="shared" si="36"/>
        <v>2.7903651367734317E-2</v>
      </c>
      <c r="AI52" s="23">
        <f t="shared" si="37"/>
        <v>0</v>
      </c>
      <c r="AJ52" s="24">
        <f t="shared" si="16"/>
        <v>1.9099817857150907E-2</v>
      </c>
      <c r="AK52" s="24">
        <f t="shared" si="17"/>
        <v>0</v>
      </c>
      <c r="AL52" s="25">
        <f t="shared" si="18"/>
        <v>0.10636364109199463</v>
      </c>
      <c r="AM52" s="25">
        <f t="shared" si="19"/>
        <v>0</v>
      </c>
      <c r="AN52" s="26">
        <f t="shared" si="20"/>
        <v>1.8318595637694658E-2</v>
      </c>
      <c r="AO52" s="78">
        <f t="shared" si="21"/>
        <v>0</v>
      </c>
      <c r="AP52" s="30"/>
      <c r="AQ52" s="39">
        <v>2266908745.4000001</v>
      </c>
      <c r="AR52" s="35">
        <v>1</v>
      </c>
      <c r="AS52" s="29" t="e">
        <f>(#REF!/AQ52)-1</f>
        <v>#REF!</v>
      </c>
      <c r="AT52" s="29" t="e">
        <f>(#REF!/AR52)-1</f>
        <v>#REF!</v>
      </c>
    </row>
    <row r="53" spans="1:48">
      <c r="A53" s="208" t="s">
        <v>42</v>
      </c>
      <c r="B53" s="76">
        <f>SUM(B24:B52)</f>
        <v>809621970053.66992</v>
      </c>
      <c r="C53" s="87"/>
      <c r="D53" s="76">
        <f>SUM(D24:D52)</f>
        <v>808804557491.32581</v>
      </c>
      <c r="E53" s="87"/>
      <c r="F53" s="23">
        <f>((D53-B53)/B53)</f>
        <v>-1.009622506031957E-3</v>
      </c>
      <c r="G53" s="23"/>
      <c r="H53" s="76">
        <f>SUM(H24:H52)</f>
        <v>808555564328.63843</v>
      </c>
      <c r="I53" s="87"/>
      <c r="J53" s="23">
        <f>((H53-D53)/D53)</f>
        <v>-3.0785331311643645E-4</v>
      </c>
      <c r="K53" s="23"/>
      <c r="L53" s="76">
        <f>SUM(L24:L52)</f>
        <v>806141589764.57495</v>
      </c>
      <c r="M53" s="87"/>
      <c r="N53" s="23">
        <f>((L53-H53)/H53)</f>
        <v>-2.9855394861673522E-3</v>
      </c>
      <c r="O53" s="23"/>
      <c r="P53" s="76">
        <f>SUM(P24:P52)</f>
        <v>809389465815.42651</v>
      </c>
      <c r="Q53" s="87"/>
      <c r="R53" s="23">
        <f>((P53-L53)/L53)</f>
        <v>4.028915133630644E-3</v>
      </c>
      <c r="S53" s="23"/>
      <c r="T53" s="76">
        <f>SUM(T24:T52)</f>
        <v>813597370074.91248</v>
      </c>
      <c r="U53" s="87"/>
      <c r="V53" s="23">
        <f>((T53-P53)/P53)</f>
        <v>5.1988621512965598E-3</v>
      </c>
      <c r="W53" s="23"/>
      <c r="X53" s="76">
        <f>SUM(X24:X52)</f>
        <v>806059217034.32275</v>
      </c>
      <c r="Y53" s="87"/>
      <c r="Z53" s="23">
        <f>((X53-T53)/T53)</f>
        <v>-9.2652131359466441E-3</v>
      </c>
      <c r="AA53" s="23"/>
      <c r="AB53" s="76">
        <f>SUM(AB24:AB52)</f>
        <v>792540018978.42993</v>
      </c>
      <c r="AC53" s="87"/>
      <c r="AD53" s="23">
        <f>((AB53-X53)/X53)</f>
        <v>-1.677196633968539E-2</v>
      </c>
      <c r="AE53" s="23"/>
      <c r="AF53" s="76">
        <f>SUM(AF24:AF52)</f>
        <v>806100368208.14038</v>
      </c>
      <c r="AG53" s="87"/>
      <c r="AH53" s="23">
        <f>((AF53-AB53)/AB53)</f>
        <v>1.7109986757753253E-2</v>
      </c>
      <c r="AI53" s="23"/>
      <c r="AJ53" s="24">
        <f t="shared" si="16"/>
        <v>-5.0030384228341544E-4</v>
      </c>
      <c r="AK53" s="24"/>
      <c r="AL53" s="25">
        <f t="shared" si="18"/>
        <v>-3.3434397199405327E-3</v>
      </c>
      <c r="AM53" s="25"/>
      <c r="AN53" s="26">
        <f t="shared" si="20"/>
        <v>1.0079541704720866E-2</v>
      </c>
      <c r="AO53" s="78"/>
      <c r="AP53" s="30"/>
      <c r="AQ53" s="43">
        <f>SUM(AQ24:AQ52)</f>
        <v>132930613532.55411</v>
      </c>
      <c r="AR53" s="44"/>
      <c r="AS53" s="29" t="e">
        <f>(#REF!/AQ53)-1</f>
        <v>#REF!</v>
      </c>
      <c r="AT53" s="29" t="e">
        <f>(#REF!/AR53)-1</f>
        <v>#REF!</v>
      </c>
    </row>
    <row r="54" spans="1:48" s="110" customFormat="1" ht="8.25" customHeight="1">
      <c r="A54" s="208"/>
      <c r="B54" s="87"/>
      <c r="C54" s="87"/>
      <c r="D54" s="87"/>
      <c r="E54" s="87"/>
      <c r="F54" s="23"/>
      <c r="G54" s="23"/>
      <c r="H54" s="87"/>
      <c r="I54" s="87"/>
      <c r="J54" s="23"/>
      <c r="K54" s="23"/>
      <c r="L54" s="87"/>
      <c r="M54" s="87"/>
      <c r="N54" s="23"/>
      <c r="O54" s="23"/>
      <c r="P54" s="87"/>
      <c r="Q54" s="87"/>
      <c r="R54" s="23"/>
      <c r="S54" s="23"/>
      <c r="T54" s="87"/>
      <c r="U54" s="87"/>
      <c r="V54" s="23"/>
      <c r="W54" s="23"/>
      <c r="X54" s="87"/>
      <c r="Y54" s="87"/>
      <c r="Z54" s="23"/>
      <c r="AA54" s="23"/>
      <c r="AB54" s="87"/>
      <c r="AC54" s="87"/>
      <c r="AD54" s="23"/>
      <c r="AE54" s="23"/>
      <c r="AF54" s="87"/>
      <c r="AG54" s="87"/>
      <c r="AH54" s="23"/>
      <c r="AI54" s="23"/>
      <c r="AJ54" s="24"/>
      <c r="AK54" s="24"/>
      <c r="AL54" s="25"/>
      <c r="AM54" s="25"/>
      <c r="AN54" s="26"/>
      <c r="AO54" s="78"/>
      <c r="AP54" s="30"/>
      <c r="AQ54" s="43"/>
      <c r="AR54" s="44"/>
      <c r="AS54" s="29"/>
      <c r="AT54" s="29"/>
    </row>
    <row r="55" spans="1:48">
      <c r="A55" s="209" t="s">
        <v>199</v>
      </c>
      <c r="B55" s="87"/>
      <c r="C55" s="87"/>
      <c r="D55" s="87"/>
      <c r="E55" s="87"/>
      <c r="F55" s="23"/>
      <c r="G55" s="23"/>
      <c r="H55" s="87"/>
      <c r="I55" s="87"/>
      <c r="J55" s="23"/>
      <c r="K55" s="23"/>
      <c r="L55" s="87"/>
      <c r="M55" s="87"/>
      <c r="N55" s="23"/>
      <c r="O55" s="23"/>
      <c r="P55" s="87"/>
      <c r="Q55" s="87"/>
      <c r="R55" s="23"/>
      <c r="S55" s="23"/>
      <c r="T55" s="87"/>
      <c r="U55" s="87"/>
      <c r="V55" s="23"/>
      <c r="W55" s="23"/>
      <c r="X55" s="87"/>
      <c r="Y55" s="87"/>
      <c r="Z55" s="23"/>
      <c r="AA55" s="23"/>
      <c r="AB55" s="87"/>
      <c r="AC55" s="87"/>
      <c r="AD55" s="23"/>
      <c r="AE55" s="23"/>
      <c r="AF55" s="87"/>
      <c r="AG55" s="87"/>
      <c r="AH55" s="23"/>
      <c r="AI55" s="23"/>
      <c r="AJ55" s="24"/>
      <c r="AK55" s="24"/>
      <c r="AL55" s="25"/>
      <c r="AM55" s="25"/>
      <c r="AN55" s="26"/>
      <c r="AO55" s="78"/>
      <c r="AP55" s="30"/>
      <c r="AQ55" s="40"/>
      <c r="AR55" s="13"/>
      <c r="AS55" s="29" t="e">
        <f>(#REF!/AQ55)-1</f>
        <v>#REF!</v>
      </c>
      <c r="AT55" s="29" t="e">
        <f>(#REF!/AR55)-1</f>
        <v>#REF!</v>
      </c>
    </row>
    <row r="56" spans="1:48">
      <c r="A56" s="206" t="s">
        <v>142</v>
      </c>
      <c r="B56" s="330">
        <v>436633668.94999999</v>
      </c>
      <c r="C56" s="331">
        <v>1.254</v>
      </c>
      <c r="D56" s="330">
        <v>435253359.00999999</v>
      </c>
      <c r="E56" s="331">
        <v>1.2501</v>
      </c>
      <c r="F56" s="23">
        <f t="shared" ref="F56:F85" si="38">((D56-B56)/B56)</f>
        <v>-3.1612540171703073E-3</v>
      </c>
      <c r="G56" s="23">
        <f t="shared" ref="G56:G85" si="39">((E56-C56)/C56)</f>
        <v>-3.1100478468899639E-3</v>
      </c>
      <c r="H56" s="330">
        <v>438861132.99000001</v>
      </c>
      <c r="I56" s="331">
        <v>1.2603</v>
      </c>
      <c r="J56" s="23">
        <f t="shared" ref="J56:J82" si="40">((H56-D56)/D56)</f>
        <v>8.2889055427533883E-3</v>
      </c>
      <c r="K56" s="23">
        <f t="shared" ref="K56:K81" si="41">((I56-E56)/E56)</f>
        <v>8.1593472522198118E-3</v>
      </c>
      <c r="L56" s="330">
        <v>435805556.92000002</v>
      </c>
      <c r="M56" s="331">
        <v>1.2517</v>
      </c>
      <c r="N56" s="23">
        <f t="shared" ref="N56:N82" si="42">((L56-H56)/H56)</f>
        <v>-6.9625123764824664E-3</v>
      </c>
      <c r="O56" s="23">
        <f t="shared" ref="O56:O81" si="43">((M56-I56)/I56)</f>
        <v>-6.8237721177496951E-3</v>
      </c>
      <c r="P56" s="330">
        <v>434667650.29000002</v>
      </c>
      <c r="Q56" s="331">
        <v>1.2497</v>
      </c>
      <c r="R56" s="23">
        <f t="shared" ref="R56:R82" si="44">((P56-L56)/L56)</f>
        <v>-2.6110420391194751E-3</v>
      </c>
      <c r="S56" s="23">
        <f t="shared" ref="S56:S81" si="45">((Q56-M56)/M56)</f>
        <v>-1.597826955340738E-3</v>
      </c>
      <c r="T56" s="330">
        <v>435935264.88999999</v>
      </c>
      <c r="U56" s="331">
        <v>1.2535000000000001</v>
      </c>
      <c r="V56" s="23">
        <f t="shared" ref="V56:V82" si="46">((T56-P56)/P56)</f>
        <v>2.9162846582998334E-3</v>
      </c>
      <c r="W56" s="23">
        <f t="shared" ref="W56:W81" si="47">((U56-Q56)/Q56)</f>
        <v>3.0407297751460552E-3</v>
      </c>
      <c r="X56" s="330">
        <v>437395800.79000002</v>
      </c>
      <c r="Y56" s="331">
        <v>1.258</v>
      </c>
      <c r="Z56" s="23">
        <f t="shared" ref="Z56:Z82" si="48">((X56-T56)/T56)</f>
        <v>3.3503504250076543E-3</v>
      </c>
      <c r="AA56" s="23">
        <f t="shared" ref="AA56:AA81" si="49">((Y56-U56)/U56)</f>
        <v>3.5899481451934171E-3</v>
      </c>
      <c r="AB56" s="330">
        <v>439586726.64999998</v>
      </c>
      <c r="AC56" s="331">
        <v>1.2643</v>
      </c>
      <c r="AD56" s="23">
        <f t="shared" ref="AD56:AD82" si="50">((AB56-X56)/X56)</f>
        <v>5.009023534388821E-3</v>
      </c>
      <c r="AE56" s="23">
        <f t="shared" ref="AE56:AE81" si="51">((AC56-Y56)/Y56)</f>
        <v>5.0079491255961622E-3</v>
      </c>
      <c r="AF56" s="330">
        <v>441287934.61000001</v>
      </c>
      <c r="AG56" s="331">
        <v>1.2697000000000001</v>
      </c>
      <c r="AH56" s="23">
        <f t="shared" ref="AH56:AH82" si="52">((AF56-AB56)/AB56)</f>
        <v>3.8700166698949125E-3</v>
      </c>
      <c r="AI56" s="23">
        <f t="shared" ref="AI56:AI81" si="53">((AG56-AC56)/AC56)</f>
        <v>4.27113817922967E-3</v>
      </c>
      <c r="AJ56" s="24">
        <f t="shared" si="16"/>
        <v>1.337471549696545E-3</v>
      </c>
      <c r="AK56" s="24">
        <f t="shared" si="17"/>
        <v>1.5671831946755899E-3</v>
      </c>
      <c r="AL56" s="25">
        <f t="shared" si="18"/>
        <v>1.3864512415770648E-2</v>
      </c>
      <c r="AM56" s="25">
        <f t="shared" si="19"/>
        <v>1.5678745700344023E-2</v>
      </c>
      <c r="AN56" s="26">
        <f t="shared" si="20"/>
        <v>5.0635937264021163E-3</v>
      </c>
      <c r="AO56" s="78">
        <f t="shared" si="21"/>
        <v>4.9450075516672791E-3</v>
      </c>
      <c r="AP56" s="30"/>
      <c r="AQ56" s="28">
        <v>1092437778.4100001</v>
      </c>
      <c r="AR56" s="32">
        <v>143.21</v>
      </c>
      <c r="AS56" s="29" t="e">
        <f>(#REF!/AQ56)-1</f>
        <v>#REF!</v>
      </c>
      <c r="AT56" s="29" t="e">
        <f>(#REF!/AR56)-1</f>
        <v>#REF!</v>
      </c>
    </row>
    <row r="57" spans="1:48">
      <c r="A57" s="206" t="s">
        <v>148</v>
      </c>
      <c r="B57" s="330">
        <v>1003800375.58</v>
      </c>
      <c r="C57" s="331">
        <v>1.1229</v>
      </c>
      <c r="D57" s="330">
        <v>1004898326.08</v>
      </c>
      <c r="E57" s="331">
        <v>1.1241000000000001</v>
      </c>
      <c r="F57" s="23">
        <f t="shared" si="38"/>
        <v>1.0937936732346803E-3</v>
      </c>
      <c r="G57" s="23">
        <f t="shared" si="39"/>
        <v>1.0686615014694897E-3</v>
      </c>
      <c r="H57" s="330">
        <v>1006790507.09</v>
      </c>
      <c r="I57" s="331">
        <v>1.1253</v>
      </c>
      <c r="J57" s="23">
        <f t="shared" si="40"/>
        <v>1.8829576693407228E-3</v>
      </c>
      <c r="K57" s="23">
        <f t="shared" si="41"/>
        <v>1.0675206832131195E-3</v>
      </c>
      <c r="L57" s="330">
        <v>1009256766.59</v>
      </c>
      <c r="M57" s="331">
        <v>1.1265000000000001</v>
      </c>
      <c r="N57" s="23">
        <f t="shared" si="42"/>
        <v>2.449625302018798E-3</v>
      </c>
      <c r="O57" s="23">
        <f t="shared" si="43"/>
        <v>1.0663822980539323E-3</v>
      </c>
      <c r="P57" s="330">
        <v>1013328826.91</v>
      </c>
      <c r="Q57" s="331">
        <v>1.1274</v>
      </c>
      <c r="R57" s="23">
        <f t="shared" si="44"/>
        <v>4.0347119333747948E-3</v>
      </c>
      <c r="S57" s="23">
        <f t="shared" si="45"/>
        <v>7.9893475366169626E-4</v>
      </c>
      <c r="T57" s="330">
        <v>1014130867.0599999</v>
      </c>
      <c r="U57" s="331">
        <v>1.1286</v>
      </c>
      <c r="V57" s="23">
        <f t="shared" si="46"/>
        <v>7.9149050999139325E-4</v>
      </c>
      <c r="W57" s="23">
        <f t="shared" si="47"/>
        <v>1.0643959552954496E-3</v>
      </c>
      <c r="X57" s="330">
        <v>1017399076.49</v>
      </c>
      <c r="Y57" s="331">
        <v>1.1291</v>
      </c>
      <c r="Z57" s="23">
        <f t="shared" si="48"/>
        <v>3.2226703043510721E-3</v>
      </c>
      <c r="AA57" s="23">
        <f t="shared" si="49"/>
        <v>4.4302675881618367E-4</v>
      </c>
      <c r="AB57" s="330">
        <v>1017930921</v>
      </c>
      <c r="AC57" s="331">
        <v>1.1301000000000001</v>
      </c>
      <c r="AD57" s="23">
        <f t="shared" si="50"/>
        <v>5.2274915742487205E-4</v>
      </c>
      <c r="AE57" s="23">
        <f t="shared" si="51"/>
        <v>8.8566114604562215E-4</v>
      </c>
      <c r="AF57" s="330">
        <v>1019832818.21</v>
      </c>
      <c r="AG57" s="331">
        <v>1.1321000000000001</v>
      </c>
      <c r="AH57" s="23">
        <f t="shared" si="52"/>
        <v>1.8683951639190241E-3</v>
      </c>
      <c r="AI57" s="23">
        <f t="shared" si="53"/>
        <v>1.7697548889478822E-3</v>
      </c>
      <c r="AJ57" s="24">
        <f t="shared" si="16"/>
        <v>1.9832992142069196E-3</v>
      </c>
      <c r="AK57" s="24">
        <f t="shared" si="17"/>
        <v>1.020542248187922E-3</v>
      </c>
      <c r="AL57" s="25">
        <f t="shared" si="18"/>
        <v>1.4861694703242105E-2</v>
      </c>
      <c r="AM57" s="25">
        <f t="shared" si="19"/>
        <v>7.1168045547549208E-3</v>
      </c>
      <c r="AN57" s="26">
        <f t="shared" si="20"/>
        <v>1.2147839780478151E-3</v>
      </c>
      <c r="AO57" s="78">
        <f t="shared" si="21"/>
        <v>3.7238486400433462E-4</v>
      </c>
      <c r="AP57" s="30"/>
      <c r="AQ57" s="31">
        <v>1186217562.8099999</v>
      </c>
      <c r="AR57" s="35">
        <v>212.98</v>
      </c>
      <c r="AS57" s="29" t="e">
        <f>(#REF!/AQ57)-1</f>
        <v>#REF!</v>
      </c>
      <c r="AT57" s="29" t="e">
        <f>(#REF!/AR57)-1</f>
        <v>#REF!</v>
      </c>
      <c r="AU57" s="85"/>
      <c r="AV57" s="85"/>
    </row>
    <row r="58" spans="1:48">
      <c r="A58" s="206" t="s">
        <v>234</v>
      </c>
      <c r="B58" s="330">
        <v>872059303.66999996</v>
      </c>
      <c r="C58" s="331">
        <v>1.0477000000000001</v>
      </c>
      <c r="D58" s="330">
        <v>873059452.58000004</v>
      </c>
      <c r="E58" s="331">
        <v>1.0488999999999999</v>
      </c>
      <c r="F58" s="23">
        <f t="shared" si="38"/>
        <v>1.1468817611268291E-3</v>
      </c>
      <c r="G58" s="23">
        <f t="shared" si="39"/>
        <v>1.1453660398967908E-3</v>
      </c>
      <c r="H58" s="330">
        <v>877725413.79999995</v>
      </c>
      <c r="I58" s="331">
        <v>1.0501</v>
      </c>
      <c r="J58" s="23">
        <f t="shared" si="40"/>
        <v>5.3443797054271731E-3</v>
      </c>
      <c r="K58" s="23">
        <f t="shared" si="41"/>
        <v>1.1440556773763847E-3</v>
      </c>
      <c r="L58" s="330">
        <v>875191595.79999995</v>
      </c>
      <c r="M58" s="331">
        <v>1.0512999999999999</v>
      </c>
      <c r="N58" s="23">
        <f t="shared" si="42"/>
        <v>-2.8868003138135868E-3</v>
      </c>
      <c r="O58" s="23">
        <f t="shared" si="43"/>
        <v>1.142748309684666E-3</v>
      </c>
      <c r="P58" s="330">
        <v>874467738.55999994</v>
      </c>
      <c r="Q58" s="331">
        <v>1.0521</v>
      </c>
      <c r="R58" s="23">
        <f t="shared" si="44"/>
        <v>-8.2708431327924506E-4</v>
      </c>
      <c r="S58" s="23">
        <f t="shared" si="45"/>
        <v>7.6096261771153243E-4</v>
      </c>
      <c r="T58" s="330">
        <v>875379586.21000004</v>
      </c>
      <c r="U58" s="331">
        <v>1.0531999999999999</v>
      </c>
      <c r="V58" s="23">
        <f t="shared" si="46"/>
        <v>1.0427459010685168E-3</v>
      </c>
      <c r="W58" s="23">
        <f t="shared" si="47"/>
        <v>1.0455279916356608E-3</v>
      </c>
      <c r="X58" s="330">
        <v>860015859.92999995</v>
      </c>
      <c r="Y58" s="331">
        <v>1.0544</v>
      </c>
      <c r="Z58" s="23">
        <f t="shared" si="48"/>
        <v>-1.7550930501496063E-2</v>
      </c>
      <c r="AA58" s="23">
        <f t="shared" si="49"/>
        <v>1.1393847322446733E-3</v>
      </c>
      <c r="AB58" s="330">
        <v>860909915.36000001</v>
      </c>
      <c r="AC58" s="331">
        <v>1.0551999999999999</v>
      </c>
      <c r="AD58" s="23">
        <f t="shared" si="50"/>
        <v>1.0395801655016426E-3</v>
      </c>
      <c r="AE58" s="23">
        <f t="shared" si="51"/>
        <v>7.5872534142632007E-4</v>
      </c>
      <c r="AF58" s="330">
        <v>862357715.15999997</v>
      </c>
      <c r="AG58" s="331">
        <v>1.0564</v>
      </c>
      <c r="AH58" s="23">
        <f t="shared" si="52"/>
        <v>1.6817088224550616E-3</v>
      </c>
      <c r="AI58" s="23">
        <f t="shared" si="53"/>
        <v>1.1372251705838608E-3</v>
      </c>
      <c r="AJ58" s="24">
        <f t="shared" si="16"/>
        <v>-1.3761898466262091E-3</v>
      </c>
      <c r="AK58" s="24">
        <f t="shared" si="17"/>
        <v>1.034249485069986E-3</v>
      </c>
      <c r="AL58" s="25">
        <f t="shared" si="18"/>
        <v>-1.2257741885017225E-2</v>
      </c>
      <c r="AM58" s="25">
        <f t="shared" si="19"/>
        <v>7.1503479836019287E-3</v>
      </c>
      <c r="AN58" s="26">
        <f t="shared" si="20"/>
        <v>6.9361947239288107E-3</v>
      </c>
      <c r="AO58" s="78">
        <f t="shared" si="21"/>
        <v>1.7261028188429676E-4</v>
      </c>
      <c r="AP58" s="30"/>
      <c r="AQ58" s="31">
        <v>4662655514.79</v>
      </c>
      <c r="AR58" s="35">
        <v>1067.58</v>
      </c>
      <c r="AS58" s="29" t="e">
        <f>(#REF!/AQ58)-1</f>
        <v>#REF!</v>
      </c>
      <c r="AT58" s="29" t="e">
        <f>(#REF!/AR58)-1</f>
        <v>#REF!</v>
      </c>
    </row>
    <row r="59" spans="1:48" s="105" customFormat="1">
      <c r="A59" s="206" t="s">
        <v>173</v>
      </c>
      <c r="B59" s="330">
        <v>246281086.68000001</v>
      </c>
      <c r="C59" s="74">
        <v>1123.19</v>
      </c>
      <c r="D59" s="330">
        <v>246917824.09999999</v>
      </c>
      <c r="E59" s="74">
        <v>1125.58</v>
      </c>
      <c r="F59" s="23">
        <f t="shared" si="38"/>
        <v>2.5854093328218819E-3</v>
      </c>
      <c r="G59" s="23">
        <f t="shared" si="39"/>
        <v>2.1278679475421544E-3</v>
      </c>
      <c r="H59" s="330">
        <v>247148026.52000001</v>
      </c>
      <c r="I59" s="74">
        <v>1127.9100000000001</v>
      </c>
      <c r="J59" s="23">
        <f t="shared" si="40"/>
        <v>9.3230377693100976E-4</v>
      </c>
      <c r="K59" s="23">
        <f t="shared" si="41"/>
        <v>2.0700438884842967E-3</v>
      </c>
      <c r="L59" s="330">
        <v>248304510.19</v>
      </c>
      <c r="M59" s="74">
        <v>1128.8599999999999</v>
      </c>
      <c r="N59" s="23">
        <f t="shared" si="42"/>
        <v>4.6793158184752917E-3</v>
      </c>
      <c r="O59" s="23">
        <f t="shared" si="43"/>
        <v>8.4226578361732589E-4</v>
      </c>
      <c r="P59" s="330">
        <v>249028081.15000001</v>
      </c>
      <c r="Q59" s="74">
        <v>1131.33</v>
      </c>
      <c r="R59" s="23">
        <f t="shared" si="44"/>
        <v>2.9140467865297311E-3</v>
      </c>
      <c r="S59" s="23">
        <f t="shared" si="45"/>
        <v>2.1880481193416608E-3</v>
      </c>
      <c r="T59" s="330">
        <v>249853693.56</v>
      </c>
      <c r="U59" s="74">
        <v>1133.79</v>
      </c>
      <c r="V59" s="23">
        <f t="shared" si="46"/>
        <v>3.3153386003191166E-3</v>
      </c>
      <c r="W59" s="23">
        <f t="shared" si="47"/>
        <v>2.1744318633820695E-3</v>
      </c>
      <c r="X59" s="330">
        <v>237592451.25</v>
      </c>
      <c r="Y59" s="74">
        <v>1078.1500000000001</v>
      </c>
      <c r="Z59" s="23">
        <f t="shared" si="48"/>
        <v>-4.907368842660547E-2</v>
      </c>
      <c r="AA59" s="23">
        <f t="shared" si="49"/>
        <v>-4.9074343573324755E-2</v>
      </c>
      <c r="AB59" s="330">
        <v>259095700.47</v>
      </c>
      <c r="AC59" s="74">
        <v>1130.58</v>
      </c>
      <c r="AD59" s="23">
        <f t="shared" si="50"/>
        <v>9.0504766068404283E-2</v>
      </c>
      <c r="AE59" s="23">
        <f t="shared" si="51"/>
        <v>4.8629596994852135E-2</v>
      </c>
      <c r="AF59" s="330">
        <v>259095700.47</v>
      </c>
      <c r="AG59" s="74">
        <v>1130.58</v>
      </c>
      <c r="AH59" s="23">
        <f t="shared" si="52"/>
        <v>0</v>
      </c>
      <c r="AI59" s="23">
        <f t="shared" si="53"/>
        <v>0</v>
      </c>
      <c r="AJ59" s="24">
        <f t="shared" si="16"/>
        <v>6.9821864946094806E-3</v>
      </c>
      <c r="AK59" s="24">
        <f t="shared" si="17"/>
        <v>1.1197388779868615E-3</v>
      </c>
      <c r="AL59" s="25">
        <f t="shared" si="18"/>
        <v>4.9319551613528113E-2</v>
      </c>
      <c r="AM59" s="25">
        <f t="shared" si="19"/>
        <v>4.4421542671333894E-3</v>
      </c>
      <c r="AN59" s="26">
        <f t="shared" si="20"/>
        <v>3.8281410665738994E-2</v>
      </c>
      <c r="AO59" s="78">
        <f t="shared" si="21"/>
        <v>2.6137374454570868E-2</v>
      </c>
      <c r="AP59" s="30"/>
      <c r="AQ59" s="31"/>
      <c r="AR59" s="31"/>
      <c r="AS59" s="29"/>
      <c r="AT59" s="29"/>
    </row>
    <row r="60" spans="1:48">
      <c r="A60" s="206" t="s">
        <v>182</v>
      </c>
      <c r="B60" s="330">
        <v>1362929289.6199999</v>
      </c>
      <c r="C60" s="331">
        <v>1.0177</v>
      </c>
      <c r="D60" s="330">
        <v>1348305043.5799999</v>
      </c>
      <c r="E60" s="331">
        <v>1.0198</v>
      </c>
      <c r="F60" s="23">
        <f t="shared" si="38"/>
        <v>-1.0730010831359686E-2</v>
      </c>
      <c r="G60" s="23">
        <f t="shared" si="39"/>
        <v>2.0634764665421936E-3</v>
      </c>
      <c r="H60" s="330">
        <v>1346983034.3499999</v>
      </c>
      <c r="I60" s="331">
        <v>1.0215000000000001</v>
      </c>
      <c r="J60" s="23">
        <f t="shared" si="40"/>
        <v>-9.8049713326729053E-4</v>
      </c>
      <c r="K60" s="23">
        <f t="shared" si="41"/>
        <v>1.6669935281428071E-3</v>
      </c>
      <c r="L60" s="330">
        <v>1345332021.28</v>
      </c>
      <c r="M60" s="331">
        <v>1.0232000000000001</v>
      </c>
      <c r="N60" s="23">
        <f t="shared" si="42"/>
        <v>-1.2257118522629694E-3</v>
      </c>
      <c r="O60" s="23">
        <f t="shared" si="43"/>
        <v>1.6642192853646939E-3</v>
      </c>
      <c r="P60" s="330">
        <v>1347752761.29</v>
      </c>
      <c r="Q60" s="331">
        <v>1.0247999999999999</v>
      </c>
      <c r="R60" s="23">
        <f t="shared" si="44"/>
        <v>1.7993625155051365E-3</v>
      </c>
      <c r="S60" s="23">
        <f t="shared" si="45"/>
        <v>1.5637216575447846E-3</v>
      </c>
      <c r="T60" s="330">
        <v>1392069607.25</v>
      </c>
      <c r="U60" s="331">
        <v>1.0262</v>
      </c>
      <c r="V60" s="23">
        <f t="shared" si="46"/>
        <v>3.288202942918271E-2</v>
      </c>
      <c r="W60" s="23">
        <f t="shared" si="47"/>
        <v>1.3661202185793013E-3</v>
      </c>
      <c r="X60" s="330">
        <v>1390077957.9100001</v>
      </c>
      <c r="Y60" s="331">
        <v>1.0276000000000001</v>
      </c>
      <c r="Z60" s="23">
        <f t="shared" si="48"/>
        <v>-1.4307110288359572E-3</v>
      </c>
      <c r="AA60" s="23">
        <f t="shared" si="49"/>
        <v>1.3642564802183472E-3</v>
      </c>
      <c r="AB60" s="330">
        <v>1388454430.21</v>
      </c>
      <c r="AC60" s="331">
        <v>1.0286999999999999</v>
      </c>
      <c r="AD60" s="23">
        <f t="shared" si="50"/>
        <v>-1.1679400358531274E-3</v>
      </c>
      <c r="AE60" s="23">
        <f t="shared" si="51"/>
        <v>1.0704554301283367E-3</v>
      </c>
      <c r="AF60" s="330">
        <v>1376899333.3199999</v>
      </c>
      <c r="AG60" s="331">
        <v>1.0303</v>
      </c>
      <c r="AH60" s="23">
        <f t="shared" si="52"/>
        <v>-8.3222730531043992E-3</v>
      </c>
      <c r="AI60" s="23">
        <f t="shared" si="53"/>
        <v>1.5553611354136734E-3</v>
      </c>
      <c r="AJ60" s="24">
        <f t="shared" si="16"/>
        <v>1.3530310012505522E-3</v>
      </c>
      <c r="AK60" s="24">
        <f t="shared" si="17"/>
        <v>1.5393255252417672E-3</v>
      </c>
      <c r="AL60" s="25">
        <f t="shared" si="18"/>
        <v>2.1207581975720324E-2</v>
      </c>
      <c r="AM60" s="25">
        <f t="shared" si="19"/>
        <v>1.0296136497352377E-2</v>
      </c>
      <c r="AN60" s="26">
        <f t="shared" si="20"/>
        <v>1.3416877138680386E-2</v>
      </c>
      <c r="AO60" s="78">
        <f t="shared" si="21"/>
        <v>2.8982075901360787E-4</v>
      </c>
      <c r="AP60" s="30"/>
      <c r="AQ60" s="45">
        <v>1198249163.9190199</v>
      </c>
      <c r="AR60" s="45">
        <v>1987.7461478934799</v>
      </c>
      <c r="AS60" s="29" t="e">
        <f>(#REF!/AQ60)-1</f>
        <v>#REF!</v>
      </c>
      <c r="AT60" s="29" t="e">
        <f>(#REF!/AR60)-1</f>
        <v>#REF!</v>
      </c>
    </row>
    <row r="61" spans="1:48">
      <c r="A61" s="206" t="s">
        <v>108</v>
      </c>
      <c r="B61" s="330">
        <v>420335493.08999997</v>
      </c>
      <c r="C61" s="331">
        <v>2.1425828066461472</v>
      </c>
      <c r="D61" s="330">
        <v>422705361.08999997</v>
      </c>
      <c r="E61" s="331">
        <v>2.1547000000000001</v>
      </c>
      <c r="F61" s="23">
        <f t="shared" si="38"/>
        <v>5.6380392304691161E-3</v>
      </c>
      <c r="G61" s="23">
        <f t="shared" si="39"/>
        <v>5.6554142580936178E-3</v>
      </c>
      <c r="H61" s="330">
        <v>423189763.33999997</v>
      </c>
      <c r="I61" s="331">
        <v>2.1570999999999998</v>
      </c>
      <c r="J61" s="23">
        <f t="shared" si="40"/>
        <v>1.1459571952220022E-3</v>
      </c>
      <c r="K61" s="23">
        <f t="shared" si="41"/>
        <v>1.1138441546385742E-3</v>
      </c>
      <c r="L61" s="330">
        <v>423972525.22000003</v>
      </c>
      <c r="M61" s="331">
        <v>2.161</v>
      </c>
      <c r="N61" s="23">
        <f t="shared" si="42"/>
        <v>1.8496711116595859E-3</v>
      </c>
      <c r="O61" s="23">
        <f t="shared" si="43"/>
        <v>1.8079829400585216E-3</v>
      </c>
      <c r="P61" s="330">
        <v>420258971.32999998</v>
      </c>
      <c r="Q61" s="331">
        <v>2.1648999999999998</v>
      </c>
      <c r="R61" s="23">
        <f t="shared" si="44"/>
        <v>-8.7589493872818197E-3</v>
      </c>
      <c r="S61" s="23">
        <f t="shared" si="45"/>
        <v>1.8047200370198023E-3</v>
      </c>
      <c r="T61" s="330">
        <v>419942820.24000001</v>
      </c>
      <c r="U61" s="331">
        <v>2.1684999999999999</v>
      </c>
      <c r="V61" s="23">
        <f t="shared" si="46"/>
        <v>-7.5227683777801479E-4</v>
      </c>
      <c r="W61" s="23">
        <f t="shared" si="47"/>
        <v>1.6628943600166511E-3</v>
      </c>
      <c r="X61" s="330">
        <v>420675691.13</v>
      </c>
      <c r="Y61" s="331">
        <v>2.1722999999999999</v>
      </c>
      <c r="Z61" s="23">
        <f t="shared" si="48"/>
        <v>1.7451682816749796E-3</v>
      </c>
      <c r="AA61" s="23">
        <f t="shared" si="49"/>
        <v>1.7523633848282342E-3</v>
      </c>
      <c r="AB61" s="330">
        <v>420675691.13</v>
      </c>
      <c r="AC61" s="331">
        <v>2.1722999999999999</v>
      </c>
      <c r="AD61" s="23">
        <f t="shared" si="50"/>
        <v>0</v>
      </c>
      <c r="AE61" s="23">
        <f t="shared" si="51"/>
        <v>0</v>
      </c>
      <c r="AF61" s="330">
        <v>422419220.49000001</v>
      </c>
      <c r="AG61" s="331">
        <v>2.1812999999999998</v>
      </c>
      <c r="AH61" s="23">
        <f t="shared" si="52"/>
        <v>4.1445926084215249E-3</v>
      </c>
      <c r="AI61" s="23">
        <f t="shared" si="53"/>
        <v>4.1430741610274354E-3</v>
      </c>
      <c r="AJ61" s="24">
        <f t="shared" si="16"/>
        <v>6.265252752984216E-4</v>
      </c>
      <c r="AK61" s="24">
        <f t="shared" si="17"/>
        <v>2.2425366619603544E-3</v>
      </c>
      <c r="AL61" s="25">
        <f t="shared" si="18"/>
        <v>-6.7692682974759063E-4</v>
      </c>
      <c r="AM61" s="25">
        <f t="shared" si="19"/>
        <v>1.2345106047245433E-2</v>
      </c>
      <c r="AN61" s="26">
        <f t="shared" si="20"/>
        <v>4.3241859868974903E-3</v>
      </c>
      <c r="AO61" s="78">
        <f t="shared" si="21"/>
        <v>1.793618413868586E-3</v>
      </c>
      <c r="AP61" s="30"/>
      <c r="AQ61" s="28">
        <v>609639394.97000003</v>
      </c>
      <c r="AR61" s="32">
        <v>1.1629</v>
      </c>
      <c r="AS61" s="29" t="e">
        <f>(#REF!/AQ61)-1</f>
        <v>#REF!</v>
      </c>
      <c r="AT61" s="29" t="e">
        <f>(#REF!/AR61)-1</f>
        <v>#REF!</v>
      </c>
    </row>
    <row r="62" spans="1:48">
      <c r="A62" s="207" t="s">
        <v>18</v>
      </c>
      <c r="B62" s="330">
        <v>2813464088.7721701</v>
      </c>
      <c r="C62" s="330">
        <v>3766.56497147757</v>
      </c>
      <c r="D62" s="330">
        <v>2817601027.7495198</v>
      </c>
      <c r="E62" s="330">
        <v>3771.84795831474</v>
      </c>
      <c r="F62" s="23">
        <f t="shared" si="38"/>
        <v>1.4704075996062095E-3</v>
      </c>
      <c r="G62" s="23">
        <f t="shared" si="39"/>
        <v>1.4026007455534711E-3</v>
      </c>
      <c r="H62" s="330">
        <v>2820506775.7290502</v>
      </c>
      <c r="I62" s="330">
        <v>3777.1996313684499</v>
      </c>
      <c r="J62" s="23">
        <f t="shared" si="40"/>
        <v>1.0312843979373544E-3</v>
      </c>
      <c r="K62" s="23">
        <f t="shared" si="41"/>
        <v>1.4188464415466522E-3</v>
      </c>
      <c r="L62" s="330">
        <v>3326601976.5959201</v>
      </c>
      <c r="M62" s="330">
        <v>3782.0763097295098</v>
      </c>
      <c r="N62" s="23">
        <f t="shared" si="42"/>
        <v>0.17943413758899884</v>
      </c>
      <c r="O62" s="23">
        <f t="shared" si="43"/>
        <v>1.291083034256558E-3</v>
      </c>
      <c r="P62" s="330">
        <v>3331413361.9047599</v>
      </c>
      <c r="Q62" s="330">
        <v>3787.4354466550499</v>
      </c>
      <c r="R62" s="23">
        <f t="shared" si="44"/>
        <v>1.4463363344006796E-3</v>
      </c>
      <c r="S62" s="23">
        <f t="shared" si="45"/>
        <v>1.416982759378359E-3</v>
      </c>
      <c r="T62" s="330">
        <v>3333864097.5748701</v>
      </c>
      <c r="U62" s="330">
        <v>3792.8899201300201</v>
      </c>
      <c r="V62" s="23">
        <f t="shared" si="46"/>
        <v>7.3564442591687266E-4</v>
      </c>
      <c r="W62" s="23">
        <f t="shared" si="47"/>
        <v>1.4401495554960358E-3</v>
      </c>
      <c r="X62" s="330">
        <v>3330826385.9367399</v>
      </c>
      <c r="Y62" s="330">
        <v>3798.2700165185502</v>
      </c>
      <c r="Z62" s="23">
        <f t="shared" si="48"/>
        <v>-9.1116840675655906E-4</v>
      </c>
      <c r="AA62" s="23">
        <f t="shared" si="49"/>
        <v>1.4184688988668731E-3</v>
      </c>
      <c r="AB62" s="330">
        <v>3335410204.8826299</v>
      </c>
      <c r="AC62" s="330">
        <v>3803.6214734905898</v>
      </c>
      <c r="AD62" s="23">
        <f t="shared" si="50"/>
        <v>1.3761806875445496E-3</v>
      </c>
      <c r="AE62" s="23">
        <f t="shared" si="51"/>
        <v>1.4089195735864763E-3</v>
      </c>
      <c r="AF62" s="330">
        <v>3340289973.44666</v>
      </c>
      <c r="AG62" s="330">
        <v>3809.01802943763</v>
      </c>
      <c r="AH62" s="23">
        <f t="shared" si="52"/>
        <v>1.46301901843641E-3</v>
      </c>
      <c r="AI62" s="23">
        <f t="shared" si="53"/>
        <v>1.4187941635758622E-3</v>
      </c>
      <c r="AJ62" s="24">
        <f t="shared" si="16"/>
        <v>2.3255730205760543E-2</v>
      </c>
      <c r="AK62" s="24">
        <f t="shared" si="17"/>
        <v>1.401980646532536E-3</v>
      </c>
      <c r="AL62" s="25">
        <f t="shared" si="18"/>
        <v>0.18550850193102869</v>
      </c>
      <c r="AM62" s="25">
        <f t="shared" si="19"/>
        <v>9.8546048339386381E-3</v>
      </c>
      <c r="AN62" s="26">
        <f t="shared" si="20"/>
        <v>6.3110674970260822E-2</v>
      </c>
      <c r="AO62" s="78">
        <f t="shared" si="21"/>
        <v>4.6086493997911505E-5</v>
      </c>
      <c r="AP62" s="30"/>
      <c r="AQ62" s="28">
        <v>4056683843.0900002</v>
      </c>
      <c r="AR62" s="35">
        <v>1</v>
      </c>
      <c r="AS62" s="29" t="e">
        <f>(#REF!/AQ62)-1</f>
        <v>#REF!</v>
      </c>
      <c r="AT62" s="29" t="e">
        <f>(#REF!/AR62)-1</f>
        <v>#REF!</v>
      </c>
    </row>
    <row r="63" spans="1:48" ht="15" customHeight="1">
      <c r="A63" s="206" t="s">
        <v>230</v>
      </c>
      <c r="B63" s="330">
        <v>372397193.36000001</v>
      </c>
      <c r="C63" s="331">
        <v>107.39</v>
      </c>
      <c r="D63" s="330">
        <v>371909930.85000002</v>
      </c>
      <c r="E63" s="331">
        <v>107.56</v>
      </c>
      <c r="F63" s="23">
        <f t="shared" si="38"/>
        <v>-1.3084483951224333E-3</v>
      </c>
      <c r="G63" s="23">
        <f t="shared" si="39"/>
        <v>1.5830151783220198E-3</v>
      </c>
      <c r="H63" s="330">
        <v>368165213.85000002</v>
      </c>
      <c r="I63" s="331">
        <v>107.75</v>
      </c>
      <c r="J63" s="23">
        <f t="shared" si="40"/>
        <v>-1.0068881439765403E-2</v>
      </c>
      <c r="K63" s="23">
        <f t="shared" si="41"/>
        <v>1.7664559315730543E-3</v>
      </c>
      <c r="L63" s="330">
        <v>368425978.45999998</v>
      </c>
      <c r="M63" s="331">
        <v>107.89</v>
      </c>
      <c r="N63" s="23">
        <f t="shared" si="42"/>
        <v>7.082815002348291E-4</v>
      </c>
      <c r="O63" s="23">
        <f t="shared" si="43"/>
        <v>1.2993039443155506E-3</v>
      </c>
      <c r="P63" s="330">
        <v>370987150.94</v>
      </c>
      <c r="Q63" s="331">
        <v>108.16</v>
      </c>
      <c r="R63" s="23">
        <f t="shared" si="44"/>
        <v>6.9516609298442443E-3</v>
      </c>
      <c r="S63" s="23">
        <f t="shared" si="45"/>
        <v>2.5025488923903607E-3</v>
      </c>
      <c r="T63" s="330">
        <v>371677224.97000003</v>
      </c>
      <c r="U63" s="331">
        <v>108.33</v>
      </c>
      <c r="V63" s="23">
        <f t="shared" si="46"/>
        <v>1.8601022387204917E-3</v>
      </c>
      <c r="W63" s="23">
        <f t="shared" si="47"/>
        <v>1.5717455621301933E-3</v>
      </c>
      <c r="X63" s="330">
        <v>371001705.38999999</v>
      </c>
      <c r="Y63" s="331">
        <v>108.41</v>
      </c>
      <c r="Z63" s="23">
        <f t="shared" si="48"/>
        <v>-1.8174898396170697E-3</v>
      </c>
      <c r="AA63" s="23">
        <f t="shared" si="49"/>
        <v>7.3848426105417055E-4</v>
      </c>
      <c r="AB63" s="330">
        <v>374111792.54000002</v>
      </c>
      <c r="AC63" s="331">
        <v>108.92</v>
      </c>
      <c r="AD63" s="23">
        <f t="shared" si="50"/>
        <v>8.3829456975964226E-3</v>
      </c>
      <c r="AE63" s="23">
        <f t="shared" si="51"/>
        <v>4.7043630661378578E-3</v>
      </c>
      <c r="AF63" s="330">
        <v>375569073.83999997</v>
      </c>
      <c r="AG63" s="331">
        <v>109.19</v>
      </c>
      <c r="AH63" s="23">
        <f t="shared" si="52"/>
        <v>3.895309715061013E-3</v>
      </c>
      <c r="AI63" s="23">
        <f t="shared" si="53"/>
        <v>2.4788835842820055E-3</v>
      </c>
      <c r="AJ63" s="24">
        <f t="shared" si="16"/>
        <v>1.0754350508690119E-3</v>
      </c>
      <c r="AK63" s="24">
        <f t="shared" si="17"/>
        <v>2.0806000525256515E-3</v>
      </c>
      <c r="AL63" s="25">
        <f t="shared" si="18"/>
        <v>9.8387880679523133E-3</v>
      </c>
      <c r="AM63" s="25">
        <f t="shared" si="19"/>
        <v>1.5154332465600552E-2</v>
      </c>
      <c r="AN63" s="26">
        <f t="shared" si="20"/>
        <v>5.7926017424870836E-3</v>
      </c>
      <c r="AO63" s="78">
        <f t="shared" si="21"/>
        <v>1.2093511531462535E-3</v>
      </c>
      <c r="AP63" s="30"/>
      <c r="AQ63" s="28">
        <v>739078842.02999997</v>
      </c>
      <c r="AR63" s="32">
        <v>16.871500000000001</v>
      </c>
      <c r="AS63" s="29" t="e">
        <f>(#REF!/AQ63)-1</f>
        <v>#REF!</v>
      </c>
      <c r="AT63" s="29" t="e">
        <f>(#REF!/AR63)-1</f>
        <v>#REF!</v>
      </c>
    </row>
    <row r="64" spans="1:48">
      <c r="A64" s="206" t="s">
        <v>113</v>
      </c>
      <c r="B64" s="330">
        <v>340882225.94</v>
      </c>
      <c r="C64" s="331">
        <v>1.3908</v>
      </c>
      <c r="D64" s="330">
        <v>340596195.69</v>
      </c>
      <c r="E64" s="331">
        <v>1.3895999999999999</v>
      </c>
      <c r="F64" s="23">
        <f t="shared" si="38"/>
        <v>-8.390881900963217E-4</v>
      </c>
      <c r="G64" s="23">
        <f t="shared" si="39"/>
        <v>-8.6281276962905517E-4</v>
      </c>
      <c r="H64" s="330">
        <v>340795618.30000001</v>
      </c>
      <c r="I64" s="331">
        <v>1.3905000000000001</v>
      </c>
      <c r="J64" s="23">
        <f t="shared" si="40"/>
        <v>5.8551038597484076E-4</v>
      </c>
      <c r="K64" s="23">
        <f t="shared" si="41"/>
        <v>6.4766839378247191E-4</v>
      </c>
      <c r="L64" s="330">
        <v>340097957.56</v>
      </c>
      <c r="M64" s="331">
        <v>1.3875999999999999</v>
      </c>
      <c r="N64" s="23">
        <f t="shared" si="42"/>
        <v>-2.0471529049586067E-3</v>
      </c>
      <c r="O64" s="23">
        <f t="shared" si="43"/>
        <v>-2.085580726357515E-3</v>
      </c>
      <c r="P64" s="330">
        <v>339064704.94999999</v>
      </c>
      <c r="Q64" s="331">
        <v>1.3834</v>
      </c>
      <c r="R64" s="23">
        <f t="shared" si="44"/>
        <v>-3.0381029554337391E-3</v>
      </c>
      <c r="S64" s="23">
        <f t="shared" si="45"/>
        <v>-3.0268088786393641E-3</v>
      </c>
      <c r="T64" s="330">
        <v>337462591.33999997</v>
      </c>
      <c r="U64" s="331">
        <v>1.377</v>
      </c>
      <c r="V64" s="23">
        <f t="shared" si="46"/>
        <v>-4.72509697002013E-3</v>
      </c>
      <c r="W64" s="23">
        <f t="shared" si="47"/>
        <v>-4.6262830706953603E-3</v>
      </c>
      <c r="X64" s="330">
        <v>338235600.37</v>
      </c>
      <c r="Y64" s="331">
        <v>1.3801000000000001</v>
      </c>
      <c r="Z64" s="23">
        <f t="shared" si="48"/>
        <v>2.2906510227713203E-3</v>
      </c>
      <c r="AA64" s="23">
        <f t="shared" si="49"/>
        <v>2.2512708787219339E-3</v>
      </c>
      <c r="AB64" s="330">
        <v>340787570.67000002</v>
      </c>
      <c r="AC64" s="331">
        <v>1.3917999999999999</v>
      </c>
      <c r="AD64" s="23">
        <f t="shared" si="50"/>
        <v>7.5449488380536552E-3</v>
      </c>
      <c r="AE64" s="23">
        <f t="shared" si="51"/>
        <v>8.4776465473515115E-3</v>
      </c>
      <c r="AF64" s="330">
        <v>341383129.22000003</v>
      </c>
      <c r="AG64" s="331">
        <v>1.3942000000000001</v>
      </c>
      <c r="AH64" s="23">
        <f t="shared" si="52"/>
        <v>1.7475946931665479E-3</v>
      </c>
      <c r="AI64" s="23">
        <f t="shared" si="53"/>
        <v>1.7243856875989222E-3</v>
      </c>
      <c r="AJ64" s="24">
        <f t="shared" si="16"/>
        <v>1.8990798993219585E-4</v>
      </c>
      <c r="AK64" s="24">
        <f t="shared" si="17"/>
        <v>3.1243575776669316E-4</v>
      </c>
      <c r="AL64" s="25">
        <f t="shared" si="18"/>
        <v>2.3104589539111389E-3</v>
      </c>
      <c r="AM64" s="25">
        <f t="shared" si="19"/>
        <v>3.3103051237767414E-3</v>
      </c>
      <c r="AN64" s="26">
        <f t="shared" si="20"/>
        <v>3.8122591595023381E-3</v>
      </c>
      <c r="AO64" s="78">
        <f t="shared" si="21"/>
        <v>4.0568975295495148E-3</v>
      </c>
      <c r="AP64" s="30"/>
      <c r="AQ64" s="36">
        <v>0</v>
      </c>
      <c r="AR64" s="37">
        <v>0</v>
      </c>
      <c r="AS64" s="29" t="e">
        <f>(#REF!/AQ64)-1</f>
        <v>#REF!</v>
      </c>
      <c r="AT64" s="29" t="e">
        <f>(#REF!/AR64)-1</f>
        <v>#REF!</v>
      </c>
    </row>
    <row r="65" spans="1:46">
      <c r="A65" s="206" t="s">
        <v>246</v>
      </c>
      <c r="B65" s="330">
        <v>444801789.26999998</v>
      </c>
      <c r="C65" s="74">
        <v>1000</v>
      </c>
      <c r="D65" s="330">
        <v>445718180.58999997</v>
      </c>
      <c r="E65" s="74">
        <v>1000</v>
      </c>
      <c r="F65" s="23">
        <f t="shared" si="38"/>
        <v>2.0602239966344481E-3</v>
      </c>
      <c r="G65" s="23">
        <f t="shared" si="39"/>
        <v>0</v>
      </c>
      <c r="H65" s="330">
        <v>458389005.96999997</v>
      </c>
      <c r="I65" s="74">
        <v>1000</v>
      </c>
      <c r="J65" s="23">
        <f t="shared" si="40"/>
        <v>2.8427885448216502E-2</v>
      </c>
      <c r="K65" s="23">
        <f t="shared" si="41"/>
        <v>0</v>
      </c>
      <c r="L65" s="330">
        <v>457590097.81999999</v>
      </c>
      <c r="M65" s="74">
        <v>1000</v>
      </c>
      <c r="N65" s="23">
        <f t="shared" si="42"/>
        <v>-1.7428606262259747E-3</v>
      </c>
      <c r="O65" s="23">
        <f t="shared" si="43"/>
        <v>0</v>
      </c>
      <c r="P65" s="330">
        <v>503295743.56999999</v>
      </c>
      <c r="Q65" s="74">
        <v>1000</v>
      </c>
      <c r="R65" s="23">
        <f t="shared" si="44"/>
        <v>9.9883380273624298E-2</v>
      </c>
      <c r="S65" s="23">
        <f t="shared" si="45"/>
        <v>0</v>
      </c>
      <c r="T65" s="330">
        <v>503470300.90999997</v>
      </c>
      <c r="U65" s="74">
        <v>1000</v>
      </c>
      <c r="V65" s="23">
        <f t="shared" si="46"/>
        <v>3.4682856398068418E-4</v>
      </c>
      <c r="W65" s="23">
        <f t="shared" si="47"/>
        <v>0</v>
      </c>
      <c r="X65" s="330">
        <v>528150193.79000002</v>
      </c>
      <c r="Y65" s="74">
        <v>1000</v>
      </c>
      <c r="Z65" s="23">
        <f t="shared" si="48"/>
        <v>4.9019560509114948E-2</v>
      </c>
      <c r="AA65" s="23">
        <f t="shared" si="49"/>
        <v>0</v>
      </c>
      <c r="AB65" s="330">
        <v>532482007.37000006</v>
      </c>
      <c r="AC65" s="74">
        <v>1000</v>
      </c>
      <c r="AD65" s="23">
        <f t="shared" si="50"/>
        <v>8.2018593023984263E-3</v>
      </c>
      <c r="AE65" s="23">
        <f t="shared" si="51"/>
        <v>0</v>
      </c>
      <c r="AF65" s="330">
        <v>531561966.30000001</v>
      </c>
      <c r="AG65" s="74">
        <v>1000</v>
      </c>
      <c r="AH65" s="23">
        <f t="shared" si="52"/>
        <v>-1.7278350390546686E-3</v>
      </c>
      <c r="AI65" s="23">
        <f t="shared" si="53"/>
        <v>0</v>
      </c>
      <c r="AJ65" s="24">
        <f t="shared" si="16"/>
        <v>2.3058630303586083E-2</v>
      </c>
      <c r="AK65" s="24">
        <f t="shared" si="17"/>
        <v>0</v>
      </c>
      <c r="AL65" s="25">
        <f t="shared" si="18"/>
        <v>0.19259655416426602</v>
      </c>
      <c r="AM65" s="25">
        <f t="shared" si="19"/>
        <v>0</v>
      </c>
      <c r="AN65" s="26">
        <f t="shared" si="20"/>
        <v>3.5880369628410527E-2</v>
      </c>
      <c r="AO65" s="78">
        <f t="shared" si="21"/>
        <v>0</v>
      </c>
      <c r="AP65" s="30"/>
      <c r="AQ65" s="28">
        <v>3320655667.8400002</v>
      </c>
      <c r="AR65" s="32">
        <v>177.09</v>
      </c>
      <c r="AS65" s="29" t="e">
        <f>(#REF!/AQ65)-1</f>
        <v>#REF!</v>
      </c>
      <c r="AT65" s="29" t="e">
        <f>(#REF!/AR65)-1</f>
        <v>#REF!</v>
      </c>
    </row>
    <row r="66" spans="1:46">
      <c r="A66" s="206" t="s">
        <v>104</v>
      </c>
      <c r="B66" s="330">
        <v>362846518.14999998</v>
      </c>
      <c r="C66" s="74">
        <v>1127.8399999999999</v>
      </c>
      <c r="D66" s="330">
        <v>364819688.75</v>
      </c>
      <c r="E66" s="74">
        <v>1134.31</v>
      </c>
      <c r="F66" s="23">
        <f t="shared" si="38"/>
        <v>5.4380309615767609E-3</v>
      </c>
      <c r="G66" s="23">
        <f t="shared" si="39"/>
        <v>5.7366293091218861E-3</v>
      </c>
      <c r="H66" s="330">
        <v>365388928.73000002</v>
      </c>
      <c r="I66" s="74">
        <v>1136.72</v>
      </c>
      <c r="J66" s="23">
        <f t="shared" si="40"/>
        <v>1.5603323985896556E-3</v>
      </c>
      <c r="K66" s="23">
        <f t="shared" si="41"/>
        <v>2.1246396487733352E-3</v>
      </c>
      <c r="L66" s="330">
        <v>366014735.10000002</v>
      </c>
      <c r="M66" s="74">
        <v>1138.07</v>
      </c>
      <c r="N66" s="23">
        <f t="shared" si="42"/>
        <v>1.7127130046746359E-3</v>
      </c>
      <c r="O66" s="23">
        <f t="shared" si="43"/>
        <v>1.1876275599971048E-3</v>
      </c>
      <c r="P66" s="330">
        <v>366527868.69999999</v>
      </c>
      <c r="Q66" s="74">
        <v>1140.19</v>
      </c>
      <c r="R66" s="23">
        <f t="shared" si="44"/>
        <v>1.4019479293907919E-3</v>
      </c>
      <c r="S66" s="23">
        <f t="shared" si="45"/>
        <v>1.8628028152926606E-3</v>
      </c>
      <c r="T66" s="330">
        <v>367391132.01999998</v>
      </c>
      <c r="U66" s="74">
        <v>1141.69</v>
      </c>
      <c r="V66" s="23">
        <f t="shared" si="46"/>
        <v>2.3552460637217376E-3</v>
      </c>
      <c r="W66" s="23">
        <f t="shared" si="47"/>
        <v>1.3155702119822135E-3</v>
      </c>
      <c r="X66" s="330">
        <v>313116037.93000001</v>
      </c>
      <c r="Y66" s="74">
        <v>1141.69</v>
      </c>
      <c r="Z66" s="23">
        <f t="shared" si="48"/>
        <v>-0.14773109462817779</v>
      </c>
      <c r="AA66" s="23">
        <f t="shared" si="49"/>
        <v>0</v>
      </c>
      <c r="AB66" s="330">
        <v>313935607.06999999</v>
      </c>
      <c r="AC66" s="74">
        <v>1148.69</v>
      </c>
      <c r="AD66" s="23">
        <f t="shared" si="50"/>
        <v>2.617461390410184E-3</v>
      </c>
      <c r="AE66" s="23">
        <f t="shared" si="51"/>
        <v>6.1312615508588141E-3</v>
      </c>
      <c r="AF66" s="330">
        <v>314541731.98000002</v>
      </c>
      <c r="AG66" s="74">
        <v>1151.0999999999999</v>
      </c>
      <c r="AH66" s="23">
        <f t="shared" si="52"/>
        <v>1.9307300489328537E-3</v>
      </c>
      <c r="AI66" s="23">
        <f t="shared" si="53"/>
        <v>2.0980421175424654E-3</v>
      </c>
      <c r="AJ66" s="24">
        <f t="shared" si="16"/>
        <v>-1.6339329103860146E-2</v>
      </c>
      <c r="AK66" s="24">
        <f t="shared" si="17"/>
        <v>2.5570716516960597E-3</v>
      </c>
      <c r="AL66" s="25">
        <f t="shared" si="18"/>
        <v>-0.13781590829779464</v>
      </c>
      <c r="AM66" s="25">
        <f t="shared" si="19"/>
        <v>1.4801950084192122E-2</v>
      </c>
      <c r="AN66" s="26">
        <f t="shared" si="20"/>
        <v>5.3105983768262463E-2</v>
      </c>
      <c r="AO66" s="78">
        <f t="shared" si="21"/>
        <v>2.1947812607169036E-3</v>
      </c>
      <c r="AP66" s="30"/>
      <c r="AQ66" s="46">
        <v>1300500308</v>
      </c>
      <c r="AR66" s="32">
        <v>1.19</v>
      </c>
      <c r="AS66" s="29" t="e">
        <f>(#REF!/AQ66)-1</f>
        <v>#REF!</v>
      </c>
      <c r="AT66" s="29" t="e">
        <f>(#REF!/AR66)-1</f>
        <v>#REF!</v>
      </c>
    </row>
    <row r="67" spans="1:46">
      <c r="A67" s="206" t="s">
        <v>176</v>
      </c>
      <c r="B67" s="330">
        <v>690994080.95000005</v>
      </c>
      <c r="C67" s="315">
        <v>1.0882000000000001</v>
      </c>
      <c r="D67" s="330">
        <v>692369762.98000002</v>
      </c>
      <c r="E67" s="315">
        <v>1.0904</v>
      </c>
      <c r="F67" s="23">
        <f t="shared" si="38"/>
        <v>1.990873826456865E-3</v>
      </c>
      <c r="G67" s="23">
        <f t="shared" si="39"/>
        <v>2.0216871898547876E-3</v>
      </c>
      <c r="H67" s="330">
        <v>693703744.47000003</v>
      </c>
      <c r="I67" s="315">
        <v>1.0923</v>
      </c>
      <c r="J67" s="23">
        <f t="shared" si="40"/>
        <v>1.9266894098010218E-3</v>
      </c>
      <c r="K67" s="23">
        <f t="shared" si="41"/>
        <v>1.7424798239178399E-3</v>
      </c>
      <c r="L67" s="330">
        <v>695563931.83000004</v>
      </c>
      <c r="M67" s="315">
        <v>1.0945</v>
      </c>
      <c r="N67" s="23">
        <f t="shared" si="42"/>
        <v>2.6815299395871435E-3</v>
      </c>
      <c r="O67" s="23">
        <f t="shared" si="43"/>
        <v>2.0140986908358323E-3</v>
      </c>
      <c r="P67" s="330">
        <v>696719584.15999997</v>
      </c>
      <c r="Q67" s="315">
        <v>1.0964</v>
      </c>
      <c r="R67" s="23">
        <f t="shared" si="44"/>
        <v>1.6614609773676016E-3</v>
      </c>
      <c r="S67" s="23">
        <f t="shared" si="45"/>
        <v>1.7359524897213455E-3</v>
      </c>
      <c r="T67" s="330">
        <v>697726554.75</v>
      </c>
      <c r="U67" s="315">
        <v>1.099</v>
      </c>
      <c r="V67" s="23">
        <f t="shared" si="46"/>
        <v>1.4453025476728742E-3</v>
      </c>
      <c r="W67" s="23">
        <f t="shared" si="47"/>
        <v>2.3713973002553227E-3</v>
      </c>
      <c r="X67" s="330">
        <v>699363091.37</v>
      </c>
      <c r="Y67" s="315">
        <v>1.1008</v>
      </c>
      <c r="Z67" s="23">
        <f t="shared" si="48"/>
        <v>2.345527210995125E-3</v>
      </c>
      <c r="AA67" s="23">
        <f t="shared" si="49"/>
        <v>1.6378525932666276E-3</v>
      </c>
      <c r="AB67" s="330">
        <v>701085602.53999996</v>
      </c>
      <c r="AC67" s="315">
        <v>1.1026</v>
      </c>
      <c r="AD67" s="23">
        <f t="shared" si="50"/>
        <v>2.4629712251838833E-3</v>
      </c>
      <c r="AE67" s="23">
        <f t="shared" si="51"/>
        <v>1.6351744186046727E-3</v>
      </c>
      <c r="AF67" s="330">
        <v>703767099.83000004</v>
      </c>
      <c r="AG67" s="315">
        <v>1.1048</v>
      </c>
      <c r="AH67" s="23">
        <f t="shared" si="52"/>
        <v>3.8247787150173149E-3</v>
      </c>
      <c r="AI67" s="23">
        <f t="shared" si="53"/>
        <v>1.9952838744784871E-3</v>
      </c>
      <c r="AJ67" s="24">
        <f t="shared" si="16"/>
        <v>2.2923917315102287E-3</v>
      </c>
      <c r="AK67" s="24">
        <f t="shared" si="17"/>
        <v>1.8942407976168644E-3</v>
      </c>
      <c r="AL67" s="25">
        <f t="shared" si="18"/>
        <v>1.6461344009225963E-2</v>
      </c>
      <c r="AM67" s="25">
        <f t="shared" si="19"/>
        <v>1.3206162876008775E-2</v>
      </c>
      <c r="AN67" s="26">
        <f t="shared" si="20"/>
        <v>7.437207705774106E-4</v>
      </c>
      <c r="AO67" s="78">
        <f t="shared" si="21"/>
        <v>2.5338660762673954E-4</v>
      </c>
      <c r="AP67" s="30"/>
      <c r="AQ67" s="31">
        <v>776682398.99000001</v>
      </c>
      <c r="AR67" s="35">
        <v>2.4700000000000002</v>
      </c>
      <c r="AS67" s="29" t="e">
        <f>(#REF!/AQ67)-1</f>
        <v>#REF!</v>
      </c>
      <c r="AT67" s="29" t="e">
        <f>(#REF!/AR67)-1</f>
        <v>#REF!</v>
      </c>
    </row>
    <row r="68" spans="1:46">
      <c r="A68" s="206" t="s">
        <v>218</v>
      </c>
      <c r="B68" s="330">
        <v>65613417472.910004</v>
      </c>
      <c r="C68" s="330">
        <v>1504.69</v>
      </c>
      <c r="D68" s="330">
        <v>66596249051.779999</v>
      </c>
      <c r="E68" s="330">
        <v>1507.51</v>
      </c>
      <c r="F68" s="23">
        <f t="shared" si="38"/>
        <v>1.4979124952236782E-2</v>
      </c>
      <c r="G68" s="23">
        <f t="shared" si="39"/>
        <v>1.8741401883444007E-3</v>
      </c>
      <c r="H68" s="330">
        <v>64168047203.940002</v>
      </c>
      <c r="I68" s="330">
        <v>1510.32</v>
      </c>
      <c r="J68" s="23">
        <f t="shared" si="40"/>
        <v>-3.6461540738608536E-2</v>
      </c>
      <c r="K68" s="23">
        <f t="shared" si="41"/>
        <v>1.8640009021498667E-3</v>
      </c>
      <c r="L68" s="330">
        <v>64319937726.480003</v>
      </c>
      <c r="M68" s="330">
        <v>1513.38</v>
      </c>
      <c r="N68" s="23">
        <f t="shared" si="42"/>
        <v>2.367074099313944E-3</v>
      </c>
      <c r="O68" s="23">
        <f t="shared" si="43"/>
        <v>2.0260607023678246E-3</v>
      </c>
      <c r="P68" s="330">
        <v>63676589046.669998</v>
      </c>
      <c r="Q68" s="330">
        <v>1516.24</v>
      </c>
      <c r="R68" s="23">
        <f t="shared" si="44"/>
        <v>-1.000232124828603E-2</v>
      </c>
      <c r="S68" s="23">
        <f t="shared" si="45"/>
        <v>1.8898095653437337E-3</v>
      </c>
      <c r="T68" s="330">
        <v>63774472441.470001</v>
      </c>
      <c r="U68" s="330">
        <v>1520.03</v>
      </c>
      <c r="V68" s="23">
        <f t="shared" si="46"/>
        <v>1.5371959501201001E-3</v>
      </c>
      <c r="W68" s="23">
        <f t="shared" si="47"/>
        <v>2.4996042842821476E-3</v>
      </c>
      <c r="X68" s="330">
        <v>64415746721.839996</v>
      </c>
      <c r="Y68" s="330">
        <v>1522.85</v>
      </c>
      <c r="Z68" s="23">
        <f t="shared" si="48"/>
        <v>1.0055344337948611E-2</v>
      </c>
      <c r="AA68" s="23">
        <f t="shared" si="49"/>
        <v>1.8552265415813743E-3</v>
      </c>
      <c r="AB68" s="330">
        <v>65135460613.57</v>
      </c>
      <c r="AC68" s="330">
        <v>1526.63</v>
      </c>
      <c r="AD68" s="23">
        <f t="shared" si="50"/>
        <v>1.1172949602491935E-2</v>
      </c>
      <c r="AE68" s="23">
        <f t="shared" si="51"/>
        <v>2.4821880027581181E-3</v>
      </c>
      <c r="AF68" s="330">
        <v>65196292622.389999</v>
      </c>
      <c r="AG68" s="330">
        <v>1529.95</v>
      </c>
      <c r="AH68" s="23">
        <f t="shared" si="52"/>
        <v>9.339307382947447E-4</v>
      </c>
      <c r="AI68" s="23">
        <f t="shared" si="53"/>
        <v>2.1747247204626768E-3</v>
      </c>
      <c r="AJ68" s="24">
        <f t="shared" si="16"/>
        <v>-6.7728028831105639E-4</v>
      </c>
      <c r="AK68" s="24">
        <f t="shared" si="17"/>
        <v>2.083219363411268E-3</v>
      </c>
      <c r="AL68" s="25">
        <f t="shared" si="18"/>
        <v>-2.102155075282849E-2</v>
      </c>
      <c r="AM68" s="25">
        <f t="shared" si="19"/>
        <v>1.4885473396528086E-2</v>
      </c>
      <c r="AN68" s="26">
        <f t="shared" si="20"/>
        <v>1.6409831066378427E-2</v>
      </c>
      <c r="AO68" s="78">
        <f t="shared" si="21"/>
        <v>2.7395297625980867E-4</v>
      </c>
      <c r="AP68" s="30"/>
      <c r="AQ68" s="28">
        <v>8144502990.9799995</v>
      </c>
      <c r="AR68" s="28">
        <v>2263.5700000000002</v>
      </c>
      <c r="AS68" s="29" t="e">
        <f>(#REF!/AQ68)-1</f>
        <v>#REF!</v>
      </c>
      <c r="AT68" s="29" t="e">
        <f>(#REF!/AR68)-1</f>
        <v>#REF!</v>
      </c>
    </row>
    <row r="69" spans="1:46">
      <c r="A69" s="206" t="s">
        <v>180</v>
      </c>
      <c r="B69" s="330">
        <v>21201287.93</v>
      </c>
      <c r="C69" s="330">
        <v>0.63200000000000001</v>
      </c>
      <c r="D69" s="330">
        <v>21218533.559999999</v>
      </c>
      <c r="E69" s="330">
        <v>0.63300000000000001</v>
      </c>
      <c r="F69" s="23">
        <f t="shared" si="38"/>
        <v>8.1342369656686026E-4</v>
      </c>
      <c r="G69" s="23">
        <f t="shared" si="39"/>
        <v>1.5822784810126597E-3</v>
      </c>
      <c r="H69" s="330">
        <v>21266499.98</v>
      </c>
      <c r="I69" s="330">
        <v>0.63439999999999996</v>
      </c>
      <c r="J69" s="23">
        <f t="shared" si="40"/>
        <v>2.2605907172786634E-3</v>
      </c>
      <c r="K69" s="23">
        <f t="shared" si="41"/>
        <v>2.2116903633490627E-3</v>
      </c>
      <c r="L69" s="330">
        <v>21328124.23</v>
      </c>
      <c r="M69" s="330">
        <v>0.63629999999999998</v>
      </c>
      <c r="N69" s="23">
        <f t="shared" si="42"/>
        <v>2.8977147183577123E-3</v>
      </c>
      <c r="O69" s="23">
        <f t="shared" si="43"/>
        <v>2.9949558638083431E-3</v>
      </c>
      <c r="P69" s="330">
        <v>21373812.640000001</v>
      </c>
      <c r="Q69" s="330">
        <v>0.63759999999999994</v>
      </c>
      <c r="R69" s="23">
        <f t="shared" si="44"/>
        <v>2.1421672861289473E-3</v>
      </c>
      <c r="S69" s="23">
        <f t="shared" si="45"/>
        <v>2.0430614490019928E-3</v>
      </c>
      <c r="T69" s="330">
        <v>21421835.140000001</v>
      </c>
      <c r="U69" s="330">
        <v>0.6391</v>
      </c>
      <c r="V69" s="23">
        <f t="shared" si="46"/>
        <v>2.2467914736993781E-3</v>
      </c>
      <c r="W69" s="23">
        <f t="shared" si="47"/>
        <v>2.3525721455458859E-3</v>
      </c>
      <c r="X69" s="330">
        <v>21442406.440000001</v>
      </c>
      <c r="Y69" s="330">
        <v>0.63970000000000005</v>
      </c>
      <c r="Z69" s="23">
        <f t="shared" si="48"/>
        <v>9.6029587874051504E-4</v>
      </c>
      <c r="AA69" s="23">
        <f t="shared" si="49"/>
        <v>9.3882021592871993E-4</v>
      </c>
      <c r="AB69" s="330">
        <v>21256349.329999998</v>
      </c>
      <c r="AC69" s="330">
        <v>0.63970000000000005</v>
      </c>
      <c r="AD69" s="23">
        <f t="shared" si="50"/>
        <v>-8.6770629276441934E-3</v>
      </c>
      <c r="AE69" s="23">
        <f t="shared" si="51"/>
        <v>0</v>
      </c>
      <c r="AF69" s="330">
        <v>21256349.329999998</v>
      </c>
      <c r="AG69" s="330">
        <v>0.63560000000000005</v>
      </c>
      <c r="AH69" s="23">
        <f t="shared" si="52"/>
        <v>0</v>
      </c>
      <c r="AI69" s="23">
        <f t="shared" si="53"/>
        <v>-6.4092543379709113E-3</v>
      </c>
      <c r="AJ69" s="24">
        <f t="shared" si="16"/>
        <v>3.3049010539098534E-4</v>
      </c>
      <c r="AK69" s="24">
        <f t="shared" si="17"/>
        <v>7.1426552258446914E-4</v>
      </c>
      <c r="AL69" s="25">
        <f t="shared" si="18"/>
        <v>1.7822046887956359E-3</v>
      </c>
      <c r="AM69" s="25">
        <f t="shared" si="19"/>
        <v>4.1074249605056031E-3</v>
      </c>
      <c r="AN69" s="26">
        <f t="shared" si="20"/>
        <v>3.7634602475676107E-3</v>
      </c>
      <c r="AO69" s="78">
        <f t="shared" si="21"/>
        <v>3.0225854244805483E-3</v>
      </c>
      <c r="AP69" s="30"/>
      <c r="AQ69" s="28"/>
      <c r="AR69" s="28"/>
      <c r="AS69" s="29"/>
      <c r="AT69" s="29"/>
    </row>
    <row r="70" spans="1:46">
      <c r="A70" s="206" t="s">
        <v>107</v>
      </c>
      <c r="B70" s="330">
        <v>788419376.44000006</v>
      </c>
      <c r="C70" s="331">
        <v>199.809046</v>
      </c>
      <c r="D70" s="330">
        <v>793113557.49000001</v>
      </c>
      <c r="E70" s="331">
        <v>200.23645500000001</v>
      </c>
      <c r="F70" s="23">
        <f t="shared" si="38"/>
        <v>5.9539138563487436E-3</v>
      </c>
      <c r="G70" s="23">
        <f t="shared" si="39"/>
        <v>2.1390873364162477E-3</v>
      </c>
      <c r="H70" s="330">
        <v>786291758.03999996</v>
      </c>
      <c r="I70" s="331">
        <v>200.799667</v>
      </c>
      <c r="J70" s="23">
        <f t="shared" si="40"/>
        <v>-8.6012896710393957E-3</v>
      </c>
      <c r="K70" s="23">
        <f t="shared" si="41"/>
        <v>2.8127345742312154E-3</v>
      </c>
      <c r="L70" s="330">
        <v>999353843.46000004</v>
      </c>
      <c r="M70" s="331">
        <v>201.56763100000001</v>
      </c>
      <c r="N70" s="23">
        <f t="shared" si="42"/>
        <v>0.27097077292416594</v>
      </c>
      <c r="O70" s="23">
        <f t="shared" si="43"/>
        <v>3.8245282548202949E-3</v>
      </c>
      <c r="P70" s="330">
        <v>789656823.55999994</v>
      </c>
      <c r="Q70" s="331">
        <v>200.332033</v>
      </c>
      <c r="R70" s="23">
        <f t="shared" si="44"/>
        <v>-0.20983260460977393</v>
      </c>
      <c r="S70" s="23">
        <f t="shared" si="45"/>
        <v>-6.1299425600731009E-3</v>
      </c>
      <c r="T70" s="330">
        <v>790952271.98000002</v>
      </c>
      <c r="U70" s="331">
        <v>200.87907000000001</v>
      </c>
      <c r="V70" s="23">
        <f t="shared" si="46"/>
        <v>1.6405207697184486E-3</v>
      </c>
      <c r="W70" s="23">
        <f t="shared" si="47"/>
        <v>2.7306516676742221E-3</v>
      </c>
      <c r="X70" s="330">
        <v>793597828.27999997</v>
      </c>
      <c r="Y70" s="331">
        <v>201.634435</v>
      </c>
      <c r="Z70" s="23">
        <f t="shared" si="48"/>
        <v>3.3447736275885528E-3</v>
      </c>
      <c r="AA70" s="23">
        <f t="shared" si="49"/>
        <v>3.7602971777994758E-3</v>
      </c>
      <c r="AB70" s="330">
        <v>794419420.58000004</v>
      </c>
      <c r="AC70" s="331">
        <v>202.07501300000001</v>
      </c>
      <c r="AD70" s="23">
        <f t="shared" si="50"/>
        <v>1.0352753885185715E-3</v>
      </c>
      <c r="AE70" s="23">
        <f t="shared" si="51"/>
        <v>2.1850335236638344E-3</v>
      </c>
      <c r="AF70" s="330">
        <v>757080412.45000005</v>
      </c>
      <c r="AG70" s="331">
        <v>200.50473099999999</v>
      </c>
      <c r="AH70" s="23">
        <f t="shared" si="52"/>
        <v>-4.7001630577886741E-2</v>
      </c>
      <c r="AI70" s="23">
        <f t="shared" si="53"/>
        <v>-7.7707875738205201E-3</v>
      </c>
      <c r="AJ70" s="24">
        <f t="shared" ref="AJ70:AJ133" si="54">AVERAGE(F70,J70,N70,R70,V70,Z70,AD70,AH70)</f>
        <v>2.1887164634550212E-3</v>
      </c>
      <c r="AK70" s="24">
        <f t="shared" ref="AK70:AK133" si="55">AVERAGE(G70,K70,O70,S70,W70,AA70,AE70,AI70)</f>
        <v>4.439503000889587E-4</v>
      </c>
      <c r="AL70" s="25">
        <f t="shared" ref="AL70:AL133" si="56">((AF70-D70)/D70)</f>
        <v>-4.5432516818947818E-2</v>
      </c>
      <c r="AM70" s="25">
        <f t="shared" ref="AM70:AM133" si="57">((AG70-E70)/E70)</f>
        <v>1.3397959926926691E-3</v>
      </c>
      <c r="AN70" s="26">
        <f t="shared" ref="AN70:AN133" si="58">STDEV(F70,J70,N70,R70,V70,Z70,AD70,AH70)</f>
        <v>0.13079432767501931</v>
      </c>
      <c r="AO70" s="78">
        <f t="shared" ref="AO70:AO133" si="59">STDEV(G70,K70,O70,S70,W70,AA70,AE70,AI70)</f>
        <v>4.6270856616314991E-3</v>
      </c>
      <c r="AP70" s="30"/>
      <c r="AQ70" s="28">
        <v>421796041.39999998</v>
      </c>
      <c r="AR70" s="28">
        <v>2004.5</v>
      </c>
      <c r="AS70" s="29" t="e">
        <f>(#REF!/AQ70)-1</f>
        <v>#REF!</v>
      </c>
      <c r="AT70" s="29" t="e">
        <f>(#REF!/AR70)-1</f>
        <v>#REF!</v>
      </c>
    </row>
    <row r="71" spans="1:46">
      <c r="A71" s="206" t="s">
        <v>114</v>
      </c>
      <c r="B71" s="330">
        <v>1422977608.54</v>
      </c>
      <c r="C71" s="331">
        <v>3.52</v>
      </c>
      <c r="D71" s="330">
        <v>1424233832.3800001</v>
      </c>
      <c r="E71" s="331">
        <v>3.53</v>
      </c>
      <c r="F71" s="23">
        <f t="shared" si="38"/>
        <v>8.8281349788002657E-4</v>
      </c>
      <c r="G71" s="23">
        <f t="shared" si="39"/>
        <v>2.8409090909090303E-3</v>
      </c>
      <c r="H71" s="330">
        <v>1425107169.76</v>
      </c>
      <c r="I71" s="331">
        <v>3.53</v>
      </c>
      <c r="J71" s="23">
        <f t="shared" si="40"/>
        <v>6.1319802980699077E-4</v>
      </c>
      <c r="K71" s="23">
        <f t="shared" si="41"/>
        <v>0</v>
      </c>
      <c r="L71" s="330">
        <v>1411626638.6099999</v>
      </c>
      <c r="M71" s="331">
        <v>3.53</v>
      </c>
      <c r="N71" s="23">
        <f t="shared" si="42"/>
        <v>-9.4593104547150159E-3</v>
      </c>
      <c r="O71" s="23">
        <f t="shared" si="43"/>
        <v>0</v>
      </c>
      <c r="P71" s="330">
        <v>1412833667.97</v>
      </c>
      <c r="Q71" s="331">
        <v>3.54</v>
      </c>
      <c r="R71" s="23">
        <f t="shared" si="44"/>
        <v>8.55062753129022E-4</v>
      </c>
      <c r="S71" s="23">
        <f t="shared" si="45"/>
        <v>2.8328611898017653E-3</v>
      </c>
      <c r="T71" s="330">
        <v>1414466170.78</v>
      </c>
      <c r="U71" s="331">
        <v>3.54</v>
      </c>
      <c r="V71" s="23">
        <f t="shared" si="46"/>
        <v>1.1554812480832012E-3</v>
      </c>
      <c r="W71" s="23">
        <f t="shared" si="47"/>
        <v>0</v>
      </c>
      <c r="X71" s="330">
        <v>1401759105.8099999</v>
      </c>
      <c r="Y71" s="331">
        <v>3.54</v>
      </c>
      <c r="Z71" s="23">
        <f t="shared" si="48"/>
        <v>-8.9836471401735854E-3</v>
      </c>
      <c r="AA71" s="23">
        <f t="shared" si="49"/>
        <v>0</v>
      </c>
      <c r="AB71" s="330">
        <v>1353876211.78</v>
      </c>
      <c r="AC71" s="331">
        <v>3.55</v>
      </c>
      <c r="AD71" s="23">
        <f t="shared" si="50"/>
        <v>-3.4159146055506497E-2</v>
      </c>
      <c r="AE71" s="23">
        <f t="shared" si="51"/>
        <v>2.8248587570620866E-3</v>
      </c>
      <c r="AF71" s="330">
        <v>1355220008.55</v>
      </c>
      <c r="AG71" s="331">
        <v>3.55</v>
      </c>
      <c r="AH71" s="23">
        <f t="shared" si="52"/>
        <v>9.9255512306640863E-4</v>
      </c>
      <c r="AI71" s="23">
        <f t="shared" si="53"/>
        <v>0</v>
      </c>
      <c r="AJ71" s="24">
        <f t="shared" si="54"/>
        <v>-6.0128741248036809E-3</v>
      </c>
      <c r="AK71" s="24">
        <f t="shared" si="55"/>
        <v>1.0623286297216103E-3</v>
      </c>
      <c r="AL71" s="25">
        <f t="shared" si="56"/>
        <v>-4.8456806923813177E-2</v>
      </c>
      <c r="AM71" s="25">
        <f t="shared" si="57"/>
        <v>5.6657223796034049E-3</v>
      </c>
      <c r="AN71" s="26">
        <f t="shared" si="58"/>
        <v>1.2259114940833503E-2</v>
      </c>
      <c r="AO71" s="78">
        <f t="shared" si="59"/>
        <v>1.4661590753995602E-3</v>
      </c>
      <c r="AP71" s="30"/>
      <c r="AQ71" s="28"/>
      <c r="AR71" s="28"/>
      <c r="AS71" s="29"/>
      <c r="AT71" s="29"/>
    </row>
    <row r="72" spans="1:46">
      <c r="A72" s="206" t="s">
        <v>87</v>
      </c>
      <c r="B72" s="330">
        <v>15651430173.290001</v>
      </c>
      <c r="C72" s="330">
        <v>1179.49</v>
      </c>
      <c r="D72" s="330">
        <v>15642791633.190001</v>
      </c>
      <c r="E72" s="330">
        <v>1181.22</v>
      </c>
      <c r="F72" s="23">
        <f t="shared" si="38"/>
        <v>-5.5193295464733383E-4</v>
      </c>
      <c r="G72" s="23">
        <f t="shared" si="39"/>
        <v>1.4667356230235256E-3</v>
      </c>
      <c r="H72" s="330">
        <v>15583760859.870001</v>
      </c>
      <c r="I72" s="330">
        <v>1182.93</v>
      </c>
      <c r="J72" s="23">
        <f t="shared" si="40"/>
        <v>-3.7736725454267065E-3</v>
      </c>
      <c r="K72" s="23">
        <f t="shared" si="41"/>
        <v>1.447655813481008E-3</v>
      </c>
      <c r="L72" s="330">
        <v>15651466057.75</v>
      </c>
      <c r="M72" s="330">
        <v>1184.77</v>
      </c>
      <c r="N72" s="23">
        <f t="shared" si="42"/>
        <v>4.3445993870675935E-3</v>
      </c>
      <c r="O72" s="23">
        <f t="shared" si="43"/>
        <v>1.555459748252152E-3</v>
      </c>
      <c r="P72" s="330">
        <v>15651466057.75</v>
      </c>
      <c r="Q72" s="330">
        <v>1184.77</v>
      </c>
      <c r="R72" s="23">
        <f t="shared" si="44"/>
        <v>0</v>
      </c>
      <c r="S72" s="23">
        <f t="shared" si="45"/>
        <v>0</v>
      </c>
      <c r="T72" s="330">
        <v>15818105182.459999</v>
      </c>
      <c r="U72" s="330">
        <v>1169.45</v>
      </c>
      <c r="V72" s="23">
        <f t="shared" si="46"/>
        <v>1.0646870018127525E-2</v>
      </c>
      <c r="W72" s="23">
        <f t="shared" si="47"/>
        <v>-1.2930779813803469E-2</v>
      </c>
      <c r="X72" s="330">
        <v>15908141027.219999</v>
      </c>
      <c r="Y72" s="330">
        <v>1171.44</v>
      </c>
      <c r="Z72" s="23">
        <f t="shared" si="48"/>
        <v>5.691948796739385E-3</v>
      </c>
      <c r="AA72" s="23">
        <f t="shared" si="49"/>
        <v>1.70165462396854E-3</v>
      </c>
      <c r="AB72" s="330">
        <v>15891519879.780001</v>
      </c>
      <c r="AC72" s="330">
        <v>1170.21</v>
      </c>
      <c r="AD72" s="23">
        <f t="shared" si="50"/>
        <v>-1.044820222020827E-3</v>
      </c>
      <c r="AE72" s="23">
        <f t="shared" si="51"/>
        <v>-1.0499897561975159E-3</v>
      </c>
      <c r="AF72" s="330">
        <v>15911278976.85</v>
      </c>
      <c r="AG72" s="330">
        <v>1175.8</v>
      </c>
      <c r="AH72" s="23">
        <f t="shared" si="52"/>
        <v>1.2433736495614061E-3</v>
      </c>
      <c r="AI72" s="23">
        <f t="shared" si="53"/>
        <v>4.7769203818117415E-3</v>
      </c>
      <c r="AJ72" s="24">
        <f t="shared" si="54"/>
        <v>2.0695457661751306E-3</v>
      </c>
      <c r="AK72" s="24">
        <f t="shared" si="55"/>
        <v>-3.7904292243300206E-4</v>
      </c>
      <c r="AL72" s="25">
        <f t="shared" si="56"/>
        <v>1.7163646359025737E-2</v>
      </c>
      <c r="AM72" s="25">
        <f t="shared" si="57"/>
        <v>-4.5884763210918139E-3</v>
      </c>
      <c r="AN72" s="26">
        <f t="shared" si="58"/>
        <v>4.5911151849549409E-3</v>
      </c>
      <c r="AO72" s="78">
        <f t="shared" si="59"/>
        <v>5.3390639809512983E-3</v>
      </c>
      <c r="AP72" s="30"/>
      <c r="AQ72" s="28"/>
      <c r="AR72" s="28"/>
      <c r="AS72" s="29"/>
      <c r="AT72" s="29"/>
    </row>
    <row r="73" spans="1:46">
      <c r="A73" s="206" t="s">
        <v>17</v>
      </c>
      <c r="B73" s="330">
        <v>1527722304.27</v>
      </c>
      <c r="C73" s="331">
        <v>329.9418</v>
      </c>
      <c r="D73" s="330">
        <v>1530808824.01</v>
      </c>
      <c r="E73" s="331">
        <v>330.60840000000002</v>
      </c>
      <c r="F73" s="23">
        <f t="shared" si="38"/>
        <v>2.0203408246205179E-3</v>
      </c>
      <c r="G73" s="23">
        <f t="shared" si="39"/>
        <v>2.0203563173869354E-3</v>
      </c>
      <c r="H73" s="330">
        <v>1533857195.3299999</v>
      </c>
      <c r="I73" s="331">
        <v>331.26679999999999</v>
      </c>
      <c r="J73" s="23">
        <f t="shared" si="40"/>
        <v>1.9913468436996806E-3</v>
      </c>
      <c r="K73" s="23">
        <f t="shared" si="41"/>
        <v>1.9914799502976084E-3</v>
      </c>
      <c r="L73" s="330">
        <v>1536963040.5899999</v>
      </c>
      <c r="M73" s="331">
        <v>331.91590000000002</v>
      </c>
      <c r="N73" s="23">
        <f t="shared" si="42"/>
        <v>2.0248594650506477E-3</v>
      </c>
      <c r="O73" s="23">
        <f t="shared" si="43"/>
        <v>1.9594477925346963E-3</v>
      </c>
      <c r="P73" s="330">
        <v>1540008604.6199999</v>
      </c>
      <c r="Q73" s="331">
        <v>332.5736</v>
      </c>
      <c r="R73" s="23">
        <f t="shared" si="44"/>
        <v>1.9815466927759428E-3</v>
      </c>
      <c r="S73" s="23">
        <f t="shared" si="45"/>
        <v>1.9815260431934024E-3</v>
      </c>
      <c r="T73" s="330">
        <v>1991555396.0899999</v>
      </c>
      <c r="U73" s="331">
        <v>102.56</v>
      </c>
      <c r="V73" s="23">
        <f t="shared" si="46"/>
        <v>0.29321056396397216</v>
      </c>
      <c r="W73" s="23">
        <f t="shared" si="47"/>
        <v>-0.69161713377129153</v>
      </c>
      <c r="X73" s="330">
        <v>2004722365.72</v>
      </c>
      <c r="Y73" s="331">
        <v>101.72</v>
      </c>
      <c r="Z73" s="23">
        <f t="shared" si="48"/>
        <v>6.6114001427480702E-3</v>
      </c>
      <c r="AA73" s="23">
        <f t="shared" si="49"/>
        <v>-8.1903276131045574E-3</v>
      </c>
      <c r="AB73" s="330">
        <v>2014224540.49</v>
      </c>
      <c r="AC73" s="331">
        <v>102.98</v>
      </c>
      <c r="AD73" s="23">
        <f t="shared" si="50"/>
        <v>4.7398956246927767E-3</v>
      </c>
      <c r="AE73" s="23">
        <f t="shared" si="51"/>
        <v>1.238694455367681E-2</v>
      </c>
      <c r="AF73" s="330">
        <v>2080171735.4400001</v>
      </c>
      <c r="AG73" s="331">
        <v>103.17</v>
      </c>
      <c r="AH73" s="23">
        <f t="shared" si="52"/>
        <v>3.2740736508928191E-2</v>
      </c>
      <c r="AI73" s="23">
        <f t="shared" si="53"/>
        <v>1.8450184501844797E-3</v>
      </c>
      <c r="AJ73" s="24">
        <f t="shared" si="54"/>
        <v>4.3165086258310996E-2</v>
      </c>
      <c r="AK73" s="24">
        <f t="shared" si="55"/>
        <v>-8.4702836034640266E-2</v>
      </c>
      <c r="AL73" s="25">
        <f t="shared" si="56"/>
        <v>0.35887101172498292</v>
      </c>
      <c r="AM73" s="25">
        <f t="shared" si="57"/>
        <v>-0.68793896343831551</v>
      </c>
      <c r="AN73" s="26">
        <f t="shared" si="58"/>
        <v>0.10157393107524275</v>
      </c>
      <c r="AO73" s="78">
        <f t="shared" si="59"/>
        <v>0.24529208010496614</v>
      </c>
      <c r="AP73" s="30"/>
      <c r="AQ73" s="28"/>
      <c r="AR73" s="28"/>
      <c r="AS73" s="29"/>
      <c r="AT73" s="29"/>
    </row>
    <row r="74" spans="1:46">
      <c r="A74" s="206" t="s">
        <v>228</v>
      </c>
      <c r="B74" s="330">
        <v>2061287916.29</v>
      </c>
      <c r="C74" s="331">
        <v>101.67</v>
      </c>
      <c r="D74" s="330">
        <v>1858864175.1900001</v>
      </c>
      <c r="E74" s="331">
        <v>101.94</v>
      </c>
      <c r="F74" s="23">
        <f t="shared" si="38"/>
        <v>-9.8202555548053364E-2</v>
      </c>
      <c r="G74" s="23">
        <f t="shared" si="39"/>
        <v>2.6556506344053901E-3</v>
      </c>
      <c r="H74" s="330">
        <v>1931307706.05</v>
      </c>
      <c r="I74" s="331">
        <v>102.09</v>
      </c>
      <c r="J74" s="23">
        <f t="shared" si="40"/>
        <v>3.8971933413367993E-2</v>
      </c>
      <c r="K74" s="23">
        <f t="shared" si="41"/>
        <v>1.4714537963508505E-3</v>
      </c>
      <c r="L74" s="330">
        <v>1833627805.4200001</v>
      </c>
      <c r="M74" s="331">
        <v>102.27</v>
      </c>
      <c r="N74" s="23">
        <f t="shared" si="42"/>
        <v>-5.057707807202786E-2</v>
      </c>
      <c r="O74" s="23">
        <f t="shared" si="43"/>
        <v>1.7631501616220257E-3</v>
      </c>
      <c r="P74" s="330">
        <v>2004548680.4000001</v>
      </c>
      <c r="Q74" s="331">
        <v>102.45</v>
      </c>
      <c r="R74" s="23">
        <f t="shared" si="44"/>
        <v>9.3214595936414638E-2</v>
      </c>
      <c r="S74" s="23">
        <f t="shared" si="45"/>
        <v>1.760046934584989E-3</v>
      </c>
      <c r="T74" s="330">
        <v>1543143523.01</v>
      </c>
      <c r="U74" s="331">
        <v>333.25060000000002</v>
      </c>
      <c r="V74" s="23">
        <f t="shared" si="46"/>
        <v>-0.23017907317567785</v>
      </c>
      <c r="W74" s="23">
        <f t="shared" si="47"/>
        <v>2.252812103465105</v>
      </c>
      <c r="X74" s="330">
        <v>1545672328.24</v>
      </c>
      <c r="Y74" s="331">
        <v>333.76</v>
      </c>
      <c r="Z74" s="23">
        <f t="shared" si="48"/>
        <v>1.6387362499292503E-3</v>
      </c>
      <c r="AA74" s="23">
        <f t="shared" si="49"/>
        <v>1.528579393405356E-3</v>
      </c>
      <c r="AB74" s="330">
        <v>1549372595.52</v>
      </c>
      <c r="AC74" s="331">
        <v>334.55900000000003</v>
      </c>
      <c r="AD74" s="23">
        <f t="shared" si="50"/>
        <v>2.3939532411849083E-3</v>
      </c>
      <c r="AE74" s="23">
        <f t="shared" si="51"/>
        <v>2.3939357622244578E-3</v>
      </c>
      <c r="AF74" s="330">
        <v>1552767234.51</v>
      </c>
      <c r="AG74" s="331">
        <v>335.15839999999997</v>
      </c>
      <c r="AH74" s="23">
        <f t="shared" si="52"/>
        <v>2.1909765280576049E-3</v>
      </c>
      <c r="AI74" s="23">
        <f t="shared" si="53"/>
        <v>1.7916122417867878E-3</v>
      </c>
      <c r="AJ74" s="24">
        <f t="shared" si="54"/>
        <v>-3.0068563928350587E-2</v>
      </c>
      <c r="AK74" s="24">
        <f t="shared" si="55"/>
        <v>0.28327206654868559</v>
      </c>
      <c r="AL74" s="25">
        <f t="shared" si="56"/>
        <v>-0.1646688040823171</v>
      </c>
      <c r="AM74" s="25">
        <f t="shared" si="57"/>
        <v>2.287800667059054</v>
      </c>
      <c r="AN74" s="26">
        <f t="shared" si="58"/>
        <v>9.8685814231044416E-2</v>
      </c>
      <c r="AO74" s="78">
        <f t="shared" si="59"/>
        <v>0.79581445841018383</v>
      </c>
      <c r="AP74" s="30"/>
      <c r="AQ74" s="28"/>
      <c r="AR74" s="28"/>
      <c r="AS74" s="29"/>
      <c r="AT74" s="29"/>
    </row>
    <row r="75" spans="1:46" s="88" customFormat="1">
      <c r="A75" s="207" t="s">
        <v>93</v>
      </c>
      <c r="B75" s="330">
        <v>52494601.700000003</v>
      </c>
      <c r="C75" s="330">
        <v>11.75</v>
      </c>
      <c r="D75" s="330">
        <v>52239878.969999999</v>
      </c>
      <c r="E75" s="330">
        <v>11.8</v>
      </c>
      <c r="F75" s="23">
        <f t="shared" si="38"/>
        <v>-4.8523604666192589E-3</v>
      </c>
      <c r="G75" s="23">
        <f t="shared" si="39"/>
        <v>4.255319148936231E-3</v>
      </c>
      <c r="H75" s="330">
        <v>52843655.850000001</v>
      </c>
      <c r="I75" s="330">
        <v>11.72</v>
      </c>
      <c r="J75" s="23">
        <f t="shared" si="40"/>
        <v>1.1557777159987986E-2</v>
      </c>
      <c r="K75" s="23">
        <f t="shared" si="41"/>
        <v>-6.7796610169491584E-3</v>
      </c>
      <c r="L75" s="330">
        <v>52920166.770000003</v>
      </c>
      <c r="M75" s="330">
        <v>11.741146000000001</v>
      </c>
      <c r="N75" s="23">
        <f t="shared" si="42"/>
        <v>1.4478733306640022E-3</v>
      </c>
      <c r="O75" s="23">
        <f t="shared" si="43"/>
        <v>1.8042662116040859E-3</v>
      </c>
      <c r="P75" s="330">
        <v>53001570.979999997</v>
      </c>
      <c r="Q75" s="330">
        <v>11.76</v>
      </c>
      <c r="R75" s="23">
        <f t="shared" si="44"/>
        <v>1.5382455303625537E-3</v>
      </c>
      <c r="S75" s="23">
        <f t="shared" si="45"/>
        <v>1.605805770578039E-3</v>
      </c>
      <c r="T75" s="330">
        <v>53078036.479999997</v>
      </c>
      <c r="U75" s="330">
        <v>11.789804999999999</v>
      </c>
      <c r="V75" s="23">
        <f t="shared" si="46"/>
        <v>1.4427025196829366E-3</v>
      </c>
      <c r="W75" s="23">
        <f t="shared" si="47"/>
        <v>2.5344387755101734E-3</v>
      </c>
      <c r="X75" s="330">
        <v>53019660.119999997</v>
      </c>
      <c r="Y75" s="330">
        <v>11.786987</v>
      </c>
      <c r="Z75" s="23">
        <f t="shared" si="48"/>
        <v>-1.0998213926394175E-3</v>
      </c>
      <c r="AA75" s="23">
        <f t="shared" si="49"/>
        <v>-2.3902006861008671E-4</v>
      </c>
      <c r="AB75" s="330">
        <v>68232218.510000005</v>
      </c>
      <c r="AC75" s="330">
        <v>15.14</v>
      </c>
      <c r="AD75" s="23">
        <f t="shared" si="50"/>
        <v>0.28692297075404205</v>
      </c>
      <c r="AE75" s="23">
        <f t="shared" si="51"/>
        <v>0.28446735370116222</v>
      </c>
      <c r="AF75" s="330">
        <v>53101176.450000003</v>
      </c>
      <c r="AG75" s="330">
        <v>11.818387</v>
      </c>
      <c r="AH75" s="23">
        <f t="shared" si="52"/>
        <v>-0.22175802561340463</v>
      </c>
      <c r="AI75" s="23">
        <f t="shared" si="53"/>
        <v>-0.21939319682959055</v>
      </c>
      <c r="AJ75" s="24">
        <f t="shared" si="54"/>
        <v>9.3999202277595256E-3</v>
      </c>
      <c r="AK75" s="24">
        <f t="shared" si="55"/>
        <v>8.5319132115801201E-3</v>
      </c>
      <c r="AL75" s="25">
        <f t="shared" si="56"/>
        <v>1.6487355962187908E-2</v>
      </c>
      <c r="AM75" s="25">
        <f t="shared" si="57"/>
        <v>1.5582203389829508E-3</v>
      </c>
      <c r="AN75" s="26">
        <f t="shared" si="58"/>
        <v>0.13677898032806776</v>
      </c>
      <c r="AO75" s="78">
        <f t="shared" si="59"/>
        <v>0.13551441032295597</v>
      </c>
      <c r="AP75" s="30"/>
      <c r="AQ75" s="28"/>
      <c r="AR75" s="28"/>
      <c r="AS75" s="29"/>
      <c r="AT75" s="29"/>
    </row>
    <row r="76" spans="1:46" s="88" customFormat="1">
      <c r="A76" s="206" t="s">
        <v>35</v>
      </c>
      <c r="B76" s="330">
        <v>6647599294.1800003</v>
      </c>
      <c r="C76" s="331">
        <v>1.02</v>
      </c>
      <c r="D76" s="330">
        <v>6681647198.0100002</v>
      </c>
      <c r="E76" s="331">
        <v>1.02</v>
      </c>
      <c r="F76" s="23">
        <f t="shared" si="38"/>
        <v>5.1218345636159209E-3</v>
      </c>
      <c r="G76" s="23">
        <f t="shared" si="39"/>
        <v>0</v>
      </c>
      <c r="H76" s="330">
        <v>6726909090.79</v>
      </c>
      <c r="I76" s="331">
        <v>1.02</v>
      </c>
      <c r="J76" s="23">
        <f t="shared" si="40"/>
        <v>6.7740620596490209E-3</v>
      </c>
      <c r="K76" s="23">
        <f t="shared" si="41"/>
        <v>0</v>
      </c>
      <c r="L76" s="330">
        <v>6602679460.8900003</v>
      </c>
      <c r="M76" s="331">
        <v>1.02</v>
      </c>
      <c r="N76" s="23">
        <f t="shared" si="42"/>
        <v>-1.8467564853832483E-2</v>
      </c>
      <c r="O76" s="23">
        <f t="shared" si="43"/>
        <v>0</v>
      </c>
      <c r="P76" s="330">
        <v>6663181285.5500002</v>
      </c>
      <c r="Q76" s="331">
        <v>1.03</v>
      </c>
      <c r="R76" s="23">
        <f t="shared" si="44"/>
        <v>9.1632230548784766E-3</v>
      </c>
      <c r="S76" s="23">
        <f t="shared" si="45"/>
        <v>9.8039215686274595E-3</v>
      </c>
      <c r="T76" s="330">
        <v>6586060803.3999996</v>
      </c>
      <c r="U76" s="331">
        <v>1.03</v>
      </c>
      <c r="V76" s="23">
        <f t="shared" si="46"/>
        <v>-1.1574123357148733E-2</v>
      </c>
      <c r="W76" s="23">
        <f t="shared" si="47"/>
        <v>0</v>
      </c>
      <c r="X76" s="330">
        <v>6594407376.3299999</v>
      </c>
      <c r="Y76" s="331">
        <v>1.03</v>
      </c>
      <c r="Z76" s="23">
        <f t="shared" si="48"/>
        <v>1.2673088176913666E-3</v>
      </c>
      <c r="AA76" s="23">
        <f t="shared" si="49"/>
        <v>0</v>
      </c>
      <c r="AB76" s="330">
        <v>6660003986.04</v>
      </c>
      <c r="AC76" s="331">
        <v>1.04</v>
      </c>
      <c r="AD76" s="23">
        <f t="shared" si="50"/>
        <v>9.9473092829316014E-3</v>
      </c>
      <c r="AE76" s="23">
        <f t="shared" si="51"/>
        <v>9.7087378640776777E-3</v>
      </c>
      <c r="AF76" s="330">
        <v>6755116533.3999996</v>
      </c>
      <c r="AG76" s="331">
        <v>1.04</v>
      </c>
      <c r="AH76" s="23">
        <f t="shared" si="52"/>
        <v>1.4281154719931787E-2</v>
      </c>
      <c r="AI76" s="23">
        <f t="shared" si="53"/>
        <v>0</v>
      </c>
      <c r="AJ76" s="24">
        <f t="shared" si="54"/>
        <v>2.0641505359646197E-3</v>
      </c>
      <c r="AK76" s="24">
        <f t="shared" si="55"/>
        <v>2.4390824290881422E-3</v>
      </c>
      <c r="AL76" s="25">
        <f t="shared" si="56"/>
        <v>1.09956921119512E-2</v>
      </c>
      <c r="AM76" s="25">
        <f t="shared" si="57"/>
        <v>1.9607843137254919E-2</v>
      </c>
      <c r="AN76" s="26">
        <f t="shared" si="58"/>
        <v>1.1348490901681467E-2</v>
      </c>
      <c r="AO76" s="78">
        <f t="shared" si="59"/>
        <v>4.516374719840211E-3</v>
      </c>
      <c r="AP76" s="30"/>
      <c r="AQ76" s="28"/>
      <c r="AR76" s="28"/>
      <c r="AS76" s="29"/>
      <c r="AT76" s="29"/>
    </row>
    <row r="77" spans="1:46" s="88" customFormat="1">
      <c r="A77" s="207" t="s">
        <v>69</v>
      </c>
      <c r="B77" s="330">
        <v>41592999357.089996</v>
      </c>
      <c r="C77" s="330">
        <v>4636.74</v>
      </c>
      <c r="D77" s="330">
        <v>41791953405.889999</v>
      </c>
      <c r="E77" s="330">
        <v>4654.46</v>
      </c>
      <c r="F77" s="23">
        <f t="shared" si="38"/>
        <v>4.7833542152590416E-3</v>
      </c>
      <c r="G77" s="23">
        <f t="shared" si="39"/>
        <v>3.8216505562098059E-3</v>
      </c>
      <c r="H77" s="330">
        <v>37036343649.5</v>
      </c>
      <c r="I77" s="330">
        <v>4661.43</v>
      </c>
      <c r="J77" s="23">
        <f t="shared" si="40"/>
        <v>-0.11379247364206148</v>
      </c>
      <c r="K77" s="23">
        <f t="shared" si="41"/>
        <v>1.4974884304517074E-3</v>
      </c>
      <c r="L77" s="330">
        <v>32044636277.84</v>
      </c>
      <c r="M77" s="330">
        <v>4669.12</v>
      </c>
      <c r="N77" s="23">
        <f t="shared" si="42"/>
        <v>-0.13477862228787774</v>
      </c>
      <c r="O77" s="23">
        <f t="shared" si="43"/>
        <v>1.649708351299837E-3</v>
      </c>
      <c r="P77" s="330">
        <v>32213780290.040001</v>
      </c>
      <c r="Q77" s="330">
        <v>4677.2700000000004</v>
      </c>
      <c r="R77" s="23">
        <f t="shared" si="44"/>
        <v>5.2783876444548643E-3</v>
      </c>
      <c r="S77" s="23">
        <f t="shared" si="45"/>
        <v>1.7455109313961831E-3</v>
      </c>
      <c r="T77" s="330">
        <v>32321415970.709999</v>
      </c>
      <c r="U77" s="330">
        <v>4686.95</v>
      </c>
      <c r="V77" s="23">
        <f t="shared" si="46"/>
        <v>3.3412930646726192E-3</v>
      </c>
      <c r="W77" s="23">
        <f t="shared" si="47"/>
        <v>2.0695833253157035E-3</v>
      </c>
      <c r="X77" s="330">
        <v>32348534741.830002</v>
      </c>
      <c r="Y77" s="330">
        <v>4691.49</v>
      </c>
      <c r="Z77" s="23">
        <f t="shared" si="48"/>
        <v>8.3903412971071743E-4</v>
      </c>
      <c r="AA77" s="23">
        <f t="shared" si="49"/>
        <v>9.6864698791324078E-4</v>
      </c>
      <c r="AB77" s="330">
        <v>32287027760.279999</v>
      </c>
      <c r="AC77" s="330">
        <v>4698.83</v>
      </c>
      <c r="AD77" s="23">
        <f t="shared" si="50"/>
        <v>-1.9013838506406339E-3</v>
      </c>
      <c r="AE77" s="23">
        <f t="shared" si="51"/>
        <v>1.5645349345304255E-3</v>
      </c>
      <c r="AF77" s="330">
        <v>32079223039.369999</v>
      </c>
      <c r="AG77" s="330">
        <v>4707.3599999999997</v>
      </c>
      <c r="AH77" s="23">
        <f t="shared" si="52"/>
        <v>-6.4361675671380453E-3</v>
      </c>
      <c r="AI77" s="23">
        <f t="shared" si="53"/>
        <v>1.8153455221831276E-3</v>
      </c>
      <c r="AJ77" s="24">
        <f t="shared" si="54"/>
        <v>-3.0333322286702581E-2</v>
      </c>
      <c r="AK77" s="24">
        <f t="shared" si="55"/>
        <v>1.8915586299125037E-3</v>
      </c>
      <c r="AL77" s="25">
        <f t="shared" si="56"/>
        <v>-0.23240670930569915</v>
      </c>
      <c r="AM77" s="25">
        <f t="shared" si="57"/>
        <v>1.1365443037430686E-2</v>
      </c>
      <c r="AN77" s="26">
        <f t="shared" si="58"/>
        <v>5.8383914297144637E-2</v>
      </c>
      <c r="AO77" s="78">
        <f t="shared" si="59"/>
        <v>8.414765322090807E-4</v>
      </c>
      <c r="AP77" s="30"/>
      <c r="AQ77" s="28"/>
      <c r="AR77" s="28"/>
      <c r="AS77" s="29"/>
      <c r="AT77" s="29"/>
    </row>
    <row r="78" spans="1:46" s="105" customFormat="1" ht="15.75" customHeight="1">
      <c r="A78" s="206" t="s">
        <v>16</v>
      </c>
      <c r="B78" s="330">
        <v>43198589214.580002</v>
      </c>
      <c r="C78" s="331">
        <v>247</v>
      </c>
      <c r="D78" s="330">
        <v>43009272064.739998</v>
      </c>
      <c r="E78" s="331">
        <v>247.06</v>
      </c>
      <c r="F78" s="23">
        <f t="shared" si="38"/>
        <v>-4.3824845505859101E-3</v>
      </c>
      <c r="G78" s="23">
        <f t="shared" si="39"/>
        <v>2.4291497975709422E-4</v>
      </c>
      <c r="H78" s="330">
        <v>41959766006.419998</v>
      </c>
      <c r="I78" s="331">
        <v>247.28</v>
      </c>
      <c r="J78" s="23">
        <f t="shared" si="40"/>
        <v>-2.4401855877500638E-2</v>
      </c>
      <c r="K78" s="23">
        <f t="shared" si="41"/>
        <v>8.9047195013356622E-4</v>
      </c>
      <c r="L78" s="330">
        <v>41859566309.639999</v>
      </c>
      <c r="M78" s="331">
        <v>247.56</v>
      </c>
      <c r="N78" s="23">
        <f t="shared" si="42"/>
        <v>-2.3879946509870399E-3</v>
      </c>
      <c r="O78" s="23">
        <f t="shared" si="43"/>
        <v>1.1323196376577206E-3</v>
      </c>
      <c r="P78" s="330">
        <v>41849252258.809998</v>
      </c>
      <c r="Q78" s="331">
        <v>247.81</v>
      </c>
      <c r="R78" s="23">
        <f t="shared" si="44"/>
        <v>-2.4639650477283059E-4</v>
      </c>
      <c r="S78" s="23">
        <f t="shared" si="45"/>
        <v>1.0098561964776217E-3</v>
      </c>
      <c r="T78" s="330">
        <v>41880981512.400002</v>
      </c>
      <c r="U78" s="331">
        <v>248.13</v>
      </c>
      <c r="V78" s="23">
        <f t="shared" si="46"/>
        <v>7.5817970160564597E-4</v>
      </c>
      <c r="W78" s="23">
        <f t="shared" si="47"/>
        <v>1.2913118921754295E-3</v>
      </c>
      <c r="X78" s="330">
        <v>41256414330</v>
      </c>
      <c r="Y78" s="331">
        <v>248.21</v>
      </c>
      <c r="Z78" s="23">
        <f t="shared" si="48"/>
        <v>-1.4912907000880136E-2</v>
      </c>
      <c r="AA78" s="23">
        <f t="shared" si="49"/>
        <v>3.2241163906022047E-4</v>
      </c>
      <c r="AB78" s="330">
        <v>40829332961.010002</v>
      </c>
      <c r="AC78" s="331">
        <v>248.38</v>
      </c>
      <c r="AD78" s="23">
        <f t="shared" si="50"/>
        <v>-1.0351878027350563E-2</v>
      </c>
      <c r="AE78" s="23">
        <f t="shared" si="51"/>
        <v>6.8490391200994114E-4</v>
      </c>
      <c r="AF78" s="330">
        <v>40603770319.120003</v>
      </c>
      <c r="AG78" s="331">
        <v>248.58</v>
      </c>
      <c r="AH78" s="23">
        <f t="shared" si="52"/>
        <v>-5.5245242949572698E-3</v>
      </c>
      <c r="AI78" s="23">
        <f t="shared" si="53"/>
        <v>8.052178114180572E-4</v>
      </c>
      <c r="AJ78" s="24">
        <f t="shared" si="54"/>
        <v>-7.6812326506785922E-3</v>
      </c>
      <c r="AK78" s="24">
        <f t="shared" si="55"/>
        <v>7.9742600233620637E-4</v>
      </c>
      <c r="AL78" s="25">
        <f t="shared" si="56"/>
        <v>-5.5929840942183291E-2</v>
      </c>
      <c r="AM78" s="25">
        <f t="shared" si="57"/>
        <v>6.1523516554683483E-3</v>
      </c>
      <c r="AN78" s="26">
        <f t="shared" si="58"/>
        <v>8.5277753720908941E-3</v>
      </c>
      <c r="AO78" s="78">
        <f t="shared" si="59"/>
        <v>3.6949854195072698E-4</v>
      </c>
      <c r="AP78" s="30"/>
      <c r="AQ78" s="28"/>
      <c r="AR78" s="28"/>
      <c r="AS78" s="29"/>
      <c r="AT78" s="29"/>
    </row>
    <row r="79" spans="1:46" s="105" customFormat="1" ht="15.75" customHeight="1">
      <c r="A79" s="207" t="s">
        <v>70</v>
      </c>
      <c r="B79" s="330">
        <v>248658483.49000001</v>
      </c>
      <c r="C79" s="330">
        <v>4412.05</v>
      </c>
      <c r="D79" s="330">
        <v>247948427.30000001</v>
      </c>
      <c r="E79" s="330">
        <v>4399.33</v>
      </c>
      <c r="F79" s="23">
        <f t="shared" si="38"/>
        <v>-2.8555478181726828E-3</v>
      </c>
      <c r="G79" s="23">
        <f t="shared" si="39"/>
        <v>-2.8830135651228463E-3</v>
      </c>
      <c r="H79" s="330">
        <v>248114061.63</v>
      </c>
      <c r="I79" s="330">
        <v>4402.25</v>
      </c>
      <c r="J79" s="23">
        <f t="shared" si="40"/>
        <v>6.680192804755221E-4</v>
      </c>
      <c r="K79" s="23">
        <f t="shared" si="41"/>
        <v>6.6373743274545738E-4</v>
      </c>
      <c r="L79" s="330">
        <v>248816723.06999999</v>
      </c>
      <c r="M79" s="330">
        <v>4414.7</v>
      </c>
      <c r="N79" s="23">
        <f t="shared" si="42"/>
        <v>2.8320097433568326E-3</v>
      </c>
      <c r="O79" s="23">
        <f t="shared" si="43"/>
        <v>2.8280992674200281E-3</v>
      </c>
      <c r="P79" s="330">
        <v>248407157.61000001</v>
      </c>
      <c r="Q79" s="330">
        <v>4407.3500000000004</v>
      </c>
      <c r="R79" s="23">
        <f t="shared" si="44"/>
        <v>-1.6460527851448106E-3</v>
      </c>
      <c r="S79" s="23">
        <f t="shared" si="45"/>
        <v>-1.6648922916618241E-3</v>
      </c>
      <c r="T79" s="330">
        <v>247897615.19999999</v>
      </c>
      <c r="U79" s="330">
        <v>4398.22</v>
      </c>
      <c r="V79" s="23">
        <f t="shared" si="46"/>
        <v>-2.0512388407100948E-3</v>
      </c>
      <c r="W79" s="23">
        <f t="shared" si="47"/>
        <v>-2.0715395872803631E-3</v>
      </c>
      <c r="X79" s="330">
        <v>248877469.30000001</v>
      </c>
      <c r="Y79" s="330">
        <v>4415.63</v>
      </c>
      <c r="Z79" s="23">
        <f t="shared" si="48"/>
        <v>3.9526564191006541E-3</v>
      </c>
      <c r="AA79" s="23">
        <f t="shared" si="49"/>
        <v>3.958419542451231E-3</v>
      </c>
      <c r="AB79" s="330">
        <v>250022980.03999999</v>
      </c>
      <c r="AC79" s="330">
        <v>4435.9799999999996</v>
      </c>
      <c r="AD79" s="23">
        <f t="shared" si="50"/>
        <v>4.6027096917285303E-3</v>
      </c>
      <c r="AE79" s="23">
        <f t="shared" si="51"/>
        <v>4.6086288932721837E-3</v>
      </c>
      <c r="AF79" s="330">
        <v>251502426.25</v>
      </c>
      <c r="AG79" s="330">
        <v>4462.28</v>
      </c>
      <c r="AH79" s="23">
        <f t="shared" si="52"/>
        <v>5.9172409262673326E-3</v>
      </c>
      <c r="AI79" s="23">
        <f t="shared" si="53"/>
        <v>5.9287913831893259E-3</v>
      </c>
      <c r="AJ79" s="24">
        <f t="shared" si="54"/>
        <v>1.4274745771126604E-3</v>
      </c>
      <c r="AK79" s="24">
        <f t="shared" si="55"/>
        <v>1.4210288843766491E-3</v>
      </c>
      <c r="AL79" s="25">
        <f t="shared" si="56"/>
        <v>1.4333621667621636E-2</v>
      </c>
      <c r="AM79" s="25">
        <f t="shared" si="57"/>
        <v>1.4308997051823759E-2</v>
      </c>
      <c r="AN79" s="26">
        <f t="shared" si="58"/>
        <v>3.3606643252149077E-3</v>
      </c>
      <c r="AO79" s="78">
        <f t="shared" si="59"/>
        <v>3.3746561890631867E-3</v>
      </c>
      <c r="AP79" s="30"/>
      <c r="AQ79" s="28"/>
      <c r="AR79" s="28"/>
      <c r="AS79" s="29"/>
      <c r="AT79" s="29"/>
    </row>
    <row r="80" spans="1:46" s="289" customFormat="1" ht="15.75" customHeight="1">
      <c r="A80" s="206" t="s">
        <v>170</v>
      </c>
      <c r="B80" s="330">
        <v>19895448661.330002</v>
      </c>
      <c r="C80" s="331">
        <v>116.89</v>
      </c>
      <c r="D80" s="330">
        <v>19981718338.66</v>
      </c>
      <c r="E80" s="331">
        <v>117.08</v>
      </c>
      <c r="F80" s="23">
        <f t="shared" si="38"/>
        <v>4.3361513881150608E-3</v>
      </c>
      <c r="G80" s="23">
        <f t="shared" si="39"/>
        <v>1.6254598340319764E-3</v>
      </c>
      <c r="H80" s="330">
        <v>19660167052.049999</v>
      </c>
      <c r="I80" s="331">
        <v>117.27</v>
      </c>
      <c r="J80" s="23">
        <f t="shared" si="40"/>
        <v>-1.6092274005678146E-2</v>
      </c>
      <c r="K80" s="23">
        <f t="shared" si="41"/>
        <v>1.622822002049861E-3</v>
      </c>
      <c r="L80" s="330">
        <v>19716459192.169998</v>
      </c>
      <c r="M80" s="331">
        <v>117.48</v>
      </c>
      <c r="N80" s="23">
        <f t="shared" si="42"/>
        <v>2.8632584845777929E-3</v>
      </c>
      <c r="O80" s="23">
        <f t="shared" si="43"/>
        <v>1.7907393195191266E-3</v>
      </c>
      <c r="P80" s="330">
        <v>19464382442.799999</v>
      </c>
      <c r="Q80" s="331">
        <v>117.66</v>
      </c>
      <c r="R80" s="23">
        <f t="shared" si="44"/>
        <v>-1.2785092237560901E-2</v>
      </c>
      <c r="S80" s="23">
        <f t="shared" si="45"/>
        <v>1.5321756894789973E-3</v>
      </c>
      <c r="T80" s="330">
        <v>19575287918.790001</v>
      </c>
      <c r="U80" s="331">
        <v>117.9</v>
      </c>
      <c r="V80" s="23">
        <f t="shared" si="46"/>
        <v>5.6978676983931919E-3</v>
      </c>
      <c r="W80" s="23">
        <f t="shared" si="47"/>
        <v>2.0397756246813624E-3</v>
      </c>
      <c r="X80" s="330">
        <v>19623366148.799999</v>
      </c>
      <c r="Y80" s="331">
        <v>117.9</v>
      </c>
      <c r="Z80" s="23">
        <f t="shared" si="48"/>
        <v>2.4560675791567188E-3</v>
      </c>
      <c r="AA80" s="23">
        <f t="shared" si="49"/>
        <v>0</v>
      </c>
      <c r="AB80" s="330">
        <v>19442758991.52</v>
      </c>
      <c r="AC80" s="331">
        <v>118.33</v>
      </c>
      <c r="AD80" s="23">
        <f t="shared" si="50"/>
        <v>-9.2036787119239068E-3</v>
      </c>
      <c r="AE80" s="23">
        <f t="shared" si="51"/>
        <v>3.6471586089906072E-3</v>
      </c>
      <c r="AF80" s="330">
        <v>19932872774.810001</v>
      </c>
      <c r="AG80" s="331">
        <v>118.54</v>
      </c>
      <c r="AH80" s="23">
        <f t="shared" si="52"/>
        <v>2.5208036755676757E-2</v>
      </c>
      <c r="AI80" s="23">
        <f t="shared" si="53"/>
        <v>1.7746978788135549E-3</v>
      </c>
      <c r="AJ80" s="24">
        <f t="shared" si="54"/>
        <v>3.1004211884457086E-4</v>
      </c>
      <c r="AK80" s="24">
        <f t="shared" si="55"/>
        <v>1.7541036196956857E-3</v>
      </c>
      <c r="AL80" s="25">
        <f t="shared" si="56"/>
        <v>-2.4445126801479139E-3</v>
      </c>
      <c r="AM80" s="25">
        <f t="shared" si="57"/>
        <v>1.2470105910488622E-2</v>
      </c>
      <c r="AN80" s="26">
        <f t="shared" si="58"/>
        <v>1.3132849209155485E-2</v>
      </c>
      <c r="AO80" s="78">
        <f t="shared" si="59"/>
        <v>9.875617583941967E-4</v>
      </c>
      <c r="AP80" s="30"/>
      <c r="AQ80" s="28"/>
      <c r="AR80" s="28"/>
      <c r="AS80" s="29"/>
      <c r="AT80" s="29"/>
    </row>
    <row r="81" spans="1:46" s="289" customFormat="1" ht="15.75" customHeight="1">
      <c r="A81" s="206" t="s">
        <v>64</v>
      </c>
      <c r="B81" s="330">
        <v>14908607764.639999</v>
      </c>
      <c r="C81" s="331">
        <v>336.36</v>
      </c>
      <c r="D81" s="330">
        <v>14977291273.709999</v>
      </c>
      <c r="E81" s="331">
        <v>336.76</v>
      </c>
      <c r="F81" s="23">
        <f t="shared" si="38"/>
        <v>4.6069700239147852E-3</v>
      </c>
      <c r="G81" s="23">
        <f t="shared" si="39"/>
        <v>1.1892020454274505E-3</v>
      </c>
      <c r="H81" s="330">
        <v>15026247728.280001</v>
      </c>
      <c r="I81" s="331">
        <v>337.15</v>
      </c>
      <c r="J81" s="23">
        <f t="shared" si="40"/>
        <v>3.2687121906973958E-3</v>
      </c>
      <c r="K81" s="23">
        <f t="shared" si="41"/>
        <v>1.1580947856039505E-3</v>
      </c>
      <c r="L81" s="330">
        <v>14957015967.440001</v>
      </c>
      <c r="M81" s="331">
        <v>337.54</v>
      </c>
      <c r="N81" s="23">
        <f t="shared" si="42"/>
        <v>-4.6073884905879197E-3</v>
      </c>
      <c r="O81" s="23">
        <f t="shared" si="43"/>
        <v>1.1567551534926389E-3</v>
      </c>
      <c r="P81" s="330">
        <v>14889598657.879999</v>
      </c>
      <c r="Q81" s="331">
        <v>337.9</v>
      </c>
      <c r="R81" s="23">
        <f t="shared" si="44"/>
        <v>-4.5074037299126001E-3</v>
      </c>
      <c r="S81" s="23">
        <f t="shared" si="45"/>
        <v>1.0665402618947584E-3</v>
      </c>
      <c r="T81" s="330">
        <v>14919937285.01</v>
      </c>
      <c r="U81" s="331">
        <v>338.34</v>
      </c>
      <c r="V81" s="23">
        <f t="shared" si="46"/>
        <v>2.0375718531503201E-3</v>
      </c>
      <c r="W81" s="23">
        <f t="shared" si="47"/>
        <v>1.302160402485936E-3</v>
      </c>
      <c r="X81" s="330">
        <v>14889597778.9</v>
      </c>
      <c r="Y81" s="331">
        <v>338.58</v>
      </c>
      <c r="Z81" s="23">
        <f t="shared" si="48"/>
        <v>-2.0334875093933934E-3</v>
      </c>
      <c r="AA81" s="23">
        <f t="shared" si="49"/>
        <v>7.0934562865759029E-4</v>
      </c>
      <c r="AB81" s="330">
        <v>14917564432.26</v>
      </c>
      <c r="AC81" s="331">
        <v>339.03</v>
      </c>
      <c r="AD81" s="23">
        <f t="shared" si="50"/>
        <v>1.8782678871038453E-3</v>
      </c>
      <c r="AE81" s="23">
        <f t="shared" si="51"/>
        <v>1.3290802764486639E-3</v>
      </c>
      <c r="AF81" s="330">
        <v>14916045769.65</v>
      </c>
      <c r="AG81" s="331">
        <v>339.32</v>
      </c>
      <c r="AH81" s="23">
        <f t="shared" si="52"/>
        <v>-1.0180365681655273E-4</v>
      </c>
      <c r="AI81" s="23">
        <f t="shared" si="53"/>
        <v>8.5538152965820282E-4</v>
      </c>
      <c r="AJ81" s="24">
        <f t="shared" si="54"/>
        <v>6.7679821019485023E-5</v>
      </c>
      <c r="AK81" s="24">
        <f t="shared" si="55"/>
        <v>1.0958200104586491E-3</v>
      </c>
      <c r="AL81" s="25">
        <f t="shared" si="56"/>
        <v>-4.089224342421996E-3</v>
      </c>
      <c r="AM81" s="25">
        <f t="shared" si="57"/>
        <v>7.6018529516569729E-3</v>
      </c>
      <c r="AN81" s="26">
        <f t="shared" si="58"/>
        <v>3.4896121265629325E-3</v>
      </c>
      <c r="AO81" s="78">
        <f t="shared" si="59"/>
        <v>2.1425237698854586E-4</v>
      </c>
      <c r="AP81" s="30"/>
      <c r="AQ81" s="28"/>
      <c r="AR81" s="28"/>
      <c r="AS81" s="29"/>
      <c r="AT81" s="29"/>
    </row>
    <row r="82" spans="1:46" s="292" customFormat="1" ht="15.75" customHeight="1">
      <c r="A82" s="206" t="s">
        <v>255</v>
      </c>
      <c r="B82" s="330">
        <v>55991007.329999998</v>
      </c>
      <c r="C82" s="74">
        <v>103.7148</v>
      </c>
      <c r="D82" s="330">
        <v>56086780.799999997</v>
      </c>
      <c r="E82" s="74">
        <v>103.8403</v>
      </c>
      <c r="F82" s="23">
        <f t="shared" si="38"/>
        <v>1.7105152160511918E-3</v>
      </c>
      <c r="G82" s="23">
        <f t="shared" si="39"/>
        <v>1.2100490961753038E-3</v>
      </c>
      <c r="H82" s="330">
        <v>56191792.5</v>
      </c>
      <c r="I82" s="74">
        <v>104.0162</v>
      </c>
      <c r="J82" s="23">
        <f t="shared" si="40"/>
        <v>1.8723074938899503E-3</v>
      </c>
      <c r="K82" s="23">
        <f>((I82-E82)/E82)</f>
        <v>1.6939473402907987E-3</v>
      </c>
      <c r="L82" s="330">
        <v>56796798.340000004</v>
      </c>
      <c r="M82" s="74">
        <v>104.18989999999999</v>
      </c>
      <c r="N82" s="23">
        <f t="shared" si="42"/>
        <v>1.0766800863311195E-2</v>
      </c>
      <c r="O82" s="23">
        <f>((M82-I82)/I82)</f>
        <v>1.6699321836405928E-3</v>
      </c>
      <c r="P82" s="330">
        <v>56941662.649999999</v>
      </c>
      <c r="Q82" s="74">
        <v>104.3455</v>
      </c>
      <c r="R82" s="23">
        <f t="shared" si="44"/>
        <v>2.5505717616827717E-3</v>
      </c>
      <c r="S82" s="23">
        <f>((Q82-M82)/M82)</f>
        <v>1.4934269060629375E-3</v>
      </c>
      <c r="T82" s="330">
        <v>57077825.68</v>
      </c>
      <c r="U82" s="74">
        <v>104.5492</v>
      </c>
      <c r="V82" s="23">
        <f t="shared" si="46"/>
        <v>2.3912724648900148E-3</v>
      </c>
      <c r="W82" s="23">
        <f>((U82-Q82)/Q82)</f>
        <v>1.9521685170898388E-3</v>
      </c>
      <c r="X82" s="330">
        <v>57152283.390000001</v>
      </c>
      <c r="Y82" s="74">
        <v>104.68559999999999</v>
      </c>
      <c r="Z82" s="23">
        <f t="shared" si="48"/>
        <v>1.3044945057549867E-3</v>
      </c>
      <c r="AA82" s="23">
        <f>((Y82-U82)/U82)</f>
        <v>1.3046489117085043E-3</v>
      </c>
      <c r="AB82" s="330">
        <v>57315351.109999999</v>
      </c>
      <c r="AC82" s="74">
        <v>104.9109</v>
      </c>
      <c r="AD82" s="23">
        <f t="shared" si="50"/>
        <v>2.8532144356725902E-3</v>
      </c>
      <c r="AE82" s="23">
        <f>((AC82-Y82)/Y82)</f>
        <v>2.1521584630551315E-3</v>
      </c>
      <c r="AF82" s="330">
        <v>57549172.159999996</v>
      </c>
      <c r="AG82" s="74">
        <v>105.04559999999999</v>
      </c>
      <c r="AH82" s="23">
        <f t="shared" si="52"/>
        <v>4.0795536531085036E-3</v>
      </c>
      <c r="AI82" s="23">
        <f>((AG82-AC82)/AC82)</f>
        <v>1.2839466633113924E-3</v>
      </c>
      <c r="AJ82" s="24">
        <f t="shared" si="54"/>
        <v>3.4410912992951506E-3</v>
      </c>
      <c r="AK82" s="24">
        <f t="shared" si="55"/>
        <v>1.5950347601668127E-3</v>
      </c>
      <c r="AL82" s="25">
        <f t="shared" si="56"/>
        <v>2.6073726092690978E-2</v>
      </c>
      <c r="AM82" s="25">
        <f t="shared" si="57"/>
        <v>1.1607246897399122E-2</v>
      </c>
      <c r="AN82" s="26">
        <f t="shared" si="58"/>
        <v>3.0783905975697418E-3</v>
      </c>
      <c r="AO82" s="78">
        <f t="shared" si="59"/>
        <v>3.3657147949969556E-4</v>
      </c>
      <c r="AP82" s="30"/>
      <c r="AQ82" s="28"/>
      <c r="AR82" s="28"/>
      <c r="AS82" s="29"/>
      <c r="AT82" s="29"/>
    </row>
    <row r="83" spans="1:46" s="306" customFormat="1" ht="15.75" customHeight="1">
      <c r="A83" s="206" t="s">
        <v>161</v>
      </c>
      <c r="B83" s="330">
        <v>101246774163.89</v>
      </c>
      <c r="C83" s="330">
        <v>1.9781</v>
      </c>
      <c r="D83" s="330">
        <v>101383037450.89</v>
      </c>
      <c r="E83" s="330">
        <v>1.9807999999999999</v>
      </c>
      <c r="F83" s="23">
        <f t="shared" si="38"/>
        <v>1.3458531210034221E-3</v>
      </c>
      <c r="G83" s="23">
        <f t="shared" si="39"/>
        <v>1.3649461604569662E-3</v>
      </c>
      <c r="H83" s="330">
        <v>100780052811.61</v>
      </c>
      <c r="I83" s="330">
        <v>1.9834000000000001</v>
      </c>
      <c r="J83" s="23">
        <f>((H83-D83)/D83)</f>
        <v>-5.9475890093753101E-3</v>
      </c>
      <c r="K83" s="23">
        <f>((I83-E83)/E83)</f>
        <v>1.3126009693054108E-3</v>
      </c>
      <c r="L83" s="330">
        <v>100886259435.62</v>
      </c>
      <c r="M83" s="330">
        <v>1.9861</v>
      </c>
      <c r="N83" s="23">
        <f>((L83-H83)/H83)</f>
        <v>1.053845687187012E-3</v>
      </c>
      <c r="O83" s="23">
        <f>((M83-I83)/I83)</f>
        <v>1.3612987798729075E-3</v>
      </c>
      <c r="P83" s="330">
        <v>100984005975.89</v>
      </c>
      <c r="Q83" s="330">
        <v>1.9885999999999999</v>
      </c>
      <c r="R83" s="23">
        <f>((P83-L83)/L83)</f>
        <v>9.688786244709636E-4</v>
      </c>
      <c r="S83" s="23">
        <f>((Q83-M83)/M83)</f>
        <v>1.2587483006897672E-3</v>
      </c>
      <c r="T83" s="330">
        <v>101141179358.55</v>
      </c>
      <c r="U83" s="330">
        <v>1.9916</v>
      </c>
      <c r="V83" s="23">
        <f>((T83-P83)/P83)</f>
        <v>1.5564185748140049E-3</v>
      </c>
      <c r="W83" s="23">
        <f>((U83-Q83)/Q83)</f>
        <v>1.5085990143820344E-3</v>
      </c>
      <c r="X83" s="330">
        <v>101263706918.3</v>
      </c>
      <c r="Y83" s="330">
        <v>1.9943</v>
      </c>
      <c r="Z83" s="23">
        <f>((X83-T83)/T83)</f>
        <v>1.2114507713582648E-3</v>
      </c>
      <c r="AA83" s="23">
        <f>((Y83-U83)/U83)</f>
        <v>1.3556939144406129E-3</v>
      </c>
      <c r="AB83" s="330">
        <v>101405197593.45</v>
      </c>
      <c r="AC83" s="330">
        <v>1.9974000000000001</v>
      </c>
      <c r="AD83" s="23">
        <f>((AB83-X83)/X83)</f>
        <v>1.3972496114935747E-3</v>
      </c>
      <c r="AE83" s="23">
        <f>((AC83-Y83)/Y83)</f>
        <v>1.5544301258587489E-3</v>
      </c>
      <c r="AF83" s="330">
        <v>102523698297.03999</v>
      </c>
      <c r="AG83" s="330">
        <v>2</v>
      </c>
      <c r="AH83" s="23">
        <f>((AF83-AB83)/AB83)</f>
        <v>1.1030013550925154E-2</v>
      </c>
      <c r="AI83" s="23">
        <f>((AG83-AC83)/AC83)</f>
        <v>1.3016921998597855E-3</v>
      </c>
      <c r="AJ83" s="24">
        <f t="shared" si="54"/>
        <v>1.5770151164846357E-3</v>
      </c>
      <c r="AK83" s="24">
        <f t="shared" si="55"/>
        <v>1.3772511831082793E-3</v>
      </c>
      <c r="AL83" s="25">
        <f t="shared" si="56"/>
        <v>1.1251002878095171E-2</v>
      </c>
      <c r="AM83" s="25">
        <f t="shared" si="57"/>
        <v>9.6930533117932684E-3</v>
      </c>
      <c r="AN83" s="26">
        <f t="shared" si="58"/>
        <v>4.580115343369948E-3</v>
      </c>
      <c r="AO83" s="78">
        <f t="shared" si="59"/>
        <v>1.0243254390373533E-4</v>
      </c>
      <c r="AP83" s="30"/>
      <c r="AQ83" s="28"/>
      <c r="AR83" s="28"/>
      <c r="AS83" s="29"/>
      <c r="AT83" s="29"/>
    </row>
    <row r="84" spans="1:46" s="306" customFormat="1" ht="15.75" customHeight="1">
      <c r="A84" s="206" t="s">
        <v>49</v>
      </c>
      <c r="B84" s="330">
        <v>9891023152.25</v>
      </c>
      <c r="C84" s="331">
        <v>1</v>
      </c>
      <c r="D84" s="330">
        <v>9875918059.3700008</v>
      </c>
      <c r="E84" s="331">
        <v>1</v>
      </c>
      <c r="F84" s="23">
        <f t="shared" si="38"/>
        <v>-1.5271517058943562E-3</v>
      </c>
      <c r="G84" s="23">
        <f t="shared" si="39"/>
        <v>0</v>
      </c>
      <c r="H84" s="330">
        <v>9866152181.8999996</v>
      </c>
      <c r="I84" s="331">
        <v>1</v>
      </c>
      <c r="J84" s="23">
        <f>((H84-D84)/D84)</f>
        <v>-9.8885768505699821E-4</v>
      </c>
      <c r="K84" s="23">
        <f>((I84-E84)/E84)</f>
        <v>0</v>
      </c>
      <c r="L84" s="330">
        <v>9865789687.8999996</v>
      </c>
      <c r="M84" s="331">
        <v>1</v>
      </c>
      <c r="N84" s="23">
        <f>((L84-H84)/H84)</f>
        <v>-3.6741172578405511E-5</v>
      </c>
      <c r="O84" s="23">
        <f>((M84-I84)/I84)</f>
        <v>0</v>
      </c>
      <c r="P84" s="330">
        <v>9857997468.7700005</v>
      </c>
      <c r="Q84" s="331">
        <v>1</v>
      </c>
      <c r="R84" s="23">
        <f>((P84-L84)/L84)</f>
        <v>-7.8982214059924766E-4</v>
      </c>
      <c r="S84" s="23">
        <f>((Q84-M84)/M84)</f>
        <v>0</v>
      </c>
      <c r="T84" s="330">
        <v>9863356245.0499992</v>
      </c>
      <c r="U84" s="331">
        <v>1</v>
      </c>
      <c r="V84" s="23">
        <f>((T84-P84)/P84)</f>
        <v>5.4359684073518062E-4</v>
      </c>
      <c r="W84" s="23">
        <f>((U84-Q84)/Q84)</f>
        <v>0</v>
      </c>
      <c r="X84" s="330">
        <v>9705460621.6700001</v>
      </c>
      <c r="Y84" s="331">
        <v>1</v>
      </c>
      <c r="Z84" s="23">
        <f>((X84-T84)/T84)</f>
        <v>-1.6008305840036985E-2</v>
      </c>
      <c r="AA84" s="23">
        <f>((Y84-U84)/U84)</f>
        <v>0</v>
      </c>
      <c r="AB84" s="330">
        <v>9688548268.0100002</v>
      </c>
      <c r="AC84" s="331">
        <v>1</v>
      </c>
      <c r="AD84" s="23">
        <f>((AB84-X84)/X84)</f>
        <v>-1.7425606387231698E-3</v>
      </c>
      <c r="AE84" s="23">
        <f>((AC84-Y84)/Y84)</f>
        <v>0</v>
      </c>
      <c r="AF84" s="330">
        <v>9688464346.5499992</v>
      </c>
      <c r="AG84" s="331">
        <v>1</v>
      </c>
      <c r="AH84" s="23">
        <f>((AF84-AB84)/AB84)</f>
        <v>-8.6619230951335335E-6</v>
      </c>
      <c r="AI84" s="23">
        <f>((AG84-AC84)/AC84)</f>
        <v>0</v>
      </c>
      <c r="AJ84" s="24">
        <f t="shared" si="54"/>
        <v>-2.5698130331561395E-3</v>
      </c>
      <c r="AK84" s="24">
        <f t="shared" si="55"/>
        <v>0</v>
      </c>
      <c r="AL84" s="25">
        <f t="shared" si="56"/>
        <v>-1.8980889846706518E-2</v>
      </c>
      <c r="AM84" s="25">
        <f t="shared" si="57"/>
        <v>0</v>
      </c>
      <c r="AN84" s="26">
        <f t="shared" si="58"/>
        <v>5.4863679708447863E-3</v>
      </c>
      <c r="AO84" s="78">
        <f t="shared" si="59"/>
        <v>0</v>
      </c>
      <c r="AP84" s="30"/>
      <c r="AQ84" s="28"/>
      <c r="AR84" s="28"/>
      <c r="AS84" s="29"/>
      <c r="AT84" s="29"/>
    </row>
    <row r="85" spans="1:46" s="110" customFormat="1" ht="15.75" customHeight="1">
      <c r="A85" s="206" t="s">
        <v>19</v>
      </c>
      <c r="B85" s="330">
        <v>3489478822.0100002</v>
      </c>
      <c r="C85" s="331">
        <v>23.868200000000002</v>
      </c>
      <c r="D85" s="330">
        <v>3492696859.6599998</v>
      </c>
      <c r="E85" s="331">
        <v>23.898399999999999</v>
      </c>
      <c r="F85" s="23">
        <f t="shared" si="38"/>
        <v>9.2221154336909639E-4</v>
      </c>
      <c r="G85" s="23">
        <f t="shared" si="39"/>
        <v>1.2652818394347759E-3</v>
      </c>
      <c r="H85" s="330">
        <v>3310508943.7600002</v>
      </c>
      <c r="I85" s="331">
        <v>23.9253</v>
      </c>
      <c r="J85" s="23">
        <f>((H85-D85)/D85)</f>
        <v>-5.2162533200128591E-2</v>
      </c>
      <c r="K85" s="23">
        <f>((I85-E85)/E85)</f>
        <v>1.1255983664178882E-3</v>
      </c>
      <c r="L85" s="330">
        <v>3317337901.4200001</v>
      </c>
      <c r="M85" s="331">
        <v>23.953099999999999</v>
      </c>
      <c r="N85" s="23">
        <f>((L85-H85)/H85)</f>
        <v>2.0628120255865171E-3</v>
      </c>
      <c r="O85" s="23">
        <f>((M85-I85)/I85)</f>
        <v>1.1619499024045324E-3</v>
      </c>
      <c r="P85" s="330">
        <v>3321098491.3000002</v>
      </c>
      <c r="Q85" s="331">
        <v>23.9803</v>
      </c>
      <c r="R85" s="23">
        <f>((P85-L85)/L85)</f>
        <v>1.1336167709627585E-3</v>
      </c>
      <c r="S85" s="23">
        <f>((Q85-M85)/M85)</f>
        <v>1.1355523919659902E-3</v>
      </c>
      <c r="T85" s="330">
        <v>3326377950.4299998</v>
      </c>
      <c r="U85" s="331">
        <v>24.0075</v>
      </c>
      <c r="V85" s="23">
        <f>((T85-P85)/P85)</f>
        <v>1.589672556784988E-3</v>
      </c>
      <c r="W85" s="23">
        <f>((U85-Q85)/Q85)</f>
        <v>1.1342643753414494E-3</v>
      </c>
      <c r="X85" s="330">
        <v>3229097686.6599998</v>
      </c>
      <c r="Y85" s="331">
        <v>24.0351</v>
      </c>
      <c r="Z85" s="23">
        <f>((X85-T85)/T85)</f>
        <v>-2.9245102396564585E-2</v>
      </c>
      <c r="AA85" s="23">
        <f>((Y85-U85)/U85)</f>
        <v>1.1496407372695876E-3</v>
      </c>
      <c r="AB85" s="330">
        <v>2615876692.9899998</v>
      </c>
      <c r="AC85" s="331">
        <v>24.063400000000001</v>
      </c>
      <c r="AD85" s="23">
        <f>((AB85-X85)/X85)</f>
        <v>-0.18990475147386512</v>
      </c>
      <c r="AE85" s="23">
        <f>((AC85-Y85)/Y85)</f>
        <v>1.1774446538604601E-3</v>
      </c>
      <c r="AF85" s="330">
        <v>2619514763.6799998</v>
      </c>
      <c r="AG85" s="331">
        <v>24.122399999999999</v>
      </c>
      <c r="AH85" s="23">
        <f>((AF85-AB85)/AB85)</f>
        <v>1.3907653597546562E-3</v>
      </c>
      <c r="AI85" s="23">
        <f>((AG85-AC85)/AC85)</f>
        <v>2.4518563461521439E-3</v>
      </c>
      <c r="AJ85" s="24">
        <f t="shared" si="54"/>
        <v>-3.302666360176254E-2</v>
      </c>
      <c r="AK85" s="24">
        <f t="shared" si="55"/>
        <v>1.3251985766058534E-3</v>
      </c>
      <c r="AL85" s="25">
        <f t="shared" si="56"/>
        <v>-0.2500022564411733</v>
      </c>
      <c r="AM85" s="25">
        <f t="shared" si="57"/>
        <v>9.3730124192414645E-3</v>
      </c>
      <c r="AN85" s="26">
        <f t="shared" si="58"/>
        <v>6.6466735492026779E-2</v>
      </c>
      <c r="AO85" s="78">
        <f t="shared" si="59"/>
        <v>4.574012680049608E-4</v>
      </c>
      <c r="AP85" s="30"/>
      <c r="AQ85" s="28"/>
      <c r="AR85" s="28"/>
      <c r="AS85" s="29"/>
      <c r="AT85" s="29"/>
    </row>
    <row r="86" spans="1:46">
      <c r="A86" s="208" t="s">
        <v>42</v>
      </c>
      <c r="B86" s="76">
        <f>SUM(B56:B85)</f>
        <v>337681545776.19214</v>
      </c>
      <c r="C86" s="87"/>
      <c r="D86" s="76">
        <f>SUM(D56:D85)</f>
        <v>338781243498.64948</v>
      </c>
      <c r="E86" s="87"/>
      <c r="F86" s="23">
        <f>((D85-B86)/B86)</f>
        <v>-0.98965683229259183</v>
      </c>
      <c r="G86" s="23"/>
      <c r="H86" s="76">
        <f>SUM(H56:H85)</f>
        <v>329560582532.39905</v>
      </c>
      <c r="I86" s="87"/>
      <c r="J86" s="23">
        <f>((H85-D86)/D86)</f>
        <v>-0.99022818114258082</v>
      </c>
      <c r="K86" s="23"/>
      <c r="L86" s="76">
        <f>SUM(L56:L85)</f>
        <v>325274738811.00592</v>
      </c>
      <c r="M86" s="87"/>
      <c r="N86" s="23">
        <f>((L85-H86)/H86)</f>
        <v>-0.98993405741691254</v>
      </c>
      <c r="O86" s="23"/>
      <c r="P86" s="76">
        <f>SUM(P56:P85)</f>
        <v>324645636399.64471</v>
      </c>
      <c r="Q86" s="87"/>
      <c r="R86" s="23">
        <f>((P85-L86)/L86)</f>
        <v>-0.98978986654961354</v>
      </c>
      <c r="S86" s="23"/>
      <c r="T86" s="76">
        <f>SUM(T56:T85)</f>
        <v>325325671083.40485</v>
      </c>
      <c r="U86" s="87"/>
      <c r="V86" s="23">
        <f>((T85-P86)/P86)</f>
        <v>-0.98975381900302162</v>
      </c>
      <c r="W86" s="23"/>
      <c r="X86" s="76">
        <f>SUM(X56:X85)</f>
        <v>325304566651.13672</v>
      </c>
      <c r="Y86" s="87"/>
      <c r="Z86" s="23">
        <f>((X85-T86)/T86)</f>
        <v>-0.99007426104461294</v>
      </c>
      <c r="AA86" s="23"/>
      <c r="AB86" s="76">
        <f>SUM(AB56:AB85)</f>
        <v>324966477016.1626</v>
      </c>
      <c r="AC86" s="87"/>
      <c r="AD86" s="23">
        <f>((AB85-X86)/X86)</f>
        <v>-0.99195868438024326</v>
      </c>
      <c r="AE86" s="23"/>
      <c r="AF86" s="76">
        <f>SUM(AF56:AF85)</f>
        <v>326343931654.87665</v>
      </c>
      <c r="AG86" s="87"/>
      <c r="AH86" s="23">
        <f>((AF85-AB86)/AB86)</f>
        <v>-0.99193912311284427</v>
      </c>
      <c r="AI86" s="23"/>
      <c r="AJ86" s="24">
        <f t="shared" si="54"/>
        <v>-0.99041685311780259</v>
      </c>
      <c r="AK86" s="24"/>
      <c r="AL86" s="25">
        <f t="shared" si="56"/>
        <v>-3.6711925711502405E-2</v>
      </c>
      <c r="AM86" s="25"/>
      <c r="AN86" s="26">
        <f t="shared" si="58"/>
        <v>9.629542163938524E-4</v>
      </c>
      <c r="AO86" s="78"/>
      <c r="AP86" s="30"/>
      <c r="AQ86" s="40"/>
      <c r="AR86" s="13"/>
      <c r="AS86" s="29" t="e">
        <f>(#REF!/AQ86)-1</f>
        <v>#REF!</v>
      </c>
      <c r="AT86" s="29" t="e">
        <f>(#REF!/AR86)-1</f>
        <v>#REF!</v>
      </c>
    </row>
    <row r="87" spans="1:46" s="110" customFormat="1" ht="7.5" customHeight="1">
      <c r="A87" s="208"/>
      <c r="B87" s="87"/>
      <c r="C87" s="87"/>
      <c r="D87" s="87"/>
      <c r="E87" s="87"/>
      <c r="F87" s="23"/>
      <c r="G87" s="23"/>
      <c r="H87" s="87"/>
      <c r="I87" s="87"/>
      <c r="J87" s="23"/>
      <c r="K87" s="23"/>
      <c r="L87" s="87"/>
      <c r="M87" s="87"/>
      <c r="N87" s="23"/>
      <c r="O87" s="23"/>
      <c r="P87" s="87"/>
      <c r="Q87" s="87"/>
      <c r="R87" s="23"/>
      <c r="S87" s="23"/>
      <c r="T87" s="87"/>
      <c r="U87" s="87"/>
      <c r="V87" s="23"/>
      <c r="W87" s="23"/>
      <c r="X87" s="87"/>
      <c r="Y87" s="87"/>
      <c r="Z87" s="23"/>
      <c r="AA87" s="23"/>
      <c r="AB87" s="87"/>
      <c r="AC87" s="87"/>
      <c r="AD87" s="23"/>
      <c r="AE87" s="23"/>
      <c r="AF87" s="87"/>
      <c r="AG87" s="87"/>
      <c r="AH87" s="23"/>
      <c r="AI87" s="23"/>
      <c r="AJ87" s="24"/>
      <c r="AK87" s="24"/>
      <c r="AL87" s="25"/>
      <c r="AM87" s="25"/>
      <c r="AN87" s="26"/>
      <c r="AO87" s="78"/>
      <c r="AP87" s="30"/>
      <c r="AQ87" s="40"/>
      <c r="AR87" s="13"/>
      <c r="AS87" s="29"/>
      <c r="AT87" s="29"/>
    </row>
    <row r="88" spans="1:46" s="110" customFormat="1">
      <c r="A88" s="205" t="s">
        <v>201</v>
      </c>
      <c r="B88" s="87"/>
      <c r="C88" s="87"/>
      <c r="D88" s="87"/>
      <c r="E88" s="87"/>
      <c r="F88" s="23"/>
      <c r="G88" s="23"/>
      <c r="H88" s="87"/>
      <c r="I88" s="87"/>
      <c r="J88" s="23"/>
      <c r="K88" s="23"/>
      <c r="L88" s="87"/>
      <c r="M88" s="87"/>
      <c r="N88" s="23"/>
      <c r="O88" s="23"/>
      <c r="P88" s="87"/>
      <c r="Q88" s="87"/>
      <c r="R88" s="23"/>
      <c r="S88" s="23"/>
      <c r="T88" s="87"/>
      <c r="U88" s="87"/>
      <c r="V88" s="23"/>
      <c r="W88" s="23"/>
      <c r="X88" s="87"/>
      <c r="Y88" s="87"/>
      <c r="Z88" s="23"/>
      <c r="AA88" s="23"/>
      <c r="AB88" s="87"/>
      <c r="AC88" s="87"/>
      <c r="AD88" s="23"/>
      <c r="AE88" s="23"/>
      <c r="AF88" s="87"/>
      <c r="AG88" s="87"/>
      <c r="AH88" s="23"/>
      <c r="AI88" s="23"/>
      <c r="AJ88" s="24"/>
      <c r="AK88" s="24"/>
      <c r="AL88" s="25"/>
      <c r="AM88" s="25"/>
      <c r="AN88" s="26"/>
      <c r="AO88" s="78"/>
      <c r="AP88" s="30"/>
      <c r="AQ88" s="40"/>
      <c r="AR88" s="13"/>
      <c r="AS88" s="29"/>
      <c r="AT88" s="29"/>
    </row>
    <row r="89" spans="1:46" s="110" customFormat="1">
      <c r="A89" s="204" t="s">
        <v>202</v>
      </c>
      <c r="B89" s="87"/>
      <c r="C89" s="87"/>
      <c r="D89" s="87"/>
      <c r="E89" s="87"/>
      <c r="F89" s="23"/>
      <c r="G89" s="23"/>
      <c r="H89" s="87"/>
      <c r="I89" s="87"/>
      <c r="J89" s="23"/>
      <c r="K89" s="23"/>
      <c r="L89" s="87"/>
      <c r="M89" s="87"/>
      <c r="N89" s="23"/>
      <c r="O89" s="23"/>
      <c r="P89" s="87"/>
      <c r="Q89" s="87"/>
      <c r="R89" s="23"/>
      <c r="S89" s="23"/>
      <c r="T89" s="87"/>
      <c r="U89" s="87"/>
      <c r="V89" s="23"/>
      <c r="W89" s="23"/>
      <c r="X89" s="87"/>
      <c r="Y89" s="87"/>
      <c r="Z89" s="23"/>
      <c r="AA89" s="23"/>
      <c r="AB89" s="87"/>
      <c r="AC89" s="87"/>
      <c r="AD89" s="23"/>
      <c r="AE89" s="23"/>
      <c r="AF89" s="87"/>
      <c r="AG89" s="87"/>
      <c r="AH89" s="23"/>
      <c r="AI89" s="23"/>
      <c r="AJ89" s="24"/>
      <c r="AK89" s="24"/>
      <c r="AL89" s="25"/>
      <c r="AM89" s="25"/>
      <c r="AN89" s="26"/>
      <c r="AO89" s="78"/>
      <c r="AP89" s="30"/>
      <c r="AQ89" s="40"/>
      <c r="AR89" s="13"/>
      <c r="AS89" s="29"/>
      <c r="AT89" s="29"/>
    </row>
    <row r="90" spans="1:46">
      <c r="A90" s="206" t="s">
        <v>149</v>
      </c>
      <c r="B90" s="330">
        <v>791220411.33000004</v>
      </c>
      <c r="C90" s="330">
        <f>106.9615*460.52</f>
        <v>49257.909979999997</v>
      </c>
      <c r="D90" s="330">
        <v>791994864.57000005</v>
      </c>
      <c r="E90" s="330">
        <f>107.0848*460.44</f>
        <v>49306.125312000004</v>
      </c>
      <c r="F90" s="23">
        <f>((D103-B90)/B90)</f>
        <v>2.7003197203795275</v>
      </c>
      <c r="G90" s="23">
        <f t="shared" ref="G90:G99" si="60">((E90-C90)/C90)</f>
        <v>9.7883430335521187E-4</v>
      </c>
      <c r="H90" s="330">
        <v>792837584.21000004</v>
      </c>
      <c r="I90" s="330">
        <f>107.208*460.4</f>
        <v>49358.563199999997</v>
      </c>
      <c r="J90" s="23">
        <f>((H103-D90)/D90)</f>
        <v>2.8038006949169225</v>
      </c>
      <c r="K90" s="23">
        <f t="shared" ref="K90:K99" si="61">((I90-E90)/E90)</f>
        <v>1.06351670645738E-3</v>
      </c>
      <c r="L90" s="330">
        <v>795871730.70000005</v>
      </c>
      <c r="M90" s="330">
        <f>107.307*460.85</f>
        <v>49452.430950000002</v>
      </c>
      <c r="N90" s="23">
        <f>((L103-H90)/H90)</f>
        <v>2.7279106297313711</v>
      </c>
      <c r="O90" s="23">
        <f t="shared" ref="O90:O99" si="62">((M90-I90)/I90)</f>
        <v>1.9017520753117241E-3</v>
      </c>
      <c r="P90" s="330">
        <v>796712638.04999995</v>
      </c>
      <c r="Q90" s="330">
        <f>107.4297*460.36</f>
        <v>49456.336691999997</v>
      </c>
      <c r="R90" s="23">
        <f>((P103-L90)/L90)</f>
        <v>2.7392571224590681</v>
      </c>
      <c r="S90" s="23">
        <f t="shared" ref="S90:S99" si="63">((Q90-M90)/M90)</f>
        <v>7.8979777636095576E-5</v>
      </c>
      <c r="T90" s="330">
        <v>793224099.02999997</v>
      </c>
      <c r="U90" s="330">
        <f>107.551*460.36</f>
        <v>49512.178360000005</v>
      </c>
      <c r="V90" s="23">
        <f>((T103-P90)/P90)</f>
        <v>2.7358777998575019</v>
      </c>
      <c r="W90" s="23">
        <f t="shared" ref="W90:W99" si="64">((U90-Q90)/Q90)</f>
        <v>1.1291104787597643E-3</v>
      </c>
      <c r="X90" s="330">
        <v>794416847.38999999</v>
      </c>
      <c r="Y90" s="330">
        <f>107.6729*460.53</f>
        <v>49586.600636999996</v>
      </c>
      <c r="Z90" s="23">
        <f>((X103-T90)/T90)</f>
        <v>2.7466024843245491</v>
      </c>
      <c r="AA90" s="23">
        <f t="shared" ref="AA90:AA99" si="65">((Y90-U90)/U90)</f>
        <v>1.5031105369444821E-3</v>
      </c>
      <c r="AB90" s="330">
        <v>795930564.35000002</v>
      </c>
      <c r="AC90" s="330">
        <f>107.5721*460.31</f>
        <v>49516.513351000001</v>
      </c>
      <c r="AD90" s="23">
        <f>((AB103-X90)/X90)</f>
        <v>2.6972363794763257</v>
      </c>
      <c r="AE90" s="23">
        <f t="shared" ref="AE90:AE99" si="66">((AC90-Y90)/Y90)</f>
        <v>-1.413431957416688E-3</v>
      </c>
      <c r="AF90" s="330">
        <v>795010939.25999999</v>
      </c>
      <c r="AG90" s="330">
        <f>108.026*460.5</f>
        <v>49745.972999999998</v>
      </c>
      <c r="AH90" s="23">
        <f>((AF103-AB90)/AB90)</f>
        <v>2.6917264358601711</v>
      </c>
      <c r="AI90" s="23">
        <f t="shared" ref="AI90:AI99" si="67">((AG90-AC90)/AC90)</f>
        <v>4.634002547260584E-3</v>
      </c>
      <c r="AJ90" s="24">
        <f t="shared" si="54"/>
        <v>2.7303414083756796</v>
      </c>
      <c r="AK90" s="24">
        <f t="shared" si="55"/>
        <v>1.2344843085385694E-3</v>
      </c>
      <c r="AL90" s="25">
        <f t="shared" si="56"/>
        <v>3.8081998064942806E-3</v>
      </c>
      <c r="AM90" s="25">
        <f t="shared" si="57"/>
        <v>8.9207514323366502E-3</v>
      </c>
      <c r="AN90" s="26">
        <f t="shared" si="58"/>
        <v>3.6381118403794738E-2</v>
      </c>
      <c r="AO90" s="78">
        <f t="shared" si="59"/>
        <v>1.7124115135064484E-3</v>
      </c>
      <c r="AP90" s="30"/>
      <c r="AQ90" s="49">
        <v>31507613595.857655</v>
      </c>
      <c r="AR90" s="49">
        <v>11.808257597614354</v>
      </c>
      <c r="AS90" s="29" t="e">
        <f>(#REF!/AQ90)-1</f>
        <v>#REF!</v>
      </c>
      <c r="AT90" s="29" t="e">
        <f>(#REF!/AR90)-1</f>
        <v>#REF!</v>
      </c>
    </row>
    <row r="91" spans="1:46">
      <c r="A91" s="206" t="s">
        <v>150</v>
      </c>
      <c r="B91" s="330">
        <f>11293819.96*460.55</f>
        <v>5201368782.5780001</v>
      </c>
      <c r="C91" s="330">
        <f>1.1364*460.55</f>
        <v>523.36902000000009</v>
      </c>
      <c r="D91" s="330">
        <f>11301314.56*460.36</f>
        <v>5202673170.8416004</v>
      </c>
      <c r="E91" s="330">
        <f>1.1372*460.36</f>
        <v>523.52139199999999</v>
      </c>
      <c r="F91" s="23">
        <f>((D104-B91)/B91)</f>
        <v>0.16049728287449708</v>
      </c>
      <c r="G91" s="23">
        <f t="shared" si="60"/>
        <v>2.9113683496187877E-4</v>
      </c>
      <c r="H91" s="330">
        <f>11301341.53*460.4</f>
        <v>5203137640.4119997</v>
      </c>
      <c r="I91" s="330">
        <f>1.1386*460.4</f>
        <v>524.21144000000004</v>
      </c>
      <c r="J91" s="23">
        <f>((H104-D91)/D91)</f>
        <v>0.16202376391289647</v>
      </c>
      <c r="K91" s="23">
        <f t="shared" si="61"/>
        <v>1.3180894048357189E-3</v>
      </c>
      <c r="L91" s="330">
        <f>11634515.93*460.35</f>
        <v>5355949408.3754997</v>
      </c>
      <c r="M91" s="330">
        <f>1.1401*460.35</f>
        <v>524.84503499999994</v>
      </c>
      <c r="N91" s="23">
        <f>((L104-H91)/H91)</f>
        <v>0.17906881957368789</v>
      </c>
      <c r="O91" s="23">
        <f t="shared" si="62"/>
        <v>1.2086630539766552E-3</v>
      </c>
      <c r="P91" s="330">
        <f>11646169.51*460.36</f>
        <v>5361430595.6236</v>
      </c>
      <c r="Q91" s="330">
        <f>1.1412*460.36</f>
        <v>525.36283200000003</v>
      </c>
      <c r="R91" s="23">
        <f>((P104-L91)/L91)</f>
        <v>0.13773274964862803</v>
      </c>
      <c r="S91" s="23">
        <f t="shared" si="63"/>
        <v>9.865712076329101E-4</v>
      </c>
      <c r="T91" s="330">
        <f>11671298.13*460.43</f>
        <v>5373815797.9959002</v>
      </c>
      <c r="U91" s="330">
        <f>1.1424*460.43</f>
        <v>525.9952320000001</v>
      </c>
      <c r="V91" s="23">
        <f>((T104-P91)/P91)</f>
        <v>6.5222639523085491E-2</v>
      </c>
      <c r="W91" s="23">
        <f t="shared" si="64"/>
        <v>1.2037395138757648E-3</v>
      </c>
      <c r="X91" s="330">
        <f>11777992.92*460.47</f>
        <v>5423412399.8724003</v>
      </c>
      <c r="Y91" s="330">
        <f>1.1436*460.47</f>
        <v>526.59349199999997</v>
      </c>
      <c r="Z91" s="23">
        <f>((X104-T91)/T91)</f>
        <v>6.7237440255925818E-2</v>
      </c>
      <c r="AA91" s="23">
        <f t="shared" si="65"/>
        <v>1.1373867358551802E-3</v>
      </c>
      <c r="AB91" s="330">
        <f>11798899.38*460.31</f>
        <v>5431151373.6078005</v>
      </c>
      <c r="AC91" s="330">
        <f>1.1446*460.31</f>
        <v>526.87082600000008</v>
      </c>
      <c r="AD91" s="23">
        <f>((AB104-X91)/X91)</f>
        <v>4.8607993182263255E-2</v>
      </c>
      <c r="AE91" s="23">
        <f t="shared" si="66"/>
        <v>5.266567175883554E-4</v>
      </c>
      <c r="AF91" s="330">
        <f>11799004.44*461</f>
        <v>5439341046.8400002</v>
      </c>
      <c r="AG91" s="330">
        <f>1.146*461</f>
        <v>528.30599999999993</v>
      </c>
      <c r="AH91" s="23">
        <f>((AF104-AB91)/AB91)</f>
        <v>5.2084533164887419E-2</v>
      </c>
      <c r="AI91" s="23">
        <f t="shared" si="67"/>
        <v>2.7239579972489253E-3</v>
      </c>
      <c r="AJ91" s="24">
        <f t="shared" si="54"/>
        <v>0.10905940276698393</v>
      </c>
      <c r="AK91" s="24">
        <f t="shared" si="55"/>
        <v>1.1745251832469235E-3</v>
      </c>
      <c r="AL91" s="25">
        <f t="shared" si="56"/>
        <v>4.5489668143062621E-2</v>
      </c>
      <c r="AM91" s="25">
        <f t="shared" si="57"/>
        <v>9.139278877834155E-3</v>
      </c>
      <c r="AN91" s="26">
        <f t="shared" si="58"/>
        <v>5.573637613353593E-2</v>
      </c>
      <c r="AO91" s="78">
        <f t="shared" si="59"/>
        <v>7.2310699525064942E-4</v>
      </c>
      <c r="AP91" s="30"/>
      <c r="AQ91" s="40">
        <f>SUM(AQ90:AQ90)</f>
        <v>31507613595.857655</v>
      </c>
      <c r="AR91" s="13"/>
      <c r="AS91" s="29" t="e">
        <f>(#REF!/AQ91)-1</f>
        <v>#REF!</v>
      </c>
      <c r="AT91" s="29" t="e">
        <f>(#REF!/AR91)-1</f>
        <v>#REF!</v>
      </c>
    </row>
    <row r="92" spans="1:46">
      <c r="A92" s="206" t="s">
        <v>177</v>
      </c>
      <c r="B92" s="330">
        <v>1008235531.5945001</v>
      </c>
      <c r="C92" s="330">
        <v>48813.167930999996</v>
      </c>
      <c r="D92" s="330">
        <v>1007635437.2375998</v>
      </c>
      <c r="E92" s="330">
        <v>48851.113769999996</v>
      </c>
      <c r="F92" s="23">
        <f t="shared" ref="F92:F97" si="68">((D92-B92)/B92)</f>
        <v>-5.9519262919764443E-4</v>
      </c>
      <c r="G92" s="23">
        <f t="shared" si="60"/>
        <v>7.7736890696458044E-4</v>
      </c>
      <c r="H92" s="330">
        <v>1010765628.0919999</v>
      </c>
      <c r="I92" s="330">
        <v>48893.839059999998</v>
      </c>
      <c r="J92" s="23">
        <f>((H92-D92)/D92)</f>
        <v>3.1064715855779706E-3</v>
      </c>
      <c r="K92" s="23">
        <f t="shared" si="61"/>
        <v>8.746021677450515E-4</v>
      </c>
      <c r="L92" s="330">
        <v>1007932957.0115</v>
      </c>
      <c r="M92" s="330">
        <v>48927.753225</v>
      </c>
      <c r="N92" s="23">
        <f>((L92-H92)/H92)</f>
        <v>-2.8025004034288922E-3</v>
      </c>
      <c r="O92" s="23">
        <f t="shared" si="62"/>
        <v>6.936285972223258E-4</v>
      </c>
      <c r="P92" s="330">
        <v>1008850362.1182001</v>
      </c>
      <c r="Q92" s="330">
        <v>48972.274008</v>
      </c>
      <c r="R92" s="23">
        <f>((P92-L92)/L92)</f>
        <v>9.1018465099122227E-4</v>
      </c>
      <c r="S92" s="23">
        <f t="shared" si="63"/>
        <v>9.0992902934385533E-4</v>
      </c>
      <c r="T92" s="330">
        <v>1017893723.7982001</v>
      </c>
      <c r="U92" s="330">
        <v>49037.328653999997</v>
      </c>
      <c r="V92" s="23">
        <f>((T92-P92)/P92)</f>
        <v>8.9640267968110407E-3</v>
      </c>
      <c r="W92" s="23">
        <f t="shared" si="64"/>
        <v>1.3283974926173467E-3</v>
      </c>
      <c r="X92" s="330">
        <v>1018874693.8449</v>
      </c>
      <c r="Y92" s="330">
        <v>49084.592667000004</v>
      </c>
      <c r="Z92" s="23">
        <f>((X92-T92)/T92)</f>
        <v>9.6372541038907246E-4</v>
      </c>
      <c r="AA92" s="23">
        <f t="shared" si="65"/>
        <v>9.6383743359054091E-4</v>
      </c>
      <c r="AB92" s="330">
        <v>1011302796.119</v>
      </c>
      <c r="AC92" s="330">
        <v>49122.345999999998</v>
      </c>
      <c r="AD92" s="23">
        <f>((AB92-X92)/X92)</f>
        <v>-7.4316280222116293E-3</v>
      </c>
      <c r="AE92" s="23">
        <f t="shared" si="66"/>
        <v>7.6914834062329258E-4</v>
      </c>
      <c r="AF92" s="330">
        <v>1013070328.72</v>
      </c>
      <c r="AG92" s="330">
        <v>49193.263900000005</v>
      </c>
      <c r="AH92" s="23">
        <f>((AF92-AB92)/AB92)</f>
        <v>1.7477778245874494E-3</v>
      </c>
      <c r="AI92" s="23">
        <f t="shared" si="67"/>
        <v>1.4436993705473197E-3</v>
      </c>
      <c r="AJ92" s="24">
        <f t="shared" si="54"/>
        <v>6.0785815168982365E-4</v>
      </c>
      <c r="AK92" s="24">
        <f t="shared" si="55"/>
        <v>9.7007641733178908E-4</v>
      </c>
      <c r="AL92" s="25">
        <f t="shared" si="56"/>
        <v>5.3937081622493933E-3</v>
      </c>
      <c r="AM92" s="25">
        <f t="shared" si="57"/>
        <v>7.0039371386886829E-3</v>
      </c>
      <c r="AN92" s="26">
        <f t="shared" si="58"/>
        <v>4.7101303863145297E-3</v>
      </c>
      <c r="AO92" s="78">
        <f t="shared" si="59"/>
        <v>2.7240105258487154E-4</v>
      </c>
      <c r="AP92" s="30"/>
      <c r="AQ92" s="40"/>
      <c r="AR92" s="13"/>
      <c r="AS92" s="29" t="e">
        <f>(#REF!/AQ92)-1</f>
        <v>#REF!</v>
      </c>
      <c r="AT92" s="29" t="e">
        <f>(#REF!/AR92)-1</f>
        <v>#REF!</v>
      </c>
    </row>
    <row r="93" spans="1:46">
      <c r="A93" s="206" t="s">
        <v>247</v>
      </c>
      <c r="B93" s="330">
        <v>13163655023.09</v>
      </c>
      <c r="C93" s="330">
        <v>56219.93</v>
      </c>
      <c r="D93" s="330">
        <v>13173067820.83</v>
      </c>
      <c r="E93" s="330">
        <v>56338.64</v>
      </c>
      <c r="F93" s="23">
        <f t="shared" si="68"/>
        <v>7.1505958819864581E-4</v>
      </c>
      <c r="G93" s="23">
        <f t="shared" si="60"/>
        <v>2.1115287763609652E-3</v>
      </c>
      <c r="H93" s="330">
        <v>13158806006.07</v>
      </c>
      <c r="I93" s="330">
        <v>56356.07</v>
      </c>
      <c r="J93" s="23">
        <f>((H93-D93)/D93)</f>
        <v>-1.0826494597901213E-3</v>
      </c>
      <c r="K93" s="23">
        <f t="shared" si="61"/>
        <v>3.0937914014254322E-4</v>
      </c>
      <c r="L93" s="330">
        <v>13160232187.540001</v>
      </c>
      <c r="M93" s="330">
        <v>56436</v>
      </c>
      <c r="N93" s="23">
        <f>((L93-H93)/H93)</f>
        <v>1.0838228554652605E-4</v>
      </c>
      <c r="O93" s="23">
        <f t="shared" si="62"/>
        <v>1.4183032990057734E-3</v>
      </c>
      <c r="P93" s="330">
        <v>13421788517.82</v>
      </c>
      <c r="Q93" s="330">
        <v>56715.7</v>
      </c>
      <c r="R93" s="23">
        <f>((P93-L93)/L93)</f>
        <v>1.9874750426336563E-2</v>
      </c>
      <c r="S93" s="23">
        <f t="shared" si="63"/>
        <v>4.9560564178892392E-3</v>
      </c>
      <c r="T93" s="330">
        <v>13234964096.879999</v>
      </c>
      <c r="U93" s="330">
        <v>56895.68</v>
      </c>
      <c r="V93" s="23">
        <f>((T93-P93)/P93)</f>
        <v>-1.3919487756192497E-2</v>
      </c>
      <c r="W93" s="23">
        <f t="shared" si="64"/>
        <v>3.1733717471529614E-3</v>
      </c>
      <c r="X93" s="330">
        <v>13225551299.139999</v>
      </c>
      <c r="Y93" s="330">
        <v>56924.77</v>
      </c>
      <c r="Z93" s="23">
        <f>((X93-T93)/T93)</f>
        <v>-7.1120689645230977E-4</v>
      </c>
      <c r="AA93" s="23">
        <f t="shared" si="65"/>
        <v>5.1128662140950785E-4</v>
      </c>
      <c r="AB93" s="330">
        <v>13206440467.370001</v>
      </c>
      <c r="AC93" s="330">
        <v>56935.11</v>
      </c>
      <c r="AD93" s="23">
        <f>((AB93-X93)/X93)</f>
        <v>-1.4449932057835082E-3</v>
      </c>
      <c r="AE93" s="23">
        <f t="shared" si="66"/>
        <v>1.8164324598946618E-4</v>
      </c>
      <c r="AF93" s="330">
        <v>13184477272.639999</v>
      </c>
      <c r="AG93" s="330">
        <v>56919</v>
      </c>
      <c r="AH93" s="23">
        <f>((AF93-AB93)/AB93)</f>
        <v>-1.663066954662562E-3</v>
      </c>
      <c r="AI93" s="23">
        <f t="shared" si="67"/>
        <v>-2.8295369939569068E-4</v>
      </c>
      <c r="AJ93" s="24">
        <f t="shared" si="54"/>
        <v>2.345985034000921E-4</v>
      </c>
      <c r="AK93" s="24">
        <f t="shared" si="55"/>
        <v>1.5473269435693456E-3</v>
      </c>
      <c r="AL93" s="25">
        <f t="shared" si="56"/>
        <v>8.6611956798386745E-4</v>
      </c>
      <c r="AM93" s="25">
        <f t="shared" si="57"/>
        <v>1.030127812811954E-2</v>
      </c>
      <c r="AN93" s="26">
        <f t="shared" si="58"/>
        <v>9.2224288041930624E-3</v>
      </c>
      <c r="AO93" s="78">
        <f t="shared" si="59"/>
        <v>1.7896265631345957E-3</v>
      </c>
      <c r="AP93" s="30"/>
      <c r="AQ93" s="28">
        <v>885354617.76999998</v>
      </c>
      <c r="AR93" s="28">
        <v>1763.14</v>
      </c>
      <c r="AS93" s="29" t="e">
        <f>(#REF!/AQ93)-1</f>
        <v>#REF!</v>
      </c>
      <c r="AT93" s="29" t="e">
        <f>(#REF!/AR93)-1</f>
        <v>#REF!</v>
      </c>
    </row>
    <row r="94" spans="1:46" s="376" customFormat="1">
      <c r="A94" s="206" t="s">
        <v>281</v>
      </c>
      <c r="B94" s="330">
        <v>0</v>
      </c>
      <c r="C94" s="330">
        <v>0</v>
      </c>
      <c r="D94" s="330">
        <v>0</v>
      </c>
      <c r="E94" s="330">
        <v>0</v>
      </c>
      <c r="F94" s="23" t="e">
        <f t="shared" si="68"/>
        <v>#DIV/0!</v>
      </c>
      <c r="G94" s="23" t="e">
        <f t="shared" si="60"/>
        <v>#DIV/0!</v>
      </c>
      <c r="H94" s="330">
        <v>0</v>
      </c>
      <c r="I94" s="330">
        <v>0</v>
      </c>
      <c r="J94" s="23" t="e">
        <f>((H94-D94)/D94)</f>
        <v>#DIV/0!</v>
      </c>
      <c r="K94" s="23" t="e">
        <f t="shared" ref="K94" si="69">((I94-E94)/E94)</f>
        <v>#DIV/0!</v>
      </c>
      <c r="L94" s="330">
        <v>0</v>
      </c>
      <c r="M94" s="330">
        <v>0</v>
      </c>
      <c r="N94" s="23" t="e">
        <f>((L94-H94)/H94)</f>
        <v>#DIV/0!</v>
      </c>
      <c r="O94" s="23" t="e">
        <f t="shared" ref="O94" si="70">((M94-I94)/I94)</f>
        <v>#DIV/0!</v>
      </c>
      <c r="P94" s="330">
        <v>0</v>
      </c>
      <c r="Q94" s="330">
        <v>0</v>
      </c>
      <c r="R94" s="23" t="e">
        <f>((P94-L94)/L94)</f>
        <v>#DIV/0!</v>
      </c>
      <c r="S94" s="23" t="e">
        <f t="shared" ref="S94" si="71">((Q94-M94)/M94)</f>
        <v>#DIV/0!</v>
      </c>
      <c r="T94" s="330">
        <v>0</v>
      </c>
      <c r="U94" s="330">
        <v>0</v>
      </c>
      <c r="V94" s="23" t="e">
        <f>((T94-P94)/P94)</f>
        <v>#DIV/0!</v>
      </c>
      <c r="W94" s="23" t="e">
        <f t="shared" ref="W94" si="72">((U94-Q94)/Q94)</f>
        <v>#DIV/0!</v>
      </c>
      <c r="X94" s="330">
        <v>7153819328.8199997</v>
      </c>
      <c r="Y94" s="330">
        <v>49686.879999999997</v>
      </c>
      <c r="Z94" s="23" t="e">
        <f>((X94-T94)/T94)</f>
        <v>#DIV/0!</v>
      </c>
      <c r="AA94" s="23" t="e">
        <f t="shared" ref="AA94" si="73">((Y94-U94)/U94)</f>
        <v>#DIV/0!</v>
      </c>
      <c r="AB94" s="330">
        <v>7182895927.8599997</v>
      </c>
      <c r="AC94" s="330">
        <v>49730.83</v>
      </c>
      <c r="AD94" s="23">
        <f>((AB94-X94)/X94)</f>
        <v>4.064486074293416E-3</v>
      </c>
      <c r="AE94" s="23">
        <f t="shared" si="66"/>
        <v>8.8453933915762814E-4</v>
      </c>
      <c r="AF94" s="330">
        <v>7470822431.4300003</v>
      </c>
      <c r="AG94" s="330">
        <v>49740.57</v>
      </c>
      <c r="AH94" s="23">
        <f>((AF94-AB94)/AB94)</f>
        <v>4.0085016748360798E-2</v>
      </c>
      <c r="AI94" s="23">
        <f t="shared" si="67"/>
        <v>1.958543623743654E-4</v>
      </c>
      <c r="AJ94" s="24" t="e">
        <f t="shared" si="54"/>
        <v>#DIV/0!</v>
      </c>
      <c r="AK94" s="24" t="e">
        <f t="shared" si="55"/>
        <v>#DIV/0!</v>
      </c>
      <c r="AL94" s="25" t="e">
        <f t="shared" si="56"/>
        <v>#DIV/0!</v>
      </c>
      <c r="AM94" s="25" t="e">
        <f t="shared" si="57"/>
        <v>#DIV/0!</v>
      </c>
      <c r="AN94" s="26" t="e">
        <f t="shared" si="58"/>
        <v>#DIV/0!</v>
      </c>
      <c r="AO94" s="78" t="e">
        <f t="shared" si="59"/>
        <v>#DIV/0!</v>
      </c>
      <c r="AP94" s="30"/>
      <c r="AQ94" s="28"/>
      <c r="AR94" s="28"/>
      <c r="AS94" s="29"/>
      <c r="AT94" s="29"/>
    </row>
    <row r="95" spans="1:46">
      <c r="A95" s="206" t="s">
        <v>244</v>
      </c>
      <c r="B95" s="330">
        <f>79964.49*461.02</f>
        <v>36865229.179800004</v>
      </c>
      <c r="C95" s="330">
        <f>101.19*461.02</f>
        <v>46650.613799999999</v>
      </c>
      <c r="D95" s="330">
        <f>80017.47*460.94</f>
        <v>36883252.621799998</v>
      </c>
      <c r="E95" s="330">
        <f>101.26*460.94</f>
        <v>46674.784400000004</v>
      </c>
      <c r="F95" s="23">
        <f t="shared" si="68"/>
        <v>4.8890085321563693E-4</v>
      </c>
      <c r="G95" s="23">
        <f t="shared" si="60"/>
        <v>5.1811965655219146E-4</v>
      </c>
      <c r="H95" s="330">
        <f>80070.43*460.9</f>
        <v>36904461.186999992</v>
      </c>
      <c r="I95" s="330">
        <f>101.32*460.9</f>
        <v>46698.387999999992</v>
      </c>
      <c r="J95" s="23">
        <f>((H95-D95)/D95)</f>
        <v>5.7501884168041466E-4</v>
      </c>
      <c r="K95" s="23">
        <f t="shared" si="61"/>
        <v>5.0570346073173578E-4</v>
      </c>
      <c r="L95" s="330">
        <f>80123.38*460.85</f>
        <v>36924859.673</v>
      </c>
      <c r="M95" s="330">
        <f>101.39*460.85</f>
        <v>46725.5815</v>
      </c>
      <c r="N95" s="23">
        <f>((L95-H95)/H95)</f>
        <v>5.5273767300508577E-4</v>
      </c>
      <c r="O95" s="23">
        <f t="shared" si="62"/>
        <v>5.8232202790401463E-4</v>
      </c>
      <c r="P95" s="330">
        <f>80176.31*460.86</f>
        <v>36950054.226599999</v>
      </c>
      <c r="Q95" s="330">
        <f>101.46*460.86</f>
        <v>46758.855599999995</v>
      </c>
      <c r="R95" s="23">
        <f>((P95-L95)/L95)</f>
        <v>6.8231954902785944E-4</v>
      </c>
      <c r="S95" s="23">
        <f t="shared" si="63"/>
        <v>7.1211740831936114E-4</v>
      </c>
      <c r="T95" s="330">
        <f>80229.23*460.93</f>
        <v>36980058.983899996</v>
      </c>
      <c r="U95" s="330">
        <f>101.52*460.93</f>
        <v>46793.613599999997</v>
      </c>
      <c r="V95" s="23">
        <f>((T95-P95)/P95)</f>
        <v>8.120355417069122E-4</v>
      </c>
      <c r="W95" s="23">
        <f t="shared" si="64"/>
        <v>7.4334582303168324E-4</v>
      </c>
      <c r="X95" s="330">
        <f>80282.13*460.97</f>
        <v>37007653.466100007</v>
      </c>
      <c r="Y95" s="330">
        <f>101.59*460.97</f>
        <v>46829.942300000002</v>
      </c>
      <c r="Z95" s="23">
        <f>((X95-T95)/T95)</f>
        <v>7.4619897745499585E-4</v>
      </c>
      <c r="AA95" s="23">
        <f t="shared" si="65"/>
        <v>7.763602168139775E-4</v>
      </c>
      <c r="AB95" s="330">
        <f>84323.95*460.81</f>
        <v>38857319.399499997</v>
      </c>
      <c r="AC95" s="330">
        <f>101.88*460.81</f>
        <v>46947.322800000002</v>
      </c>
      <c r="AD95" s="23">
        <f>((AB95-X95)/X95)</f>
        <v>4.9980632657359192E-2</v>
      </c>
      <c r="AE95" s="23">
        <f t="shared" si="66"/>
        <v>2.5065266843175096E-3</v>
      </c>
      <c r="AF95" s="330">
        <f>84375.74*461</f>
        <v>38897216.140000001</v>
      </c>
      <c r="AG95" s="330">
        <f>101.72*461</f>
        <v>46892.92</v>
      </c>
      <c r="AH95" s="23">
        <f>((AF95-AB95)/AB95)</f>
        <v>1.0267496861998276E-3</v>
      </c>
      <c r="AI95" s="23">
        <f t="shared" si="67"/>
        <v>-1.1588051619421307E-3</v>
      </c>
      <c r="AJ95" s="24">
        <f t="shared" si="54"/>
        <v>6.8580742224562405E-3</v>
      </c>
      <c r="AK95" s="24">
        <f t="shared" si="55"/>
        <v>6.4821126446604291E-4</v>
      </c>
      <c r="AL95" s="25">
        <f t="shared" si="56"/>
        <v>5.460373950343092E-2</v>
      </c>
      <c r="AM95" s="25">
        <f t="shared" si="57"/>
        <v>4.6735213200040865E-3</v>
      </c>
      <c r="AN95" s="26">
        <f t="shared" si="58"/>
        <v>1.7424979457548447E-2</v>
      </c>
      <c r="AO95" s="78">
        <f t="shared" si="59"/>
        <v>9.8486946129059359E-4</v>
      </c>
      <c r="AP95" s="30"/>
      <c r="AQ95" s="33">
        <v>113791197</v>
      </c>
      <c r="AR95" s="32">
        <v>81.52</v>
      </c>
      <c r="AS95" s="29" t="e">
        <f>(#REF!/AQ95)-1</f>
        <v>#REF!</v>
      </c>
      <c r="AT95" s="29" t="e">
        <f>(#REF!/AR95)-1</f>
        <v>#REF!</v>
      </c>
    </row>
    <row r="96" spans="1:46">
      <c r="A96" s="206" t="s">
        <v>123</v>
      </c>
      <c r="B96" s="330">
        <v>5980767684.2799997</v>
      </c>
      <c r="C96" s="330">
        <v>460.55</v>
      </c>
      <c r="D96" s="330">
        <v>5983470761.6700001</v>
      </c>
      <c r="E96" s="330">
        <v>460.39</v>
      </c>
      <c r="F96" s="23">
        <f t="shared" si="68"/>
        <v>4.5196160972866075E-4</v>
      </c>
      <c r="G96" s="23">
        <f t="shared" si="60"/>
        <v>-3.4741070459238957E-4</v>
      </c>
      <c r="H96" s="330">
        <v>5813282404.3199997</v>
      </c>
      <c r="I96" s="330">
        <v>460.4</v>
      </c>
      <c r="J96" s="23">
        <f t="shared" ref="J96" si="74">((H96-D96)/D96)</f>
        <v>-2.8443083308808622E-2</v>
      </c>
      <c r="K96" s="23">
        <f t="shared" si="61"/>
        <v>2.1720715045919558E-5</v>
      </c>
      <c r="L96" s="330">
        <v>5822418592.3299999</v>
      </c>
      <c r="M96" s="330">
        <v>460.35</v>
      </c>
      <c r="N96" s="23">
        <f t="shared" ref="N96" si="75">((L96-H96)/H96)</f>
        <v>1.571605742602646E-3</v>
      </c>
      <c r="O96" s="23">
        <f t="shared" si="62"/>
        <v>-1.0860121633352417E-4</v>
      </c>
      <c r="P96" s="330">
        <v>5830206478.21</v>
      </c>
      <c r="Q96" s="330">
        <v>460.36</v>
      </c>
      <c r="R96" s="23">
        <f t="shared" ref="R96" si="76">((P96-L96)/L96)</f>
        <v>1.33756887391423E-3</v>
      </c>
      <c r="S96" s="23">
        <f t="shared" si="63"/>
        <v>2.1722602367743901E-5</v>
      </c>
      <c r="T96" s="330">
        <v>5829468228.9700003</v>
      </c>
      <c r="U96" s="330">
        <v>460.43</v>
      </c>
      <c r="V96" s="23">
        <f t="shared" ref="V96" si="77">((T96-P96)/P96)</f>
        <v>-1.2662488760199615E-4</v>
      </c>
      <c r="W96" s="23">
        <f t="shared" si="64"/>
        <v>1.5205491354590577E-4</v>
      </c>
      <c r="X96" s="330">
        <v>5830614986.2200003</v>
      </c>
      <c r="Y96" s="330">
        <v>460.47</v>
      </c>
      <c r="Z96" s="23">
        <f t="shared" ref="Z96" si="78">((X96-T96)/T96)</f>
        <v>1.9671729992473409E-4</v>
      </c>
      <c r="AA96" s="23">
        <f t="shared" si="65"/>
        <v>8.6875312208197687E-5</v>
      </c>
      <c r="AB96" s="330">
        <v>5839257050.3199997</v>
      </c>
      <c r="AC96" s="330">
        <v>460.31</v>
      </c>
      <c r="AD96" s="23">
        <f t="shared" ref="AD96" si="79">((AB96-X96)/X96)</f>
        <v>1.4821874056894461E-3</v>
      </c>
      <c r="AE96" s="23">
        <f t="shared" si="66"/>
        <v>-3.4747106217565749E-4</v>
      </c>
      <c r="AF96" s="330">
        <v>5848133666.3100004</v>
      </c>
      <c r="AG96" s="330">
        <v>460.5</v>
      </c>
      <c r="AH96" s="23">
        <f t="shared" ref="AH96" si="80">((AF96-AB96)/AB96)</f>
        <v>1.5201618824974101E-3</v>
      </c>
      <c r="AI96" s="23">
        <f t="shared" si="67"/>
        <v>4.1276531033433494E-4</v>
      </c>
      <c r="AJ96" s="24">
        <f t="shared" si="54"/>
        <v>-2.7511881727566865E-3</v>
      </c>
      <c r="AK96" s="24">
        <f t="shared" si="55"/>
        <v>-1.354301619993367E-5</v>
      </c>
      <c r="AL96" s="25">
        <f t="shared" si="56"/>
        <v>-2.2618493638669804E-2</v>
      </c>
      <c r="AM96" s="25">
        <f t="shared" si="57"/>
        <v>2.3892786550536207E-4</v>
      </c>
      <c r="AN96" s="26">
        <f t="shared" si="58"/>
        <v>1.0402489433019963E-2</v>
      </c>
      <c r="AO96" s="78">
        <f t="shared" si="59"/>
        <v>2.5459888158701311E-4</v>
      </c>
      <c r="AP96" s="30"/>
      <c r="AQ96" s="28">
        <v>1066913090.3099999</v>
      </c>
      <c r="AR96" s="32">
        <v>1.1691</v>
      </c>
      <c r="AS96" s="29" t="e">
        <f>(#REF!/AQ96)-1</f>
        <v>#REF!</v>
      </c>
      <c r="AT96" s="29" t="e">
        <f>(#REF!/AR96)-1</f>
        <v>#REF!</v>
      </c>
    </row>
    <row r="97" spans="1:46" s="306" customFormat="1">
      <c r="A97" s="217" t="s">
        <v>258</v>
      </c>
      <c r="B97" s="330">
        <f>1166951.88*461.02</f>
        <v>537988155.71759987</v>
      </c>
      <c r="C97" s="330">
        <f>102.13*461.02</f>
        <v>47083.972599999994</v>
      </c>
      <c r="D97" s="330">
        <f>1190162.79*460.94</f>
        <v>548593636.42260003</v>
      </c>
      <c r="E97" s="330">
        <f>102.34*460.94</f>
        <v>47172.599600000001</v>
      </c>
      <c r="F97" s="23">
        <f t="shared" si="68"/>
        <v>1.9713223408894486E-2</v>
      </c>
      <c r="G97" s="23">
        <f t="shared" si="60"/>
        <v>1.8823178059535208E-3</v>
      </c>
      <c r="H97" s="330">
        <f>1225411.12*460.9</f>
        <v>564791985.20800006</v>
      </c>
      <c r="I97" s="330">
        <f>102.54*460.9</f>
        <v>47260.686000000002</v>
      </c>
      <c r="J97" s="23">
        <f>((H97-D97)/D97)</f>
        <v>2.9527044628206191E-2</v>
      </c>
      <c r="K97" s="23">
        <f t="shared" si="61"/>
        <v>1.8673212997996434E-3</v>
      </c>
      <c r="L97" s="330">
        <f>1261446.31*460.85</f>
        <v>581337531.96350002</v>
      </c>
      <c r="M97" s="330">
        <f>102.65*460.85</f>
        <v>47306.252500000002</v>
      </c>
      <c r="N97" s="23">
        <f>((L97-H97)/H97)</f>
        <v>2.9294939002023214E-2</v>
      </c>
      <c r="O97" s="23">
        <f t="shared" si="62"/>
        <v>9.6415231890626416E-4</v>
      </c>
      <c r="P97" s="330">
        <f>1261205.8*460.86</f>
        <v>581239304.98800004</v>
      </c>
      <c r="Q97" s="330">
        <f>100.48*460.86</f>
        <v>46307.212800000001</v>
      </c>
      <c r="R97" s="23">
        <f>((P97-L97)/L97)</f>
        <v>-1.68967200807112E-4</v>
      </c>
      <c r="S97" s="23">
        <f t="shared" si="63"/>
        <v>-2.1118555100089594E-2</v>
      </c>
      <c r="T97" s="330">
        <f>1522270.9*460.93</f>
        <v>701660325.93699992</v>
      </c>
      <c r="U97" s="330">
        <f>100.68*460.93</f>
        <v>46406.432400000005</v>
      </c>
      <c r="V97" s="23">
        <f>((T97-P97)/P97)</f>
        <v>0.20717976213168521</v>
      </c>
      <c r="W97" s="23">
        <f t="shared" si="64"/>
        <v>2.1426381334703E-3</v>
      </c>
      <c r="X97" s="330">
        <f>1558676.46*460.97</f>
        <v>718503087.76620007</v>
      </c>
      <c r="Y97" s="330">
        <f>100.84*460.97</f>
        <v>46484.214800000002</v>
      </c>
      <c r="Z97" s="23">
        <f>((X97-T97)/T97)</f>
        <v>2.4004153016216584E-2</v>
      </c>
      <c r="AA97" s="23">
        <f t="shared" si="65"/>
        <v>1.6761124692704541E-3</v>
      </c>
      <c r="AB97" s="330">
        <f>1569661.91*460.81</f>
        <v>723315904.7471</v>
      </c>
      <c r="AC97" s="330">
        <f>101.05*460.81</f>
        <v>46564.8505</v>
      </c>
      <c r="AD97" s="23">
        <f>((AB97-X97)/X97)</f>
        <v>6.6983942906394499E-3</v>
      </c>
      <c r="AE97" s="23">
        <f t="shared" si="66"/>
        <v>1.7346899446820151E-3</v>
      </c>
      <c r="AF97" s="330">
        <f>1573650.61*461</f>
        <v>725452931.21000004</v>
      </c>
      <c r="AG97" s="330">
        <f>101.24*461</f>
        <v>46671.64</v>
      </c>
      <c r="AH97" s="23">
        <f>((AF97-AB97)/AB97)</f>
        <v>2.9544856526378081E-3</v>
      </c>
      <c r="AI97" s="23">
        <f t="shared" si="67"/>
        <v>2.2933500022726144E-3</v>
      </c>
      <c r="AJ97" s="24">
        <f t="shared" si="54"/>
        <v>3.9900379366186983E-2</v>
      </c>
      <c r="AK97" s="24">
        <f t="shared" si="55"/>
        <v>-1.0697466407168477E-3</v>
      </c>
      <c r="AL97" s="25">
        <f t="shared" si="56"/>
        <v>0.3223867049218912</v>
      </c>
      <c r="AM97" s="25">
        <f t="shared" si="57"/>
        <v>-1.0619715772458764E-2</v>
      </c>
      <c r="AN97" s="26">
        <f t="shared" si="58"/>
        <v>6.8593635715483589E-2</v>
      </c>
      <c r="AO97" s="78">
        <f t="shared" si="59"/>
        <v>8.1105483343255572E-3</v>
      </c>
      <c r="AP97" s="30"/>
      <c r="AQ97" s="28"/>
      <c r="AR97" s="32"/>
      <c r="AS97" s="29"/>
      <c r="AT97" s="29"/>
    </row>
    <row r="98" spans="1:46" s="306" customFormat="1">
      <c r="A98" s="217" t="s">
        <v>131</v>
      </c>
      <c r="B98" s="330">
        <f>1696565.63*461.02</f>
        <v>782150686.74259996</v>
      </c>
      <c r="C98" s="330">
        <f>127.7*461.02</f>
        <v>58872.254000000001</v>
      </c>
      <c r="D98" s="330">
        <f>1683523.4*460.94</f>
        <v>776003275.99599993</v>
      </c>
      <c r="E98" s="330">
        <f>127*460.94</f>
        <v>58539.38</v>
      </c>
      <c r="F98" s="23">
        <f>((D110-B98)/B98)</f>
        <v>4.9000020850440817</v>
      </c>
      <c r="G98" s="23">
        <f t="shared" si="60"/>
        <v>-5.6541745454489209E-3</v>
      </c>
      <c r="H98" s="330">
        <f>1692768.98*460.9</f>
        <v>780197222.88199997</v>
      </c>
      <c r="I98" s="330">
        <f>127.13*460.9</f>
        <v>58594.216999999997</v>
      </c>
      <c r="J98" s="23">
        <f>((H110-D98)/D98)</f>
        <v>4.9404120324148764</v>
      </c>
      <c r="K98" s="23">
        <f t="shared" si="61"/>
        <v>9.3675402780144814E-4</v>
      </c>
      <c r="L98" s="330">
        <f>1698778.13*460.85</f>
        <v>782881901.2105</v>
      </c>
      <c r="M98" s="330">
        <f>127.51*460.85</f>
        <v>58762.983500000002</v>
      </c>
      <c r="N98" s="23">
        <f>((L110-H98)/H98)</f>
        <v>5.4971075793699136</v>
      </c>
      <c r="O98" s="23">
        <f t="shared" si="62"/>
        <v>2.8802586439546619E-3</v>
      </c>
      <c r="P98" s="330">
        <f>1692043.14*460.86</f>
        <v>779795001.50039995</v>
      </c>
      <c r="Q98" s="330">
        <f>127.81*460.86</f>
        <v>58902.516600000003</v>
      </c>
      <c r="R98" s="23">
        <f>((P110-L98)/L98)</f>
        <v>5.5412280578997217</v>
      </c>
      <c r="S98" s="23">
        <f t="shared" si="63"/>
        <v>2.3745067334778971E-3</v>
      </c>
      <c r="T98" s="330">
        <f>1711379.01*460.93</f>
        <v>788825927.07930005</v>
      </c>
      <c r="U98" s="330">
        <f>128.27*460.93</f>
        <v>59123.491100000007</v>
      </c>
      <c r="V98" s="23">
        <f>((T110-P98)/P98)</f>
        <v>5.6988175755667774</v>
      </c>
      <c r="W98" s="23">
        <f t="shared" si="64"/>
        <v>3.7515290136177965E-3</v>
      </c>
      <c r="X98" s="330">
        <f>1734343.84*460.97</f>
        <v>799480479.92480004</v>
      </c>
      <c r="Y98" s="330">
        <f>128.53*460.97</f>
        <v>59248.474100000007</v>
      </c>
      <c r="Z98" s="23">
        <f>((X110-T98)/T98)</f>
        <v>5.5923980098428263</v>
      </c>
      <c r="AA98" s="23">
        <f t="shared" si="65"/>
        <v>2.1139313270355947E-3</v>
      </c>
      <c r="AB98" s="330">
        <f>1719589.23*460.81</f>
        <v>792403913.07630002</v>
      </c>
      <c r="AC98" s="330">
        <f>128.23*460.81</f>
        <v>59089.666299999997</v>
      </c>
      <c r="AD98" s="23">
        <f>((AB110-X98)/X98)</f>
        <v>5.700521859125165</v>
      </c>
      <c r="AE98" s="23">
        <f t="shared" si="66"/>
        <v>-2.6803694510675945E-3</v>
      </c>
      <c r="AF98" s="330">
        <f>1720954.35*461</f>
        <v>793359955.35000002</v>
      </c>
      <c r="AG98" s="330">
        <f>128.42*461</f>
        <v>59201.619999999995</v>
      </c>
      <c r="AH98" s="23">
        <f>((AF110-AB98)/AB98)</f>
        <v>5.8477130795257946</v>
      </c>
      <c r="AI98" s="23">
        <f t="shared" si="67"/>
        <v>1.8946409247194921E-3</v>
      </c>
      <c r="AJ98" s="24">
        <f t="shared" si="54"/>
        <v>5.4647750348486452</v>
      </c>
      <c r="AK98" s="24">
        <f t="shared" si="55"/>
        <v>7.0213458426129688E-4</v>
      </c>
      <c r="AL98" s="25">
        <f t="shared" si="56"/>
        <v>2.236676041312171E-2</v>
      </c>
      <c r="AM98" s="25">
        <f t="shared" si="57"/>
        <v>1.1312726578245242E-2</v>
      </c>
      <c r="AN98" s="26">
        <f t="shared" si="58"/>
        <v>0.35337093969590322</v>
      </c>
      <c r="AO98" s="78">
        <f t="shared" si="59"/>
        <v>3.2105661808286092E-3</v>
      </c>
      <c r="AP98" s="30"/>
      <c r="AQ98" s="28"/>
      <c r="AR98" s="32"/>
      <c r="AS98" s="29"/>
      <c r="AT98" s="29"/>
    </row>
    <row r="99" spans="1:46">
      <c r="A99" s="217" t="s">
        <v>169</v>
      </c>
      <c r="B99" s="330">
        <v>74396446213.309998</v>
      </c>
      <c r="C99" s="330">
        <v>58442.01</v>
      </c>
      <c r="D99" s="330">
        <v>71142641000.550003</v>
      </c>
      <c r="E99" s="330">
        <v>58541.99</v>
      </c>
      <c r="F99" s="23">
        <f>((D111-B99)/B99)</f>
        <v>3.2662701009883164</v>
      </c>
      <c r="G99" s="23">
        <f t="shared" si="60"/>
        <v>1.7107556704500054E-3</v>
      </c>
      <c r="H99" s="330">
        <v>67457423864.040001</v>
      </c>
      <c r="I99" s="330">
        <v>58536.73</v>
      </c>
      <c r="J99" s="23">
        <f>((H111-D99)/D99)</f>
        <v>3.4121152892631872</v>
      </c>
      <c r="K99" s="23">
        <f t="shared" si="61"/>
        <v>-8.9850037554151495E-5</v>
      </c>
      <c r="L99" s="330">
        <v>67650100725.160004</v>
      </c>
      <c r="M99" s="330">
        <v>58683.75</v>
      </c>
      <c r="N99" s="23">
        <f>((L111-H99)/H99)</f>
        <v>3.6814581659528778</v>
      </c>
      <c r="O99" s="23">
        <f t="shared" si="62"/>
        <v>2.5115854609575354E-3</v>
      </c>
      <c r="P99" s="330">
        <v>69523723907.869995</v>
      </c>
      <c r="Q99" s="330">
        <v>58980.76</v>
      </c>
      <c r="R99" s="23">
        <f>((P111-L99)/L99)</f>
        <v>3.853932472567144</v>
      </c>
      <c r="S99" s="23">
        <f t="shared" si="63"/>
        <v>5.0611966685837565E-3</v>
      </c>
      <c r="T99" s="330">
        <v>69539948270.880005</v>
      </c>
      <c r="U99" s="330">
        <v>59155.22</v>
      </c>
      <c r="V99" s="23">
        <f>((T111-P99)/P99)</f>
        <v>3.736346379068419</v>
      </c>
      <c r="W99" s="23">
        <f t="shared" si="64"/>
        <v>2.9579137332241753E-3</v>
      </c>
      <c r="X99" s="330">
        <v>69882566645.910004</v>
      </c>
      <c r="Y99" s="330">
        <v>59181.31</v>
      </c>
      <c r="Z99" s="23">
        <f>((X111-T99)/T99)</f>
        <v>3.792941712452548</v>
      </c>
      <c r="AA99" s="23">
        <f t="shared" si="65"/>
        <v>4.4104307278371217E-4</v>
      </c>
      <c r="AB99" s="330">
        <v>69076569590.919998</v>
      </c>
      <c r="AC99" s="330">
        <v>59180.85</v>
      </c>
      <c r="AD99" s="23">
        <f>((AB111-X99)/X99)</f>
        <v>3.7605825391875056</v>
      </c>
      <c r="AE99" s="23">
        <f t="shared" si="66"/>
        <v>-7.7727241928089612E-6</v>
      </c>
      <c r="AF99" s="330">
        <v>68829528747.479996</v>
      </c>
      <c r="AG99" s="330">
        <v>59163.86</v>
      </c>
      <c r="AH99" s="23">
        <f>((AF111-AB99)/AB99)</f>
        <v>3.8430177431957708</v>
      </c>
      <c r="AI99" s="23">
        <f t="shared" si="67"/>
        <v>-2.8708610978040979E-4</v>
      </c>
      <c r="AJ99" s="24">
        <f t="shared" si="54"/>
        <v>3.6683330503344713</v>
      </c>
      <c r="AK99" s="24">
        <f t="shared" si="55"/>
        <v>1.5372232168089767E-3</v>
      </c>
      <c r="AL99" s="25">
        <f t="shared" si="56"/>
        <v>-3.2513724828575376E-2</v>
      </c>
      <c r="AM99" s="25">
        <f t="shared" si="57"/>
        <v>1.0622631721265414E-2</v>
      </c>
      <c r="AN99" s="26">
        <f t="shared" si="58"/>
        <v>0.21417596643628958</v>
      </c>
      <c r="AO99" s="78">
        <f t="shared" si="59"/>
        <v>1.8890791780859992E-3</v>
      </c>
      <c r="AP99" s="30"/>
      <c r="AQ99" s="28">
        <v>4173976375.3699999</v>
      </c>
      <c r="AR99" s="32">
        <v>299.53579999999999</v>
      </c>
      <c r="AS99" s="29" t="e">
        <f>(#REF!/AQ99)-1</f>
        <v>#REF!</v>
      </c>
      <c r="AT99" s="29" t="e">
        <f>(#REF!/AR99)-1</f>
        <v>#REF!</v>
      </c>
    </row>
    <row r="100" spans="1:46" ht="6.75" customHeight="1">
      <c r="A100" s="208"/>
      <c r="B100" s="87"/>
      <c r="C100" s="87"/>
      <c r="D100" s="87"/>
      <c r="E100" s="87"/>
      <c r="F100" s="23"/>
      <c r="G100" s="23"/>
      <c r="H100" s="87"/>
      <c r="I100" s="87"/>
      <c r="J100" s="23"/>
      <c r="K100" s="23"/>
      <c r="L100" s="87"/>
      <c r="M100" s="87"/>
      <c r="N100" s="23"/>
      <c r="O100" s="23"/>
      <c r="P100" s="87"/>
      <c r="Q100" s="87"/>
      <c r="R100" s="23"/>
      <c r="S100" s="23"/>
      <c r="T100" s="87"/>
      <c r="U100" s="87"/>
      <c r="V100" s="23"/>
      <c r="W100" s="23"/>
      <c r="X100" s="87"/>
      <c r="Y100" s="87"/>
      <c r="Z100" s="23"/>
      <c r="AA100" s="23"/>
      <c r="AB100" s="87"/>
      <c r="AC100" s="87"/>
      <c r="AD100" s="23"/>
      <c r="AE100" s="23"/>
      <c r="AF100" s="87"/>
      <c r="AG100" s="87"/>
      <c r="AH100" s="23"/>
      <c r="AI100" s="23"/>
      <c r="AJ100" s="24"/>
      <c r="AK100" s="24"/>
      <c r="AL100" s="25"/>
      <c r="AM100" s="25"/>
      <c r="AN100" s="26"/>
      <c r="AO100" s="78"/>
      <c r="AP100" s="30"/>
      <c r="AQ100" s="50">
        <v>4131236617.7600002</v>
      </c>
      <c r="AR100" s="48">
        <v>103.24</v>
      </c>
      <c r="AS100" s="29" t="e">
        <f>(#REF!/AQ100)-1</f>
        <v>#REF!</v>
      </c>
      <c r="AT100" s="29" t="e">
        <f>(#REF!/AR100)-1</f>
        <v>#REF!</v>
      </c>
    </row>
    <row r="101" spans="1:46">
      <c r="A101" s="204" t="s">
        <v>203</v>
      </c>
      <c r="B101" s="87"/>
      <c r="C101" s="87"/>
      <c r="D101" s="87"/>
      <c r="E101" s="87"/>
      <c r="F101" s="23"/>
      <c r="G101" s="23"/>
      <c r="H101" s="87"/>
      <c r="I101" s="87"/>
      <c r="J101" s="23"/>
      <c r="K101" s="23"/>
      <c r="L101" s="87"/>
      <c r="M101" s="87"/>
      <c r="N101" s="23"/>
      <c r="O101" s="23"/>
      <c r="P101" s="87"/>
      <c r="Q101" s="87"/>
      <c r="R101" s="23"/>
      <c r="S101" s="23"/>
      <c r="T101" s="87"/>
      <c r="U101" s="87"/>
      <c r="V101" s="23"/>
      <c r="W101" s="23"/>
      <c r="X101" s="87"/>
      <c r="Y101" s="87"/>
      <c r="Z101" s="23"/>
      <c r="AA101" s="23"/>
      <c r="AB101" s="87"/>
      <c r="AC101" s="87"/>
      <c r="AD101" s="23"/>
      <c r="AE101" s="23"/>
      <c r="AF101" s="87"/>
      <c r="AG101" s="87"/>
      <c r="AH101" s="23"/>
      <c r="AI101" s="23"/>
      <c r="AJ101" s="24"/>
      <c r="AK101" s="24"/>
      <c r="AL101" s="25"/>
      <c r="AM101" s="25"/>
      <c r="AN101" s="26"/>
      <c r="AO101" s="78"/>
      <c r="AP101" s="30"/>
      <c r="AQ101" s="45">
        <v>2931134847.0043802</v>
      </c>
      <c r="AR101" s="49">
        <v>2254.1853324818899</v>
      </c>
      <c r="AS101" s="29" t="e">
        <f>(#REF!/AQ101)-1</f>
        <v>#REF!</v>
      </c>
      <c r="AT101" s="29" t="e">
        <f>(#REF!/AR101)-1</f>
        <v>#REF!</v>
      </c>
    </row>
    <row r="102" spans="1:46">
      <c r="A102" s="206" t="s">
        <v>152</v>
      </c>
      <c r="B102" s="329">
        <v>373347712.05000001</v>
      </c>
      <c r="C102" s="330">
        <v>44568.91</v>
      </c>
      <c r="D102" s="329">
        <v>358042486.66000003</v>
      </c>
      <c r="E102" s="330">
        <v>42741.599999999999</v>
      </c>
      <c r="F102" s="23">
        <f t="shared" ref="F102:F110" si="81">((D102-B102)/B102)</f>
        <v>-4.0994560555791641E-2</v>
      </c>
      <c r="G102" s="23">
        <f t="shared" ref="G102:G110" si="82">((E102-C102)/C102)</f>
        <v>-4.0999656486999679E-2</v>
      </c>
      <c r="H102" s="329">
        <v>360557228.12</v>
      </c>
      <c r="I102" s="330">
        <v>43040.78</v>
      </c>
      <c r="J102" s="23">
        <f t="shared" ref="J102:K108" si="83">((H102-D102)/D102)</f>
        <v>7.0235839423939562E-3</v>
      </c>
      <c r="K102" s="23">
        <f t="shared" si="83"/>
        <v>6.9997379602073926E-3</v>
      </c>
      <c r="L102" s="329">
        <v>382185147.95999998</v>
      </c>
      <c r="M102" s="330">
        <v>44414.57</v>
      </c>
      <c r="N102" s="23">
        <f t="shared" ref="N102:O108" si="84">((L102-H102)/H102)</f>
        <v>5.9984707428474594E-2</v>
      </c>
      <c r="O102" s="23">
        <f t="shared" si="84"/>
        <v>3.1918334193757662E-2</v>
      </c>
      <c r="P102" s="329">
        <v>385055080.33999997</v>
      </c>
      <c r="Q102" s="330">
        <v>44746.02</v>
      </c>
      <c r="R102" s="23">
        <f t="shared" ref="R102:S108" si="85">((P102-L102)/L102)</f>
        <v>7.5092723914545372E-3</v>
      </c>
      <c r="S102" s="23">
        <f t="shared" si="85"/>
        <v>7.462641200849115E-3</v>
      </c>
      <c r="T102" s="329">
        <v>378013764.69</v>
      </c>
      <c r="U102" s="330">
        <v>43931.199999999997</v>
      </c>
      <c r="V102" s="23">
        <f t="shared" ref="V102:W108" si="86">((T102-P102)/P102)</f>
        <v>-1.8286515383156513E-2</v>
      </c>
      <c r="W102" s="23">
        <f t="shared" si="86"/>
        <v>-1.8209887717388046E-2</v>
      </c>
      <c r="X102" s="329">
        <v>368864810.23000002</v>
      </c>
      <c r="Y102" s="330">
        <v>41505.160000000003</v>
      </c>
      <c r="Z102" s="23">
        <f t="shared" ref="Z102:Z109" si="87">((X102-T102)/T102)</f>
        <v>-2.4202701897648664E-2</v>
      </c>
      <c r="AA102" s="23">
        <f t="shared" ref="AA102:AA109" si="88">((Y102-U102)/U102)</f>
        <v>-5.5223622391375467E-2</v>
      </c>
      <c r="AB102" s="329">
        <v>390563596.22000003</v>
      </c>
      <c r="AC102" s="330">
        <v>42122.03</v>
      </c>
      <c r="AD102" s="23">
        <f t="shared" ref="AD102:AD109" si="89">((AB102-X102)/X102)</f>
        <v>5.8825849981379526E-2</v>
      </c>
      <c r="AE102" s="23">
        <f t="shared" ref="AE102:AE109" si="90">((AC102-Y102)/Y102)</f>
        <v>1.4862489386861666E-2</v>
      </c>
      <c r="AF102" s="329">
        <v>390563596.22000003</v>
      </c>
      <c r="AG102" s="330">
        <v>42122.03</v>
      </c>
      <c r="AH102" s="23">
        <f t="shared" ref="AH102:AH109" si="91">((AF102-AB102)/AB102)</f>
        <v>0</v>
      </c>
      <c r="AI102" s="23">
        <f t="shared" ref="AI102:AI109" si="92">((AG102-AC102)/AC102)</f>
        <v>0</v>
      </c>
      <c r="AJ102" s="24">
        <f t="shared" si="54"/>
        <v>6.2324544883882241E-3</v>
      </c>
      <c r="AK102" s="24">
        <f t="shared" si="55"/>
        <v>-6.6487454817609195E-3</v>
      </c>
      <c r="AL102" s="25">
        <f t="shared" si="56"/>
        <v>9.0830308613296787E-2</v>
      </c>
      <c r="AM102" s="25">
        <f t="shared" si="57"/>
        <v>-1.4495713777677947E-2</v>
      </c>
      <c r="AN102" s="26">
        <f t="shared" si="58"/>
        <v>3.675078067611056E-2</v>
      </c>
      <c r="AO102" s="78">
        <f t="shared" si="59"/>
        <v>2.9405866214050228E-2</v>
      </c>
      <c r="AP102" s="30"/>
      <c r="AQ102" s="51">
        <v>1131224777.76</v>
      </c>
      <c r="AR102" s="52">
        <v>0.6573</v>
      </c>
      <c r="AS102" s="29" t="e">
        <f>(#REF!/AQ102)-1</f>
        <v>#REF!</v>
      </c>
      <c r="AT102" s="29" t="e">
        <f>(#REF!/AR102)-1</f>
        <v>#REF!</v>
      </c>
    </row>
    <row r="103" spans="1:46">
      <c r="A103" s="206" t="s">
        <v>235</v>
      </c>
      <c r="B103" s="330">
        <f>6261236.85 *461.02</f>
        <v>2886555412.5869999</v>
      </c>
      <c r="C103" s="329">
        <f>125.96*461.02</f>
        <v>58070.079199999993</v>
      </c>
      <c r="D103" s="330">
        <f>6351734.48*460.94</f>
        <v>2927768491.2112002</v>
      </c>
      <c r="E103" s="329">
        <f>126.06*460.94</f>
        <v>58106.096400000002</v>
      </c>
      <c r="F103" s="23">
        <f t="shared" si="81"/>
        <v>1.4277598290505083E-2</v>
      </c>
      <c r="G103" s="23">
        <f t="shared" si="82"/>
        <v>6.2023679829955063E-4</v>
      </c>
      <c r="H103" s="330">
        <f>6536321.58*460.9</f>
        <v>3012590616.2220001</v>
      </c>
      <c r="I103" s="329">
        <f>126.13*460.9</f>
        <v>58133.316999999995</v>
      </c>
      <c r="J103" s="23">
        <f t="shared" si="83"/>
        <v>2.8971595693247414E-2</v>
      </c>
      <c r="K103" s="23">
        <f t="shared" si="83"/>
        <v>4.6846375314231714E-4</v>
      </c>
      <c r="L103" s="330">
        <f>6413426.62 *460.85</f>
        <v>2955627657.8270001</v>
      </c>
      <c r="M103" s="329">
        <f>126.23*460.85</f>
        <v>58173.095500000003</v>
      </c>
      <c r="N103" s="23">
        <f t="shared" si="84"/>
        <v>-1.8908297094291399E-2</v>
      </c>
      <c r="O103" s="23">
        <f t="shared" si="84"/>
        <v>6.8426338032642503E-4</v>
      </c>
      <c r="P103" s="330">
        <f>6457425.33*460.86</f>
        <v>2975969037.5838003</v>
      </c>
      <c r="Q103" s="329">
        <f>126.38*460.86</f>
        <v>58243.486799999999</v>
      </c>
      <c r="R103" s="23">
        <f t="shared" si="85"/>
        <v>6.8822538261654083E-3</v>
      </c>
      <c r="S103" s="23">
        <f t="shared" si="85"/>
        <v>1.2100318780525557E-3</v>
      </c>
      <c r="T103" s="330">
        <f>6457425.33*460.93</f>
        <v>2976421057.3569002</v>
      </c>
      <c r="U103" s="329">
        <f>126.38*460.93</f>
        <v>58252.333399999996</v>
      </c>
      <c r="V103" s="23">
        <f t="shared" si="86"/>
        <v>1.5188994488561471E-4</v>
      </c>
      <c r="W103" s="23">
        <f t="shared" si="86"/>
        <v>1.518899448855992E-4</v>
      </c>
      <c r="X103" s="330">
        <f>6447047.27 *460.97</f>
        <v>2971895380.0518999</v>
      </c>
      <c r="Y103" s="329">
        <f>126.52*460.97</f>
        <v>58321.924400000004</v>
      </c>
      <c r="Z103" s="23">
        <f t="shared" si="87"/>
        <v>-1.5205097725720178E-3</v>
      </c>
      <c r="AA103" s="23">
        <f t="shared" si="88"/>
        <v>1.1946474233426609E-3</v>
      </c>
      <c r="AB103" s="330">
        <f>6373878.32*460.81</f>
        <v>2937146868.6392002</v>
      </c>
      <c r="AC103" s="329">
        <f>126.65*460.81</f>
        <v>58361.586500000005</v>
      </c>
      <c r="AD103" s="23">
        <f t="shared" si="89"/>
        <v>-1.1692373710710122E-2</v>
      </c>
      <c r="AE103" s="23">
        <f t="shared" si="90"/>
        <v>6.800547205537918E-4</v>
      </c>
      <c r="AF103" s="330">
        <f>6373878.32  *461</f>
        <v>2938357905.52</v>
      </c>
      <c r="AG103" s="329">
        <f>126.65*461</f>
        <v>58385.65</v>
      </c>
      <c r="AH103" s="23">
        <f t="shared" si="91"/>
        <v>4.1231744102767726E-4</v>
      </c>
      <c r="AI103" s="23">
        <f t="shared" si="92"/>
        <v>4.1231744102769661E-4</v>
      </c>
      <c r="AJ103" s="24">
        <f t="shared" si="54"/>
        <v>2.3218093272822072E-3</v>
      </c>
      <c r="AK103" s="24">
        <f t="shared" si="55"/>
        <v>6.7773816745382456E-4</v>
      </c>
      <c r="AL103" s="25">
        <f t="shared" si="56"/>
        <v>3.6168892248782166E-3</v>
      </c>
      <c r="AM103" s="25">
        <f t="shared" si="57"/>
        <v>4.8110889789526332E-3</v>
      </c>
      <c r="AN103" s="26">
        <f t="shared" si="58"/>
        <v>1.485252516991481E-2</v>
      </c>
      <c r="AO103" s="78">
        <f t="shared" si="59"/>
        <v>3.6735471785700335E-4</v>
      </c>
      <c r="AP103" s="30"/>
      <c r="AQ103" s="28">
        <v>318569106.36000001</v>
      </c>
      <c r="AR103" s="35">
        <v>123.8</v>
      </c>
      <c r="AS103" s="29" t="e">
        <f>(#REF!/AQ103)-1</f>
        <v>#REF!</v>
      </c>
      <c r="AT103" s="29" t="e">
        <f>(#REF!/AR103)-1</f>
        <v>#REF!</v>
      </c>
    </row>
    <row r="104" spans="1:46">
      <c r="A104" s="206" t="s">
        <v>146</v>
      </c>
      <c r="B104" s="329">
        <v>6011976937.7200003</v>
      </c>
      <c r="C104" s="329">
        <v>52674.28</v>
      </c>
      <c r="D104" s="329">
        <v>6036174339.4099998</v>
      </c>
      <c r="E104" s="329">
        <v>52734.15</v>
      </c>
      <c r="F104" s="23">
        <f t="shared" si="81"/>
        <v>4.0248660200576675E-3</v>
      </c>
      <c r="G104" s="23">
        <f t="shared" si="82"/>
        <v>1.1366078473213611E-3</v>
      </c>
      <c r="H104" s="329">
        <v>6045629860.3900003</v>
      </c>
      <c r="I104" s="329">
        <v>52784.800000000003</v>
      </c>
      <c r="J104" s="23">
        <f t="shared" si="83"/>
        <v>1.5664757921695013E-3</v>
      </c>
      <c r="K104" s="23">
        <f t="shared" si="83"/>
        <v>9.604781721143027E-4</v>
      </c>
      <c r="L104" s="329">
        <v>6134857355.7600002</v>
      </c>
      <c r="M104" s="329">
        <v>52830.85</v>
      </c>
      <c r="N104" s="23">
        <f t="shared" si="84"/>
        <v>1.4759007321074047E-2</v>
      </c>
      <c r="O104" s="23">
        <f t="shared" si="84"/>
        <v>8.7241023931123414E-4</v>
      </c>
      <c r="P104" s="329">
        <v>6093639047.3699999</v>
      </c>
      <c r="Q104" s="329">
        <v>52881.51</v>
      </c>
      <c r="R104" s="23">
        <f t="shared" si="85"/>
        <v>-6.7187068907642311E-3</v>
      </c>
      <c r="S104" s="23">
        <f t="shared" si="85"/>
        <v>9.5890942508029863E-4</v>
      </c>
      <c r="T104" s="329">
        <v>5711117250.6899996</v>
      </c>
      <c r="U104" s="329">
        <v>52936.77</v>
      </c>
      <c r="V104" s="23">
        <f t="shared" si="86"/>
        <v>-6.2773950623986469E-2</v>
      </c>
      <c r="W104" s="23">
        <f t="shared" si="86"/>
        <v>1.0449777247282606E-3</v>
      </c>
      <c r="X104" s="329">
        <v>5735137416.6599998</v>
      </c>
      <c r="Y104" s="329">
        <v>52959.8</v>
      </c>
      <c r="Z104" s="23">
        <f t="shared" si="87"/>
        <v>4.2058611153707667E-3</v>
      </c>
      <c r="AA104" s="23">
        <f t="shared" si="88"/>
        <v>4.3504732154995695E-4</v>
      </c>
      <c r="AB104" s="329">
        <v>5687033592.8299999</v>
      </c>
      <c r="AC104" s="329">
        <v>53038.09</v>
      </c>
      <c r="AD104" s="23">
        <f t="shared" si="89"/>
        <v>-8.3875625526012906E-3</v>
      </c>
      <c r="AE104" s="23">
        <f t="shared" si="90"/>
        <v>1.4782910811595512E-3</v>
      </c>
      <c r="AF104" s="329">
        <v>5714030357.4499998</v>
      </c>
      <c r="AG104" s="329">
        <v>53162.43</v>
      </c>
      <c r="AH104" s="23">
        <f t="shared" si="91"/>
        <v>4.7470731760818861E-3</v>
      </c>
      <c r="AI104" s="23">
        <f t="shared" si="92"/>
        <v>2.3443528980776605E-3</v>
      </c>
      <c r="AJ104" s="24">
        <f t="shared" si="54"/>
        <v>-6.0721170803247661E-3</v>
      </c>
      <c r="AK104" s="24">
        <f t="shared" si="55"/>
        <v>1.1538843386678281E-3</v>
      </c>
      <c r="AL104" s="25">
        <f t="shared" si="56"/>
        <v>-5.3368899545649585E-2</v>
      </c>
      <c r="AM104" s="25">
        <f t="shared" si="57"/>
        <v>8.1214924294787886E-3</v>
      </c>
      <c r="AN104" s="26">
        <f t="shared" si="58"/>
        <v>2.401726141029872E-2</v>
      </c>
      <c r="AO104" s="78">
        <f t="shared" si="59"/>
        <v>5.6137455553404911E-4</v>
      </c>
      <c r="AP104" s="30"/>
      <c r="AQ104" s="28">
        <v>1812522091.8199999</v>
      </c>
      <c r="AR104" s="32">
        <v>1.6227</v>
      </c>
      <c r="AS104" s="29" t="e">
        <f>(#REF!/AQ104)-1</f>
        <v>#REF!</v>
      </c>
      <c r="AT104" s="29" t="e">
        <f>(#REF!/AR104)-1</f>
        <v>#REF!</v>
      </c>
    </row>
    <row r="105" spans="1:46">
      <c r="A105" s="206" t="s">
        <v>157</v>
      </c>
      <c r="B105" s="329">
        <v>1701841630.8705189</v>
      </c>
      <c r="C105" s="329">
        <v>527.34654550272035</v>
      </c>
      <c r="D105" s="329">
        <v>1705398534.1820498</v>
      </c>
      <c r="E105" s="329">
        <v>527.7750411141335</v>
      </c>
      <c r="F105" s="23">
        <f t="shared" si="81"/>
        <v>2.0900319083811672E-3</v>
      </c>
      <c r="G105" s="23">
        <f t="shared" si="82"/>
        <v>8.1255033349022707E-4</v>
      </c>
      <c r="H105" s="329">
        <v>1704477990.9657764</v>
      </c>
      <c r="I105" s="329">
        <v>528.06456764343159</v>
      </c>
      <c r="J105" s="23">
        <f t="shared" si="83"/>
        <v>-5.3978187375118309E-4</v>
      </c>
      <c r="K105" s="23">
        <f t="shared" si="83"/>
        <v>5.4857942635350078E-4</v>
      </c>
      <c r="L105" s="329">
        <v>1707768881.9635661</v>
      </c>
      <c r="M105" s="329">
        <v>528.06456764343159</v>
      </c>
      <c r="N105" s="23">
        <f t="shared" si="84"/>
        <v>1.9307324677891354E-3</v>
      </c>
      <c r="O105" s="23">
        <f t="shared" si="84"/>
        <v>0</v>
      </c>
      <c r="P105" s="329">
        <v>1713920200.681679</v>
      </c>
      <c r="Q105" s="329">
        <v>530.83310788384358</v>
      </c>
      <c r="R105" s="23">
        <f t="shared" si="85"/>
        <v>3.601962058847363E-3</v>
      </c>
      <c r="S105" s="23">
        <f t="shared" si="85"/>
        <v>5.2428062969023387E-3</v>
      </c>
      <c r="T105" s="329">
        <v>1712416040.9213228</v>
      </c>
      <c r="U105" s="329">
        <v>531.52645097944651</v>
      </c>
      <c r="V105" s="23">
        <f t="shared" si="86"/>
        <v>-8.7761364838219252E-4</v>
      </c>
      <c r="W105" s="23">
        <f t="shared" si="86"/>
        <v>1.3061413941698671E-3</v>
      </c>
      <c r="X105" s="329">
        <v>1716306284.6169174</v>
      </c>
      <c r="Y105" s="329">
        <v>531.91015652020201</v>
      </c>
      <c r="Z105" s="23">
        <f t="shared" si="87"/>
        <v>2.2717865300429562E-3</v>
      </c>
      <c r="AA105" s="23">
        <f t="shared" si="88"/>
        <v>7.2189359541457196E-4</v>
      </c>
      <c r="AB105" s="329">
        <v>1684379579.7274783</v>
      </c>
      <c r="AC105" s="329">
        <v>532.78415377063072</v>
      </c>
      <c r="AD105" s="23">
        <f t="shared" si="89"/>
        <v>-1.8601985656986161E-2</v>
      </c>
      <c r="AE105" s="23">
        <f t="shared" si="90"/>
        <v>1.6431294640930976E-3</v>
      </c>
      <c r="AF105" s="329">
        <v>1685301911.6629212</v>
      </c>
      <c r="AG105" s="329">
        <v>533.31672585611852</v>
      </c>
      <c r="AH105" s="23">
        <f t="shared" si="91"/>
        <v>5.4757962311093315E-4</v>
      </c>
      <c r="AI105" s="23">
        <f t="shared" si="92"/>
        <v>9.9960196210542324E-4</v>
      </c>
      <c r="AJ105" s="24">
        <f t="shared" si="54"/>
        <v>-1.1971610738684977E-3</v>
      </c>
      <c r="AK105" s="24">
        <f t="shared" si="55"/>
        <v>1.4093378090661284E-3</v>
      </c>
      <c r="AL105" s="25">
        <f t="shared" si="56"/>
        <v>-1.1784120905655279E-2</v>
      </c>
      <c r="AM105" s="25">
        <f t="shared" si="57"/>
        <v>1.050008869363455E-2</v>
      </c>
      <c r="AN105" s="26">
        <f t="shared" si="58"/>
        <v>7.1928618670657639E-3</v>
      </c>
      <c r="AO105" s="78">
        <f t="shared" si="59"/>
        <v>1.6250074743074778E-3</v>
      </c>
      <c r="AP105" s="30"/>
      <c r="AQ105" s="28"/>
      <c r="AR105" s="32"/>
      <c r="AS105" s="29"/>
      <c r="AT105" s="29"/>
    </row>
    <row r="106" spans="1:46" ht="16.5" customHeight="1">
      <c r="A106" s="206" t="s">
        <v>198</v>
      </c>
      <c r="B106" s="330">
        <v>4169011309.5799999</v>
      </c>
      <c r="C106" s="329">
        <f>0.9955*461.02</f>
        <v>458.94540999999998</v>
      </c>
      <c r="D106" s="330">
        <v>4210786077.3899999</v>
      </c>
      <c r="E106" s="329">
        <f>0.9971*460.94</f>
        <v>459.603274</v>
      </c>
      <c r="F106" s="23">
        <f t="shared" si="81"/>
        <v>1.0020305705097373E-2</v>
      </c>
      <c r="G106" s="23">
        <f t="shared" si="82"/>
        <v>1.4334253827705081E-3</v>
      </c>
      <c r="H106" s="330">
        <v>4292324383.25</v>
      </c>
      <c r="I106" s="329">
        <f>0.9971*460.9</f>
        <v>459.56338999999997</v>
      </c>
      <c r="J106" s="23">
        <f t="shared" si="83"/>
        <v>1.9364153001698099E-2</v>
      </c>
      <c r="K106" s="23">
        <f t="shared" si="83"/>
        <v>-8.677919035021739E-5</v>
      </c>
      <c r="L106" s="330">
        <v>4821065047.0900002</v>
      </c>
      <c r="M106" s="329">
        <f>1.0003*460.85</f>
        <v>460.98825499999998</v>
      </c>
      <c r="N106" s="23">
        <f t="shared" si="84"/>
        <v>0.12318282977477484</v>
      </c>
      <c r="O106" s="23">
        <f t="shared" si="84"/>
        <v>3.1004754316918308E-3</v>
      </c>
      <c r="P106" s="330">
        <v>4813307316.1499996</v>
      </c>
      <c r="Q106" s="329">
        <f>1.0014*460.86</f>
        <v>461.50520400000005</v>
      </c>
      <c r="R106" s="23">
        <f t="shared" si="85"/>
        <v>-1.6091321863999964E-3</v>
      </c>
      <c r="S106" s="23">
        <f t="shared" si="85"/>
        <v>1.121392995142724E-3</v>
      </c>
      <c r="T106" s="330">
        <v>4824854087.9499998</v>
      </c>
      <c r="U106" s="329">
        <f>1.0035*460.93</f>
        <v>462.54325500000004</v>
      </c>
      <c r="V106" s="23">
        <f t="shared" si="86"/>
        <v>2.3989267756200656E-3</v>
      </c>
      <c r="W106" s="23">
        <f t="shared" si="86"/>
        <v>2.2492725780834224E-3</v>
      </c>
      <c r="X106" s="330">
        <v>4842916555.3299999</v>
      </c>
      <c r="Y106" s="329">
        <f>1.0044*460.97</f>
        <v>462.998268</v>
      </c>
      <c r="Z106" s="23">
        <f t="shared" si="87"/>
        <v>3.7436297659468819E-3</v>
      </c>
      <c r="AA106" s="23">
        <f t="shared" si="88"/>
        <v>9.8371989015373531E-4</v>
      </c>
      <c r="AB106" s="330">
        <v>4871978121.9200001</v>
      </c>
      <c r="AC106" s="329">
        <f>1.0068*460.81</f>
        <v>463.94350799999995</v>
      </c>
      <c r="AD106" s="23">
        <f t="shared" si="89"/>
        <v>6.0008398364856559E-3</v>
      </c>
      <c r="AE106" s="23">
        <f t="shared" si="90"/>
        <v>2.0415627127139831E-3</v>
      </c>
      <c r="AF106" s="330">
        <v>4815917235.7700005</v>
      </c>
      <c r="AG106" s="329">
        <f>1.0088*461</f>
        <v>465.05679999999995</v>
      </c>
      <c r="AH106" s="23">
        <f t="shared" si="91"/>
        <v>-1.150680170294085E-2</v>
      </c>
      <c r="AI106" s="23">
        <f t="shared" si="92"/>
        <v>2.3996283616495857E-3</v>
      </c>
      <c r="AJ106" s="24">
        <f t="shared" si="54"/>
        <v>1.894934387128526E-2</v>
      </c>
      <c r="AK106" s="24">
        <f t="shared" si="55"/>
        <v>1.6553372702319464E-3</v>
      </c>
      <c r="AL106" s="25">
        <f t="shared" si="56"/>
        <v>0.14370978417290747</v>
      </c>
      <c r="AM106" s="25">
        <f t="shared" si="57"/>
        <v>1.1865724872969365E-2</v>
      </c>
      <c r="AN106" s="26">
        <f t="shared" si="58"/>
        <v>4.3040746339231911E-2</v>
      </c>
      <c r="AO106" s="78">
        <f t="shared" si="59"/>
        <v>9.9747565806003425E-4</v>
      </c>
      <c r="AP106" s="30"/>
      <c r="AQ106" s="28"/>
      <c r="AR106" s="32"/>
      <c r="AS106" s="29"/>
      <c r="AT106" s="29"/>
    </row>
    <row r="107" spans="1:46">
      <c r="A107" s="206" t="s">
        <v>165</v>
      </c>
      <c r="B107" s="329">
        <v>102144699.41</v>
      </c>
      <c r="C107" s="329">
        <v>401.32</v>
      </c>
      <c r="D107" s="329">
        <v>97978147.037</v>
      </c>
      <c r="E107" s="329">
        <v>383.012</v>
      </c>
      <c r="F107" s="23">
        <f t="shared" si="81"/>
        <v>-4.079068612533495E-2</v>
      </c>
      <c r="G107" s="23">
        <f t="shared" si="82"/>
        <v>-4.5619455795873599E-2</v>
      </c>
      <c r="H107" s="329">
        <v>97861472.569999993</v>
      </c>
      <c r="I107" s="329">
        <v>382.57</v>
      </c>
      <c r="J107" s="23">
        <f t="shared" si="83"/>
        <v>-1.1908213262692877E-3</v>
      </c>
      <c r="K107" s="23">
        <f t="shared" si="83"/>
        <v>-1.1540108403914429E-3</v>
      </c>
      <c r="L107" s="329">
        <v>102308709.04000001</v>
      </c>
      <c r="M107" s="329">
        <v>401.51</v>
      </c>
      <c r="N107" s="23">
        <f t="shared" si="84"/>
        <v>4.544420141255201E-2</v>
      </c>
      <c r="O107" s="23">
        <f t="shared" si="84"/>
        <v>4.9507279713516476E-2</v>
      </c>
      <c r="P107" s="329">
        <v>101996792.39</v>
      </c>
      <c r="Q107" s="329">
        <v>397.72</v>
      </c>
      <c r="R107" s="23">
        <f t="shared" si="85"/>
        <v>-3.0487790621818401E-3</v>
      </c>
      <c r="S107" s="23">
        <f t="shared" si="85"/>
        <v>-9.4393663918705979E-3</v>
      </c>
      <c r="T107" s="329">
        <v>100947126.48</v>
      </c>
      <c r="U107" s="329">
        <v>393.19</v>
      </c>
      <c r="V107" s="23">
        <f t="shared" si="86"/>
        <v>-1.0291165882809743E-2</v>
      </c>
      <c r="W107" s="23">
        <f t="shared" si="86"/>
        <v>-1.1389922558584002E-2</v>
      </c>
      <c r="X107" s="329">
        <v>100635852.45</v>
      </c>
      <c r="Y107" s="329">
        <v>393.07</v>
      </c>
      <c r="Z107" s="23">
        <f t="shared" si="87"/>
        <v>-3.0835353204597842E-3</v>
      </c>
      <c r="AA107" s="23">
        <f t="shared" si="88"/>
        <v>-3.0519596124012447E-4</v>
      </c>
      <c r="AB107" s="329">
        <v>100635852.45</v>
      </c>
      <c r="AC107" s="329">
        <v>393.07</v>
      </c>
      <c r="AD107" s="23">
        <f t="shared" si="89"/>
        <v>0</v>
      </c>
      <c r="AE107" s="23">
        <f t="shared" si="90"/>
        <v>0</v>
      </c>
      <c r="AF107" s="329">
        <v>101675429.23</v>
      </c>
      <c r="AG107" s="329">
        <v>397.9</v>
      </c>
      <c r="AH107" s="23">
        <f t="shared" si="91"/>
        <v>1.0330083709645181E-2</v>
      </c>
      <c r="AI107" s="23">
        <f t="shared" si="92"/>
        <v>1.2287887653598555E-2</v>
      </c>
      <c r="AJ107" s="24">
        <f t="shared" si="54"/>
        <v>-3.2883782435730226E-4</v>
      </c>
      <c r="AK107" s="24">
        <f t="shared" si="55"/>
        <v>-7.6409802260559139E-4</v>
      </c>
      <c r="AL107" s="25">
        <f t="shared" si="56"/>
        <v>3.7735783996851659E-2</v>
      </c>
      <c r="AM107" s="25">
        <f t="shared" si="57"/>
        <v>3.8870844777709253E-2</v>
      </c>
      <c r="AN107" s="26">
        <f t="shared" si="58"/>
        <v>2.3787843432043081E-2</v>
      </c>
      <c r="AO107" s="78">
        <f t="shared" si="59"/>
        <v>2.6453959379029234E-2</v>
      </c>
      <c r="AP107" s="30"/>
      <c r="AQ107" s="28"/>
      <c r="AR107" s="32"/>
      <c r="AS107" s="29"/>
      <c r="AT107" s="29"/>
    </row>
    <row r="108" spans="1:46" s="292" customFormat="1">
      <c r="A108" s="206" t="s">
        <v>95</v>
      </c>
      <c r="B108" s="330">
        <v>195610440002.25</v>
      </c>
      <c r="C108" s="329">
        <v>637.92999999999995</v>
      </c>
      <c r="D108" s="330">
        <v>196257723513.31</v>
      </c>
      <c r="E108" s="329">
        <v>639.22</v>
      </c>
      <c r="F108" s="23">
        <f t="shared" si="81"/>
        <v>3.3090437864796594E-3</v>
      </c>
      <c r="G108" s="23">
        <f t="shared" si="82"/>
        <v>2.0221654413494859E-3</v>
      </c>
      <c r="H108" s="330">
        <v>196214409513.01999</v>
      </c>
      <c r="I108" s="329">
        <v>639.36</v>
      </c>
      <c r="J108" s="23">
        <f t="shared" si="83"/>
        <v>-2.2069959599358663E-4</v>
      </c>
      <c r="K108" s="23">
        <f t="shared" si="83"/>
        <v>2.190169268796132E-4</v>
      </c>
      <c r="L108" s="330">
        <v>196717601784.23001</v>
      </c>
      <c r="M108" s="329">
        <v>640.29999999999995</v>
      </c>
      <c r="N108" s="23">
        <f t="shared" si="84"/>
        <v>2.5645021303933959E-3</v>
      </c>
      <c r="O108" s="23">
        <f t="shared" si="84"/>
        <v>1.4702202202201277E-3</v>
      </c>
      <c r="P108" s="330">
        <v>206919631467.92999</v>
      </c>
      <c r="Q108" s="329">
        <v>643.59</v>
      </c>
      <c r="R108" s="23">
        <f t="shared" si="85"/>
        <v>5.1861295538210624E-2</v>
      </c>
      <c r="S108" s="23">
        <f t="shared" si="85"/>
        <v>5.1382164610340115E-3</v>
      </c>
      <c r="T108" s="330">
        <v>207429439723.20001</v>
      </c>
      <c r="U108" s="329">
        <v>645.66</v>
      </c>
      <c r="V108" s="23">
        <f t="shared" si="86"/>
        <v>2.4637983919328292E-3</v>
      </c>
      <c r="W108" s="23">
        <f t="shared" si="86"/>
        <v>3.2163333799467616E-3</v>
      </c>
      <c r="X108" s="330">
        <v>202814116695.92001</v>
      </c>
      <c r="Y108" s="329">
        <v>645.94000000000005</v>
      </c>
      <c r="Z108" s="23">
        <f t="shared" si="87"/>
        <v>-2.2250086744865255E-2</v>
      </c>
      <c r="AA108" s="23">
        <f t="shared" si="88"/>
        <v>4.3366477712741445E-4</v>
      </c>
      <c r="AB108" s="330">
        <v>202875429527.73001</v>
      </c>
      <c r="AC108" s="329">
        <v>645.98</v>
      </c>
      <c r="AD108" s="23">
        <f t="shared" si="89"/>
        <v>3.0231047428480595E-4</v>
      </c>
      <c r="AE108" s="23">
        <f t="shared" si="90"/>
        <v>6.1925256215691269E-5</v>
      </c>
      <c r="AF108" s="330">
        <v>204650408125.57999</v>
      </c>
      <c r="AG108" s="329">
        <v>645.74</v>
      </c>
      <c r="AH108" s="23">
        <f t="shared" si="91"/>
        <v>8.7491058034081092E-3</v>
      </c>
      <c r="AI108" s="23">
        <f t="shared" si="92"/>
        <v>-3.7152853029506967E-4</v>
      </c>
      <c r="AJ108" s="24">
        <f t="shared" si="54"/>
        <v>5.8474087229813234E-3</v>
      </c>
      <c r="AK108" s="24">
        <f t="shared" si="55"/>
        <v>1.5237517415597546E-3</v>
      </c>
      <c r="AL108" s="25">
        <f t="shared" si="56"/>
        <v>4.2763588928008765E-2</v>
      </c>
      <c r="AM108" s="25">
        <f t="shared" si="57"/>
        <v>1.0199931166108666E-2</v>
      </c>
      <c r="AN108" s="26">
        <f t="shared" si="58"/>
        <v>2.0741285680064551E-2</v>
      </c>
      <c r="AO108" s="78">
        <f t="shared" si="59"/>
        <v>1.8822523043130761E-3</v>
      </c>
      <c r="AP108" s="30"/>
      <c r="AQ108" s="28"/>
      <c r="AR108" s="32"/>
      <c r="AS108" s="29"/>
      <c r="AT108" s="29"/>
    </row>
    <row r="109" spans="1:46" s="360" customFormat="1">
      <c r="A109" s="206" t="s">
        <v>261</v>
      </c>
      <c r="B109" s="330">
        <v>2519545760.3600001</v>
      </c>
      <c r="C109" s="330">
        <v>466.44</v>
      </c>
      <c r="D109" s="330">
        <v>2523808607.0900002</v>
      </c>
      <c r="E109" s="330">
        <v>467.23</v>
      </c>
      <c r="F109" s="23">
        <f t="shared" si="81"/>
        <v>1.6919108186353919E-3</v>
      </c>
      <c r="G109" s="23">
        <f t="shared" si="82"/>
        <v>1.6936797873253161E-3</v>
      </c>
      <c r="H109" s="330">
        <v>2733757018.21</v>
      </c>
      <c r="I109" s="330">
        <v>467.14</v>
      </c>
      <c r="J109" s="23">
        <f t="shared" ref="J109" si="93">((H109-D109)/D109)</f>
        <v>8.3187136508768161E-2</v>
      </c>
      <c r="K109" s="23">
        <f t="shared" ref="K109" si="94">((I109-E109)/E109)</f>
        <v>-1.9262461742617517E-4</v>
      </c>
      <c r="L109" s="330">
        <v>2715018034.4299998</v>
      </c>
      <c r="M109" s="330">
        <v>467.93</v>
      </c>
      <c r="N109" s="23">
        <f t="shared" ref="N109" si="95">((L109-H109)/H109)</f>
        <v>-6.8546632546992257E-3</v>
      </c>
      <c r="O109" s="23">
        <f t="shared" ref="O109" si="96">((M109-I109)/I109)</f>
        <v>1.6911418418461713E-3</v>
      </c>
      <c r="P109" s="330">
        <v>2903795821.2199998</v>
      </c>
      <c r="Q109" s="330">
        <v>471.03</v>
      </c>
      <c r="R109" s="23">
        <f t="shared" ref="R109" si="97">((P109-L109)/L109)</f>
        <v>6.9530951321887857E-2</v>
      </c>
      <c r="S109" s="23">
        <f t="shared" ref="S109" si="98">((Q109-M109)/M109)</f>
        <v>6.6249225311477483E-3</v>
      </c>
      <c r="T109" s="330">
        <v>3614743948.1599998</v>
      </c>
      <c r="U109" s="330">
        <v>467.93</v>
      </c>
      <c r="V109" s="23">
        <f t="shared" ref="V109" si="99">((T109-P109)/P109)</f>
        <v>0.24483406227966212</v>
      </c>
      <c r="W109" s="23">
        <f t="shared" ref="W109" si="100">((U109-Q109)/Q109)</f>
        <v>-6.5813217841750333E-3</v>
      </c>
      <c r="X109" s="330">
        <v>4666543859.8900003</v>
      </c>
      <c r="Y109" s="330">
        <v>474.24</v>
      </c>
      <c r="Z109" s="23">
        <f t="shared" si="87"/>
        <v>0.29097494229581444</v>
      </c>
      <c r="AA109" s="23">
        <f t="shared" si="88"/>
        <v>1.3484922958562183E-2</v>
      </c>
      <c r="AB109" s="330">
        <v>4679498089.1599998</v>
      </c>
      <c r="AC109" s="330">
        <v>474.85</v>
      </c>
      <c r="AD109" s="23">
        <f t="shared" si="89"/>
        <v>2.77597932408694E-3</v>
      </c>
      <c r="AE109" s="23">
        <f t="shared" si="90"/>
        <v>1.2862685560054269E-3</v>
      </c>
      <c r="AF109" s="330">
        <v>4678548431.2700005</v>
      </c>
      <c r="AG109" s="330">
        <v>474.86</v>
      </c>
      <c r="AH109" s="23">
        <f t="shared" si="91"/>
        <v>-2.0294011706068662E-4</v>
      </c>
      <c r="AI109" s="23">
        <f t="shared" si="92"/>
        <v>2.1059281878468788E-5</v>
      </c>
      <c r="AJ109" s="24">
        <f t="shared" si="54"/>
        <v>8.574217239713687E-2</v>
      </c>
      <c r="AK109" s="24">
        <f t="shared" si="55"/>
        <v>2.2535060693955129E-3</v>
      </c>
      <c r="AL109" s="25">
        <f t="shared" si="56"/>
        <v>0.8537651461076744</v>
      </c>
      <c r="AM109" s="25">
        <f t="shared" si="57"/>
        <v>1.6330287010679956E-2</v>
      </c>
      <c r="AN109" s="26">
        <f t="shared" si="58"/>
        <v>0.11808509230095708</v>
      </c>
      <c r="AO109" s="78">
        <f t="shared" si="59"/>
        <v>5.8044413022209787E-3</v>
      </c>
      <c r="AP109" s="30"/>
      <c r="AQ109" s="28"/>
      <c r="AR109" s="32"/>
      <c r="AS109" s="29"/>
      <c r="AT109" s="29"/>
    </row>
    <row r="110" spans="1:46" s="88" customFormat="1">
      <c r="A110" s="206" t="s">
        <v>127</v>
      </c>
      <c r="B110" s="329">
        <v>4339760300.5900002</v>
      </c>
      <c r="C110" s="329">
        <v>460.51</v>
      </c>
      <c r="D110" s="329">
        <v>4614690682.6000004</v>
      </c>
      <c r="E110" s="329">
        <v>460.39</v>
      </c>
      <c r="F110" s="23">
        <f t="shared" si="81"/>
        <v>6.3351513209755572E-2</v>
      </c>
      <c r="G110" s="23">
        <f t="shared" si="82"/>
        <v>-2.6058066057198443E-4</v>
      </c>
      <c r="H110" s="329">
        <v>4609779197.9200001</v>
      </c>
      <c r="I110" s="329">
        <v>459.9</v>
      </c>
      <c r="J110" s="23">
        <f>((H110-D110)/D110)</f>
        <v>-1.0643150360043385E-3</v>
      </c>
      <c r="K110" s="23">
        <f>((I110-E110)/E110)</f>
        <v>-1.0643150372510461E-3</v>
      </c>
      <c r="L110" s="329">
        <v>5069025290.1899996</v>
      </c>
      <c r="M110" s="329">
        <v>460.35</v>
      </c>
      <c r="N110" s="23">
        <f>((L110-H110)/H110)</f>
        <v>9.9624314430768843E-2</v>
      </c>
      <c r="O110" s="23">
        <f>((M110-I110)/I110)</f>
        <v>9.7847358121340607E-4</v>
      </c>
      <c r="P110" s="329">
        <v>5121009058.2200003</v>
      </c>
      <c r="Q110" s="329">
        <v>460.36</v>
      </c>
      <c r="R110" s="23">
        <f>((P110-L110)/L110)</f>
        <v>1.0255180247493341E-2</v>
      </c>
      <c r="S110" s="23">
        <f>((Q110-M110)/M110)</f>
        <v>2.1722602367743901E-5</v>
      </c>
      <c r="T110" s="329">
        <v>5223704461.3900003</v>
      </c>
      <c r="U110" s="329">
        <v>464</v>
      </c>
      <c r="V110" s="23">
        <f>((T110-P110)/P110)</f>
        <v>2.0053743706068689E-2</v>
      </c>
      <c r="W110" s="23">
        <f>((U110-Q110)/Q110)</f>
        <v>7.9068555043878413E-3</v>
      </c>
      <c r="X110" s="329">
        <v>5200254471.79</v>
      </c>
      <c r="Y110" s="329">
        <v>460.47</v>
      </c>
      <c r="Z110" s="23">
        <f>((X110-T110)/T110)</f>
        <v>-4.4891493715478042E-3</v>
      </c>
      <c r="AA110" s="23">
        <f>((Y110-U110)/U110)</f>
        <v>-7.6077586206895961E-3</v>
      </c>
      <c r="AB110" s="329">
        <v>5356936431.6800003</v>
      </c>
      <c r="AC110" s="329">
        <v>460.31</v>
      </c>
      <c r="AD110" s="23">
        <f>((AB110-X110)/X110)</f>
        <v>3.0129671680483788E-2</v>
      </c>
      <c r="AE110" s="23">
        <f>((AC110-Y110)/Y110)</f>
        <v>-3.4747106217565749E-4</v>
      </c>
      <c r="AF110" s="329">
        <v>5426154639.8400002</v>
      </c>
      <c r="AG110" s="329">
        <v>460.87</v>
      </c>
      <c r="AH110" s="23">
        <f>((AF110-AB110)/AB110)</f>
        <v>1.2921230080434644E-2</v>
      </c>
      <c r="AI110" s="23">
        <f>((AG110-AC110)/AC110)</f>
        <v>1.2165714409854277E-3</v>
      </c>
      <c r="AJ110" s="24">
        <f t="shared" si="54"/>
        <v>2.8847773618431591E-2</v>
      </c>
      <c r="AK110" s="24">
        <f t="shared" si="55"/>
        <v>1.054372185332669E-4</v>
      </c>
      <c r="AL110" s="25">
        <f t="shared" si="56"/>
        <v>0.17584362919484048</v>
      </c>
      <c r="AM110" s="25">
        <f t="shared" si="57"/>
        <v>1.0425943222051265E-3</v>
      </c>
      <c r="AN110" s="26">
        <f t="shared" si="58"/>
        <v>3.5625488065474352E-2</v>
      </c>
      <c r="AO110" s="78">
        <f t="shared" si="59"/>
        <v>4.2099669586651966E-3</v>
      </c>
      <c r="AP110" s="30"/>
      <c r="AQ110" s="28"/>
      <c r="AR110" s="32"/>
      <c r="AS110" s="29"/>
      <c r="AT110" s="29"/>
    </row>
    <row r="111" spans="1:46" s="105" customFormat="1">
      <c r="A111" s="208" t="s">
        <v>42</v>
      </c>
      <c r="B111" s="76">
        <f>SUM(B90:B110)</f>
        <v>319613321483.24005</v>
      </c>
      <c r="C111" s="87"/>
      <c r="D111" s="76">
        <f>SUM(D90:D110)</f>
        <v>317395334099.62988</v>
      </c>
      <c r="E111" s="87"/>
      <c r="F111" s="23"/>
      <c r="G111" s="23"/>
      <c r="H111" s="76">
        <f>SUM(H90:H110)</f>
        <v>313889534077.08875</v>
      </c>
      <c r="I111" s="87"/>
      <c r="J111" s="23"/>
      <c r="K111" s="23"/>
      <c r="L111" s="76">
        <f>SUM(L90:L110)</f>
        <v>315799107802.45459</v>
      </c>
      <c r="M111" s="87"/>
      <c r="N111" s="23"/>
      <c r="O111" s="23"/>
      <c r="P111" s="76">
        <f>SUM(P90:P110)</f>
        <v>328369020682.29224</v>
      </c>
      <c r="Q111" s="87"/>
      <c r="R111" s="23"/>
      <c r="S111" s="23"/>
      <c r="T111" s="76">
        <f>SUM(T90:T110)</f>
        <v>329288437990.39252</v>
      </c>
      <c r="U111" s="87"/>
      <c r="V111" s="23"/>
      <c r="W111" s="23"/>
      <c r="X111" s="76">
        <f>SUM(X90:X110)</f>
        <v>333300918749.29321</v>
      </c>
      <c r="Y111" s="87"/>
      <c r="Z111" s="23"/>
      <c r="AA111" s="23"/>
      <c r="AB111" s="76">
        <f>SUM(AB90:AB110)</f>
        <v>332681726568.12634</v>
      </c>
      <c r="AC111" s="87"/>
      <c r="AD111" s="23"/>
      <c r="AE111" s="23"/>
      <c r="AF111" s="76">
        <f>SUM(AF90:AF110)</f>
        <v>334539052167.92297</v>
      </c>
      <c r="AG111" s="87"/>
      <c r="AH111" s="23"/>
      <c r="AI111" s="23"/>
      <c r="AJ111" s="24" t="e">
        <f t="shared" si="54"/>
        <v>#DIV/0!</v>
      </c>
      <c r="AK111" s="24"/>
      <c r="AL111" s="25">
        <f t="shared" si="56"/>
        <v>5.4013768403135078E-2</v>
      </c>
      <c r="AM111" s="25"/>
      <c r="AN111" s="26" t="e">
        <f t="shared" si="58"/>
        <v>#DIV/0!</v>
      </c>
      <c r="AO111" s="78"/>
      <c r="AP111" s="30"/>
      <c r="AQ111" s="28"/>
      <c r="AR111" s="32"/>
      <c r="AS111" s="29"/>
      <c r="AT111" s="29"/>
    </row>
    <row r="112" spans="1:46" s="105" customFormat="1" ht="8.25" customHeight="1">
      <c r="A112" s="208"/>
      <c r="B112" s="87"/>
      <c r="C112" s="87"/>
      <c r="D112" s="87"/>
      <c r="E112" s="87"/>
      <c r="F112" s="23"/>
      <c r="G112" s="23"/>
      <c r="H112" s="87"/>
      <c r="I112" s="87"/>
      <c r="J112" s="23"/>
      <c r="K112" s="23"/>
      <c r="L112" s="87"/>
      <c r="M112" s="87"/>
      <c r="N112" s="23"/>
      <c r="O112" s="23"/>
      <c r="P112" s="87"/>
      <c r="Q112" s="87"/>
      <c r="R112" s="23"/>
      <c r="S112" s="23"/>
      <c r="T112" s="87"/>
      <c r="U112" s="87"/>
      <c r="V112" s="23"/>
      <c r="W112" s="23"/>
      <c r="X112" s="87"/>
      <c r="Y112" s="87"/>
      <c r="Z112" s="23"/>
      <c r="AA112" s="23"/>
      <c r="AB112" s="87"/>
      <c r="AC112" s="87"/>
      <c r="AD112" s="23"/>
      <c r="AE112" s="23"/>
      <c r="AF112" s="87"/>
      <c r="AG112" s="87"/>
      <c r="AH112" s="23"/>
      <c r="AI112" s="23"/>
      <c r="AJ112" s="24"/>
      <c r="AK112" s="24"/>
      <c r="AL112" s="25"/>
      <c r="AM112" s="25"/>
      <c r="AN112" s="26"/>
      <c r="AO112" s="78"/>
      <c r="AP112" s="30"/>
      <c r="AQ112" s="28"/>
      <c r="AR112" s="32"/>
      <c r="AS112" s="29"/>
      <c r="AT112" s="29"/>
    </row>
    <row r="113" spans="1:46">
      <c r="A113" s="210" t="s">
        <v>220</v>
      </c>
      <c r="B113" s="87"/>
      <c r="C113" s="87"/>
      <c r="D113" s="87"/>
      <c r="E113" s="87"/>
      <c r="F113" s="23"/>
      <c r="G113" s="23"/>
      <c r="H113" s="87"/>
      <c r="I113" s="87"/>
      <c r="J113" s="23"/>
      <c r="K113" s="23"/>
      <c r="L113" s="87"/>
      <c r="M113" s="87"/>
      <c r="N113" s="23"/>
      <c r="O113" s="23"/>
      <c r="P113" s="87"/>
      <c r="Q113" s="87"/>
      <c r="R113" s="23"/>
      <c r="S113" s="23"/>
      <c r="T113" s="87"/>
      <c r="U113" s="87"/>
      <c r="V113" s="23"/>
      <c r="W113" s="23"/>
      <c r="X113" s="87"/>
      <c r="Y113" s="87"/>
      <c r="Z113" s="23"/>
      <c r="AA113" s="23"/>
      <c r="AB113" s="87"/>
      <c r="AC113" s="87"/>
      <c r="AD113" s="23"/>
      <c r="AE113" s="23"/>
      <c r="AF113" s="87"/>
      <c r="AG113" s="87"/>
      <c r="AH113" s="23"/>
      <c r="AI113" s="23"/>
      <c r="AJ113" s="24"/>
      <c r="AK113" s="24"/>
      <c r="AL113" s="25"/>
      <c r="AM113" s="25"/>
      <c r="AN113" s="26"/>
      <c r="AO113" s="78"/>
      <c r="AP113" s="30"/>
      <c r="AQ113" s="54">
        <f>SUM(AQ93:AQ104)</f>
        <v>16564722721.154379</v>
      </c>
      <c r="AR113" s="55"/>
      <c r="AS113" s="29" t="e">
        <f>(#REF!/AQ113)-1</f>
        <v>#REF!</v>
      </c>
      <c r="AT113" s="29" t="e">
        <f>(#REF!/AR113)-1</f>
        <v>#REF!</v>
      </c>
    </row>
    <row r="114" spans="1:46">
      <c r="A114" s="206" t="s">
        <v>167</v>
      </c>
      <c r="B114" s="330">
        <v>7511812185.1700001</v>
      </c>
      <c r="C114" s="331">
        <v>101.31</v>
      </c>
      <c r="D114" s="330">
        <v>7511812185.1700001</v>
      </c>
      <c r="E114" s="331">
        <v>101.31</v>
      </c>
      <c r="F114" s="23">
        <f t="shared" ref="F114:G117" si="101">((D114-B114)/B114)</f>
        <v>0</v>
      </c>
      <c r="G114" s="23">
        <f t="shared" si="101"/>
        <v>0</v>
      </c>
      <c r="H114" s="330">
        <v>7511812185.1700001</v>
      </c>
      <c r="I114" s="331">
        <v>101.31</v>
      </c>
      <c r="J114" s="23">
        <f t="shared" ref="J114:K117" si="102">((H114-D114)/D114)</f>
        <v>0</v>
      </c>
      <c r="K114" s="23">
        <f t="shared" si="102"/>
        <v>0</v>
      </c>
      <c r="L114" s="330">
        <v>7511812185.1700001</v>
      </c>
      <c r="M114" s="331">
        <v>101.31</v>
      </c>
      <c r="N114" s="23">
        <f t="shared" ref="N114:O117" si="103">((L114-H114)/H114)</f>
        <v>0</v>
      </c>
      <c r="O114" s="23">
        <f t="shared" si="103"/>
        <v>0</v>
      </c>
      <c r="P114" s="330">
        <v>7511812185.1700001</v>
      </c>
      <c r="Q114" s="331">
        <v>101.31</v>
      </c>
      <c r="R114" s="23">
        <f t="shared" ref="R114:S117" si="104">((P114-L114)/L114)</f>
        <v>0</v>
      </c>
      <c r="S114" s="23">
        <f t="shared" si="104"/>
        <v>0</v>
      </c>
      <c r="T114" s="330">
        <v>7511812185.1700001</v>
      </c>
      <c r="U114" s="331">
        <v>101.31</v>
      </c>
      <c r="V114" s="23">
        <f t="shared" ref="V114:W117" si="105">((T114-P114)/P114)</f>
        <v>0</v>
      </c>
      <c r="W114" s="23">
        <f t="shared" si="105"/>
        <v>0</v>
      </c>
      <c r="X114" s="330">
        <v>7511812185.1700001</v>
      </c>
      <c r="Y114" s="331">
        <v>101.31</v>
      </c>
      <c r="Z114" s="23">
        <f t="shared" ref="Z114:Z117" si="106">((X114-T114)/T114)</f>
        <v>0</v>
      </c>
      <c r="AA114" s="23">
        <f t="shared" ref="AA114:AA117" si="107">((Y114-U114)/U114)</f>
        <v>0</v>
      </c>
      <c r="AB114" s="330">
        <v>7511812185.1700001</v>
      </c>
      <c r="AC114" s="331">
        <v>101.68</v>
      </c>
      <c r="AD114" s="23">
        <f t="shared" ref="AD114:AD117" si="108">((AB114-X114)/X114)</f>
        <v>0</v>
      </c>
      <c r="AE114" s="23">
        <f t="shared" ref="AE114:AE117" si="109">((AC114-Y114)/Y114)</f>
        <v>3.652156746619332E-3</v>
      </c>
      <c r="AF114" s="330">
        <v>54330953714</v>
      </c>
      <c r="AG114" s="331">
        <v>101.68</v>
      </c>
      <c r="AH114" s="23">
        <f t="shared" ref="AH114:AH117" si="110">((AF114-AB114)/AB114)</f>
        <v>6.2327359064250132</v>
      </c>
      <c r="AI114" s="23">
        <f t="shared" ref="AI114:AI117" si="111">((AG114-AC114)/AC114)</f>
        <v>0</v>
      </c>
      <c r="AJ114" s="24">
        <f t="shared" si="54"/>
        <v>0.77909198830312665</v>
      </c>
      <c r="AK114" s="24">
        <f t="shared" si="55"/>
        <v>4.5651959332741651E-4</v>
      </c>
      <c r="AL114" s="25">
        <f t="shared" si="56"/>
        <v>6.2327359064250132</v>
      </c>
      <c r="AM114" s="25">
        <f t="shared" si="57"/>
        <v>3.652156746619332E-3</v>
      </c>
      <c r="AN114" s="26">
        <f t="shared" si="58"/>
        <v>2.2036049123890051</v>
      </c>
      <c r="AO114" s="78">
        <f t="shared" si="59"/>
        <v>1.2912324007453646E-3</v>
      </c>
      <c r="AP114" s="30"/>
      <c r="AQ114" s="40"/>
      <c r="AR114" s="13"/>
      <c r="AS114" s="29" t="e">
        <f>(#REF!/AQ114)-1</f>
        <v>#REF!</v>
      </c>
      <c r="AT114" s="29" t="e">
        <f>(#REF!/AR114)-1</f>
        <v>#REF!</v>
      </c>
    </row>
    <row r="115" spans="1:46">
      <c r="A115" s="206" t="s">
        <v>144</v>
      </c>
      <c r="B115" s="330">
        <v>2321145779.7800002</v>
      </c>
      <c r="C115" s="331">
        <v>77</v>
      </c>
      <c r="D115" s="330">
        <v>2324740232.4000001</v>
      </c>
      <c r="E115" s="331">
        <v>77</v>
      </c>
      <c r="F115" s="23">
        <f t="shared" si="101"/>
        <v>1.5485682335473862E-3</v>
      </c>
      <c r="G115" s="23">
        <f t="shared" si="101"/>
        <v>0</v>
      </c>
      <c r="H115" s="330">
        <v>2329739480.9200001</v>
      </c>
      <c r="I115" s="331">
        <v>77</v>
      </c>
      <c r="J115" s="23">
        <f t="shared" si="102"/>
        <v>2.1504546832051379E-3</v>
      </c>
      <c r="K115" s="23">
        <f t="shared" si="102"/>
        <v>0</v>
      </c>
      <c r="L115" s="330">
        <v>2340365539.8699999</v>
      </c>
      <c r="M115" s="331">
        <v>77</v>
      </c>
      <c r="N115" s="23">
        <f t="shared" si="103"/>
        <v>4.5610502964063791E-3</v>
      </c>
      <c r="O115" s="23">
        <f t="shared" si="103"/>
        <v>0</v>
      </c>
      <c r="P115" s="330">
        <v>2341177154.25</v>
      </c>
      <c r="Q115" s="331">
        <v>77</v>
      </c>
      <c r="R115" s="23">
        <f t="shared" si="104"/>
        <v>3.4678957888142426E-4</v>
      </c>
      <c r="S115" s="23">
        <f t="shared" si="104"/>
        <v>0</v>
      </c>
      <c r="T115" s="330">
        <v>2344656416.2600002</v>
      </c>
      <c r="U115" s="331">
        <v>77</v>
      </c>
      <c r="V115" s="23">
        <f t="shared" si="105"/>
        <v>1.4861165049745312E-3</v>
      </c>
      <c r="W115" s="23">
        <f t="shared" si="105"/>
        <v>0</v>
      </c>
      <c r="X115" s="330">
        <v>2348893578.9000001</v>
      </c>
      <c r="Y115" s="331">
        <v>77</v>
      </c>
      <c r="Z115" s="23">
        <f t="shared" si="106"/>
        <v>1.8071571641010984E-3</v>
      </c>
      <c r="AA115" s="23">
        <f t="shared" si="107"/>
        <v>0</v>
      </c>
      <c r="AB115" s="330">
        <v>2352866820.48</v>
      </c>
      <c r="AC115" s="331">
        <v>77</v>
      </c>
      <c r="AD115" s="23">
        <f t="shared" si="108"/>
        <v>1.6915375033127787E-3</v>
      </c>
      <c r="AE115" s="23">
        <f t="shared" si="109"/>
        <v>0</v>
      </c>
      <c r="AF115" s="330">
        <v>2359826154.1500001</v>
      </c>
      <c r="AG115" s="331">
        <v>77</v>
      </c>
      <c r="AH115" s="23">
        <f t="shared" si="110"/>
        <v>2.9578102803882148E-3</v>
      </c>
      <c r="AI115" s="23">
        <f t="shared" si="111"/>
        <v>0</v>
      </c>
      <c r="AJ115" s="24">
        <f t="shared" si="54"/>
        <v>2.0686855306021189E-3</v>
      </c>
      <c r="AK115" s="24">
        <f t="shared" si="55"/>
        <v>0</v>
      </c>
      <c r="AL115" s="25">
        <f t="shared" si="56"/>
        <v>1.5092405276514799E-2</v>
      </c>
      <c r="AM115" s="25">
        <f t="shared" si="57"/>
        <v>0</v>
      </c>
      <c r="AN115" s="26">
        <f t="shared" si="58"/>
        <v>1.2418064723080633E-3</v>
      </c>
      <c r="AO115" s="78">
        <f t="shared" si="59"/>
        <v>0</v>
      </c>
      <c r="AP115" s="30"/>
      <c r="AQ115" s="28">
        <v>640873657.65999997</v>
      </c>
      <c r="AR115" s="32">
        <v>11.5358</v>
      </c>
      <c r="AS115" s="29" t="e">
        <f>(#REF!/AQ115)-1</f>
        <v>#REF!</v>
      </c>
      <c r="AT115" s="29" t="e">
        <f>(#REF!/AR115)-1</f>
        <v>#REF!</v>
      </c>
    </row>
    <row r="116" spans="1:46">
      <c r="A116" s="206" t="s">
        <v>21</v>
      </c>
      <c r="B116" s="330">
        <v>10103263870.370001</v>
      </c>
      <c r="C116" s="331">
        <v>36.6</v>
      </c>
      <c r="D116" s="330">
        <v>10103642798.32</v>
      </c>
      <c r="E116" s="331">
        <v>36.6</v>
      </c>
      <c r="F116" s="23">
        <f t="shared" si="101"/>
        <v>3.7505498704249772E-5</v>
      </c>
      <c r="G116" s="23">
        <f t="shared" si="101"/>
        <v>0</v>
      </c>
      <c r="H116" s="330">
        <v>10105268488.299999</v>
      </c>
      <c r="I116" s="331">
        <v>36.6</v>
      </c>
      <c r="J116" s="23">
        <f t="shared" si="102"/>
        <v>1.6090137116385949E-4</v>
      </c>
      <c r="K116" s="23">
        <f t="shared" si="102"/>
        <v>0</v>
      </c>
      <c r="L116" s="330">
        <v>10133565491.77</v>
      </c>
      <c r="M116" s="331">
        <v>36.6</v>
      </c>
      <c r="N116" s="23">
        <f t="shared" si="103"/>
        <v>2.8002228246348754E-3</v>
      </c>
      <c r="O116" s="23">
        <f t="shared" si="103"/>
        <v>0</v>
      </c>
      <c r="P116" s="330">
        <v>10148918090.66</v>
      </c>
      <c r="Q116" s="331">
        <v>36.6</v>
      </c>
      <c r="R116" s="23">
        <f t="shared" si="104"/>
        <v>1.5150243912143303E-3</v>
      </c>
      <c r="S116" s="23">
        <f t="shared" si="104"/>
        <v>0</v>
      </c>
      <c r="T116" s="330">
        <v>10154946927.15</v>
      </c>
      <c r="U116" s="331">
        <v>36.6</v>
      </c>
      <c r="V116" s="23">
        <f t="shared" si="105"/>
        <v>5.9403735808529975E-4</v>
      </c>
      <c r="W116" s="23">
        <f t="shared" si="105"/>
        <v>0</v>
      </c>
      <c r="X116" s="330">
        <v>10179097473.139999</v>
      </c>
      <c r="Y116" s="331">
        <v>36.6</v>
      </c>
      <c r="Z116" s="23">
        <f t="shared" si="106"/>
        <v>2.378205042650839E-3</v>
      </c>
      <c r="AA116" s="23">
        <f t="shared" si="107"/>
        <v>0</v>
      </c>
      <c r="AB116" s="330">
        <v>10188447956.73</v>
      </c>
      <c r="AC116" s="331">
        <v>36.6</v>
      </c>
      <c r="AD116" s="23">
        <f t="shared" si="108"/>
        <v>9.1859652731233349E-4</v>
      </c>
      <c r="AE116" s="23">
        <f t="shared" si="109"/>
        <v>0</v>
      </c>
      <c r="AF116" s="330">
        <v>10204268194.49</v>
      </c>
      <c r="AG116" s="331">
        <v>36.6</v>
      </c>
      <c r="AH116" s="23">
        <f t="shared" si="110"/>
        <v>1.5527622879547753E-3</v>
      </c>
      <c r="AI116" s="23">
        <f t="shared" si="111"/>
        <v>0</v>
      </c>
      <c r="AJ116" s="24">
        <f t="shared" si="54"/>
        <v>1.2446569127150704E-3</v>
      </c>
      <c r="AK116" s="24">
        <f t="shared" si="55"/>
        <v>0</v>
      </c>
      <c r="AL116" s="25">
        <f t="shared" si="56"/>
        <v>9.9593184536107843E-3</v>
      </c>
      <c r="AM116" s="25">
        <f t="shared" si="57"/>
        <v>0</v>
      </c>
      <c r="AN116" s="26">
        <f t="shared" si="58"/>
        <v>1.0024331794528981E-3</v>
      </c>
      <c r="AO116" s="78">
        <f t="shared" si="59"/>
        <v>0</v>
      </c>
      <c r="AP116" s="30"/>
      <c r="AQ116" s="28">
        <v>2128320668.46</v>
      </c>
      <c r="AR116" s="35">
        <v>1.04</v>
      </c>
      <c r="AS116" s="29" t="e">
        <f>(#REF!/AQ116)-1</f>
        <v>#REF!</v>
      </c>
      <c r="AT116" s="29" t="e">
        <f>(#REF!/AR116)-1</f>
        <v>#REF!</v>
      </c>
    </row>
    <row r="117" spans="1:46">
      <c r="A117" s="206" t="s">
        <v>188</v>
      </c>
      <c r="B117" s="330">
        <v>26496538381.540001</v>
      </c>
      <c r="C117" s="331">
        <v>9.93</v>
      </c>
      <c r="D117" s="330">
        <v>26502288426.880001</v>
      </c>
      <c r="E117" s="331">
        <v>9.93</v>
      </c>
      <c r="F117" s="23">
        <f t="shared" si="101"/>
        <v>2.170111905639032E-4</v>
      </c>
      <c r="G117" s="23">
        <f t="shared" si="101"/>
        <v>0</v>
      </c>
      <c r="H117" s="330">
        <v>26501317592.720001</v>
      </c>
      <c r="I117" s="331">
        <v>9.93</v>
      </c>
      <c r="J117" s="23">
        <f t="shared" si="102"/>
        <v>-3.6632087930005952E-5</v>
      </c>
      <c r="K117" s="23">
        <f t="shared" si="102"/>
        <v>0</v>
      </c>
      <c r="L117" s="330">
        <v>26518692064.02</v>
      </c>
      <c r="M117" s="331">
        <v>3.15</v>
      </c>
      <c r="N117" s="23">
        <f t="shared" si="103"/>
        <v>6.5560782927910199E-4</v>
      </c>
      <c r="O117" s="23">
        <f t="shared" si="103"/>
        <v>-0.68277945619335345</v>
      </c>
      <c r="P117" s="330">
        <v>26545649172.029999</v>
      </c>
      <c r="Q117" s="331">
        <v>3.2</v>
      </c>
      <c r="R117" s="23">
        <f t="shared" si="104"/>
        <v>1.016532336697448E-3</v>
      </c>
      <c r="S117" s="23">
        <f t="shared" si="104"/>
        <v>1.5873015873015959E-2</v>
      </c>
      <c r="T117" s="330">
        <v>26550833017.650002</v>
      </c>
      <c r="U117" s="331">
        <v>3.3</v>
      </c>
      <c r="V117" s="23">
        <f t="shared" si="105"/>
        <v>1.9528042378653675E-4</v>
      </c>
      <c r="W117" s="23">
        <f t="shared" si="105"/>
        <v>3.1249999999999889E-2</v>
      </c>
      <c r="X117" s="330">
        <v>27163422055.529999</v>
      </c>
      <c r="Y117" s="331">
        <v>3.15</v>
      </c>
      <c r="Z117" s="23">
        <f t="shared" si="106"/>
        <v>2.3072309538189291E-2</v>
      </c>
      <c r="AA117" s="23">
        <f t="shared" si="107"/>
        <v>-4.5454545454545428E-2</v>
      </c>
      <c r="AB117" s="330">
        <v>27163422055.529999</v>
      </c>
      <c r="AC117" s="331">
        <v>3.15</v>
      </c>
      <c r="AD117" s="23">
        <f t="shared" si="108"/>
        <v>0</v>
      </c>
      <c r="AE117" s="23">
        <f t="shared" si="109"/>
        <v>0</v>
      </c>
      <c r="AF117" s="330">
        <v>27268732309.669998</v>
      </c>
      <c r="AG117" s="331">
        <v>3.15</v>
      </c>
      <c r="AH117" s="23">
        <f t="shared" si="110"/>
        <v>3.876914106209238E-3</v>
      </c>
      <c r="AI117" s="23">
        <f t="shared" si="111"/>
        <v>0</v>
      </c>
      <c r="AJ117" s="24">
        <f t="shared" si="54"/>
        <v>3.624627917099439E-3</v>
      </c>
      <c r="AK117" s="24">
        <f t="shared" si="55"/>
        <v>-8.5138873221860381E-2</v>
      </c>
      <c r="AL117" s="25">
        <f t="shared" si="56"/>
        <v>2.8919913271060388E-2</v>
      </c>
      <c r="AM117" s="25">
        <f t="shared" si="57"/>
        <v>-0.68277945619335345</v>
      </c>
      <c r="AN117" s="26">
        <f t="shared" si="58"/>
        <v>7.9624856128292162E-3</v>
      </c>
      <c r="AO117" s="78">
        <f t="shared" si="59"/>
        <v>0.24245570869959843</v>
      </c>
      <c r="AP117" s="30"/>
      <c r="AQ117" s="28">
        <v>1789192828.73</v>
      </c>
      <c r="AR117" s="32">
        <v>0.79</v>
      </c>
      <c r="AS117" s="29" t="e">
        <f>(#REF!/AQ117)-1</f>
        <v>#REF!</v>
      </c>
      <c r="AT117" s="29" t="e">
        <f>(#REF!/AR117)-1</f>
        <v>#REF!</v>
      </c>
    </row>
    <row r="118" spans="1:46">
      <c r="A118" s="208" t="s">
        <v>42</v>
      </c>
      <c r="B118" s="70">
        <f>SUM(B114:B117)</f>
        <v>46432760216.860001</v>
      </c>
      <c r="C118" s="87"/>
      <c r="D118" s="70">
        <f>SUM(D114:D117)</f>
        <v>46442483642.770004</v>
      </c>
      <c r="E118" s="87"/>
      <c r="F118" s="23">
        <f>((D118-B118)/B118)</f>
        <v>2.0940874211636962E-4</v>
      </c>
      <c r="G118" s="23"/>
      <c r="H118" s="70">
        <f>SUM(H114:H117)</f>
        <v>46448137747.110001</v>
      </c>
      <c r="I118" s="87"/>
      <c r="J118" s="23">
        <f>((H118-D118)/D118)</f>
        <v>1.217442284845709E-4</v>
      </c>
      <c r="K118" s="23"/>
      <c r="L118" s="70">
        <f>SUM(L114:L117)</f>
        <v>46504435280.830002</v>
      </c>
      <c r="M118" s="87"/>
      <c r="N118" s="23">
        <f>((L118-H118)/H118)</f>
        <v>1.212051471826856E-3</v>
      </c>
      <c r="O118" s="23"/>
      <c r="P118" s="70">
        <f>SUM(P114:P117)</f>
        <v>46547556602.110001</v>
      </c>
      <c r="Q118" s="87"/>
      <c r="R118" s="23">
        <f>((P118-L118)/L118)</f>
        <v>9.2725179909397147E-4</v>
      </c>
      <c r="S118" s="23"/>
      <c r="T118" s="70">
        <f>SUM(T114:T117)</f>
        <v>46562248546.230003</v>
      </c>
      <c r="U118" s="87"/>
      <c r="V118" s="23">
        <f>((T118-P118)/P118)</f>
        <v>3.1563298253418443E-4</v>
      </c>
      <c r="W118" s="23"/>
      <c r="X118" s="70">
        <f>SUM(X114:X117)</f>
        <v>47203225292.739998</v>
      </c>
      <c r="Y118" s="87"/>
      <c r="Z118" s="23">
        <f>((X118-T118)/T118)</f>
        <v>1.3766017890514704E-2</v>
      </c>
      <c r="AA118" s="23"/>
      <c r="AB118" s="70">
        <f>SUM(AB114:AB117)</f>
        <v>47216549017.909996</v>
      </c>
      <c r="AC118" s="87"/>
      <c r="AD118" s="23">
        <f>((AB118-X118)/X118)</f>
        <v>2.8226302519305602E-4</v>
      </c>
      <c r="AE118" s="23"/>
      <c r="AF118" s="70">
        <f>SUM(AF114:AF117)</f>
        <v>94163780372.309998</v>
      </c>
      <c r="AG118" s="87"/>
      <c r="AH118" s="23">
        <f>((AF118-AB118)/AB118)</f>
        <v>0.99429611716417821</v>
      </c>
      <c r="AI118" s="23"/>
      <c r="AJ118" s="24">
        <f t="shared" si="54"/>
        <v>0.12639131091299274</v>
      </c>
      <c r="AK118" s="24"/>
      <c r="AL118" s="25">
        <f t="shared" si="56"/>
        <v>1.0275354155605989</v>
      </c>
      <c r="AM118" s="25"/>
      <c r="AN118" s="26">
        <f t="shared" si="58"/>
        <v>0.35071737316877238</v>
      </c>
      <c r="AO118" s="78"/>
      <c r="AP118" s="30"/>
      <c r="AQ118" s="28">
        <v>204378030.47999999</v>
      </c>
      <c r="AR118" s="32">
        <v>22.9087</v>
      </c>
      <c r="AS118" s="29" t="e">
        <f>(#REF!/AQ118)-1</f>
        <v>#REF!</v>
      </c>
      <c r="AT118" s="29" t="e">
        <f>(#REF!/AR118)-1</f>
        <v>#REF!</v>
      </c>
    </row>
    <row r="119" spans="1:46" s="376" customFormat="1" ht="7.5" customHeight="1">
      <c r="A119" s="208"/>
      <c r="B119" s="70"/>
      <c r="C119" s="87"/>
      <c r="D119" s="70"/>
      <c r="E119" s="87"/>
      <c r="F119" s="23"/>
      <c r="G119" s="23"/>
      <c r="H119" s="70"/>
      <c r="I119" s="87"/>
      <c r="J119" s="23"/>
      <c r="K119" s="23"/>
      <c r="L119" s="70"/>
      <c r="M119" s="87"/>
      <c r="N119" s="23"/>
      <c r="O119" s="23"/>
      <c r="P119" s="70"/>
      <c r="Q119" s="87"/>
      <c r="R119" s="23"/>
      <c r="S119" s="23"/>
      <c r="T119" s="70"/>
      <c r="U119" s="87"/>
      <c r="V119" s="23"/>
      <c r="W119" s="23"/>
      <c r="X119" s="70"/>
      <c r="Y119" s="87"/>
      <c r="Z119" s="23"/>
      <c r="AA119" s="23"/>
      <c r="AB119" s="70"/>
      <c r="AC119" s="87"/>
      <c r="AD119" s="23"/>
      <c r="AE119" s="23"/>
      <c r="AF119" s="87"/>
      <c r="AG119" s="87"/>
      <c r="AH119" s="23"/>
      <c r="AI119" s="23"/>
      <c r="AJ119" s="24"/>
      <c r="AK119" s="24"/>
      <c r="AL119" s="25"/>
      <c r="AM119" s="25"/>
      <c r="AN119" s="26"/>
      <c r="AO119" s="78"/>
      <c r="AP119" s="30"/>
      <c r="AQ119" s="28"/>
      <c r="AR119" s="32"/>
      <c r="AS119" s="29"/>
      <c r="AT119" s="29"/>
    </row>
    <row r="120" spans="1:46">
      <c r="A120" s="210" t="s">
        <v>229</v>
      </c>
      <c r="B120" s="87"/>
      <c r="C120" s="87"/>
      <c r="D120" s="87"/>
      <c r="E120" s="87"/>
      <c r="F120" s="23"/>
      <c r="G120" s="23"/>
      <c r="H120" s="87"/>
      <c r="I120" s="87"/>
      <c r="J120" s="23"/>
      <c r="K120" s="23"/>
      <c r="L120" s="87"/>
      <c r="M120" s="87"/>
      <c r="N120" s="23"/>
      <c r="O120" s="23"/>
      <c r="P120" s="87"/>
      <c r="Q120" s="87"/>
      <c r="R120" s="23"/>
      <c r="S120" s="23"/>
      <c r="T120" s="87"/>
      <c r="U120" s="87"/>
      <c r="V120" s="23"/>
      <c r="W120" s="23"/>
      <c r="X120" s="87"/>
      <c r="Y120" s="87"/>
      <c r="Z120" s="23"/>
      <c r="AA120" s="23"/>
      <c r="AB120" s="87"/>
      <c r="AC120" s="87"/>
      <c r="AD120" s="23"/>
      <c r="AE120" s="23"/>
      <c r="AF120" s="87"/>
      <c r="AG120" s="87"/>
      <c r="AH120" s="23"/>
      <c r="AI120" s="23"/>
      <c r="AJ120" s="24"/>
      <c r="AK120" s="24"/>
      <c r="AL120" s="25"/>
      <c r="AM120" s="25"/>
      <c r="AN120" s="26"/>
      <c r="AO120" s="78"/>
      <c r="AP120" s="30"/>
      <c r="AQ120" s="28">
        <v>160273731.87</v>
      </c>
      <c r="AR120" s="32">
        <v>133.94</v>
      </c>
      <c r="AS120" s="29" t="e">
        <f>(#REF!/AQ120)-1</f>
        <v>#REF!</v>
      </c>
      <c r="AT120" s="29" t="e">
        <f>(#REF!/AR120)-1</f>
        <v>#REF!</v>
      </c>
    </row>
    <row r="121" spans="1:46" s="95" customFormat="1">
      <c r="A121" s="206" t="s">
        <v>119</v>
      </c>
      <c r="B121" s="329">
        <v>174650630.81</v>
      </c>
      <c r="C121" s="329">
        <v>3.9956</v>
      </c>
      <c r="D121" s="329">
        <v>172001524.68000001</v>
      </c>
      <c r="E121" s="329">
        <v>3.92</v>
      </c>
      <c r="F121" s="23">
        <f t="shared" ref="F121:F144" si="112">((D121-B121)/B121)</f>
        <v>-1.5168030700569992E-2</v>
      </c>
      <c r="G121" s="23">
        <f t="shared" ref="G121:G144" si="113">((E121-C121)/C121)</f>
        <v>-1.8920812894183629E-2</v>
      </c>
      <c r="H121" s="329">
        <v>172731006.96000001</v>
      </c>
      <c r="I121" s="329">
        <v>3.94</v>
      </c>
      <c r="J121" s="23">
        <f t="shared" ref="J121:J144" si="114">((H121-D121)/D121)</f>
        <v>4.2411384512850425E-3</v>
      </c>
      <c r="K121" s="23">
        <f t="shared" ref="K121:K144" si="115">((I121-E121)/E121)</f>
        <v>5.1020408163265354E-3</v>
      </c>
      <c r="L121" s="329">
        <v>173678190.16999999</v>
      </c>
      <c r="M121" s="329">
        <v>3.96</v>
      </c>
      <c r="N121" s="23">
        <f t="shared" ref="N121:N144" si="116">((L121-H121)/H121)</f>
        <v>5.4835737177131227E-3</v>
      </c>
      <c r="O121" s="23">
        <f t="shared" ref="O121:O144" si="117">((M121-I121)/I121)</f>
        <v>5.0761421319797002E-3</v>
      </c>
      <c r="P121" s="329">
        <v>171101927.94999999</v>
      </c>
      <c r="Q121" s="329">
        <v>3.9</v>
      </c>
      <c r="R121" s="23">
        <f t="shared" ref="R121:R144" si="118">((P121-L121)/L121)</f>
        <v>-1.4833539072915819E-2</v>
      </c>
      <c r="S121" s="23">
        <f t="shared" ref="S121:S144" si="119">((Q121-M121)/M121)</f>
        <v>-1.5151515151515166E-2</v>
      </c>
      <c r="T121" s="329">
        <v>170294462.5</v>
      </c>
      <c r="U121" s="329">
        <v>3.88</v>
      </c>
      <c r="V121" s="23">
        <f t="shared" ref="V121:V144" si="120">((T121-P121)/P121)</f>
        <v>-4.7192071981558767E-3</v>
      </c>
      <c r="W121" s="23">
        <f t="shared" ref="W121:W144" si="121">((U121-Q121)/Q121)</f>
        <v>-5.1282051282051325E-3</v>
      </c>
      <c r="X121" s="329">
        <v>168710246.75</v>
      </c>
      <c r="Y121" s="329">
        <v>3.85</v>
      </c>
      <c r="Z121" s="23">
        <f t="shared" ref="Z121:Z131" si="122">((X121-T121)/T121)</f>
        <v>-9.3028024913023814E-3</v>
      </c>
      <c r="AA121" s="23">
        <f t="shared" ref="AA121:AA131" si="123">((Y121-U121)/U121)</f>
        <v>-7.7319587628865479E-3</v>
      </c>
      <c r="AB121" s="329">
        <v>170773706.19</v>
      </c>
      <c r="AC121" s="329">
        <v>3.89</v>
      </c>
      <c r="AD121" s="23">
        <f t="shared" ref="AD121:AD131" si="124">((AB121-X121)/X121)</f>
        <v>1.2230789058460064E-2</v>
      </c>
      <c r="AE121" s="23">
        <f t="shared" ref="AE121:AE131" si="125">((AC121-Y121)/Y121)</f>
        <v>1.0389610389610398E-2</v>
      </c>
      <c r="AF121" s="329">
        <v>171476888.66999999</v>
      </c>
      <c r="AG121" s="329">
        <v>3.91</v>
      </c>
      <c r="AH121" s="23">
        <f t="shared" ref="AH121:AH131" si="126">((AF121-AB121)/AB121)</f>
        <v>4.1176273308587688E-3</v>
      </c>
      <c r="AI121" s="23">
        <f t="shared" ref="AI121:AI131" si="127">((AG121-AC121)/AC121)</f>
        <v>5.1413881748072028E-3</v>
      </c>
      <c r="AJ121" s="24">
        <f t="shared" si="54"/>
        <v>-2.2438063630783843E-3</v>
      </c>
      <c r="AK121" s="24">
        <f t="shared" si="55"/>
        <v>-2.6529138030083293E-3</v>
      </c>
      <c r="AL121" s="25">
        <f t="shared" si="56"/>
        <v>-3.0501823223723079E-3</v>
      </c>
      <c r="AM121" s="25">
        <f t="shared" si="57"/>
        <v>-2.5510204081632109E-3</v>
      </c>
      <c r="AN121" s="26">
        <f t="shared" si="58"/>
        <v>1.0234693403750918E-2</v>
      </c>
      <c r="AO121" s="78">
        <f t="shared" si="59"/>
        <v>1.0713939843488007E-2</v>
      </c>
      <c r="AP121" s="30"/>
      <c r="AQ121" s="28"/>
      <c r="AR121" s="32"/>
      <c r="AS121" s="29"/>
      <c r="AT121" s="29"/>
    </row>
    <row r="122" spans="1:46" s="105" customFormat="1">
      <c r="A122" s="206" t="s">
        <v>159</v>
      </c>
      <c r="B122" s="329">
        <v>5022341517.5600004</v>
      </c>
      <c r="C122" s="329">
        <v>569.66520000000003</v>
      </c>
      <c r="D122" s="329">
        <v>4974734439.8800001</v>
      </c>
      <c r="E122" s="329">
        <v>564.27769999999998</v>
      </c>
      <c r="F122" s="23">
        <f t="shared" si="112"/>
        <v>-9.4790602179377886E-3</v>
      </c>
      <c r="G122" s="23">
        <f t="shared" si="113"/>
        <v>-9.4573093108022838E-3</v>
      </c>
      <c r="H122" s="329">
        <v>4978111331.3400002</v>
      </c>
      <c r="I122" s="329">
        <v>564.47370000000001</v>
      </c>
      <c r="J122" s="23">
        <f t="shared" si="114"/>
        <v>6.7880838682144709E-4</v>
      </c>
      <c r="K122" s="23">
        <f t="shared" si="115"/>
        <v>3.4734670535452029E-4</v>
      </c>
      <c r="L122" s="329">
        <v>4973999318.1199999</v>
      </c>
      <c r="M122" s="329">
        <v>563.76959999999997</v>
      </c>
      <c r="N122" s="23">
        <f t="shared" si="116"/>
        <v>-8.2601873407547953E-4</v>
      </c>
      <c r="O122" s="23">
        <f t="shared" si="117"/>
        <v>-1.2473566084656193E-3</v>
      </c>
      <c r="P122" s="329">
        <v>4918914713.4399996</v>
      </c>
      <c r="Q122" s="329">
        <v>557.14210000000003</v>
      </c>
      <c r="R122" s="23">
        <f t="shared" si="118"/>
        <v>-1.1074509897765806E-2</v>
      </c>
      <c r="S122" s="23">
        <f t="shared" si="119"/>
        <v>-1.1755688848777836E-2</v>
      </c>
      <c r="T122" s="329">
        <v>4869590487.46</v>
      </c>
      <c r="U122" s="329">
        <v>552.24419999999998</v>
      </c>
      <c r="V122" s="23">
        <f t="shared" si="120"/>
        <v>-1.002746110747366E-2</v>
      </c>
      <c r="W122" s="23">
        <f t="shared" si="121"/>
        <v>-8.7911145110018598E-3</v>
      </c>
      <c r="X122" s="329">
        <v>4863334664.6599998</v>
      </c>
      <c r="Y122" s="329">
        <v>551.76990000000001</v>
      </c>
      <c r="Z122" s="23">
        <f t="shared" si="122"/>
        <v>-1.2846712297697245E-3</v>
      </c>
      <c r="AA122" s="23">
        <f t="shared" si="123"/>
        <v>-8.5885917860245716E-4</v>
      </c>
      <c r="AB122" s="329">
        <v>4908955750.3999996</v>
      </c>
      <c r="AC122" s="329">
        <v>556.91679999999997</v>
      </c>
      <c r="AD122" s="23">
        <f t="shared" si="124"/>
        <v>9.3806182148045078E-3</v>
      </c>
      <c r="AE122" s="23">
        <f t="shared" si="125"/>
        <v>9.3279825521471165E-3</v>
      </c>
      <c r="AF122" s="329">
        <v>4938418482.0100002</v>
      </c>
      <c r="AG122" s="329">
        <v>559.78129999999999</v>
      </c>
      <c r="AH122" s="23">
        <f t="shared" si="126"/>
        <v>6.0018327946019636E-3</v>
      </c>
      <c r="AI122" s="23">
        <f t="shared" si="127"/>
        <v>5.1434971974270143E-3</v>
      </c>
      <c r="AJ122" s="24">
        <f t="shared" si="54"/>
        <v>-2.0788077238493171E-3</v>
      </c>
      <c r="AK122" s="24">
        <f t="shared" si="55"/>
        <v>-2.161437750340175E-3</v>
      </c>
      <c r="AL122" s="25">
        <f t="shared" si="56"/>
        <v>-7.3000796944803137E-3</v>
      </c>
      <c r="AM122" s="25">
        <f t="shared" si="57"/>
        <v>-7.9684169691625149E-3</v>
      </c>
      <c r="AN122" s="26">
        <f t="shared" si="58"/>
        <v>7.6090853482714835E-3</v>
      </c>
      <c r="AO122" s="78">
        <f t="shared" si="59"/>
        <v>7.401033886370428E-3</v>
      </c>
      <c r="AP122" s="30"/>
      <c r="AQ122" s="28"/>
      <c r="AR122" s="32"/>
      <c r="AS122" s="29"/>
      <c r="AT122" s="29"/>
    </row>
    <row r="123" spans="1:46" s="376" customFormat="1">
      <c r="A123" s="206" t="s">
        <v>249</v>
      </c>
      <c r="B123" s="329">
        <v>2682135680.1500001</v>
      </c>
      <c r="C123" s="329">
        <v>14.8344</v>
      </c>
      <c r="D123" s="329">
        <v>2646892579.3899999</v>
      </c>
      <c r="E123" s="329">
        <v>14.7103</v>
      </c>
      <c r="F123" s="23">
        <f t="shared" si="112"/>
        <v>-1.3139939571598867E-2</v>
      </c>
      <c r="G123" s="23">
        <f t="shared" si="113"/>
        <v>-8.3656905570835566E-3</v>
      </c>
      <c r="H123" s="329">
        <v>2649688853.8699999</v>
      </c>
      <c r="I123" s="329">
        <v>14.6698</v>
      </c>
      <c r="J123" s="23">
        <f t="shared" ref="J123" si="128">((H123-D123)/D123)</f>
        <v>1.0564367068664514E-3</v>
      </c>
      <c r="K123" s="23">
        <f t="shared" ref="K123" si="129">((I123-E123)/E123)</f>
        <v>-2.7531729468467507E-3</v>
      </c>
      <c r="L123" s="329">
        <v>2652855180.1700001</v>
      </c>
      <c r="M123" s="329">
        <v>14.6122</v>
      </c>
      <c r="N123" s="23">
        <f t="shared" ref="N123" si="130">((L123-H123)/H123)</f>
        <v>1.1949804202012687E-3</v>
      </c>
      <c r="O123" s="23">
        <f t="shared" ref="O123" si="131">((M123-I123)/I123)</f>
        <v>-3.9264338982127065E-3</v>
      </c>
      <c r="P123" s="329">
        <v>2653239570.73</v>
      </c>
      <c r="Q123" s="329">
        <v>14.7095</v>
      </c>
      <c r="R123" s="23">
        <f t="shared" ref="R123" si="132">((P123-L123)/L123)</f>
        <v>1.4489692572487514E-4</v>
      </c>
      <c r="S123" s="23">
        <f t="shared" ref="S123" si="133">((Q123-M123)/M123)</f>
        <v>6.6588193427410394E-3</v>
      </c>
      <c r="T123" s="329">
        <v>2650665377.96</v>
      </c>
      <c r="U123" s="329">
        <v>14.694599999999999</v>
      </c>
      <c r="V123" s="23">
        <f t="shared" ref="V123" si="134">((T123-P123)/P123)</f>
        <v>-9.7020743938766509E-4</v>
      </c>
      <c r="W123" s="23">
        <f t="shared" ref="W123" si="135">((U123-Q123)/Q123)</f>
        <v>-1.0129508140997859E-3</v>
      </c>
      <c r="X123" s="329">
        <v>2649526940.52</v>
      </c>
      <c r="Y123" s="329">
        <v>14.6632</v>
      </c>
      <c r="Z123" s="23">
        <f t="shared" si="122"/>
        <v>-4.2949119472644233E-4</v>
      </c>
      <c r="AA123" s="23">
        <f t="shared" si="123"/>
        <v>-2.1368393831747478E-3</v>
      </c>
      <c r="AB123" s="329">
        <v>2681164804.3800001</v>
      </c>
      <c r="AC123" s="329">
        <v>14.798400000000001</v>
      </c>
      <c r="AD123" s="23">
        <f t="shared" si="124"/>
        <v>1.1940948165558506E-2</v>
      </c>
      <c r="AE123" s="23">
        <f t="shared" si="125"/>
        <v>9.2203611762781048E-3</v>
      </c>
      <c r="AF123" s="329">
        <v>2697991011.23</v>
      </c>
      <c r="AG123" s="329">
        <v>14.9048</v>
      </c>
      <c r="AH123" s="23">
        <f t="shared" si="126"/>
        <v>6.2757077903276602E-3</v>
      </c>
      <c r="AI123" s="23">
        <f t="shared" si="127"/>
        <v>7.1899664828629405E-3</v>
      </c>
      <c r="AJ123" s="24">
        <f t="shared" si="54"/>
        <v>7.591664753707235E-4</v>
      </c>
      <c r="AK123" s="24">
        <f t="shared" si="55"/>
        <v>6.092574253080675E-4</v>
      </c>
      <c r="AL123" s="25">
        <f t="shared" si="56"/>
        <v>1.9305064451000973E-2</v>
      </c>
      <c r="AM123" s="25">
        <f t="shared" si="57"/>
        <v>1.3222028102757908E-2</v>
      </c>
      <c r="AN123" s="26">
        <f t="shared" si="58"/>
        <v>7.1084345313954236E-3</v>
      </c>
      <c r="AO123" s="78">
        <f t="shared" si="59"/>
        <v>6.286661290076892E-3</v>
      </c>
      <c r="AP123" s="30"/>
      <c r="AQ123" s="28"/>
      <c r="AR123" s="32"/>
      <c r="AS123" s="29"/>
      <c r="AT123" s="29"/>
    </row>
    <row r="124" spans="1:46">
      <c r="A124" s="206" t="s">
        <v>147</v>
      </c>
      <c r="B124" s="330">
        <v>1061474205.71</v>
      </c>
      <c r="C124" s="329">
        <v>2.4632000000000001</v>
      </c>
      <c r="D124" s="330">
        <v>1047028699.78</v>
      </c>
      <c r="E124" s="329">
        <v>2.4295</v>
      </c>
      <c r="F124" s="23">
        <f t="shared" si="112"/>
        <v>-1.3608909055249007E-2</v>
      </c>
      <c r="G124" s="23">
        <f t="shared" si="113"/>
        <v>-1.3681390061708373E-2</v>
      </c>
      <c r="H124" s="330">
        <v>1050592113.49</v>
      </c>
      <c r="I124" s="329">
        <v>2.4378000000000002</v>
      </c>
      <c r="J124" s="23">
        <f t="shared" si="114"/>
        <v>3.4033581990147712E-3</v>
      </c>
      <c r="K124" s="23">
        <f t="shared" si="115"/>
        <v>3.416340810866514E-3</v>
      </c>
      <c r="L124" s="330">
        <v>1031192765.14</v>
      </c>
      <c r="M124" s="329">
        <v>2.4527999999999999</v>
      </c>
      <c r="N124" s="23">
        <f t="shared" si="116"/>
        <v>-1.8465157029931078E-2</v>
      </c>
      <c r="O124" s="23">
        <f t="shared" si="117"/>
        <v>6.1530888506028713E-3</v>
      </c>
      <c r="P124" s="330">
        <v>1013844367.62</v>
      </c>
      <c r="Q124" s="329">
        <v>2.4114</v>
      </c>
      <c r="R124" s="23">
        <f t="shared" si="118"/>
        <v>-1.6823622223187992E-2</v>
      </c>
      <c r="S124" s="23">
        <f t="shared" si="119"/>
        <v>-1.6878669275929504E-2</v>
      </c>
      <c r="T124" s="330">
        <v>1008347071.5599999</v>
      </c>
      <c r="U124" s="329">
        <v>2.3980999999999999</v>
      </c>
      <c r="V124" s="23">
        <f t="shared" si="120"/>
        <v>-5.4222287321129634E-3</v>
      </c>
      <c r="W124" s="23">
        <f t="shared" si="121"/>
        <v>-5.5154681927511362E-3</v>
      </c>
      <c r="X124" s="330">
        <v>1012602240.15</v>
      </c>
      <c r="Y124" s="329">
        <v>2.4079000000000002</v>
      </c>
      <c r="Z124" s="23">
        <f t="shared" si="122"/>
        <v>4.2199444120137328E-3</v>
      </c>
      <c r="AA124" s="23">
        <f t="shared" si="123"/>
        <v>4.0865685334223979E-3</v>
      </c>
      <c r="AB124" s="330">
        <v>1012602240.15</v>
      </c>
      <c r="AC124" s="329">
        <v>2.4079000000000002</v>
      </c>
      <c r="AD124" s="23">
        <f t="shared" si="124"/>
        <v>0</v>
      </c>
      <c r="AE124" s="23">
        <f t="shared" si="125"/>
        <v>0</v>
      </c>
      <c r="AF124" s="330">
        <v>1032654596.37</v>
      </c>
      <c r="AG124" s="329">
        <v>2.4561000000000002</v>
      </c>
      <c r="AH124" s="23">
        <f t="shared" si="126"/>
        <v>1.9802796621336341E-2</v>
      </c>
      <c r="AI124" s="23">
        <f t="shared" si="127"/>
        <v>2.0017442584824959E-2</v>
      </c>
      <c r="AJ124" s="24">
        <f t="shared" si="54"/>
        <v>-3.3617272260145241E-3</v>
      </c>
      <c r="AK124" s="24">
        <f t="shared" si="55"/>
        <v>-3.0026084383403401E-4</v>
      </c>
      <c r="AL124" s="25">
        <f t="shared" si="56"/>
        <v>-1.3728471256824413E-2</v>
      </c>
      <c r="AM124" s="25">
        <f t="shared" si="57"/>
        <v>1.0948754887837078E-2</v>
      </c>
      <c r="AN124" s="26">
        <f t="shared" si="58"/>
        <v>1.2926888429638357E-2</v>
      </c>
      <c r="AO124" s="78">
        <f t="shared" si="59"/>
        <v>1.1763739591837019E-2</v>
      </c>
      <c r="AP124" s="30"/>
      <c r="AQ124" s="56">
        <f>SUM(AQ115:AQ120)</f>
        <v>4923038917.1999998</v>
      </c>
      <c r="AR124" s="13"/>
      <c r="AS124" s="29" t="e">
        <f>(#REF!/AQ124)-1</f>
        <v>#REF!</v>
      </c>
      <c r="AT124" s="29" t="e">
        <f>(#REF!/AR124)-1</f>
        <v>#REF!</v>
      </c>
    </row>
    <row r="125" spans="1:46">
      <c r="A125" s="206" t="s">
        <v>280</v>
      </c>
      <c r="B125" s="330">
        <v>2364793165.11373</v>
      </c>
      <c r="C125" s="329">
        <v>4465.3321889502704</v>
      </c>
      <c r="D125" s="330">
        <v>2325537171.3157201</v>
      </c>
      <c r="E125" s="329">
        <v>4390.9135297029998</v>
      </c>
      <c r="F125" s="23">
        <f t="shared" si="112"/>
        <v>-1.6600180674203671E-2</v>
      </c>
      <c r="G125" s="23">
        <f t="shared" si="113"/>
        <v>-1.6665873018680225E-2</v>
      </c>
      <c r="H125" s="330">
        <v>2334194556.6071301</v>
      </c>
      <c r="I125" s="329">
        <v>4406.1711271848098</v>
      </c>
      <c r="J125" s="23">
        <f t="shared" si="114"/>
        <v>3.7227464682974202E-3</v>
      </c>
      <c r="K125" s="23">
        <f t="shared" si="115"/>
        <v>3.4748116487828217E-3</v>
      </c>
      <c r="L125" s="330">
        <v>2355807176.3098302</v>
      </c>
      <c r="M125" s="329">
        <v>4442.8573026631802</v>
      </c>
      <c r="N125" s="23">
        <f t="shared" si="116"/>
        <v>9.2591337947917993E-3</v>
      </c>
      <c r="O125" s="23">
        <f t="shared" si="117"/>
        <v>8.3260895728781894E-3</v>
      </c>
      <c r="P125" s="330">
        <v>2348018832.5989199</v>
      </c>
      <c r="Q125" s="329">
        <v>4430.2352936403504</v>
      </c>
      <c r="R125" s="23">
        <f t="shared" si="118"/>
        <v>-3.3060191806997094E-3</v>
      </c>
      <c r="S125" s="23">
        <f t="shared" si="119"/>
        <v>-2.8409665588997957E-3</v>
      </c>
      <c r="T125" s="330">
        <v>2336337596.4126301</v>
      </c>
      <c r="U125" s="329">
        <v>4408.0639662127296</v>
      </c>
      <c r="V125" s="23">
        <f t="shared" si="120"/>
        <v>-4.9749329196650165E-3</v>
      </c>
      <c r="W125" s="23">
        <f t="shared" si="121"/>
        <v>-5.0045485077164992E-3</v>
      </c>
      <c r="X125" s="330">
        <v>2342849908.4763198</v>
      </c>
      <c r="Y125" s="329">
        <v>4420.7530680885802</v>
      </c>
      <c r="Z125" s="23">
        <f t="shared" si="122"/>
        <v>2.7874019892027381E-3</v>
      </c>
      <c r="AA125" s="23">
        <f t="shared" si="123"/>
        <v>2.8786111029946533E-3</v>
      </c>
      <c r="AB125" s="330">
        <v>2367475279.2972498</v>
      </c>
      <c r="AC125" s="329">
        <v>4470.5542497194201</v>
      </c>
      <c r="AD125" s="23">
        <f t="shared" si="124"/>
        <v>1.0510861464849532E-2</v>
      </c>
      <c r="AE125" s="23">
        <f t="shared" si="125"/>
        <v>1.1265316307832738E-2</v>
      </c>
      <c r="AF125" s="330">
        <v>2381743169.8162699</v>
      </c>
      <c r="AG125" s="329">
        <v>4497.5691687045801</v>
      </c>
      <c r="AH125" s="23">
        <f t="shared" si="126"/>
        <v>6.0266270333582082E-3</v>
      </c>
      <c r="AI125" s="23">
        <f t="shared" si="127"/>
        <v>6.0428567636452392E-3</v>
      </c>
      <c r="AJ125" s="24">
        <f t="shared" si="54"/>
        <v>9.282047469914127E-4</v>
      </c>
      <c r="AK125" s="24">
        <f t="shared" si="55"/>
        <v>9.3453716385464008E-4</v>
      </c>
      <c r="AL125" s="25">
        <f t="shared" si="56"/>
        <v>2.4169038961759575E-2</v>
      </c>
      <c r="AM125" s="25">
        <f t="shared" si="57"/>
        <v>2.4290079565469028E-2</v>
      </c>
      <c r="AN125" s="26">
        <f t="shared" si="58"/>
        <v>8.9323781688127445E-3</v>
      </c>
      <c r="AO125" s="78">
        <f t="shared" si="59"/>
        <v>8.9201937629378811E-3</v>
      </c>
      <c r="AP125" s="30"/>
      <c r="AQ125" s="12" t="e">
        <f>SUM(AQ21,AQ53,#REF!,#REF!,AQ91,AQ113,AQ124)</f>
        <v>#REF!</v>
      </c>
      <c r="AR125" s="13"/>
      <c r="AS125" s="29" t="e">
        <f>(#REF!/AQ125)-1</f>
        <v>#REF!</v>
      </c>
      <c r="AT125" s="29" t="e">
        <f>(#REF!/AR125)-1</f>
        <v>#REF!</v>
      </c>
    </row>
    <row r="126" spans="1:46" ht="15" customHeight="1">
      <c r="A126" s="206" t="s">
        <v>160</v>
      </c>
      <c r="B126" s="329">
        <v>363235022.02999997</v>
      </c>
      <c r="C126" s="329">
        <v>146.21</v>
      </c>
      <c r="D126" s="329">
        <v>359800628.67000002</v>
      </c>
      <c r="E126" s="329">
        <v>144.66</v>
      </c>
      <c r="F126" s="23">
        <f t="shared" si="112"/>
        <v>-9.4550171423621824E-3</v>
      </c>
      <c r="G126" s="23">
        <f t="shared" si="113"/>
        <v>-1.06011900690788E-2</v>
      </c>
      <c r="H126" s="329">
        <v>359009872.99000001</v>
      </c>
      <c r="I126" s="329">
        <v>144.57</v>
      </c>
      <c r="J126" s="23">
        <f t="shared" si="114"/>
        <v>-2.1977606957581724E-3</v>
      </c>
      <c r="K126" s="23">
        <f t="shared" si="115"/>
        <v>-6.2214848610537405E-4</v>
      </c>
      <c r="L126" s="329">
        <v>360028880.64999998</v>
      </c>
      <c r="M126" s="329">
        <v>144.54</v>
      </c>
      <c r="N126" s="23">
        <f t="shared" si="116"/>
        <v>2.8383833890505581E-3</v>
      </c>
      <c r="O126" s="23">
        <f t="shared" si="117"/>
        <v>-2.075119319360942E-4</v>
      </c>
      <c r="P126" s="329">
        <v>359233882.88999999</v>
      </c>
      <c r="Q126" s="329">
        <v>143.82</v>
      </c>
      <c r="R126" s="23">
        <f t="shared" si="118"/>
        <v>-2.2081499644270009E-3</v>
      </c>
      <c r="S126" s="23">
        <f t="shared" si="119"/>
        <v>-4.9813200498131927E-3</v>
      </c>
      <c r="T126" s="329">
        <v>358699743.48000002</v>
      </c>
      <c r="U126" s="329">
        <v>143.5</v>
      </c>
      <c r="V126" s="23">
        <f t="shared" si="120"/>
        <v>-1.486884827519246E-3</v>
      </c>
      <c r="W126" s="23">
        <f t="shared" si="121"/>
        <v>-2.2250034765678847E-3</v>
      </c>
      <c r="X126" s="329">
        <v>355507081.77999997</v>
      </c>
      <c r="Y126" s="329">
        <v>142.11000000000001</v>
      </c>
      <c r="Z126" s="23">
        <f t="shared" si="122"/>
        <v>-8.9006523088803399E-3</v>
      </c>
      <c r="AA126" s="23">
        <f t="shared" si="123"/>
        <v>-9.686411149825689E-3</v>
      </c>
      <c r="AB126" s="329">
        <v>357118167.88</v>
      </c>
      <c r="AC126" s="329">
        <v>142.54</v>
      </c>
      <c r="AD126" s="23">
        <f t="shared" si="124"/>
        <v>4.5317974875027089E-3</v>
      </c>
      <c r="AE126" s="23">
        <f t="shared" si="125"/>
        <v>3.0258250650902706E-3</v>
      </c>
      <c r="AF126" s="329">
        <v>360101576.60000002</v>
      </c>
      <c r="AG126" s="329">
        <v>143.65</v>
      </c>
      <c r="AH126" s="23">
        <f t="shared" si="126"/>
        <v>8.3541219359148464E-3</v>
      </c>
      <c r="AI126" s="23">
        <f t="shared" si="127"/>
        <v>7.7872877788691857E-3</v>
      </c>
      <c r="AJ126" s="24">
        <f t="shared" si="54"/>
        <v>-1.0655202658098534E-3</v>
      </c>
      <c r="AK126" s="24">
        <f t="shared" si="55"/>
        <v>-2.1888090399209475E-3</v>
      </c>
      <c r="AL126" s="25">
        <f t="shared" si="56"/>
        <v>8.3642969472415502E-4</v>
      </c>
      <c r="AM126" s="25">
        <f t="shared" si="57"/>
        <v>-6.9818885662933147E-3</v>
      </c>
      <c r="AN126" s="26">
        <f t="shared" si="58"/>
        <v>6.2087284190859727E-3</v>
      </c>
      <c r="AO126" s="78">
        <f t="shared" si="59"/>
        <v>6.1861192527395926E-3</v>
      </c>
      <c r="AP126" s="30"/>
      <c r="AQ126" s="57"/>
      <c r="AR126" s="58"/>
      <c r="AS126" s="29" t="e">
        <f>(#REF!/AQ126)-1</f>
        <v>#REF!</v>
      </c>
      <c r="AT126" s="29" t="e">
        <f>(#REF!/AR126)-1</f>
        <v>#REF!</v>
      </c>
    </row>
    <row r="127" spans="1:46" ht="17.25" customHeight="1">
      <c r="A127" s="206" t="s">
        <v>186</v>
      </c>
      <c r="B127" s="329">
        <v>3734808.11</v>
      </c>
      <c r="C127" s="329">
        <v>102.99</v>
      </c>
      <c r="D127" s="329">
        <v>3734808.11</v>
      </c>
      <c r="E127" s="329">
        <v>102.99</v>
      </c>
      <c r="F127" s="23">
        <f t="shared" si="112"/>
        <v>0</v>
      </c>
      <c r="G127" s="23">
        <f t="shared" si="113"/>
        <v>0</v>
      </c>
      <c r="H127" s="329">
        <v>3734808.11</v>
      </c>
      <c r="I127" s="329">
        <v>102.99</v>
      </c>
      <c r="J127" s="23">
        <f t="shared" si="114"/>
        <v>0</v>
      </c>
      <c r="K127" s="23">
        <f t="shared" si="115"/>
        <v>0</v>
      </c>
      <c r="L127" s="329">
        <v>3734808.11</v>
      </c>
      <c r="M127" s="329">
        <v>102.99</v>
      </c>
      <c r="N127" s="23">
        <f t="shared" si="116"/>
        <v>0</v>
      </c>
      <c r="O127" s="23">
        <f t="shared" si="117"/>
        <v>0</v>
      </c>
      <c r="P127" s="329">
        <v>3734808.11</v>
      </c>
      <c r="Q127" s="329">
        <v>102.99</v>
      </c>
      <c r="R127" s="23">
        <f t="shared" si="118"/>
        <v>0</v>
      </c>
      <c r="S127" s="23">
        <f t="shared" si="119"/>
        <v>0</v>
      </c>
      <c r="T127" s="329">
        <v>3734808.11</v>
      </c>
      <c r="U127" s="329">
        <v>102.99</v>
      </c>
      <c r="V127" s="23">
        <f t="shared" si="120"/>
        <v>0</v>
      </c>
      <c r="W127" s="23">
        <f t="shared" si="121"/>
        <v>0</v>
      </c>
      <c r="X127" s="329">
        <v>3734808.11</v>
      </c>
      <c r="Y127" s="329">
        <v>102.99</v>
      </c>
      <c r="Z127" s="23">
        <f t="shared" si="122"/>
        <v>0</v>
      </c>
      <c r="AA127" s="23">
        <f t="shared" si="123"/>
        <v>0</v>
      </c>
      <c r="AB127" s="329">
        <v>3734808.11</v>
      </c>
      <c r="AC127" s="329">
        <v>102.99</v>
      </c>
      <c r="AD127" s="23">
        <f t="shared" si="124"/>
        <v>0</v>
      </c>
      <c r="AE127" s="23">
        <f t="shared" si="125"/>
        <v>0</v>
      </c>
      <c r="AF127" s="329">
        <v>3734808.11</v>
      </c>
      <c r="AG127" s="329">
        <v>102.99</v>
      </c>
      <c r="AH127" s="23">
        <f t="shared" si="126"/>
        <v>0</v>
      </c>
      <c r="AI127" s="23">
        <f t="shared" si="127"/>
        <v>0</v>
      </c>
      <c r="AJ127" s="24">
        <f t="shared" si="54"/>
        <v>0</v>
      </c>
      <c r="AK127" s="24">
        <f t="shared" si="55"/>
        <v>0</v>
      </c>
      <c r="AL127" s="25">
        <f t="shared" si="56"/>
        <v>0</v>
      </c>
      <c r="AM127" s="25">
        <f t="shared" si="57"/>
        <v>0</v>
      </c>
      <c r="AN127" s="26">
        <f t="shared" si="58"/>
        <v>0</v>
      </c>
      <c r="AO127" s="78">
        <f t="shared" si="59"/>
        <v>0</v>
      </c>
      <c r="AP127" s="30"/>
      <c r="AQ127" s="455" t="s">
        <v>86</v>
      </c>
      <c r="AR127" s="455"/>
      <c r="AS127" s="29" t="e">
        <f>(#REF!/AQ127)-1</f>
        <v>#REF!</v>
      </c>
      <c r="AT127" s="29" t="e">
        <f>(#REF!/AR127)-1</f>
        <v>#REF!</v>
      </c>
    </row>
    <row r="128" spans="1:46" ht="16.5" customHeight="1">
      <c r="A128" s="206" t="s">
        <v>112</v>
      </c>
      <c r="B128" s="329">
        <v>127284397.86</v>
      </c>
      <c r="C128" s="329">
        <v>1.2521</v>
      </c>
      <c r="D128" s="329">
        <v>124997954.26000001</v>
      </c>
      <c r="E128" s="329">
        <v>1.2289000000000001</v>
      </c>
      <c r="F128" s="23">
        <f t="shared" si="112"/>
        <v>-1.7963266813854527E-2</v>
      </c>
      <c r="G128" s="23">
        <f t="shared" si="113"/>
        <v>-1.852887149588682E-2</v>
      </c>
      <c r="H128" s="329">
        <v>126336048.79000001</v>
      </c>
      <c r="I128" s="329">
        <v>1.2421</v>
      </c>
      <c r="J128" s="23">
        <f t="shared" si="114"/>
        <v>1.0704931436051496E-2</v>
      </c>
      <c r="K128" s="23">
        <f t="shared" si="115"/>
        <v>1.0741313369680101E-2</v>
      </c>
      <c r="L128" s="329">
        <v>126495044.53</v>
      </c>
      <c r="M128" s="329">
        <v>1.2461</v>
      </c>
      <c r="N128" s="23">
        <f t="shared" si="116"/>
        <v>1.2585144265852628E-3</v>
      </c>
      <c r="O128" s="23">
        <f t="shared" si="117"/>
        <v>3.2203526286128359E-3</v>
      </c>
      <c r="P128" s="329">
        <v>125796723.95999999</v>
      </c>
      <c r="Q128" s="329">
        <v>1.2375</v>
      </c>
      <c r="R128" s="23">
        <f t="shared" si="118"/>
        <v>-5.5205369711885562E-3</v>
      </c>
      <c r="S128" s="23">
        <f t="shared" si="119"/>
        <v>-6.9015327822806683E-3</v>
      </c>
      <c r="T128" s="329">
        <v>125151874.13</v>
      </c>
      <c r="U128" s="329">
        <v>1.1667000000000001</v>
      </c>
      <c r="V128" s="23">
        <f t="shared" si="120"/>
        <v>-5.1261257821391543E-3</v>
      </c>
      <c r="W128" s="23">
        <f t="shared" si="121"/>
        <v>-5.7212121212121186E-2</v>
      </c>
      <c r="X128" s="329">
        <v>124778014.66</v>
      </c>
      <c r="Y128" s="329">
        <v>1.1632</v>
      </c>
      <c r="Z128" s="23">
        <f t="shared" si="122"/>
        <v>-2.9872462765651981E-3</v>
      </c>
      <c r="AA128" s="23">
        <f t="shared" si="123"/>
        <v>-2.9999142881632452E-3</v>
      </c>
      <c r="AB128" s="329">
        <v>126281353.8</v>
      </c>
      <c r="AC128" s="329">
        <v>1.1772</v>
      </c>
      <c r="AD128" s="23">
        <f t="shared" si="124"/>
        <v>1.2048109148846116E-2</v>
      </c>
      <c r="AE128" s="23">
        <f t="shared" si="125"/>
        <v>1.203576341127924E-2</v>
      </c>
      <c r="AF128" s="329">
        <v>127529083.97</v>
      </c>
      <c r="AG128" s="329">
        <v>1.1888000000000001</v>
      </c>
      <c r="AH128" s="23">
        <f t="shared" si="126"/>
        <v>9.8805574414106562E-3</v>
      </c>
      <c r="AI128" s="23">
        <f t="shared" si="127"/>
        <v>9.8538905878355881E-3</v>
      </c>
      <c r="AJ128" s="24">
        <f t="shared" si="54"/>
        <v>2.8686707614326173E-4</v>
      </c>
      <c r="AK128" s="24">
        <f t="shared" si="55"/>
        <v>-6.2238899726305193E-3</v>
      </c>
      <c r="AL128" s="25">
        <f t="shared" si="56"/>
        <v>2.0249369079554352E-2</v>
      </c>
      <c r="AM128" s="25">
        <f t="shared" si="57"/>
        <v>-3.263080803971033E-2</v>
      </c>
      <c r="AN128" s="26">
        <f t="shared" si="58"/>
        <v>1.0327906109179311E-2</v>
      </c>
      <c r="AO128" s="78">
        <f t="shared" si="59"/>
        <v>2.308675355021661E-2</v>
      </c>
      <c r="AP128" s="30"/>
      <c r="AQ128" s="59" t="s">
        <v>74</v>
      </c>
      <c r="AR128" s="60" t="s">
        <v>75</v>
      </c>
      <c r="AS128" s="29" t="e">
        <f>(#REF!/AQ128)-1</f>
        <v>#REF!</v>
      </c>
      <c r="AT128" s="29" t="e">
        <f>(#REF!/AR128)-1</f>
        <v>#REF!</v>
      </c>
    </row>
    <row r="129" spans="1:46" ht="14.25" customHeight="1">
      <c r="A129" s="206" t="s">
        <v>242</v>
      </c>
      <c r="B129" s="325">
        <v>166721008.94</v>
      </c>
      <c r="C129" s="329">
        <v>107.21</v>
      </c>
      <c r="D129" s="325">
        <v>166525710.12</v>
      </c>
      <c r="E129" s="329">
        <v>107.16</v>
      </c>
      <c r="F129" s="23">
        <f t="shared" si="112"/>
        <v>-1.1714109771869094E-3</v>
      </c>
      <c r="G129" s="23">
        <f t="shared" si="113"/>
        <v>-4.6637440537260666E-4</v>
      </c>
      <c r="H129" s="325">
        <v>166714824.49000001</v>
      </c>
      <c r="I129" s="329">
        <v>107.35</v>
      </c>
      <c r="J129" s="23">
        <f t="shared" si="114"/>
        <v>1.1356466810063573E-3</v>
      </c>
      <c r="K129" s="23">
        <f t="shared" si="115"/>
        <v>1.7730496453900498E-3</v>
      </c>
      <c r="L129" s="325">
        <v>166828571.34999999</v>
      </c>
      <c r="M129" s="329">
        <v>107.39</v>
      </c>
      <c r="N129" s="23">
        <f t="shared" si="116"/>
        <v>6.8228401612123782E-4</v>
      </c>
      <c r="O129" s="23">
        <f t="shared" si="117"/>
        <v>3.7261294830001168E-4</v>
      </c>
      <c r="P129" s="325">
        <v>166962610.19</v>
      </c>
      <c r="Q129" s="329">
        <v>107.64</v>
      </c>
      <c r="R129" s="23">
        <f t="shared" si="118"/>
        <v>8.0345254362213046E-4</v>
      </c>
      <c r="S129" s="23">
        <f t="shared" si="119"/>
        <v>2.3279634975323588E-3</v>
      </c>
      <c r="T129" s="325">
        <v>167061363.49000001</v>
      </c>
      <c r="U129" s="329">
        <v>107.72</v>
      </c>
      <c r="V129" s="23">
        <f t="shared" si="120"/>
        <v>5.9146955050374877E-4</v>
      </c>
      <c r="W129" s="23">
        <f t="shared" si="121"/>
        <v>7.4321813452246654E-4</v>
      </c>
      <c r="X129" s="325">
        <v>167436985.37</v>
      </c>
      <c r="Y129" s="329">
        <v>107.84</v>
      </c>
      <c r="Z129" s="23">
        <f t="shared" si="122"/>
        <v>2.2484066462349884E-3</v>
      </c>
      <c r="AA129" s="23">
        <f t="shared" si="123"/>
        <v>1.1139992573338706E-3</v>
      </c>
      <c r="AB129" s="325">
        <v>167666168.72999999</v>
      </c>
      <c r="AC129" s="329">
        <v>108.05</v>
      </c>
      <c r="AD129" s="23">
        <f t="shared" si="124"/>
        <v>1.3687738076120887E-3</v>
      </c>
      <c r="AE129" s="23">
        <f t="shared" si="125"/>
        <v>1.9473293768545413E-3</v>
      </c>
      <c r="AF129" s="325">
        <v>167947239.72</v>
      </c>
      <c r="AG129" s="329">
        <v>108.37</v>
      </c>
      <c r="AH129" s="23">
        <f t="shared" si="126"/>
        <v>1.6763727120921465E-3</v>
      </c>
      <c r="AI129" s="23">
        <f t="shared" si="127"/>
        <v>2.9615918556224656E-3</v>
      </c>
      <c r="AJ129" s="24">
        <f t="shared" si="54"/>
        <v>9.1687437250072344E-4</v>
      </c>
      <c r="AK129" s="24">
        <f t="shared" si="55"/>
        <v>1.3466737887728947E-3</v>
      </c>
      <c r="AL129" s="25">
        <f t="shared" si="56"/>
        <v>8.5363971663932631E-3</v>
      </c>
      <c r="AM129" s="25">
        <f t="shared" si="57"/>
        <v>1.1291526689063159E-2</v>
      </c>
      <c r="AN129" s="26">
        <f t="shared" si="58"/>
        <v>1.0097108138141216E-3</v>
      </c>
      <c r="AO129" s="78">
        <f t="shared" si="59"/>
        <v>1.1191647268781876E-3</v>
      </c>
      <c r="AP129" s="30"/>
      <c r="AQ129" s="53">
        <v>1901056000</v>
      </c>
      <c r="AR129" s="47">
        <v>12.64</v>
      </c>
      <c r="AS129" s="29" t="e">
        <f>(#REF!/AQ129)-1</f>
        <v>#REF!</v>
      </c>
      <c r="AT129" s="29" t="e">
        <f>(#REF!/AR129)-1</f>
        <v>#REF!</v>
      </c>
    </row>
    <row r="130" spans="1:46">
      <c r="A130" s="206" t="s">
        <v>278</v>
      </c>
      <c r="B130" s="330">
        <v>232725122.63</v>
      </c>
      <c r="C130" s="329">
        <v>1.1575</v>
      </c>
      <c r="D130" s="330">
        <v>228405189.28</v>
      </c>
      <c r="E130" s="329">
        <v>1.1359999999999999</v>
      </c>
      <c r="F130" s="23">
        <f t="shared" si="112"/>
        <v>-1.8562385105573998E-2</v>
      </c>
      <c r="G130" s="23">
        <f t="shared" si="113"/>
        <v>-1.8574514038876954E-2</v>
      </c>
      <c r="H130" s="330">
        <v>232107835.13</v>
      </c>
      <c r="I130" s="329">
        <v>1.1345000000000001</v>
      </c>
      <c r="J130" s="23">
        <f t="shared" si="114"/>
        <v>1.6210865706124355E-2</v>
      </c>
      <c r="K130" s="23">
        <f t="shared" si="115"/>
        <v>-1.3204225352111223E-3</v>
      </c>
      <c r="L130" s="330">
        <v>233052381.19999999</v>
      </c>
      <c r="M130" s="329">
        <v>1.139</v>
      </c>
      <c r="N130" s="23">
        <f t="shared" si="116"/>
        <v>4.0694277703765026E-3</v>
      </c>
      <c r="O130" s="23">
        <f t="shared" si="117"/>
        <v>3.9665050683119858E-3</v>
      </c>
      <c r="P130" s="330">
        <v>231726744.71000001</v>
      </c>
      <c r="Q130" s="329">
        <v>1.1309</v>
      </c>
      <c r="R130" s="23">
        <f t="shared" si="118"/>
        <v>-5.6881482316301678E-3</v>
      </c>
      <c r="S130" s="23">
        <f t="shared" si="119"/>
        <v>-7.111501316944685E-3</v>
      </c>
      <c r="T130" s="330">
        <v>231187305</v>
      </c>
      <c r="U130" s="329">
        <v>1.1258999999999999</v>
      </c>
      <c r="V130" s="23">
        <f t="shared" si="120"/>
        <v>-2.3279130368620295E-3</v>
      </c>
      <c r="W130" s="23">
        <f t="shared" si="121"/>
        <v>-4.4212574056062565E-3</v>
      </c>
      <c r="X130" s="330">
        <v>231221768.09</v>
      </c>
      <c r="Y130" s="329">
        <v>1.1266</v>
      </c>
      <c r="Z130" s="23">
        <f t="shared" si="122"/>
        <v>1.4906999326802818E-4</v>
      </c>
      <c r="AA130" s="23">
        <f t="shared" si="123"/>
        <v>6.2172484234847237E-4</v>
      </c>
      <c r="AB130" s="330">
        <v>233783277.56999999</v>
      </c>
      <c r="AC130" s="329">
        <v>1.1387</v>
      </c>
      <c r="AD130" s="23">
        <f t="shared" si="124"/>
        <v>1.1078150215523634E-2</v>
      </c>
      <c r="AE130" s="23">
        <f t="shared" si="125"/>
        <v>1.074028048996982E-2</v>
      </c>
      <c r="AF130" s="330">
        <v>233938002.75999999</v>
      </c>
      <c r="AG130" s="329">
        <v>1.1393</v>
      </c>
      <c r="AH130" s="23">
        <f t="shared" si="126"/>
        <v>6.6183172555474756E-4</v>
      </c>
      <c r="AI130" s="23">
        <f t="shared" si="127"/>
        <v>5.269166593483217E-4</v>
      </c>
      <c r="AJ130" s="24">
        <f t="shared" si="54"/>
        <v>6.98862379597634E-4</v>
      </c>
      <c r="AK130" s="24">
        <f t="shared" si="55"/>
        <v>-1.9465335295825526E-3</v>
      </c>
      <c r="AL130" s="25">
        <f t="shared" si="56"/>
        <v>2.422367678002867E-2</v>
      </c>
      <c r="AM130" s="25">
        <f t="shared" si="57"/>
        <v>2.9049295774648599E-3</v>
      </c>
      <c r="AN130" s="26">
        <f t="shared" si="58"/>
        <v>1.0562515567723103E-2</v>
      </c>
      <c r="AO130" s="78">
        <f t="shared" si="59"/>
        <v>8.6049494364814332E-3</v>
      </c>
      <c r="AP130" s="30"/>
      <c r="AQ130" s="53">
        <v>106884243.56</v>
      </c>
      <c r="AR130" s="47">
        <v>2.92</v>
      </c>
      <c r="AS130" s="29" t="e">
        <f>(#REF!/AQ130)-1</f>
        <v>#REF!</v>
      </c>
      <c r="AT130" s="29" t="e">
        <f>(#REF!/AR130)-1</f>
        <v>#REF!</v>
      </c>
    </row>
    <row r="131" spans="1:46">
      <c r="A131" s="207" t="s">
        <v>130</v>
      </c>
      <c r="B131" s="329">
        <v>5169957484.2600002</v>
      </c>
      <c r="C131" s="329">
        <v>212.92</v>
      </c>
      <c r="D131" s="329">
        <v>5105017764.8400002</v>
      </c>
      <c r="E131" s="329">
        <v>210.66</v>
      </c>
      <c r="F131" s="23">
        <f t="shared" si="112"/>
        <v>-1.2560977458269213E-2</v>
      </c>
      <c r="G131" s="23">
        <f t="shared" si="113"/>
        <v>-1.0614315235769261E-2</v>
      </c>
      <c r="H131" s="329">
        <v>5112204220.3800001</v>
      </c>
      <c r="I131" s="329">
        <v>210.94</v>
      </c>
      <c r="J131" s="23">
        <f t="shared" si="114"/>
        <v>1.4077239044094096E-3</v>
      </c>
      <c r="K131" s="23">
        <f t="shared" si="115"/>
        <v>1.3291559859489278E-3</v>
      </c>
      <c r="L131" s="329">
        <v>5130939950.1099997</v>
      </c>
      <c r="M131" s="329">
        <v>211.85</v>
      </c>
      <c r="N131" s="23">
        <f t="shared" si="116"/>
        <v>3.6649024417508263E-3</v>
      </c>
      <c r="O131" s="23">
        <f t="shared" si="117"/>
        <v>4.3140229449132291E-3</v>
      </c>
      <c r="P131" s="329">
        <v>5100262401.0699997</v>
      </c>
      <c r="Q131" s="329">
        <v>210.71</v>
      </c>
      <c r="R131" s="23">
        <f t="shared" si="118"/>
        <v>-5.9789335557010916E-3</v>
      </c>
      <c r="S131" s="23">
        <f t="shared" si="119"/>
        <v>-5.3811659192824473E-3</v>
      </c>
      <c r="T131" s="329">
        <v>5077741522.0200005</v>
      </c>
      <c r="U131" s="329">
        <v>209.72</v>
      </c>
      <c r="V131" s="23">
        <f t="shared" si="120"/>
        <v>-4.4156314477612982E-3</v>
      </c>
      <c r="W131" s="23">
        <f t="shared" si="121"/>
        <v>-4.6984006454368994E-3</v>
      </c>
      <c r="X131" s="329">
        <v>5102339293.04</v>
      </c>
      <c r="Y131" s="329">
        <v>210.71</v>
      </c>
      <c r="Z131" s="23">
        <f t="shared" si="122"/>
        <v>4.8442345702965498E-3</v>
      </c>
      <c r="AA131" s="23">
        <f t="shared" si="123"/>
        <v>4.7205798207133757E-3</v>
      </c>
      <c r="AB131" s="329">
        <v>5159744796.3000002</v>
      </c>
      <c r="AC131" s="329">
        <v>213.13</v>
      </c>
      <c r="AD131" s="23">
        <f t="shared" si="124"/>
        <v>1.1250820449809353E-2</v>
      </c>
      <c r="AE131" s="23">
        <f t="shared" si="125"/>
        <v>1.1484979355512256E-2</v>
      </c>
      <c r="AF131" s="329">
        <v>5197018896.0799999</v>
      </c>
      <c r="AG131" s="329">
        <v>214.68</v>
      </c>
      <c r="AH131" s="23">
        <f t="shared" si="126"/>
        <v>7.2240200342328182E-3</v>
      </c>
      <c r="AI131" s="23">
        <f t="shared" si="127"/>
        <v>7.272556655562386E-3</v>
      </c>
      <c r="AJ131" s="24">
        <f t="shared" si="54"/>
        <v>6.7951986734591911E-4</v>
      </c>
      <c r="AK131" s="24">
        <f t="shared" si="55"/>
        <v>1.053426620270196E-3</v>
      </c>
      <c r="AL131" s="25">
        <f t="shared" si="56"/>
        <v>1.8021706383402416E-2</v>
      </c>
      <c r="AM131" s="25">
        <f t="shared" si="57"/>
        <v>1.9082882369695291E-2</v>
      </c>
      <c r="AN131" s="26">
        <f t="shared" si="58"/>
        <v>7.8100380058673795E-3</v>
      </c>
      <c r="AO131" s="78">
        <f t="shared" si="59"/>
        <v>7.389897511358488E-3</v>
      </c>
      <c r="AP131" s="30"/>
      <c r="AQ131" s="53">
        <v>84059843.040000007</v>
      </c>
      <c r="AR131" s="47">
        <v>7.19</v>
      </c>
      <c r="AS131" s="29" t="e">
        <f>(#REF!/AQ131)-1</f>
        <v>#REF!</v>
      </c>
      <c r="AT131" s="29" t="e">
        <f>(#REF!/AR131)-1</f>
        <v>#REF!</v>
      </c>
    </row>
    <row r="132" spans="1:46" s="376" customFormat="1">
      <c r="A132" s="206" t="s">
        <v>279</v>
      </c>
      <c r="B132" s="329">
        <v>1943302488.6099999</v>
      </c>
      <c r="C132" s="329">
        <v>1.3566</v>
      </c>
      <c r="D132" s="329">
        <v>1921889025.23</v>
      </c>
      <c r="E132" s="329">
        <v>1.3481000000000001</v>
      </c>
      <c r="F132" s="23">
        <f t="shared" si="112"/>
        <v>-1.1019109739995465E-2</v>
      </c>
      <c r="G132" s="23">
        <f t="shared" si="113"/>
        <v>-6.2656641604009666E-3</v>
      </c>
      <c r="H132" s="329">
        <v>1923154245.5</v>
      </c>
      <c r="I132" s="329">
        <v>1.3489</v>
      </c>
      <c r="J132" s="23">
        <f>((H132-D132)/D132)</f>
        <v>6.5832118992852203E-4</v>
      </c>
      <c r="K132" s="23">
        <f>((I132-E132)/E132)</f>
        <v>5.9342778725607283E-4</v>
      </c>
      <c r="L132" s="329">
        <v>1923154245.5</v>
      </c>
      <c r="M132" s="329">
        <v>1.3484</v>
      </c>
      <c r="N132" s="23">
        <f>((L132-H132)/H132)</f>
        <v>0</v>
      </c>
      <c r="O132" s="23">
        <f>((M132-I132)/I132)</f>
        <v>-3.7067239973307504E-4</v>
      </c>
      <c r="P132" s="329">
        <v>1921703235.22</v>
      </c>
      <c r="Q132" s="329">
        <v>1.3478000000000001</v>
      </c>
      <c r="R132" s="23">
        <f>((P132-L132)/L132)</f>
        <v>-7.5449500912118665E-4</v>
      </c>
      <c r="S132" s="23">
        <f>((Q132-M132)/M132)</f>
        <v>-4.4497181845144904E-4</v>
      </c>
      <c r="T132" s="329">
        <v>1918209376.6500001</v>
      </c>
      <c r="U132" s="329">
        <v>1.3452999999999999</v>
      </c>
      <c r="V132" s="23">
        <f>((T132-P132)/P132)</f>
        <v>-1.8181051610707988E-3</v>
      </c>
      <c r="W132" s="23">
        <f>((U132-Q132)/Q132)</f>
        <v>-1.8548746104764568E-3</v>
      </c>
      <c r="X132" s="329">
        <v>1905463477.6300001</v>
      </c>
      <c r="Y132" s="329">
        <v>1.3361000000000001</v>
      </c>
      <c r="Z132" s="23">
        <f>((X132-T132)/T132)</f>
        <v>-6.64468601559006E-3</v>
      </c>
      <c r="AA132" s="23">
        <f>((Y132-U132)/U132)</f>
        <v>-6.838623355385323E-3</v>
      </c>
      <c r="AB132" s="329">
        <v>1944623783.6800001</v>
      </c>
      <c r="AC132" s="329">
        <v>1.3633999999999999</v>
      </c>
      <c r="AD132" s="23">
        <f>((AB132-X132)/X132)</f>
        <v>2.0551590995964521E-2</v>
      </c>
      <c r="AE132" s="23">
        <f>((AC132-Y132)/Y132)</f>
        <v>2.0432602350123404E-2</v>
      </c>
      <c r="AF132" s="329">
        <v>1964282080.48</v>
      </c>
      <c r="AG132" s="329">
        <v>1.3775999999999999</v>
      </c>
      <c r="AH132" s="23">
        <f>((AF132-AB132)/AB132)</f>
        <v>1.0109048837610456E-2</v>
      </c>
      <c r="AI132" s="23">
        <f>((AG132-AC132)/AC132)</f>
        <v>1.0415138624028158E-2</v>
      </c>
      <c r="AJ132" s="24">
        <f t="shared" si="54"/>
        <v>1.3853206372157483E-3</v>
      </c>
      <c r="AK132" s="24">
        <f t="shared" si="55"/>
        <v>1.9582953021200456E-3</v>
      </c>
      <c r="AL132" s="25">
        <f t="shared" si="56"/>
        <v>2.2058014117088087E-2</v>
      </c>
      <c r="AM132" s="25">
        <f t="shared" si="57"/>
        <v>2.1882649655069992E-2</v>
      </c>
      <c r="AN132" s="26">
        <f t="shared" si="58"/>
        <v>9.8495006567837703E-3</v>
      </c>
      <c r="AO132" s="78">
        <f t="shared" si="59"/>
        <v>9.1451815455518941E-3</v>
      </c>
      <c r="AP132" s="30"/>
      <c r="AQ132" s="53"/>
      <c r="AR132" s="47"/>
      <c r="AS132" s="29"/>
      <c r="AT132" s="29"/>
    </row>
    <row r="133" spans="1:46" s="376" customFormat="1">
      <c r="A133" s="206" t="s">
        <v>266</v>
      </c>
      <c r="B133" s="329">
        <v>171846788.96000001</v>
      </c>
      <c r="C133" s="329">
        <v>116.18</v>
      </c>
      <c r="D133" s="329">
        <v>133896010.43000001</v>
      </c>
      <c r="E133" s="329">
        <v>91.43</v>
      </c>
      <c r="F133" s="23">
        <f t="shared" si="112"/>
        <v>-0.22084077776299696</v>
      </c>
      <c r="G133" s="23">
        <f t="shared" si="113"/>
        <v>-0.21303150284042002</v>
      </c>
      <c r="H133" s="329">
        <v>133856820.12057699</v>
      </c>
      <c r="I133" s="329">
        <v>91.44</v>
      </c>
      <c r="J133" s="23">
        <f>((H133-D133)/D133)</f>
        <v>-2.9269213695880036E-4</v>
      </c>
      <c r="K133" s="23">
        <f>((I133-E133)/E133)</f>
        <v>1.0937329104222798E-4</v>
      </c>
      <c r="L133" s="329">
        <v>134893707.38644087</v>
      </c>
      <c r="M133" s="329">
        <v>92.15</v>
      </c>
      <c r="N133" s="23">
        <f>((L133-H133)/H133)</f>
        <v>7.7462415805923225E-3</v>
      </c>
      <c r="O133" s="23">
        <f>((M133-I133)/I133)</f>
        <v>7.7646544181978125E-3</v>
      </c>
      <c r="P133" s="329">
        <v>134609616.28622717</v>
      </c>
      <c r="Q133" s="329">
        <v>92</v>
      </c>
      <c r="R133" s="23">
        <f>((P133-L133)/L133)</f>
        <v>-2.1060367137797453E-3</v>
      </c>
      <c r="S133" s="23">
        <f>((Q133-M133)/M133)</f>
        <v>-1.6277807921867137E-3</v>
      </c>
      <c r="T133" s="329">
        <v>133761340.7388152</v>
      </c>
      <c r="U133" s="329">
        <v>91.49</v>
      </c>
      <c r="V133" s="23">
        <f>((T133-P133)/P133)</f>
        <v>-6.3017455276615049E-3</v>
      </c>
      <c r="W133" s="23">
        <f>((U133-Q133)/Q133)</f>
        <v>-5.5434782608696212E-3</v>
      </c>
      <c r="X133" s="329">
        <v>134133161.89603932</v>
      </c>
      <c r="Y133" s="329">
        <v>91.77</v>
      </c>
      <c r="Z133" s="23">
        <f>((X133-T133)/T133)</f>
        <v>2.779735573600024E-3</v>
      </c>
      <c r="AA133" s="23">
        <f>((Y133-U133)/U133)</f>
        <v>3.0604437643458426E-3</v>
      </c>
      <c r="AB133" s="329">
        <v>135447646.7558611</v>
      </c>
      <c r="AC133" s="329">
        <v>92.66</v>
      </c>
      <c r="AD133" s="23">
        <f>((AB133-X133)/X133)</f>
        <v>9.7998499494150494E-3</v>
      </c>
      <c r="AE133" s="23">
        <f>((AC133-Y133)/Y133)</f>
        <v>9.6981584395772098E-3</v>
      </c>
      <c r="AF133" s="329">
        <v>135894178.53519499</v>
      </c>
      <c r="AG133" s="329">
        <v>92.99</v>
      </c>
      <c r="AH133" s="23">
        <f>((AF133-AB133)/AB133)</f>
        <v>3.2967112388356582E-3</v>
      </c>
      <c r="AI133" s="23">
        <f>((AG133-AC133)/AC133)</f>
        <v>3.561407295488866E-3</v>
      </c>
      <c r="AJ133" s="24">
        <f t="shared" si="54"/>
        <v>-2.5739839224869242E-2</v>
      </c>
      <c r="AK133" s="24">
        <f t="shared" si="55"/>
        <v>-2.4501090585603045E-2</v>
      </c>
      <c r="AL133" s="25">
        <f t="shared" si="56"/>
        <v>1.492328336578494E-2</v>
      </c>
      <c r="AM133" s="25">
        <f t="shared" si="57"/>
        <v>1.7062233402602954E-2</v>
      </c>
      <c r="AN133" s="26">
        <f t="shared" si="58"/>
        <v>7.9001992872619595E-2</v>
      </c>
      <c r="AO133" s="78">
        <f t="shared" si="59"/>
        <v>7.6335518357859455E-2</v>
      </c>
      <c r="AP133" s="30"/>
      <c r="AQ133" s="53"/>
      <c r="AR133" s="47"/>
      <c r="AS133" s="29"/>
      <c r="AT133" s="29"/>
    </row>
    <row r="134" spans="1:46">
      <c r="A134" s="206" t="s">
        <v>133</v>
      </c>
      <c r="B134" s="330">
        <v>165662743.53</v>
      </c>
      <c r="C134" s="329">
        <v>154.750654</v>
      </c>
      <c r="D134" s="330">
        <v>163101395.71000001</v>
      </c>
      <c r="E134" s="329">
        <v>151.7449</v>
      </c>
      <c r="F134" s="23">
        <f t="shared" si="112"/>
        <v>-1.5461218167838421E-2</v>
      </c>
      <c r="G134" s="23">
        <f t="shared" si="113"/>
        <v>-1.9423207090291172E-2</v>
      </c>
      <c r="H134" s="330">
        <v>162888158.83000001</v>
      </c>
      <c r="I134" s="329">
        <v>151.64154199999999</v>
      </c>
      <c r="J134" s="23">
        <f t="shared" si="114"/>
        <v>-1.3073884442971774E-3</v>
      </c>
      <c r="K134" s="23">
        <f t="shared" si="115"/>
        <v>-6.8112997537323676E-4</v>
      </c>
      <c r="L134" s="330">
        <v>162231912.21000001</v>
      </c>
      <c r="M134" s="329">
        <v>151.13761099999999</v>
      </c>
      <c r="N134" s="23">
        <f t="shared" si="116"/>
        <v>-4.0288172247370272E-3</v>
      </c>
      <c r="O134" s="23">
        <f t="shared" si="117"/>
        <v>-3.3231724852810741E-3</v>
      </c>
      <c r="P134" s="330">
        <v>162044198.03999999</v>
      </c>
      <c r="Q134" s="329">
        <v>150.74810199999999</v>
      </c>
      <c r="R134" s="23">
        <f t="shared" si="118"/>
        <v>-1.1570730286223302E-3</v>
      </c>
      <c r="S134" s="23">
        <f t="shared" si="119"/>
        <v>-2.5771811359384523E-3</v>
      </c>
      <c r="T134" s="330">
        <v>162487765.78999999</v>
      </c>
      <c r="U134" s="329">
        <v>151.22424000000001</v>
      </c>
      <c r="V134" s="23">
        <f t="shared" si="120"/>
        <v>2.7373257133865847E-3</v>
      </c>
      <c r="W134" s="23">
        <f t="shared" si="121"/>
        <v>3.1585007949222485E-3</v>
      </c>
      <c r="X134" s="330">
        <v>162610033.88999999</v>
      </c>
      <c r="Y134" s="329">
        <v>151.423892</v>
      </c>
      <c r="Z134" s="23">
        <f t="shared" ref="Z134:Z144" si="136">((X134-T134)/T134)</f>
        <v>7.5247572889896187E-4</v>
      </c>
      <c r="AA134" s="23">
        <f t="shared" ref="AA134:AA144" si="137">((Y134-U134)/U134)</f>
        <v>1.320238078233927E-3</v>
      </c>
      <c r="AB134" s="330">
        <v>163397509.31</v>
      </c>
      <c r="AC134" s="329">
        <v>152.22498100000001</v>
      </c>
      <c r="AD134" s="23">
        <f t="shared" ref="AD134:AD144" si="138">((AB134-X134)/X134)</f>
        <v>4.8427234234064325E-3</v>
      </c>
      <c r="AE134" s="23">
        <f t="shared" ref="AE134:AE144" si="139">((AC134-Y134)/Y134)</f>
        <v>5.2903738598927231E-3</v>
      </c>
      <c r="AF134" s="330">
        <v>163839422</v>
      </c>
      <c r="AG134" s="329">
        <v>152.71399700000001</v>
      </c>
      <c r="AH134" s="23">
        <f t="shared" ref="AH134:AH144" si="140">((AF134-AB134)/AB134)</f>
        <v>2.7045252517380468E-3</v>
      </c>
      <c r="AI134" s="23">
        <f t="shared" ref="AI134:AI144" si="141">((AG134-AC134)/AC134)</f>
        <v>3.2124556481303965E-3</v>
      </c>
      <c r="AJ134" s="24">
        <f t="shared" ref="AJ134:AJ171" si="142">AVERAGE(F134,J134,N134,R134,V134,Z134,AD134,AH134)</f>
        <v>-1.3646808435081167E-3</v>
      </c>
      <c r="AK134" s="24">
        <f t="shared" ref="AK134:AK171" si="143">AVERAGE(G134,K134,O134,S134,W134,AA134,AE134,AI134)</f>
        <v>-1.62789028821308E-3</v>
      </c>
      <c r="AL134" s="25">
        <f t="shared" ref="AL134:AL171" si="144">((AF134-D134)/D134)</f>
        <v>4.5249538594521179E-3</v>
      </c>
      <c r="AM134" s="25">
        <f t="shared" ref="AM134:AM171" si="145">((AG134-E134)/E134)</f>
        <v>6.3863563124691835E-3</v>
      </c>
      <c r="AN134" s="26">
        <f t="shared" ref="AN134:AN171" si="146">STDEV(F134,J134,N134,R134,V134,Z134,AD134,AH134)</f>
        <v>6.3499773491297352E-3</v>
      </c>
      <c r="AO134" s="78">
        <f t="shared" ref="AO134:AO171" si="147">STDEV(G134,K134,O134,S134,W134,AA134,AE134,AI134)</f>
        <v>7.7849407566309165E-3</v>
      </c>
      <c r="AP134" s="30"/>
      <c r="AQ134" s="53">
        <v>82672021.189999998</v>
      </c>
      <c r="AR134" s="47">
        <v>18.53</v>
      </c>
      <c r="AS134" s="29" t="e">
        <f>(#REF!/AQ134)-1</f>
        <v>#REF!</v>
      </c>
      <c r="AT134" s="29" t="e">
        <f>(#REF!/AR134)-1</f>
        <v>#REF!</v>
      </c>
    </row>
    <row r="135" spans="1:46">
      <c r="A135" s="206" t="s">
        <v>27</v>
      </c>
      <c r="B135" s="330">
        <v>1183107178</v>
      </c>
      <c r="C135" s="329">
        <v>552.20000000000005</v>
      </c>
      <c r="D135" s="330">
        <v>1178392986</v>
      </c>
      <c r="E135" s="329">
        <v>552.20000000000005</v>
      </c>
      <c r="F135" s="23">
        <f t="shared" si="112"/>
        <v>-3.9845857481561149E-3</v>
      </c>
      <c r="G135" s="23">
        <f t="shared" si="113"/>
        <v>0</v>
      </c>
      <c r="H135" s="330">
        <v>1182012382</v>
      </c>
      <c r="I135" s="329">
        <v>552.20000000000005</v>
      </c>
      <c r="J135" s="23">
        <f t="shared" si="114"/>
        <v>3.071467704747523E-3</v>
      </c>
      <c r="K135" s="23">
        <f t="shared" si="115"/>
        <v>0</v>
      </c>
      <c r="L135" s="330">
        <v>1203004205</v>
      </c>
      <c r="M135" s="329">
        <v>552.20000000000005</v>
      </c>
      <c r="N135" s="23">
        <f t="shared" si="116"/>
        <v>1.7759393488316268E-2</v>
      </c>
      <c r="O135" s="23">
        <f t="shared" si="117"/>
        <v>0</v>
      </c>
      <c r="P135" s="330">
        <v>1202332925</v>
      </c>
      <c r="Q135" s="329">
        <v>552.20000000000005</v>
      </c>
      <c r="R135" s="23">
        <f t="shared" si="118"/>
        <v>-5.5800303707167836E-4</v>
      </c>
      <c r="S135" s="23">
        <f t="shared" si="119"/>
        <v>0</v>
      </c>
      <c r="T135" s="330">
        <v>1202730006</v>
      </c>
      <c r="U135" s="329">
        <v>552.20000000000005</v>
      </c>
      <c r="V135" s="23">
        <f t="shared" si="120"/>
        <v>3.3025877587108412E-4</v>
      </c>
      <c r="W135" s="23">
        <f t="shared" si="121"/>
        <v>0</v>
      </c>
      <c r="X135" s="330">
        <v>1198603935</v>
      </c>
      <c r="Y135" s="329">
        <v>552.20000000000005</v>
      </c>
      <c r="Z135" s="23">
        <f t="shared" si="136"/>
        <v>-3.4305878953850596E-3</v>
      </c>
      <c r="AA135" s="23">
        <f t="shared" si="137"/>
        <v>0</v>
      </c>
      <c r="AB135" s="330">
        <v>1200049394</v>
      </c>
      <c r="AC135" s="329">
        <v>552.20000000000005</v>
      </c>
      <c r="AD135" s="23">
        <f t="shared" si="138"/>
        <v>1.2059521563309401E-3</v>
      </c>
      <c r="AE135" s="23">
        <f t="shared" si="139"/>
        <v>0</v>
      </c>
      <c r="AF135" s="330">
        <v>1210159040.8599999</v>
      </c>
      <c r="AG135" s="329">
        <v>552.20000000000005</v>
      </c>
      <c r="AH135" s="23">
        <f t="shared" si="140"/>
        <v>8.4243589560113515E-3</v>
      </c>
      <c r="AI135" s="23">
        <f t="shared" si="141"/>
        <v>0</v>
      </c>
      <c r="AJ135" s="24">
        <f t="shared" si="142"/>
        <v>2.8522818000830388E-3</v>
      </c>
      <c r="AK135" s="24">
        <f t="shared" si="143"/>
        <v>0</v>
      </c>
      <c r="AL135" s="25">
        <f t="shared" si="144"/>
        <v>2.6957097706282424E-2</v>
      </c>
      <c r="AM135" s="25">
        <f t="shared" si="145"/>
        <v>0</v>
      </c>
      <c r="AN135" s="26">
        <f t="shared" si="146"/>
        <v>7.1737250610559768E-3</v>
      </c>
      <c r="AO135" s="78">
        <f t="shared" si="147"/>
        <v>0</v>
      </c>
      <c r="AP135" s="30"/>
      <c r="AQ135" s="53">
        <v>541500000</v>
      </c>
      <c r="AR135" s="47">
        <v>3610</v>
      </c>
      <c r="AS135" s="29" t="e">
        <f>(#REF!/AQ135)-1</f>
        <v>#REF!</v>
      </c>
      <c r="AT135" s="29" t="e">
        <f>(#REF!/AR135)-1</f>
        <v>#REF!</v>
      </c>
    </row>
    <row r="136" spans="1:46">
      <c r="A136" s="206" t="s">
        <v>193</v>
      </c>
      <c r="B136" s="330">
        <v>20482246.43</v>
      </c>
      <c r="C136" s="329">
        <v>1.28</v>
      </c>
      <c r="D136" s="330">
        <v>20111025.239999998</v>
      </c>
      <c r="E136" s="329">
        <v>1.26</v>
      </c>
      <c r="F136" s="23">
        <f t="shared" si="112"/>
        <v>-1.8124046660051896E-2</v>
      </c>
      <c r="G136" s="23">
        <f t="shared" si="113"/>
        <v>-1.5625000000000014E-2</v>
      </c>
      <c r="H136" s="330">
        <v>20158363.510000002</v>
      </c>
      <c r="I136" s="329">
        <v>1.26</v>
      </c>
      <c r="J136" s="23">
        <f t="shared" si="114"/>
        <v>2.3538466803696024E-3</v>
      </c>
      <c r="K136" s="23">
        <f t="shared" si="115"/>
        <v>0</v>
      </c>
      <c r="L136" s="330">
        <v>20329465.870000001</v>
      </c>
      <c r="M136" s="329">
        <v>1.26</v>
      </c>
      <c r="N136" s="23">
        <f t="shared" si="116"/>
        <v>8.487909244970223E-3</v>
      </c>
      <c r="O136" s="23">
        <f t="shared" si="117"/>
        <v>0</v>
      </c>
      <c r="P136" s="330">
        <v>20020697.940000001</v>
      </c>
      <c r="Q136" s="329">
        <v>1.25</v>
      </c>
      <c r="R136" s="23">
        <f t="shared" si="118"/>
        <v>-1.5188196875140021E-2</v>
      </c>
      <c r="S136" s="23">
        <f t="shared" si="119"/>
        <v>-7.936507936507943E-3</v>
      </c>
      <c r="T136" s="330">
        <v>19897445.559999999</v>
      </c>
      <c r="U136" s="329">
        <v>1.25</v>
      </c>
      <c r="V136" s="23">
        <f t="shared" si="120"/>
        <v>-6.1562479174990577E-3</v>
      </c>
      <c r="W136" s="23">
        <f t="shared" si="121"/>
        <v>0</v>
      </c>
      <c r="X136" s="330">
        <v>19606340.510000002</v>
      </c>
      <c r="Y136" s="329">
        <v>1.23</v>
      </c>
      <c r="Z136" s="23">
        <f t="shared" si="136"/>
        <v>-1.4630272470010319E-2</v>
      </c>
      <c r="AA136" s="23">
        <f t="shared" si="137"/>
        <v>-1.6000000000000014E-2</v>
      </c>
      <c r="AB136" s="330">
        <v>19606340.510000002</v>
      </c>
      <c r="AC136" s="329">
        <v>1.23</v>
      </c>
      <c r="AD136" s="23">
        <f t="shared" si="138"/>
        <v>0</v>
      </c>
      <c r="AE136" s="23">
        <f t="shared" si="139"/>
        <v>0</v>
      </c>
      <c r="AF136" s="330">
        <v>20061234.27</v>
      </c>
      <c r="AG136" s="329">
        <v>1.25</v>
      </c>
      <c r="AH136" s="23">
        <f t="shared" si="140"/>
        <v>2.3201359772772705E-2</v>
      </c>
      <c r="AI136" s="23">
        <f t="shared" si="141"/>
        <v>1.6260162601626032E-2</v>
      </c>
      <c r="AJ136" s="24">
        <f t="shared" si="142"/>
        <v>-2.5069560280735958E-3</v>
      </c>
      <c r="AK136" s="24">
        <f t="shared" si="143"/>
        <v>-2.9126681668602424E-3</v>
      </c>
      <c r="AL136" s="25">
        <f t="shared" si="144"/>
        <v>-2.4758046596732733E-3</v>
      </c>
      <c r="AM136" s="25">
        <f t="shared" si="145"/>
        <v>-7.936507936507943E-3</v>
      </c>
      <c r="AN136" s="26">
        <f t="shared" si="146"/>
        <v>1.4024042199328481E-2</v>
      </c>
      <c r="AO136" s="78">
        <f t="shared" si="147"/>
        <v>1.0417379600974819E-2</v>
      </c>
      <c r="AP136" s="30"/>
      <c r="AQ136" s="28">
        <v>913647681</v>
      </c>
      <c r="AR136" s="32">
        <v>81</v>
      </c>
      <c r="AS136" s="29" t="e">
        <f>(#REF!/AQ136)-1</f>
        <v>#REF!</v>
      </c>
      <c r="AT136" s="29" t="e">
        <f>(#REF!/AR136)-1</f>
        <v>#REF!</v>
      </c>
    </row>
    <row r="137" spans="1:46">
      <c r="A137" s="207" t="s">
        <v>48</v>
      </c>
      <c r="B137" s="329">
        <v>166719289.95000002</v>
      </c>
      <c r="C137" s="329">
        <v>1.74</v>
      </c>
      <c r="D137" s="329">
        <v>163707654.36000001</v>
      </c>
      <c r="E137" s="329">
        <v>1.7</v>
      </c>
      <c r="F137" s="23">
        <f t="shared" si="112"/>
        <v>-1.8064109983333115E-2</v>
      </c>
      <c r="G137" s="23">
        <f t="shared" si="113"/>
        <v>-2.2988505747126457E-2</v>
      </c>
      <c r="H137" s="329">
        <v>164236785.69999999</v>
      </c>
      <c r="I137" s="329">
        <v>1.71</v>
      </c>
      <c r="J137" s="23">
        <f t="shared" si="114"/>
        <v>3.2321722650572693E-3</v>
      </c>
      <c r="K137" s="23">
        <f t="shared" si="115"/>
        <v>5.8823529411764757E-3</v>
      </c>
      <c r="L137" s="329">
        <v>164694733.72999999</v>
      </c>
      <c r="M137" s="329">
        <v>1.72</v>
      </c>
      <c r="N137" s="23">
        <f t="shared" si="116"/>
        <v>2.7883401885160082E-3</v>
      </c>
      <c r="O137" s="23">
        <f t="shared" si="117"/>
        <v>5.8479532163742748E-3</v>
      </c>
      <c r="P137" s="329">
        <v>164694177.12</v>
      </c>
      <c r="Q137" s="329">
        <v>1.7176720000000001</v>
      </c>
      <c r="R137" s="23">
        <f t="shared" si="118"/>
        <v>-3.3796466187984337E-6</v>
      </c>
      <c r="S137" s="23">
        <f t="shared" si="119"/>
        <v>-1.3534883720929568E-3</v>
      </c>
      <c r="T137" s="329">
        <v>164482079.80000001</v>
      </c>
      <c r="U137" s="329">
        <v>1.715206</v>
      </c>
      <c r="V137" s="23">
        <f t="shared" si="120"/>
        <v>-1.2878252510740184E-3</v>
      </c>
      <c r="W137" s="23">
        <f t="shared" si="121"/>
        <v>-1.4356640848777176E-3</v>
      </c>
      <c r="X137" s="329">
        <v>161878402.22999999</v>
      </c>
      <c r="Y137" s="329">
        <v>1.689519</v>
      </c>
      <c r="Z137" s="23">
        <f t="shared" si="136"/>
        <v>-1.5829551603225911E-2</v>
      </c>
      <c r="AA137" s="23">
        <f t="shared" si="137"/>
        <v>-1.4976043693877013E-2</v>
      </c>
      <c r="AB137" s="329">
        <v>161878402.22999999</v>
      </c>
      <c r="AC137" s="329">
        <v>1.97</v>
      </c>
      <c r="AD137" s="23">
        <f t="shared" si="138"/>
        <v>0</v>
      </c>
      <c r="AE137" s="23">
        <f t="shared" si="139"/>
        <v>0.16601233842294758</v>
      </c>
      <c r="AF137" s="329">
        <v>166494118.93000001</v>
      </c>
      <c r="AG137" s="329">
        <v>1.7363219999999999</v>
      </c>
      <c r="AH137" s="23">
        <f t="shared" si="140"/>
        <v>2.8513480714010987E-2</v>
      </c>
      <c r="AI137" s="23">
        <f t="shared" si="141"/>
        <v>-0.11861827411167515</v>
      </c>
      <c r="AJ137" s="24">
        <f t="shared" si="142"/>
        <v>-8.1359164583447163E-5</v>
      </c>
      <c r="AK137" s="24">
        <f t="shared" si="143"/>
        <v>2.2963335713561284E-3</v>
      </c>
      <c r="AL137" s="25">
        <f t="shared" si="144"/>
        <v>1.7020979140489303E-2</v>
      </c>
      <c r="AM137" s="25">
        <f t="shared" si="145"/>
        <v>2.1365882352941158E-2</v>
      </c>
      <c r="AN137" s="26">
        <f t="shared" si="146"/>
        <v>1.419120796844372E-2</v>
      </c>
      <c r="AO137" s="78">
        <f t="shared" si="147"/>
        <v>7.7840178071307789E-2</v>
      </c>
      <c r="AP137" s="30"/>
      <c r="AQ137" s="61">
        <f>SUM(AQ129:AQ136)</f>
        <v>3629819788.79</v>
      </c>
      <c r="AR137" s="62"/>
      <c r="AS137" s="29" t="e">
        <f>(#REF!/AQ137)-1</f>
        <v>#REF!</v>
      </c>
      <c r="AT137" s="29" t="e">
        <f>(#REF!/AR137)-1</f>
        <v>#REF!</v>
      </c>
    </row>
    <row r="138" spans="1:46">
      <c r="A138" s="206" t="s">
        <v>22</v>
      </c>
      <c r="B138" s="330">
        <v>1679122736.01</v>
      </c>
      <c r="C138" s="329">
        <v>3890.13</v>
      </c>
      <c r="D138" s="330">
        <v>1655284774.4100001</v>
      </c>
      <c r="E138" s="329">
        <v>3840.8</v>
      </c>
      <c r="F138" s="23">
        <f t="shared" si="112"/>
        <v>-1.4196676090900086E-2</v>
      </c>
      <c r="G138" s="23">
        <f t="shared" si="113"/>
        <v>-1.2680810152874049E-2</v>
      </c>
      <c r="H138" s="330">
        <v>1667769510.96</v>
      </c>
      <c r="I138" s="329">
        <v>3853.29</v>
      </c>
      <c r="J138" s="23">
        <f t="shared" si="114"/>
        <v>7.5423496566927213E-3</v>
      </c>
      <c r="K138" s="23">
        <f t="shared" si="115"/>
        <v>3.2519266819412054E-3</v>
      </c>
      <c r="L138" s="330">
        <v>1674575343.8099999</v>
      </c>
      <c r="M138" s="329">
        <v>3850.97</v>
      </c>
      <c r="N138" s="23">
        <f t="shared" si="116"/>
        <v>4.0807994181895893E-3</v>
      </c>
      <c r="O138" s="23">
        <f t="shared" si="117"/>
        <v>-6.0208289539592493E-4</v>
      </c>
      <c r="P138" s="330">
        <v>1682686027.4200001</v>
      </c>
      <c r="Q138" s="329">
        <v>3857.35</v>
      </c>
      <c r="R138" s="23">
        <f t="shared" si="118"/>
        <v>4.843427105254444E-3</v>
      </c>
      <c r="S138" s="23">
        <f t="shared" si="119"/>
        <v>1.6567254483935501E-3</v>
      </c>
      <c r="T138" s="330">
        <v>1678010875.3800001</v>
      </c>
      <c r="U138" s="329">
        <v>3842.68</v>
      </c>
      <c r="V138" s="23">
        <f t="shared" si="120"/>
        <v>-2.7783864391910345E-3</v>
      </c>
      <c r="W138" s="23">
        <f t="shared" si="121"/>
        <v>-3.8031290912154906E-3</v>
      </c>
      <c r="X138" s="330">
        <v>1663834088</v>
      </c>
      <c r="Y138" s="329">
        <v>3813.12</v>
      </c>
      <c r="Z138" s="23">
        <f t="shared" si="136"/>
        <v>-8.4485670432795368E-3</v>
      </c>
      <c r="AA138" s="23">
        <f t="shared" si="137"/>
        <v>-7.6925479092716399E-3</v>
      </c>
      <c r="AB138" s="330">
        <v>1676822193.02</v>
      </c>
      <c r="AC138" s="329">
        <v>3852.48</v>
      </c>
      <c r="AD138" s="23">
        <f t="shared" si="138"/>
        <v>7.8061298982113302E-3</v>
      </c>
      <c r="AE138" s="23">
        <f t="shared" si="139"/>
        <v>1.0322255790533769E-2</v>
      </c>
      <c r="AF138" s="330">
        <v>1715674888.0799999</v>
      </c>
      <c r="AG138" s="329">
        <v>3913.49</v>
      </c>
      <c r="AH138" s="23">
        <f t="shared" si="140"/>
        <v>2.3170432274649967E-2</v>
      </c>
      <c r="AI138" s="23">
        <f t="shared" si="141"/>
        <v>1.5836552039205854E-2</v>
      </c>
      <c r="AJ138" s="24">
        <f t="shared" si="142"/>
        <v>2.7524385974534243E-3</v>
      </c>
      <c r="AK138" s="24">
        <f t="shared" si="143"/>
        <v>7.8611123891465925E-4</v>
      </c>
      <c r="AL138" s="25">
        <f t="shared" si="144"/>
        <v>3.6483217029241954E-2</v>
      </c>
      <c r="AM138" s="25">
        <f t="shared" si="145"/>
        <v>1.8925744636533952E-2</v>
      </c>
      <c r="AN138" s="26">
        <f t="shared" si="146"/>
        <v>1.1432030981909092E-2</v>
      </c>
      <c r="AO138" s="78">
        <f t="shared" si="147"/>
        <v>9.2622573504304966E-3</v>
      </c>
      <c r="AP138" s="30"/>
      <c r="AQ138" s="79"/>
      <c r="AR138" s="80"/>
      <c r="AS138" s="29"/>
      <c r="AT138" s="29"/>
    </row>
    <row r="139" spans="1:46" s="88" customFormat="1">
      <c r="A139" s="206" t="s">
        <v>256</v>
      </c>
      <c r="B139" s="325">
        <v>57892410.740000002</v>
      </c>
      <c r="C139" s="329">
        <v>108.0787</v>
      </c>
      <c r="D139" s="325">
        <v>57257677.07</v>
      </c>
      <c r="E139" s="329">
        <v>106.852</v>
      </c>
      <c r="F139" s="23">
        <f t="shared" si="112"/>
        <v>-1.096402208660212E-2</v>
      </c>
      <c r="G139" s="23">
        <f t="shared" si="113"/>
        <v>-1.135006250075171E-2</v>
      </c>
      <c r="H139" s="325">
        <v>57378819.380000003</v>
      </c>
      <c r="I139" s="329">
        <v>107.01300000000001</v>
      </c>
      <c r="J139" s="23">
        <f t="shared" si="114"/>
        <v>2.115739167201992E-3</v>
      </c>
      <c r="K139" s="23">
        <f t="shared" si="115"/>
        <v>1.5067570096956664E-3</v>
      </c>
      <c r="L139" s="325">
        <v>57875930.520000003</v>
      </c>
      <c r="M139" s="329">
        <v>107.50660000000001</v>
      </c>
      <c r="N139" s="23">
        <f t="shared" si="116"/>
        <v>8.6636697194448376E-3</v>
      </c>
      <c r="O139" s="23">
        <f t="shared" si="117"/>
        <v>4.612523712072371E-3</v>
      </c>
      <c r="P139" s="325">
        <v>57662394.420000002</v>
      </c>
      <c r="Q139" s="329">
        <v>107.0796</v>
      </c>
      <c r="R139" s="23">
        <f t="shared" si="118"/>
        <v>-3.6895493183683758E-3</v>
      </c>
      <c r="S139" s="23">
        <f t="shared" si="119"/>
        <v>-3.9718491701905435E-3</v>
      </c>
      <c r="T139" s="325">
        <v>57617404.770000003</v>
      </c>
      <c r="U139" s="329">
        <v>106.9949</v>
      </c>
      <c r="V139" s="23">
        <f t="shared" si="120"/>
        <v>-7.8022514417809205E-4</v>
      </c>
      <c r="W139" s="23">
        <f t="shared" si="121"/>
        <v>-7.9100033993401175E-4</v>
      </c>
      <c r="X139" s="325">
        <v>57048714.859999999</v>
      </c>
      <c r="Y139" s="329">
        <v>105.93429999999999</v>
      </c>
      <c r="Z139" s="23">
        <f t="shared" si="136"/>
        <v>-9.870106303297212E-3</v>
      </c>
      <c r="AA139" s="23">
        <f t="shared" si="137"/>
        <v>-9.9126220034787445E-3</v>
      </c>
      <c r="AB139" s="325">
        <v>58210130.109999999</v>
      </c>
      <c r="AC139" s="329">
        <v>108.08920000000001</v>
      </c>
      <c r="AD139" s="23">
        <f t="shared" si="138"/>
        <v>2.0358306981150459E-2</v>
      </c>
      <c r="AE139" s="23">
        <f t="shared" si="139"/>
        <v>2.034185339403774E-2</v>
      </c>
      <c r="AF139" s="325">
        <v>59067169.149999999</v>
      </c>
      <c r="AG139" s="329">
        <v>109.27119999999999</v>
      </c>
      <c r="AH139" s="23">
        <f t="shared" si="140"/>
        <v>1.4723194027920015E-2</v>
      </c>
      <c r="AI139" s="23">
        <f t="shared" si="141"/>
        <v>1.0935412603664268E-2</v>
      </c>
      <c r="AJ139" s="24">
        <f t="shared" si="142"/>
        <v>2.5696258804089383E-3</v>
      </c>
      <c r="AK139" s="24">
        <f t="shared" si="143"/>
        <v>1.4213765881393797E-3</v>
      </c>
      <c r="AL139" s="25">
        <f t="shared" si="144"/>
        <v>3.1602610734414102E-2</v>
      </c>
      <c r="AM139" s="25">
        <f t="shared" si="145"/>
        <v>2.2640661850035462E-2</v>
      </c>
      <c r="AN139" s="26">
        <f t="shared" si="146"/>
        <v>1.1274466206140471E-2</v>
      </c>
      <c r="AO139" s="78">
        <f t="shared" si="147"/>
        <v>1.058464325519662E-2</v>
      </c>
      <c r="AP139" s="30"/>
      <c r="AQ139" s="79"/>
      <c r="AR139" s="80"/>
      <c r="AS139" s="29"/>
      <c r="AT139" s="29"/>
    </row>
    <row r="140" spans="1:46" s="107" customFormat="1">
      <c r="A140" s="206" t="s">
        <v>76</v>
      </c>
      <c r="B140" s="329">
        <v>1247359013.1199999</v>
      </c>
      <c r="C140" s="329">
        <v>1.6188</v>
      </c>
      <c r="D140" s="329">
        <v>1226351025.71</v>
      </c>
      <c r="E140" s="329">
        <v>1.5911999999999999</v>
      </c>
      <c r="F140" s="23">
        <f t="shared" si="112"/>
        <v>-1.6841973472779815E-2</v>
      </c>
      <c r="G140" s="23">
        <f t="shared" si="113"/>
        <v>-1.7049666419570095E-2</v>
      </c>
      <c r="H140" s="329">
        <v>1236999883.1600001</v>
      </c>
      <c r="I140" s="329">
        <v>1.6063000000000001</v>
      </c>
      <c r="J140" s="23">
        <f t="shared" si="114"/>
        <v>8.6833681602988474E-3</v>
      </c>
      <c r="K140" s="23">
        <f t="shared" si="115"/>
        <v>9.4896933132227971E-3</v>
      </c>
      <c r="L140" s="329">
        <v>1230226342.0599999</v>
      </c>
      <c r="M140" s="329">
        <v>1.5974999999999999</v>
      </c>
      <c r="N140" s="23">
        <f t="shared" si="116"/>
        <v>-5.4757815196365845E-3</v>
      </c>
      <c r="O140" s="23">
        <f t="shared" si="117"/>
        <v>-5.4784286870448486E-3</v>
      </c>
      <c r="P140" s="329">
        <v>1229899208.8599999</v>
      </c>
      <c r="Q140" s="329">
        <v>1.5959000000000001</v>
      </c>
      <c r="R140" s="23">
        <f t="shared" si="118"/>
        <v>-2.6591301845501605E-4</v>
      </c>
      <c r="S140" s="23">
        <f t="shared" si="119"/>
        <v>-1.0015649452268069E-3</v>
      </c>
      <c r="T140" s="329">
        <v>1220075404.24</v>
      </c>
      <c r="U140" s="329">
        <v>1.5828</v>
      </c>
      <c r="V140" s="23">
        <f t="shared" si="120"/>
        <v>-7.9874875511999257E-3</v>
      </c>
      <c r="W140" s="23">
        <f t="shared" si="121"/>
        <v>-8.2085343693214553E-3</v>
      </c>
      <c r="X140" s="329">
        <v>1219590687.76</v>
      </c>
      <c r="Y140" s="329">
        <v>1.5818000000000001</v>
      </c>
      <c r="Z140" s="23">
        <f t="shared" si="136"/>
        <v>-3.9728403532727135E-4</v>
      </c>
      <c r="AA140" s="23">
        <f t="shared" si="137"/>
        <v>-6.3179176143536131E-4</v>
      </c>
      <c r="AB140" s="329">
        <v>1222429240.7</v>
      </c>
      <c r="AC140" s="329">
        <v>1.5859000000000001</v>
      </c>
      <c r="AD140" s="23">
        <f t="shared" si="138"/>
        <v>2.3274636060181598E-3</v>
      </c>
      <c r="AE140" s="23">
        <f t="shared" si="139"/>
        <v>2.5919838159059252E-3</v>
      </c>
      <c r="AF140" s="329">
        <v>1224516702.3199999</v>
      </c>
      <c r="AG140" s="329">
        <v>1.5862000000000001</v>
      </c>
      <c r="AH140" s="23">
        <f t="shared" si="140"/>
        <v>1.7076339067319281E-3</v>
      </c>
      <c r="AI140" s="23">
        <f t="shared" si="141"/>
        <v>1.8916703449143511E-4</v>
      </c>
      <c r="AJ140" s="24">
        <f t="shared" si="142"/>
        <v>-2.2812467405437095E-3</v>
      </c>
      <c r="AK140" s="24">
        <f t="shared" si="143"/>
        <v>-2.5123927523723016E-3</v>
      </c>
      <c r="AL140" s="25">
        <f t="shared" si="144"/>
        <v>-1.4957572110628906E-3</v>
      </c>
      <c r="AM140" s="25">
        <f t="shared" si="145"/>
        <v>-3.1422825540471933E-3</v>
      </c>
      <c r="AN140" s="26">
        <f t="shared" si="146"/>
        <v>7.743809000941306E-3</v>
      </c>
      <c r="AO140" s="78">
        <f t="shared" si="147"/>
        <v>7.8903027306562248E-3</v>
      </c>
      <c r="AP140" s="30"/>
      <c r="AQ140" s="79"/>
      <c r="AR140" s="80"/>
      <c r="AS140" s="29"/>
      <c r="AT140" s="29"/>
    </row>
    <row r="141" spans="1:46" s="107" customFormat="1">
      <c r="A141" s="206" t="s">
        <v>216</v>
      </c>
      <c r="B141" s="329">
        <v>713934689.12</v>
      </c>
      <c r="C141" s="329">
        <v>1.3097000000000001</v>
      </c>
      <c r="D141" s="329">
        <v>702054403.38999999</v>
      </c>
      <c r="E141" s="329">
        <v>1.2876000000000001</v>
      </c>
      <c r="F141" s="23">
        <f t="shared" si="112"/>
        <v>-1.6640577788205987E-2</v>
      </c>
      <c r="G141" s="23">
        <f t="shared" si="113"/>
        <v>-1.6874093303810039E-2</v>
      </c>
      <c r="H141" s="329">
        <v>706025762.05999994</v>
      </c>
      <c r="I141" s="329">
        <v>1.2937000000000001</v>
      </c>
      <c r="J141" s="23">
        <f t="shared" si="114"/>
        <v>5.6567676960980725E-3</v>
      </c>
      <c r="K141" s="23">
        <f t="shared" si="115"/>
        <v>4.7374961168064568E-3</v>
      </c>
      <c r="L141" s="329">
        <v>704549349.99000001</v>
      </c>
      <c r="M141" s="329">
        <v>1.2906</v>
      </c>
      <c r="N141" s="23">
        <f t="shared" si="116"/>
        <v>-2.0911589198843766E-3</v>
      </c>
      <c r="O141" s="23">
        <f t="shared" si="117"/>
        <v>-2.3962278735410857E-3</v>
      </c>
      <c r="P141" s="329">
        <v>704662425.39999998</v>
      </c>
      <c r="Q141" s="329">
        <v>1.2907999999999999</v>
      </c>
      <c r="R141" s="23">
        <f t="shared" si="118"/>
        <v>1.6049324295249376E-4</v>
      </c>
      <c r="S141" s="23">
        <f t="shared" si="119"/>
        <v>1.5496668216331781E-4</v>
      </c>
      <c r="T141" s="329">
        <v>702600576.89999998</v>
      </c>
      <c r="U141" s="329">
        <v>1.2889999999999999</v>
      </c>
      <c r="V141" s="23">
        <f t="shared" si="120"/>
        <v>-2.9260088599581515E-3</v>
      </c>
      <c r="W141" s="23">
        <f t="shared" si="121"/>
        <v>-1.3944840409048837E-3</v>
      </c>
      <c r="X141" s="329">
        <v>698550526.20000005</v>
      </c>
      <c r="Y141" s="329">
        <v>1.2814000000000001</v>
      </c>
      <c r="Z141" s="23">
        <f t="shared" si="136"/>
        <v>-5.764371441124458E-3</v>
      </c>
      <c r="AA141" s="23">
        <f t="shared" si="137"/>
        <v>-5.8960434445305115E-3</v>
      </c>
      <c r="AB141" s="329">
        <v>696016789.77999997</v>
      </c>
      <c r="AC141" s="329">
        <v>1.2786999999999999</v>
      </c>
      <c r="AD141" s="23">
        <f t="shared" si="138"/>
        <v>-3.6271340797396369E-3</v>
      </c>
      <c r="AE141" s="23">
        <f t="shared" si="139"/>
        <v>-2.1070703917591281E-3</v>
      </c>
      <c r="AF141" s="329">
        <v>692236800.63</v>
      </c>
      <c r="AG141" s="329">
        <v>1.2716000000000001</v>
      </c>
      <c r="AH141" s="23">
        <f t="shared" si="140"/>
        <v>-5.4308878830276091E-3</v>
      </c>
      <c r="AI141" s="23">
        <f t="shared" si="141"/>
        <v>-5.5525142723077221E-3</v>
      </c>
      <c r="AJ141" s="24">
        <f t="shared" si="142"/>
        <v>-3.8328597541112063E-3</v>
      </c>
      <c r="AK141" s="24">
        <f t="shared" si="143"/>
        <v>-3.6659963159854495E-3</v>
      </c>
      <c r="AL141" s="25">
        <f t="shared" si="144"/>
        <v>-1.3984105380713907E-2</v>
      </c>
      <c r="AM141" s="25">
        <f t="shared" si="145"/>
        <v>-1.2426219322771057E-2</v>
      </c>
      <c r="AN141" s="26">
        <f t="shared" si="146"/>
        <v>6.3270416607148E-3</v>
      </c>
      <c r="AO141" s="78">
        <f t="shared" si="147"/>
        <v>6.2951983911384672E-3</v>
      </c>
      <c r="AP141" s="30"/>
      <c r="AQ141" s="79"/>
      <c r="AR141" s="80"/>
      <c r="AS141" s="29"/>
      <c r="AT141" s="29"/>
    </row>
    <row r="142" spans="1:46" ht="15.75" customHeight="1" thickBot="1">
      <c r="A142" s="206" t="s">
        <v>128</v>
      </c>
      <c r="B142" s="329">
        <v>4428312204.2799997</v>
      </c>
      <c r="C142" s="329">
        <v>200.2577</v>
      </c>
      <c r="D142" s="329">
        <v>4354648635.3699999</v>
      </c>
      <c r="E142" s="329">
        <v>196.9196</v>
      </c>
      <c r="F142" s="23">
        <f t="shared" si="112"/>
        <v>-1.6634682811840461E-2</v>
      </c>
      <c r="G142" s="23">
        <f t="shared" si="113"/>
        <v>-1.6669021965197827E-2</v>
      </c>
      <c r="H142" s="329">
        <v>4366708962.9099998</v>
      </c>
      <c r="I142" s="329">
        <v>197.46610000000001</v>
      </c>
      <c r="J142" s="23">
        <f t="shared" si="114"/>
        <v>2.7695294270223565E-3</v>
      </c>
      <c r="K142" s="23">
        <f t="shared" si="115"/>
        <v>2.7752443129074448E-3</v>
      </c>
      <c r="L142" s="329">
        <v>4402555112.5799999</v>
      </c>
      <c r="M142" s="329">
        <v>199.09</v>
      </c>
      <c r="N142" s="23">
        <f t="shared" si="116"/>
        <v>8.2089623958158178E-3</v>
      </c>
      <c r="O142" s="23">
        <f t="shared" si="117"/>
        <v>8.2236900409740805E-3</v>
      </c>
      <c r="P142" s="329">
        <v>4375790008.4200001</v>
      </c>
      <c r="Q142" s="329">
        <v>197.85</v>
      </c>
      <c r="R142" s="23">
        <f t="shared" si="118"/>
        <v>-6.0794478378068213E-3</v>
      </c>
      <c r="S142" s="23">
        <f t="shared" si="119"/>
        <v>-6.2283389421869959E-3</v>
      </c>
      <c r="T142" s="329">
        <v>4339064727.4099998</v>
      </c>
      <c r="U142" s="329">
        <v>196.19</v>
      </c>
      <c r="V142" s="23">
        <f t="shared" si="120"/>
        <v>-8.3928344228887952E-3</v>
      </c>
      <c r="W142" s="23">
        <f t="shared" si="121"/>
        <v>-8.3901945918625053E-3</v>
      </c>
      <c r="X142" s="329">
        <v>4421065748.79</v>
      </c>
      <c r="Y142" s="329">
        <v>199.87</v>
      </c>
      <c r="Z142" s="23">
        <f t="shared" si="136"/>
        <v>1.889831715622891E-2</v>
      </c>
      <c r="AA142" s="23">
        <f t="shared" si="137"/>
        <v>1.8757327080891006E-2</v>
      </c>
      <c r="AB142" s="329">
        <v>4429213580.5299997</v>
      </c>
      <c r="AC142" s="329">
        <v>200.24</v>
      </c>
      <c r="AD142" s="23">
        <f t="shared" si="138"/>
        <v>1.8429564731602891E-3</v>
      </c>
      <c r="AE142" s="23">
        <f t="shared" si="139"/>
        <v>1.8512032821334093E-3</v>
      </c>
      <c r="AF142" s="329">
        <v>4554277245.3000002</v>
      </c>
      <c r="AG142" s="329">
        <v>205.89</v>
      </c>
      <c r="AH142" s="23">
        <f t="shared" si="140"/>
        <v>2.8236088076618635E-2</v>
      </c>
      <c r="AI142" s="23">
        <f t="shared" si="141"/>
        <v>2.8216140631242396E-2</v>
      </c>
      <c r="AJ142" s="24">
        <f t="shared" si="142"/>
        <v>3.6061110570387413E-3</v>
      </c>
      <c r="AK142" s="24">
        <f t="shared" si="143"/>
        <v>3.5670062311126262E-3</v>
      </c>
      <c r="AL142" s="25">
        <f t="shared" si="144"/>
        <v>4.584264464153226E-2</v>
      </c>
      <c r="AM142" s="25">
        <f t="shared" si="145"/>
        <v>4.5553616806046651E-2</v>
      </c>
      <c r="AN142" s="26">
        <f t="shared" si="146"/>
        <v>1.4701587080995275E-2</v>
      </c>
      <c r="AO142" s="78">
        <f t="shared" si="147"/>
        <v>1.4696945847651756E-2</v>
      </c>
      <c r="AP142" s="30"/>
      <c r="AQ142" s="64" t="e">
        <f>SUM(AQ125,AQ137)</f>
        <v>#REF!</v>
      </c>
      <c r="AR142" s="65"/>
      <c r="AS142" s="29" t="e">
        <f>(#REF!/AQ142)-1</f>
        <v>#REF!</v>
      </c>
      <c r="AT142" s="29" t="e">
        <f>(#REF!/AR142)-1</f>
        <v>#REF!</v>
      </c>
    </row>
    <row r="143" spans="1:46" s="306" customFormat="1" ht="15.75" customHeight="1">
      <c r="A143" s="206" t="s">
        <v>52</v>
      </c>
      <c r="B143" s="330">
        <v>2292045097.4499998</v>
      </c>
      <c r="C143" s="329">
        <v>3.29</v>
      </c>
      <c r="D143" s="330">
        <v>2261786761.5700002</v>
      </c>
      <c r="E143" s="329">
        <v>3.25</v>
      </c>
      <c r="F143" s="23">
        <f t="shared" si="112"/>
        <v>-1.3201457472919427E-2</v>
      </c>
      <c r="G143" s="23">
        <f t="shared" si="113"/>
        <v>-1.2158054711246211E-2</v>
      </c>
      <c r="H143" s="330">
        <v>2261786761.5700002</v>
      </c>
      <c r="I143" s="329">
        <v>3.24</v>
      </c>
      <c r="J143" s="23">
        <f t="shared" si="114"/>
        <v>0</v>
      </c>
      <c r="K143" s="23">
        <f t="shared" si="115"/>
        <v>-3.0769230769230114E-3</v>
      </c>
      <c r="L143" s="330">
        <v>2270030320.8400002</v>
      </c>
      <c r="M143" s="329">
        <v>3.26</v>
      </c>
      <c r="N143" s="23">
        <f t="shared" si="116"/>
        <v>3.6447110797826867E-3</v>
      </c>
      <c r="O143" s="23">
        <f t="shared" si="117"/>
        <v>6.1728395061727073E-3</v>
      </c>
      <c r="P143" s="330">
        <v>2262318178.27</v>
      </c>
      <c r="Q143" s="329">
        <v>3.25</v>
      </c>
      <c r="R143" s="23">
        <f t="shared" si="118"/>
        <v>-3.3973742549598973E-3</v>
      </c>
      <c r="S143" s="23">
        <f t="shared" si="119"/>
        <v>-3.0674846625766221E-3</v>
      </c>
      <c r="T143" s="330">
        <v>2255379209.2399998</v>
      </c>
      <c r="U143" s="329">
        <v>3.24</v>
      </c>
      <c r="V143" s="23">
        <f t="shared" si="120"/>
        <v>-3.067194127090671E-3</v>
      </c>
      <c r="W143" s="23">
        <f t="shared" si="121"/>
        <v>-3.0769230769230114E-3</v>
      </c>
      <c r="X143" s="330">
        <v>2202486841.4000001</v>
      </c>
      <c r="Y143" s="329">
        <v>3.16</v>
      </c>
      <c r="Z143" s="23">
        <f t="shared" si="136"/>
        <v>-2.3451651776919116E-2</v>
      </c>
      <c r="AA143" s="23">
        <f t="shared" si="137"/>
        <v>-2.4691358024691377E-2</v>
      </c>
      <c r="AB143" s="330">
        <v>2226709276.98</v>
      </c>
      <c r="AC143" s="329">
        <v>3.2</v>
      </c>
      <c r="AD143" s="23">
        <f t="shared" si="138"/>
        <v>1.0997766308834358E-2</v>
      </c>
      <c r="AE143" s="23">
        <f t="shared" si="139"/>
        <v>1.2658227848101276E-2</v>
      </c>
      <c r="AF143" s="330">
        <v>2266365732.1999998</v>
      </c>
      <c r="AG143" s="329">
        <v>3.26</v>
      </c>
      <c r="AH143" s="23">
        <f t="shared" si="140"/>
        <v>1.7809444470355068E-2</v>
      </c>
      <c r="AI143" s="23">
        <f t="shared" si="141"/>
        <v>1.8749999999999878E-2</v>
      </c>
      <c r="AJ143" s="24">
        <f t="shared" si="142"/>
        <v>-1.333219471614625E-3</v>
      </c>
      <c r="AK143" s="24">
        <f t="shared" si="143"/>
        <v>-1.061209524760796E-3</v>
      </c>
      <c r="AL143" s="25">
        <f t="shared" si="144"/>
        <v>2.0244926302518387E-3</v>
      </c>
      <c r="AM143" s="25">
        <f t="shared" si="145"/>
        <v>3.0769230769230114E-3</v>
      </c>
      <c r="AN143" s="26">
        <f t="shared" si="146"/>
        <v>1.2996700591316255E-2</v>
      </c>
      <c r="AO143" s="78">
        <f t="shared" si="147"/>
        <v>1.3767008615022662E-2</v>
      </c>
      <c r="AP143" s="30"/>
      <c r="AQ143" s="340"/>
      <c r="AR143" s="341"/>
      <c r="AS143" s="29"/>
      <c r="AT143" s="29"/>
    </row>
    <row r="144" spans="1:46" s="306" customFormat="1" ht="15.75" customHeight="1">
      <c r="A144" s="206" t="s">
        <v>241</v>
      </c>
      <c r="B144" s="330">
        <v>205436928.25999999</v>
      </c>
      <c r="C144" s="329">
        <v>159.32</v>
      </c>
      <c r="D144" s="330">
        <v>200798978.24000001</v>
      </c>
      <c r="E144" s="329">
        <v>155.84</v>
      </c>
      <c r="F144" s="23">
        <f t="shared" si="112"/>
        <v>-2.2576028853635379E-2</v>
      </c>
      <c r="G144" s="23">
        <f t="shared" si="113"/>
        <v>-2.184283203615359E-2</v>
      </c>
      <c r="H144" s="330">
        <v>202521215.75999999</v>
      </c>
      <c r="I144" s="329">
        <v>157.19</v>
      </c>
      <c r="J144" s="23">
        <f t="shared" si="114"/>
        <v>8.5769237228962344E-3</v>
      </c>
      <c r="K144" s="23">
        <f t="shared" si="115"/>
        <v>8.6627310061601279E-3</v>
      </c>
      <c r="L144" s="330">
        <v>200847717.59</v>
      </c>
      <c r="M144" s="329">
        <v>155.62</v>
      </c>
      <c r="N144" s="23">
        <f t="shared" si="116"/>
        <v>-8.2633227522354216E-3</v>
      </c>
      <c r="O144" s="23">
        <f t="shared" si="117"/>
        <v>-9.9879127170939188E-3</v>
      </c>
      <c r="P144" s="330">
        <v>202794728.06</v>
      </c>
      <c r="Q144" s="329">
        <v>155.21</v>
      </c>
      <c r="R144" s="23">
        <f t="shared" si="118"/>
        <v>9.6939636325592896E-3</v>
      </c>
      <c r="S144" s="23">
        <f t="shared" si="119"/>
        <v>-2.6346227991260545E-3</v>
      </c>
      <c r="T144" s="330">
        <v>187572810.06</v>
      </c>
      <c r="U144" s="329">
        <v>155.21</v>
      </c>
      <c r="V144" s="23">
        <f t="shared" si="120"/>
        <v>-7.5060718518759312E-2</v>
      </c>
      <c r="W144" s="23">
        <f t="shared" si="121"/>
        <v>0</v>
      </c>
      <c r="X144" s="330">
        <v>197315448.12</v>
      </c>
      <c r="Y144" s="329">
        <v>155.21</v>
      </c>
      <c r="Z144" s="23">
        <f t="shared" si="136"/>
        <v>5.1940566742501582E-2</v>
      </c>
      <c r="AA144" s="23">
        <f t="shared" si="137"/>
        <v>0</v>
      </c>
      <c r="AB144" s="330">
        <v>197619997.56</v>
      </c>
      <c r="AC144" s="329">
        <v>155.21</v>
      </c>
      <c r="AD144" s="23">
        <f t="shared" si="138"/>
        <v>1.5434647560630013E-3</v>
      </c>
      <c r="AE144" s="23">
        <f t="shared" si="139"/>
        <v>0</v>
      </c>
      <c r="AF144" s="330">
        <v>199592627.5</v>
      </c>
      <c r="AG144" s="329">
        <v>154.97999999999999</v>
      </c>
      <c r="AH144" s="23">
        <f t="shared" si="140"/>
        <v>9.9819348464523765E-3</v>
      </c>
      <c r="AI144" s="23">
        <f t="shared" si="141"/>
        <v>-1.4818632820051425E-3</v>
      </c>
      <c r="AJ144" s="24">
        <f t="shared" si="142"/>
        <v>-3.0204020530197034E-3</v>
      </c>
      <c r="AK144" s="24">
        <f t="shared" si="143"/>
        <v>-3.4105624785273217E-3</v>
      </c>
      <c r="AL144" s="25">
        <f t="shared" si="144"/>
        <v>-6.0077533788949295E-3</v>
      </c>
      <c r="AM144" s="25">
        <f t="shared" si="145"/>
        <v>-5.5184804928132287E-3</v>
      </c>
      <c r="AN144" s="26">
        <f t="shared" si="146"/>
        <v>3.6068325537368606E-2</v>
      </c>
      <c r="AO144" s="78">
        <f t="shared" si="147"/>
        <v>9.0078718353109235E-3</v>
      </c>
      <c r="AP144" s="30"/>
      <c r="AQ144" s="340"/>
      <c r="AR144" s="341"/>
      <c r="AS144" s="29"/>
      <c r="AT144" s="29"/>
    </row>
    <row r="145" spans="1:41">
      <c r="A145" s="208" t="s">
        <v>42</v>
      </c>
      <c r="B145" s="220">
        <f>SUM(B121:B144)</f>
        <v>31644276857.633724</v>
      </c>
      <c r="C145" s="87"/>
      <c r="D145" s="220">
        <f>SUM(D121:D144)</f>
        <v>31193956823.055725</v>
      </c>
      <c r="E145" s="87"/>
      <c r="F145" s="23">
        <f>((D145-B145)/B145)</f>
        <v>-1.4230694435014903E-2</v>
      </c>
      <c r="G145" s="23"/>
      <c r="H145" s="220">
        <f>SUM(H121:H144)</f>
        <v>31270923143.61771</v>
      </c>
      <c r="I145" s="87"/>
      <c r="J145" s="23">
        <f>((H145-D145)/D145)</f>
        <v>2.4673471531222527E-3</v>
      </c>
      <c r="K145" s="23"/>
      <c r="L145" s="220">
        <f>SUM(L121:L144)</f>
        <v>31357580652.946274</v>
      </c>
      <c r="M145" s="87"/>
      <c r="N145" s="23">
        <f>((L145-H145)/H145)</f>
        <v>2.7711848777400164E-3</v>
      </c>
      <c r="O145" s="23"/>
      <c r="P145" s="220">
        <f>SUM(P121:P144)</f>
        <v>31214054403.725143</v>
      </c>
      <c r="Q145" s="87"/>
      <c r="R145" s="23">
        <f>((P145-L145)/L145)</f>
        <v>-4.5770829966005379E-3</v>
      </c>
      <c r="S145" s="23"/>
      <c r="T145" s="220">
        <f>SUM(T121:T144)</f>
        <v>31040700634.661449</v>
      </c>
      <c r="U145" s="87"/>
      <c r="V145" s="23">
        <f>((T145-P145)/P145)</f>
        <v>-5.5537088140336435E-3</v>
      </c>
      <c r="W145" s="23"/>
      <c r="X145" s="220">
        <f>SUM(X121:X144)</f>
        <v>31064229357.892361</v>
      </c>
      <c r="Y145" s="87"/>
      <c r="Z145" s="23">
        <f>((X145-T145)/T145)</f>
        <v>7.579958812088803E-4</v>
      </c>
      <c r="AA145" s="23"/>
      <c r="AB145" s="220">
        <f>SUM(AB121:AB144)</f>
        <v>31321324637.973106</v>
      </c>
      <c r="AC145" s="87"/>
      <c r="AD145" s="23">
        <f>((AB145-X145)/X145)</f>
        <v>8.2762484502267742E-3</v>
      </c>
      <c r="AE145" s="23"/>
      <c r="AF145" s="220">
        <f>SUM(AF121:AF144)</f>
        <v>31685014995.591473</v>
      </c>
      <c r="AG145" s="87"/>
      <c r="AH145" s="23">
        <f>((AF145-AB145)/AB145)</f>
        <v>1.1611589286917901E-2</v>
      </c>
      <c r="AI145" s="23"/>
      <c r="AJ145" s="24">
        <f t="shared" si="142"/>
        <v>1.9035992544584276E-4</v>
      </c>
      <c r="AK145" s="24"/>
      <c r="AL145" s="25">
        <f t="shared" si="144"/>
        <v>1.5742093102238383E-2</v>
      </c>
      <c r="AM145" s="25"/>
      <c r="AN145" s="26">
        <f t="shared" si="146"/>
        <v>8.208734535989224E-3</v>
      </c>
      <c r="AO145" s="78"/>
    </row>
    <row r="146" spans="1:41" s="110" customFormat="1" ht="8.25" customHeight="1">
      <c r="A146" s="208"/>
      <c r="B146" s="87"/>
      <c r="C146" s="87"/>
      <c r="D146" s="87"/>
      <c r="E146" s="87"/>
      <c r="F146" s="23"/>
      <c r="G146" s="23"/>
      <c r="H146" s="87"/>
      <c r="I146" s="87"/>
      <c r="J146" s="23"/>
      <c r="K146" s="23"/>
      <c r="L146" s="87"/>
      <c r="M146" s="87"/>
      <c r="N146" s="23"/>
      <c r="O146" s="23"/>
      <c r="P146" s="87"/>
      <c r="Q146" s="87"/>
      <c r="R146" s="23"/>
      <c r="S146" s="23"/>
      <c r="T146" s="87"/>
      <c r="U146" s="87"/>
      <c r="V146" s="23"/>
      <c r="W146" s="23"/>
      <c r="X146" s="87"/>
      <c r="Y146" s="87"/>
      <c r="Z146" s="23"/>
      <c r="AA146" s="23"/>
      <c r="AB146" s="87"/>
      <c r="AC146" s="87"/>
      <c r="AD146" s="23"/>
      <c r="AE146" s="23"/>
      <c r="AF146" s="87"/>
      <c r="AG146" s="87"/>
      <c r="AH146" s="23"/>
      <c r="AI146" s="23"/>
      <c r="AJ146" s="24"/>
      <c r="AK146" s="24"/>
      <c r="AL146" s="25"/>
      <c r="AM146" s="25"/>
      <c r="AN146" s="26"/>
      <c r="AO146" s="78"/>
    </row>
    <row r="147" spans="1:41" s="110" customFormat="1">
      <c r="A147" s="210" t="s">
        <v>67</v>
      </c>
      <c r="B147" s="87"/>
      <c r="C147" s="87"/>
      <c r="D147" s="87"/>
      <c r="E147" s="87"/>
      <c r="F147" s="23"/>
      <c r="G147" s="23"/>
      <c r="H147" s="87"/>
      <c r="I147" s="87"/>
      <c r="J147" s="23"/>
      <c r="K147" s="23"/>
      <c r="L147" s="87"/>
      <c r="M147" s="87"/>
      <c r="N147" s="23"/>
      <c r="O147" s="23"/>
      <c r="P147" s="87"/>
      <c r="Q147" s="87"/>
      <c r="R147" s="23"/>
      <c r="S147" s="23"/>
      <c r="T147" s="87"/>
      <c r="U147" s="87"/>
      <c r="V147" s="23"/>
      <c r="W147" s="23"/>
      <c r="X147" s="87"/>
      <c r="Y147" s="87"/>
      <c r="Z147" s="23"/>
      <c r="AA147" s="23"/>
      <c r="AB147" s="87"/>
      <c r="AC147" s="87"/>
      <c r="AD147" s="23"/>
      <c r="AE147" s="23"/>
      <c r="AF147" s="87"/>
      <c r="AG147" s="87"/>
      <c r="AH147" s="23"/>
      <c r="AI147" s="23"/>
      <c r="AJ147" s="24"/>
      <c r="AK147" s="24"/>
      <c r="AL147" s="25"/>
      <c r="AM147" s="25"/>
      <c r="AN147" s="26"/>
      <c r="AO147" s="78"/>
    </row>
    <row r="148" spans="1:41" s="110" customFormat="1">
      <c r="A148" s="207" t="s">
        <v>26</v>
      </c>
      <c r="B148" s="326">
        <v>636659148.11000001</v>
      </c>
      <c r="C148" s="326">
        <v>48.968600000000002</v>
      </c>
      <c r="D148" s="326">
        <v>634569310.63</v>
      </c>
      <c r="E148" s="326">
        <v>48.831899999999997</v>
      </c>
      <c r="F148" s="23">
        <f t="shared" ref="F148:G150" si="148">((D148-B148)/B148)</f>
        <v>-3.2825060100117234E-3</v>
      </c>
      <c r="G148" s="23">
        <f t="shared" si="148"/>
        <v>-2.7915848114915417E-3</v>
      </c>
      <c r="H148" s="326">
        <v>549945703.21000004</v>
      </c>
      <c r="I148" s="326">
        <v>48.862400000000001</v>
      </c>
      <c r="J148" s="23">
        <f t="shared" ref="J148:K150" si="149">((H148-D148)/D148)</f>
        <v>-0.13335597231449106</v>
      </c>
      <c r="K148" s="23">
        <f t="shared" si="149"/>
        <v>6.2459171156566769E-4</v>
      </c>
      <c r="L148" s="326">
        <v>549272911.86000001</v>
      </c>
      <c r="M148" s="326">
        <v>48.790199999999999</v>
      </c>
      <c r="N148" s="23">
        <f t="shared" ref="N148:O150" si="150">((L148-H148)/H148)</f>
        <v>-1.2233777736110694E-3</v>
      </c>
      <c r="O148" s="23">
        <f t="shared" si="150"/>
        <v>-1.4776187825404044E-3</v>
      </c>
      <c r="P148" s="326">
        <v>535695586.55000001</v>
      </c>
      <c r="Q148" s="326">
        <v>47.569400000000002</v>
      </c>
      <c r="R148" s="23">
        <f t="shared" ref="R148:S150" si="151">((P148-L148)/L148)</f>
        <v>-2.4718723637805431E-2</v>
      </c>
      <c r="S148" s="23">
        <f t="shared" si="151"/>
        <v>-2.5021418235629225E-2</v>
      </c>
      <c r="T148" s="326">
        <v>529813279.63999999</v>
      </c>
      <c r="U148" s="326">
        <v>47.0655</v>
      </c>
      <c r="V148" s="23">
        <f t="shared" ref="V148:W150" si="152">((T148-P148)/P148)</f>
        <v>-1.0980689514138813E-2</v>
      </c>
      <c r="W148" s="23">
        <f t="shared" si="152"/>
        <v>-1.0592944203626734E-2</v>
      </c>
      <c r="X148" s="326">
        <v>527986842.94</v>
      </c>
      <c r="Y148" s="326">
        <v>47.099299999999999</v>
      </c>
      <c r="Z148" s="23">
        <f t="shared" ref="Z148:Z150" si="153">((X148-T148)/T148)</f>
        <v>-3.4473214813358845E-3</v>
      </c>
      <c r="AA148" s="23">
        <f t="shared" ref="AA148:AA150" si="154">((Y148-U148)/U148)</f>
        <v>7.181481127364925E-4</v>
      </c>
      <c r="AB148" s="326">
        <v>532477716.75</v>
      </c>
      <c r="AC148" s="326">
        <v>47.486600000000003</v>
      </c>
      <c r="AD148" s="23">
        <f t="shared" ref="AD148:AD150" si="155">((AB148-X148)/X148)</f>
        <v>8.505654771610173E-3</v>
      </c>
      <c r="AE148" s="23">
        <f t="shared" ref="AE148:AE150" si="156">((AC148-Y148)/Y148)</f>
        <v>8.2230521472718976E-3</v>
      </c>
      <c r="AF148" s="326">
        <v>535215028.16000003</v>
      </c>
      <c r="AG148" s="326">
        <v>47.703400000000002</v>
      </c>
      <c r="AH148" s="23">
        <f t="shared" ref="AH148:AH150" si="157">((AF148-AB148)/AB148)</f>
        <v>5.140706031244501E-3</v>
      </c>
      <c r="AI148" s="23">
        <f t="shared" ref="AI148:AI150" si="158">((AG148-AC148)/AC148)</f>
        <v>4.5654984774652048E-3</v>
      </c>
      <c r="AJ148" s="24">
        <f t="shared" si="142"/>
        <v>-2.0420278741067412E-2</v>
      </c>
      <c r="AK148" s="24">
        <f t="shared" si="143"/>
        <v>-3.2190344480310796E-3</v>
      </c>
      <c r="AL148" s="25">
        <f t="shared" si="144"/>
        <v>-0.15656963046536415</v>
      </c>
      <c r="AM148" s="25">
        <f t="shared" si="145"/>
        <v>-2.3109893327926938E-2</v>
      </c>
      <c r="AN148" s="26">
        <f t="shared" si="146"/>
        <v>4.6755339599420846E-2</v>
      </c>
      <c r="AO148" s="78">
        <f t="shared" si="147"/>
        <v>1.0383564573135221E-2</v>
      </c>
    </row>
    <row r="149" spans="1:41">
      <c r="A149" s="207" t="s">
        <v>195</v>
      </c>
      <c r="B149" s="325">
        <v>613676815.48000002</v>
      </c>
      <c r="C149" s="326">
        <v>16.839200000000002</v>
      </c>
      <c r="D149" s="325">
        <v>606564709.72000003</v>
      </c>
      <c r="E149" s="326">
        <v>16.714099999999998</v>
      </c>
      <c r="F149" s="23">
        <f t="shared" si="148"/>
        <v>-1.1589334288989082E-2</v>
      </c>
      <c r="G149" s="23">
        <f t="shared" si="148"/>
        <v>-7.429094018718425E-3</v>
      </c>
      <c r="H149" s="325">
        <v>607964722.22000003</v>
      </c>
      <c r="I149" s="326">
        <v>16.6525</v>
      </c>
      <c r="J149" s="23">
        <f t="shared" si="149"/>
        <v>2.308100813590471E-3</v>
      </c>
      <c r="K149" s="23">
        <f t="shared" si="149"/>
        <v>-3.6855110355926163E-3</v>
      </c>
      <c r="L149" s="325">
        <v>606894083.29999995</v>
      </c>
      <c r="M149" s="326">
        <v>16.6816</v>
      </c>
      <c r="N149" s="23">
        <f t="shared" si="150"/>
        <v>-1.7610214554729566E-3</v>
      </c>
      <c r="O149" s="23">
        <f t="shared" si="150"/>
        <v>1.7474853625581554E-3</v>
      </c>
      <c r="P149" s="325">
        <v>606641779.87</v>
      </c>
      <c r="Q149" s="326">
        <v>16.731100000000001</v>
      </c>
      <c r="R149" s="23">
        <f t="shared" si="151"/>
        <v>-4.1572893350358945E-4</v>
      </c>
      <c r="S149" s="23">
        <f t="shared" si="151"/>
        <v>2.9673412622291551E-3</v>
      </c>
      <c r="T149" s="325">
        <v>607464513.48000002</v>
      </c>
      <c r="U149" s="326">
        <v>16.692299999999999</v>
      </c>
      <c r="V149" s="23">
        <f t="shared" si="152"/>
        <v>1.3562099369026669E-3</v>
      </c>
      <c r="W149" s="23">
        <f t="shared" si="152"/>
        <v>-2.3190346121893923E-3</v>
      </c>
      <c r="X149" s="325">
        <v>613179496.97000003</v>
      </c>
      <c r="Y149" s="326">
        <v>16.7182</v>
      </c>
      <c r="Z149" s="23">
        <f t="shared" si="153"/>
        <v>9.4079297854954749E-3</v>
      </c>
      <c r="AA149" s="23">
        <f t="shared" si="154"/>
        <v>1.5516136182551258E-3</v>
      </c>
      <c r="AB149" s="325">
        <v>607669075.78999996</v>
      </c>
      <c r="AC149" s="326">
        <v>16.986599999999999</v>
      </c>
      <c r="AD149" s="23">
        <f t="shared" si="155"/>
        <v>-8.986636388251033E-3</v>
      </c>
      <c r="AE149" s="23">
        <f t="shared" si="156"/>
        <v>1.6054359919130037E-2</v>
      </c>
      <c r="AF149" s="325">
        <v>607669075.78999996</v>
      </c>
      <c r="AG149" s="326">
        <v>17.139299999999999</v>
      </c>
      <c r="AH149" s="23">
        <f t="shared" si="157"/>
        <v>0</v>
      </c>
      <c r="AI149" s="23">
        <f t="shared" si="158"/>
        <v>8.9894387340609307E-3</v>
      </c>
      <c r="AJ149" s="24">
        <f t="shared" si="142"/>
        <v>-1.2100600662785059E-3</v>
      </c>
      <c r="AK149" s="24">
        <f t="shared" si="143"/>
        <v>2.2345749037166211E-3</v>
      </c>
      <c r="AL149" s="25">
        <f t="shared" si="144"/>
        <v>1.8206896186059461E-3</v>
      </c>
      <c r="AM149" s="25">
        <f t="shared" si="145"/>
        <v>2.5439598901526275E-2</v>
      </c>
      <c r="AN149" s="26">
        <f t="shared" si="146"/>
        <v>6.5716723751570024E-3</v>
      </c>
      <c r="AO149" s="78">
        <f t="shared" si="147"/>
        <v>7.435672284986798E-3</v>
      </c>
    </row>
    <row r="150" spans="1:41">
      <c r="A150" s="207" t="s">
        <v>25</v>
      </c>
      <c r="B150" s="325">
        <v>1934084517.97</v>
      </c>
      <c r="C150" s="326">
        <v>1.54</v>
      </c>
      <c r="D150" s="325">
        <v>1896919676.9100001</v>
      </c>
      <c r="E150" s="326">
        <v>1.51</v>
      </c>
      <c r="F150" s="23">
        <f t="shared" si="148"/>
        <v>-1.9215727500372048E-2</v>
      </c>
      <c r="G150" s="23">
        <f t="shared" si="148"/>
        <v>-1.9480519480519497E-2</v>
      </c>
      <c r="H150" s="325">
        <v>1904826585.9400001</v>
      </c>
      <c r="I150" s="326">
        <v>1.52</v>
      </c>
      <c r="J150" s="23">
        <f t="shared" si="149"/>
        <v>4.1682887927442366E-3</v>
      </c>
      <c r="K150" s="23">
        <f t="shared" si="149"/>
        <v>6.6225165562913968E-3</v>
      </c>
      <c r="L150" s="325">
        <v>1909452911.46</v>
      </c>
      <c r="M150" s="326">
        <v>1.52</v>
      </c>
      <c r="N150" s="23">
        <f t="shared" si="150"/>
        <v>2.4287384238271571E-3</v>
      </c>
      <c r="O150" s="23">
        <f t="shared" si="150"/>
        <v>0</v>
      </c>
      <c r="P150" s="325">
        <v>1902635686.27</v>
      </c>
      <c r="Q150" s="326">
        <v>1.52</v>
      </c>
      <c r="R150" s="23">
        <f t="shared" si="151"/>
        <v>-3.5702504885483095E-3</v>
      </c>
      <c r="S150" s="23">
        <f t="shared" si="151"/>
        <v>0</v>
      </c>
      <c r="T150" s="325">
        <v>1260332552.6700001</v>
      </c>
      <c r="U150" s="326">
        <v>1.52</v>
      </c>
      <c r="V150" s="23">
        <f t="shared" si="152"/>
        <v>-0.33758598045598293</v>
      </c>
      <c r="W150" s="23">
        <f t="shared" si="152"/>
        <v>0</v>
      </c>
      <c r="X150" s="325">
        <v>1875545851.6199999</v>
      </c>
      <c r="Y150" s="326">
        <v>1.5</v>
      </c>
      <c r="Z150" s="23">
        <f t="shared" si="153"/>
        <v>0.48813568898674997</v>
      </c>
      <c r="AA150" s="23">
        <f t="shared" si="154"/>
        <v>-1.3157894736842117E-2</v>
      </c>
      <c r="AB150" s="325">
        <v>1879399528.9000001</v>
      </c>
      <c r="AC150" s="326">
        <v>1.5</v>
      </c>
      <c r="AD150" s="23">
        <f t="shared" si="155"/>
        <v>2.0546963843467766E-3</v>
      </c>
      <c r="AE150" s="23">
        <f t="shared" si="156"/>
        <v>0</v>
      </c>
      <c r="AF150" s="325">
        <v>1915614003.02</v>
      </c>
      <c r="AG150" s="326">
        <v>1.53</v>
      </c>
      <c r="AH150" s="23">
        <f t="shared" si="157"/>
        <v>1.9269172713476189E-2</v>
      </c>
      <c r="AI150" s="23">
        <f t="shared" si="158"/>
        <v>2.0000000000000018E-2</v>
      </c>
      <c r="AJ150" s="24">
        <f t="shared" si="142"/>
        <v>1.9460578357030134E-2</v>
      </c>
      <c r="AK150" s="24">
        <f t="shared" si="143"/>
        <v>-7.5198720763377472E-4</v>
      </c>
      <c r="AL150" s="25">
        <f t="shared" si="144"/>
        <v>9.8550963109055537E-3</v>
      </c>
      <c r="AM150" s="25">
        <f t="shared" si="145"/>
        <v>1.3245033112582794E-2</v>
      </c>
      <c r="AN150" s="26">
        <f t="shared" si="146"/>
        <v>0.22360418449032393</v>
      </c>
      <c r="AO150" s="78">
        <f t="shared" si="147"/>
        <v>1.1904109018027062E-2</v>
      </c>
    </row>
    <row r="151" spans="1:41">
      <c r="A151" s="208" t="s">
        <v>42</v>
      </c>
      <c r="B151" s="220">
        <f>SUM(B148:B150)</f>
        <v>3184420481.5600004</v>
      </c>
      <c r="C151" s="87"/>
      <c r="D151" s="220">
        <f>SUM(D148:D150)</f>
        <v>3138053697.2600002</v>
      </c>
      <c r="E151" s="87"/>
      <c r="F151" s="23">
        <f>((D151-B151)/B151)</f>
        <v>-1.4560509382632092E-2</v>
      </c>
      <c r="G151" s="23"/>
      <c r="H151" s="220">
        <f>SUM(H148:H150)</f>
        <v>3062737011.3699999</v>
      </c>
      <c r="I151" s="87"/>
      <c r="J151" s="23">
        <f>((H151-D151)/D151)</f>
        <v>-2.4001082567759534E-2</v>
      </c>
      <c r="K151" s="23"/>
      <c r="L151" s="220">
        <f>SUM(L148:L150)</f>
        <v>3065619906.6199999</v>
      </c>
      <c r="M151" s="87"/>
      <c r="N151" s="23">
        <f>((L151-H151)/H151)</f>
        <v>9.4128070392516183E-4</v>
      </c>
      <c r="O151" s="23"/>
      <c r="P151" s="220">
        <f>SUM(P148:P150)</f>
        <v>3044973052.6900001</v>
      </c>
      <c r="Q151" s="87"/>
      <c r="R151" s="23">
        <f>((P151-L151)/L151)</f>
        <v>-6.7349686389412914E-3</v>
      </c>
      <c r="S151" s="23"/>
      <c r="T151" s="220">
        <f>SUM(T148:T150)</f>
        <v>2397610345.79</v>
      </c>
      <c r="U151" s="87"/>
      <c r="V151" s="23">
        <f>((T151-P151)/P151)</f>
        <v>-0.21260047156348552</v>
      </c>
      <c r="W151" s="23"/>
      <c r="X151" s="220">
        <f>SUM(X148:X150)</f>
        <v>3016712191.5299997</v>
      </c>
      <c r="Y151" s="87"/>
      <c r="Z151" s="23">
        <f>((X151-T151)/T151)</f>
        <v>0.25821620549272739</v>
      </c>
      <c r="AA151" s="23"/>
      <c r="AB151" s="220">
        <f>SUM(AB148:AB150)</f>
        <v>3019546321.4400001</v>
      </c>
      <c r="AC151" s="87"/>
      <c r="AD151" s="23">
        <f>((AB151-X151)/X151)</f>
        <v>9.3947640015434343E-4</v>
      </c>
      <c r="AE151" s="23"/>
      <c r="AF151" s="220">
        <f>SUM(AF148:AF150)</f>
        <v>3058498106.9700003</v>
      </c>
      <c r="AG151" s="87"/>
      <c r="AH151" s="23">
        <f>((AF151-AB151)/AB151)</f>
        <v>1.2899880108951062E-2</v>
      </c>
      <c r="AI151" s="23"/>
      <c r="AJ151" s="24">
        <f t="shared" si="142"/>
        <v>1.8874763191174414E-3</v>
      </c>
      <c r="AK151" s="24"/>
      <c r="AL151" s="25">
        <f t="shared" si="144"/>
        <v>-2.5351889408222725E-2</v>
      </c>
      <c r="AM151" s="25"/>
      <c r="AN151" s="26">
        <f t="shared" si="146"/>
        <v>0.126968873849238</v>
      </c>
      <c r="AO151" s="78"/>
    </row>
    <row r="152" spans="1:41" ht="8.25" customHeight="1">
      <c r="A152" s="208"/>
      <c r="B152" s="87"/>
      <c r="C152" s="87"/>
      <c r="D152" s="87"/>
      <c r="E152" s="87"/>
      <c r="F152" s="23"/>
      <c r="G152" s="23"/>
      <c r="H152" s="87"/>
      <c r="I152" s="87"/>
      <c r="J152" s="23"/>
      <c r="K152" s="23"/>
      <c r="L152" s="87"/>
      <c r="M152" s="87"/>
      <c r="N152" s="23"/>
      <c r="O152" s="23"/>
      <c r="P152" s="87"/>
      <c r="Q152" s="87"/>
      <c r="R152" s="23"/>
      <c r="S152" s="23"/>
      <c r="T152" s="87"/>
      <c r="U152" s="87"/>
      <c r="V152" s="23"/>
      <c r="W152" s="23"/>
      <c r="X152" s="87"/>
      <c r="Y152" s="87"/>
      <c r="Z152" s="23"/>
      <c r="AA152" s="23"/>
      <c r="AB152" s="87"/>
      <c r="AC152" s="87"/>
      <c r="AD152" s="23"/>
      <c r="AE152" s="23"/>
      <c r="AF152" s="87"/>
      <c r="AG152" s="87"/>
      <c r="AH152" s="23"/>
      <c r="AI152" s="23"/>
      <c r="AJ152" s="24"/>
      <c r="AK152" s="24"/>
      <c r="AL152" s="25"/>
      <c r="AM152" s="25"/>
      <c r="AN152" s="26"/>
      <c r="AO152" s="78"/>
    </row>
    <row r="153" spans="1:41">
      <c r="A153" s="211" t="s">
        <v>204</v>
      </c>
      <c r="B153" s="87"/>
      <c r="C153" s="87"/>
      <c r="D153" s="87"/>
      <c r="E153" s="87"/>
      <c r="F153" s="23"/>
      <c r="G153" s="23"/>
      <c r="H153" s="87"/>
      <c r="I153" s="87"/>
      <c r="J153" s="23"/>
      <c r="K153" s="23"/>
      <c r="L153" s="87"/>
      <c r="M153" s="87"/>
      <c r="N153" s="23"/>
      <c r="O153" s="23"/>
      <c r="P153" s="87"/>
      <c r="Q153" s="87"/>
      <c r="R153" s="23"/>
      <c r="S153" s="23"/>
      <c r="T153" s="87"/>
      <c r="U153" s="87"/>
      <c r="V153" s="23"/>
      <c r="W153" s="23"/>
      <c r="X153" s="87"/>
      <c r="Y153" s="87"/>
      <c r="Z153" s="23"/>
      <c r="AA153" s="23"/>
      <c r="AB153" s="87"/>
      <c r="AC153" s="87"/>
      <c r="AD153" s="23"/>
      <c r="AE153" s="23"/>
      <c r="AF153" s="87"/>
      <c r="AG153" s="87"/>
      <c r="AH153" s="23"/>
      <c r="AI153" s="23"/>
      <c r="AJ153" s="24"/>
      <c r="AK153" s="24"/>
      <c r="AL153" s="25"/>
      <c r="AM153" s="25"/>
      <c r="AN153" s="26"/>
      <c r="AO153" s="78"/>
    </row>
    <row r="154" spans="1:41">
      <c r="A154" s="212" t="s">
        <v>205</v>
      </c>
      <c r="B154" s="87"/>
      <c r="C154" s="87"/>
      <c r="D154" s="87"/>
      <c r="E154" s="87"/>
      <c r="F154" s="23"/>
      <c r="G154" s="23"/>
      <c r="H154" s="87"/>
      <c r="I154" s="87"/>
      <c r="J154" s="23"/>
      <c r="K154" s="23"/>
      <c r="L154" s="87"/>
      <c r="M154" s="87"/>
      <c r="N154" s="23"/>
      <c r="O154" s="23"/>
      <c r="P154" s="87"/>
      <c r="Q154" s="87"/>
      <c r="R154" s="23"/>
      <c r="S154" s="23"/>
      <c r="T154" s="87"/>
      <c r="U154" s="87"/>
      <c r="V154" s="23"/>
      <c r="W154" s="23"/>
      <c r="X154" s="87"/>
      <c r="Y154" s="87"/>
      <c r="Z154" s="23"/>
      <c r="AA154" s="23"/>
      <c r="AB154" s="87"/>
      <c r="AC154" s="87"/>
      <c r="AD154" s="23"/>
      <c r="AE154" s="23"/>
      <c r="AF154" s="87"/>
      <c r="AG154" s="87"/>
      <c r="AH154" s="23"/>
      <c r="AI154" s="23"/>
      <c r="AJ154" s="24"/>
      <c r="AK154" s="24"/>
      <c r="AL154" s="25"/>
      <c r="AM154" s="25"/>
      <c r="AN154" s="26"/>
      <c r="AO154" s="78"/>
    </row>
    <row r="155" spans="1:41">
      <c r="A155" s="207" t="s">
        <v>24</v>
      </c>
      <c r="B155" s="320">
        <v>3735111784.6900001</v>
      </c>
      <c r="C155" s="321">
        <v>1.86</v>
      </c>
      <c r="D155" s="320">
        <v>3745618807.2600002</v>
      </c>
      <c r="E155" s="321">
        <v>1.86</v>
      </c>
      <c r="F155" s="23">
        <f>((D148-B155)/B155)</f>
        <v>-0.8301070095864167</v>
      </c>
      <c r="G155" s="23">
        <f>((E155-C155)/C155)</f>
        <v>0</v>
      </c>
      <c r="H155" s="320">
        <v>3724875608.98</v>
      </c>
      <c r="I155" s="321">
        <v>1.85</v>
      </c>
      <c r="J155" s="23">
        <f>((H148-D155)/D155)</f>
        <v>-0.85317627566797249</v>
      </c>
      <c r="K155" s="23">
        <f>((I155-E155)/E155)</f>
        <v>-5.3763440860215101E-3</v>
      </c>
      <c r="L155" s="320">
        <v>3701217416.4699998</v>
      </c>
      <c r="M155" s="321">
        <v>1.84</v>
      </c>
      <c r="N155" s="23">
        <f>((L148-H155)/H155)</f>
        <v>-0.85253926049616191</v>
      </c>
      <c r="O155" s="23">
        <f>((M155-I155)/I155)</f>
        <v>-5.40540540540541E-3</v>
      </c>
      <c r="P155" s="320">
        <v>3701217416.4699998</v>
      </c>
      <c r="Q155" s="321">
        <v>1.84</v>
      </c>
      <c r="R155" s="23">
        <f>((P148-L155)/L155)</f>
        <v>-0.85526503140123156</v>
      </c>
      <c r="S155" s="23">
        <f>((Q155-M155)/M155)</f>
        <v>0</v>
      </c>
      <c r="T155" s="320">
        <v>3475846099.6700001</v>
      </c>
      <c r="U155" s="321">
        <v>1.73</v>
      </c>
      <c r="V155" s="23">
        <f>((T148-P155)/P155)</f>
        <v>-0.85685432115325333</v>
      </c>
      <c r="W155" s="23">
        <f>((U155-Q155)/Q155)</f>
        <v>-5.9782608695652224E-2</v>
      </c>
      <c r="X155" s="320">
        <v>3479099974.02</v>
      </c>
      <c r="Y155" s="321">
        <v>1.73</v>
      </c>
      <c r="Z155" s="23">
        <f>((X148-T155)/T155)</f>
        <v>-0.8480983254724288</v>
      </c>
      <c r="AA155" s="23">
        <f>((Y155-U155)/U155)</f>
        <v>0</v>
      </c>
      <c r="AB155" s="320">
        <v>3496297059.2199998</v>
      </c>
      <c r="AC155" s="321">
        <v>1.74</v>
      </c>
      <c r="AD155" s="23">
        <f>((AB148-X155)/X155)</f>
        <v>-0.84694957870534049</v>
      </c>
      <c r="AE155" s="23">
        <f>((AC155-Y155)/Y155)</f>
        <v>5.7803468208092535E-3</v>
      </c>
      <c r="AF155" s="320">
        <v>3519541965.3000002</v>
      </c>
      <c r="AG155" s="321">
        <v>1.75</v>
      </c>
      <c r="AH155" s="23">
        <f>((AF148-AB155)/AB155)</f>
        <v>-0.84691946390865236</v>
      </c>
      <c r="AI155" s="23">
        <f>((AG155-AC155)/AC155)</f>
        <v>5.7471264367816143E-3</v>
      </c>
      <c r="AJ155" s="24">
        <f t="shared" si="142"/>
        <v>-0.84873865829893214</v>
      </c>
      <c r="AK155" s="24">
        <f t="shared" si="143"/>
        <v>-7.3796106161860345E-3</v>
      </c>
      <c r="AL155" s="25">
        <f t="shared" si="144"/>
        <v>-6.0357674817790669E-2</v>
      </c>
      <c r="AM155" s="25">
        <f t="shared" si="145"/>
        <v>-5.9139784946236611E-2</v>
      </c>
      <c r="AN155" s="26">
        <f t="shared" si="146"/>
        <v>8.4232093332998661E-3</v>
      </c>
      <c r="AO155" s="78">
        <f t="shared" si="147"/>
        <v>2.1589866785344813E-2</v>
      </c>
    </row>
    <row r="156" spans="1:41">
      <c r="A156" s="206" t="s">
        <v>66</v>
      </c>
      <c r="B156" s="320">
        <v>316733964.77999997</v>
      </c>
      <c r="C156" s="321">
        <v>285.5</v>
      </c>
      <c r="D156" s="320">
        <v>315651675.77999997</v>
      </c>
      <c r="E156" s="321">
        <v>281.76</v>
      </c>
      <c r="F156" s="23">
        <f>((D149-B156)/B156)</f>
        <v>0.91506051503290275</v>
      </c>
      <c r="G156" s="23">
        <f>((E156-C156)/C156)</f>
        <v>-1.309982486865152E-2</v>
      </c>
      <c r="H156" s="320">
        <v>311592445.26999998</v>
      </c>
      <c r="I156" s="321">
        <v>281.85000000000002</v>
      </c>
      <c r="J156" s="23">
        <f>((H149-D156)/D156)</f>
        <v>0.92606207686897801</v>
      </c>
      <c r="K156" s="23">
        <f>((I156-E156)/E156)</f>
        <v>3.1942078364576888E-4</v>
      </c>
      <c r="L156" s="320">
        <v>309021966.91000003</v>
      </c>
      <c r="M156" s="321">
        <v>278.35000000000002</v>
      </c>
      <c r="N156" s="23">
        <f>((L149-H156)/H156)</f>
        <v>0.94771757952641067</v>
      </c>
      <c r="O156" s="23">
        <f>((M156-I156)/I156)</f>
        <v>-1.2417952811779313E-2</v>
      </c>
      <c r="P156" s="320">
        <v>313334241.54000002</v>
      </c>
      <c r="Q156" s="321">
        <v>290.57</v>
      </c>
      <c r="R156" s="23">
        <f>((P149-L156)/L156)</f>
        <v>0.96310244846341031</v>
      </c>
      <c r="S156" s="23">
        <f>((Q156-M156)/M156)</f>
        <v>4.3901562780671706E-2</v>
      </c>
      <c r="T156" s="320">
        <v>314258086.06999999</v>
      </c>
      <c r="U156" s="321">
        <v>278.49</v>
      </c>
      <c r="V156" s="23">
        <f>((T149-P156)/P156)</f>
        <v>0.93871091296752363</v>
      </c>
      <c r="W156" s="23">
        <f>((U156-Q156)/Q156)</f>
        <v>-4.1573459063220512E-2</v>
      </c>
      <c r="X156" s="320">
        <v>309759533.98000002</v>
      </c>
      <c r="Y156" s="321">
        <v>277.58</v>
      </c>
      <c r="Z156" s="23">
        <f>((X149-T156)/T156)</f>
        <v>0.95119719794072777</v>
      </c>
      <c r="AA156" s="23">
        <f>((Y156-U156)/U156)</f>
        <v>-3.2676218176596107E-3</v>
      </c>
      <c r="AB156" s="320">
        <v>316030577.88999999</v>
      </c>
      <c r="AC156" s="321">
        <v>281.64</v>
      </c>
      <c r="AD156" s="23">
        <f>((AB149-X156)/X156)</f>
        <v>0.96174454417030086</v>
      </c>
      <c r="AE156" s="23">
        <f>((AC156-Y156)/Y156)</f>
        <v>1.4626414006772831E-2</v>
      </c>
      <c r="AF156" s="320">
        <v>325327433.61000001</v>
      </c>
      <c r="AG156" s="321">
        <v>282.93</v>
      </c>
      <c r="AH156" s="23">
        <f>((AF149-AB156)/AB156)</f>
        <v>0.92281734206589938</v>
      </c>
      <c r="AI156" s="23">
        <f>((AG156-AC156)/AC156)</f>
        <v>4.5803152961227831E-3</v>
      </c>
      <c r="AJ156" s="24">
        <f t="shared" si="142"/>
        <v>0.94080157712951917</v>
      </c>
      <c r="AK156" s="24">
        <f t="shared" si="143"/>
        <v>-8.6639321176223353E-4</v>
      </c>
      <c r="AL156" s="25">
        <f t="shared" si="144"/>
        <v>3.0653275659286425E-2</v>
      </c>
      <c r="AM156" s="25">
        <f t="shared" si="145"/>
        <v>4.1524701873935834E-3</v>
      </c>
      <c r="AN156" s="26">
        <f t="shared" si="146"/>
        <v>1.8124551167567539E-2</v>
      </c>
      <c r="AO156" s="78">
        <f t="shared" si="147"/>
        <v>2.4556629119538705E-2</v>
      </c>
    </row>
    <row r="157" spans="1:41" ht="8.25" customHeight="1">
      <c r="A157" s="208"/>
      <c r="B157" s="87"/>
      <c r="C157" s="87"/>
      <c r="D157" s="87"/>
      <c r="E157" s="87"/>
      <c r="F157" s="23"/>
      <c r="G157" s="23"/>
      <c r="H157" s="87"/>
      <c r="I157" s="87"/>
      <c r="J157" s="23"/>
      <c r="K157" s="23"/>
      <c r="L157" s="87"/>
      <c r="M157" s="87"/>
      <c r="N157" s="23"/>
      <c r="O157" s="23"/>
      <c r="P157" s="87"/>
      <c r="Q157" s="87"/>
      <c r="R157" s="23"/>
      <c r="S157" s="23"/>
      <c r="T157" s="87"/>
      <c r="U157" s="87"/>
      <c r="V157" s="23"/>
      <c r="W157" s="23"/>
      <c r="X157" s="87"/>
      <c r="Y157" s="87"/>
      <c r="Z157" s="23"/>
      <c r="AA157" s="23"/>
      <c r="AB157" s="87"/>
      <c r="AC157" s="87"/>
      <c r="AD157" s="23"/>
      <c r="AE157" s="23"/>
      <c r="AF157" s="87"/>
      <c r="AG157" s="87"/>
      <c r="AH157" s="23"/>
      <c r="AI157" s="23"/>
      <c r="AJ157" s="24"/>
      <c r="AK157" s="24"/>
      <c r="AL157" s="25"/>
      <c r="AM157" s="25"/>
      <c r="AN157" s="26"/>
      <c r="AO157" s="78"/>
    </row>
    <row r="158" spans="1:41">
      <c r="A158" s="212" t="s">
        <v>206</v>
      </c>
      <c r="B158" s="87"/>
      <c r="C158" s="87"/>
      <c r="D158" s="87"/>
      <c r="E158" s="87"/>
      <c r="F158" s="23"/>
      <c r="G158" s="23"/>
      <c r="H158" s="87"/>
      <c r="I158" s="87"/>
      <c r="J158" s="23"/>
      <c r="K158" s="23"/>
      <c r="L158" s="87"/>
      <c r="M158" s="87"/>
      <c r="N158" s="23"/>
      <c r="O158" s="23"/>
      <c r="P158" s="87"/>
      <c r="Q158" s="87"/>
      <c r="R158" s="23"/>
      <c r="S158" s="23"/>
      <c r="T158" s="87"/>
      <c r="U158" s="87"/>
      <c r="V158" s="23"/>
      <c r="W158" s="23"/>
      <c r="X158" s="87"/>
      <c r="Y158" s="87"/>
      <c r="Z158" s="23"/>
      <c r="AA158" s="23"/>
      <c r="AB158" s="87"/>
      <c r="AC158" s="87"/>
      <c r="AD158" s="23"/>
      <c r="AE158" s="23"/>
      <c r="AF158" s="87"/>
      <c r="AG158" s="87"/>
      <c r="AH158" s="23"/>
      <c r="AI158" s="23"/>
      <c r="AJ158" s="24"/>
      <c r="AK158" s="24"/>
      <c r="AL158" s="25"/>
      <c r="AM158" s="25"/>
      <c r="AN158" s="26"/>
      <c r="AO158" s="78"/>
    </row>
    <row r="159" spans="1:41">
      <c r="A159" s="206" t="s">
        <v>236</v>
      </c>
      <c r="B159" s="330">
        <v>502547123.88999999</v>
      </c>
      <c r="C159" s="330">
        <v>1053.0899999999999</v>
      </c>
      <c r="D159" s="330">
        <v>503284232.76999998</v>
      </c>
      <c r="E159" s="330">
        <v>1053.0899999999999</v>
      </c>
      <c r="F159" s="23">
        <f t="shared" ref="F159:G165" si="159">((D159-B159)/B159)</f>
        <v>1.4667457934976408E-3</v>
      </c>
      <c r="G159" s="23">
        <f t="shared" si="159"/>
        <v>0</v>
      </c>
      <c r="H159" s="330">
        <v>504384370.08999997</v>
      </c>
      <c r="I159" s="330">
        <v>1057.78</v>
      </c>
      <c r="J159" s="23">
        <f t="shared" ref="J159:K167" si="160">((H159-D159)/D159)</f>
        <v>2.1859165226476582E-3</v>
      </c>
      <c r="K159" s="23">
        <f t="shared" si="160"/>
        <v>4.4535604744134448E-3</v>
      </c>
      <c r="L159" s="330">
        <v>504119730.38999999</v>
      </c>
      <c r="M159" s="330">
        <v>1057.54</v>
      </c>
      <c r="N159" s="23">
        <f t="shared" ref="N159:O167" si="161">((L159-H159)/H159)</f>
        <v>-5.2467862942058856E-4</v>
      </c>
      <c r="O159" s="23">
        <f t="shared" si="161"/>
        <v>-2.2689027964227826E-4</v>
      </c>
      <c r="P159" s="330">
        <v>505216746.68000001</v>
      </c>
      <c r="Q159" s="330">
        <v>1059.8399999999999</v>
      </c>
      <c r="R159" s="23">
        <f t="shared" ref="R159:S167" si="162">((P159-L159)/L159)</f>
        <v>2.176102667418594E-3</v>
      </c>
      <c r="S159" s="23">
        <f t="shared" si="162"/>
        <v>2.1748586341887349E-3</v>
      </c>
      <c r="T159" s="330">
        <v>506151844.31</v>
      </c>
      <c r="U159" s="330">
        <v>1061.8</v>
      </c>
      <c r="V159" s="23">
        <f t="shared" ref="V159:W167" si="163">((T159-P159)/P159)</f>
        <v>1.8508840733109707E-3</v>
      </c>
      <c r="W159" s="23">
        <f t="shared" si="163"/>
        <v>1.849335748792305E-3</v>
      </c>
      <c r="X159" s="330">
        <v>507078326.26999998</v>
      </c>
      <c r="Y159" s="330">
        <v>1063.74</v>
      </c>
      <c r="Z159" s="23">
        <f t="shared" ref="Z159:Z167" si="164">((X159-T159)/T159)</f>
        <v>1.8304427227030734E-3</v>
      </c>
      <c r="AA159" s="23">
        <f t="shared" ref="AA159:AA161" si="165">((Y159-U159)/U159)</f>
        <v>1.8270860802411515E-3</v>
      </c>
      <c r="AB159" s="330">
        <v>499448705.5</v>
      </c>
      <c r="AC159" s="330">
        <v>1029.3599999999999</v>
      </c>
      <c r="AD159" s="23">
        <f t="shared" ref="AD159:AD167" si="166">((AB159-X159)/X159)</f>
        <v>-1.5046237188093694E-2</v>
      </c>
      <c r="AE159" s="23">
        <f t="shared" ref="AE159:AE161" si="167">((AC159-Y159)/Y159)</f>
        <v>-3.2319927801906581E-2</v>
      </c>
      <c r="AF159" s="330">
        <v>500931777.48000002</v>
      </c>
      <c r="AG159" s="330">
        <v>1031.5899999999999</v>
      </c>
      <c r="AH159" s="23">
        <f t="shared" ref="AH159:AH167" si="168">((AF159-AB159)/AB159)</f>
        <v>2.9694180076316546E-3</v>
      </c>
      <c r="AI159" s="23">
        <f t="shared" ref="AI159:AI161" si="169">((AG159-AC159)/AC159)</f>
        <v>2.1663946529882822E-3</v>
      </c>
      <c r="AJ159" s="24">
        <f t="shared" si="142"/>
        <v>-3.8642575378808623E-4</v>
      </c>
      <c r="AK159" s="24">
        <f t="shared" si="143"/>
        <v>-2.5094478113656176E-3</v>
      </c>
      <c r="AL159" s="25">
        <f t="shared" si="144"/>
        <v>-4.6742082044819982E-3</v>
      </c>
      <c r="AM159" s="25">
        <f t="shared" si="145"/>
        <v>-2.0416108784624298E-2</v>
      </c>
      <c r="AN159" s="26">
        <f t="shared" si="146"/>
        <v>6.0086684415442916E-3</v>
      </c>
      <c r="AO159" s="78">
        <f t="shared" si="147"/>
        <v>1.2131813836842016E-2</v>
      </c>
    </row>
    <row r="160" spans="1:41">
      <c r="A160" s="206" t="s">
        <v>239</v>
      </c>
      <c r="B160" s="330">
        <v>55133774.630000003</v>
      </c>
      <c r="C160" s="330">
        <v>104.47</v>
      </c>
      <c r="D160" s="330">
        <v>59734399.329999998</v>
      </c>
      <c r="E160" s="330">
        <v>104.56</v>
      </c>
      <c r="F160" s="23">
        <f t="shared" si="159"/>
        <v>8.3444761960786415E-2</v>
      </c>
      <c r="G160" s="23">
        <f t="shared" si="159"/>
        <v>8.6149133722603056E-4</v>
      </c>
      <c r="H160" s="330">
        <v>59786106.200000003</v>
      </c>
      <c r="I160" s="330">
        <v>104.67</v>
      </c>
      <c r="J160" s="23">
        <f t="shared" si="160"/>
        <v>8.6561295635287957E-4</v>
      </c>
      <c r="K160" s="23">
        <f t="shared" si="160"/>
        <v>1.0520275439938737E-3</v>
      </c>
      <c r="L160" s="330">
        <v>59919011.560000002</v>
      </c>
      <c r="M160" s="330">
        <v>104.75</v>
      </c>
      <c r="N160" s="23">
        <f t="shared" si="161"/>
        <v>2.2230141490632719E-3</v>
      </c>
      <c r="O160" s="23">
        <f t="shared" si="161"/>
        <v>7.6430686920797065E-4</v>
      </c>
      <c r="P160" s="330">
        <v>60554726.810000002</v>
      </c>
      <c r="Q160" s="330">
        <v>104.91</v>
      </c>
      <c r="R160" s="23">
        <f t="shared" si="162"/>
        <v>1.0609575048871183E-2</v>
      </c>
      <c r="S160" s="23">
        <f t="shared" si="162"/>
        <v>1.5274463007159578E-3</v>
      </c>
      <c r="T160" s="330">
        <v>60658610.350000001</v>
      </c>
      <c r="U160" s="330">
        <v>105.01</v>
      </c>
      <c r="V160" s="23">
        <f t="shared" si="163"/>
        <v>1.7155314782601543E-3</v>
      </c>
      <c r="W160" s="23">
        <f t="shared" si="163"/>
        <v>9.5319797922036541E-4</v>
      </c>
      <c r="X160" s="330">
        <v>60693238.189999998</v>
      </c>
      <c r="Y160" s="330">
        <v>105.04</v>
      </c>
      <c r="Z160" s="23">
        <f t="shared" si="164"/>
        <v>5.7086438017939407E-4</v>
      </c>
      <c r="AA160" s="23">
        <f t="shared" si="165"/>
        <v>2.8568707742120878E-4</v>
      </c>
      <c r="AB160" s="330">
        <v>61747437.560000002</v>
      </c>
      <c r="AC160" s="330">
        <v>104.43</v>
      </c>
      <c r="AD160" s="23">
        <f t="shared" si="166"/>
        <v>1.7369305073158838E-2</v>
      </c>
      <c r="AE160" s="23">
        <f t="shared" si="167"/>
        <v>-5.8073115003808018E-3</v>
      </c>
      <c r="AF160" s="330">
        <v>62015270.850000001</v>
      </c>
      <c r="AG160" s="330">
        <v>104.58</v>
      </c>
      <c r="AH160" s="23">
        <f t="shared" si="168"/>
        <v>4.3375612103699916E-3</v>
      </c>
      <c r="AI160" s="23">
        <f t="shared" si="169"/>
        <v>1.4363688595230438E-3</v>
      </c>
      <c r="AJ160" s="24">
        <f t="shared" si="142"/>
        <v>1.5142028282130265E-2</v>
      </c>
      <c r="AK160" s="24">
        <f t="shared" si="143"/>
        <v>1.3415180836595615E-4</v>
      </c>
      <c r="AL160" s="25">
        <f t="shared" si="144"/>
        <v>3.818355161486485E-2</v>
      </c>
      <c r="AM160" s="25">
        <f t="shared" si="145"/>
        <v>1.9127773527157632E-4</v>
      </c>
      <c r="AN160" s="26">
        <f t="shared" si="146"/>
        <v>2.8210460130708465E-2</v>
      </c>
      <c r="AO160" s="78">
        <f t="shared" si="147"/>
        <v>2.4319433341812905E-3</v>
      </c>
    </row>
    <row r="161" spans="1:41">
      <c r="A161" s="206" t="s">
        <v>243</v>
      </c>
      <c r="B161" s="325">
        <v>51498033.109999999</v>
      </c>
      <c r="C161" s="326">
        <v>101.89</v>
      </c>
      <c r="D161" s="325">
        <v>51559080.990000002</v>
      </c>
      <c r="E161" s="326">
        <v>102.13</v>
      </c>
      <c r="F161" s="23">
        <f t="shared" si="159"/>
        <v>1.1854410025641984E-3</v>
      </c>
      <c r="G161" s="23">
        <f t="shared" si="159"/>
        <v>2.3554814015113836E-3</v>
      </c>
      <c r="H161" s="325">
        <v>51623856.520000003</v>
      </c>
      <c r="I161" s="326">
        <v>102.37</v>
      </c>
      <c r="J161" s="23">
        <f t="shared" si="160"/>
        <v>1.256336008249731E-3</v>
      </c>
      <c r="K161" s="23">
        <f t="shared" si="160"/>
        <v>2.349946147067552E-3</v>
      </c>
      <c r="L161" s="325">
        <v>51689431.939999998</v>
      </c>
      <c r="M161" s="326">
        <v>102.37</v>
      </c>
      <c r="N161" s="23">
        <f t="shared" si="161"/>
        <v>1.2702541890606187E-3</v>
      </c>
      <c r="O161" s="23">
        <f t="shared" si="161"/>
        <v>0</v>
      </c>
      <c r="P161" s="325">
        <v>51756086.100000001</v>
      </c>
      <c r="Q161" s="326">
        <v>102.87</v>
      </c>
      <c r="R161" s="23">
        <f t="shared" si="162"/>
        <v>1.2895123335341472E-3</v>
      </c>
      <c r="S161" s="23">
        <f t="shared" si="162"/>
        <v>4.8842434306925857E-3</v>
      </c>
      <c r="T161" s="325">
        <v>51822704.93</v>
      </c>
      <c r="U161" s="326">
        <v>103.04</v>
      </c>
      <c r="V161" s="23">
        <f t="shared" si="163"/>
        <v>1.2871690079362128E-3</v>
      </c>
      <c r="W161" s="23">
        <f t="shared" si="163"/>
        <v>1.6525712063769971E-3</v>
      </c>
      <c r="X161" s="325">
        <v>51889842.409999996</v>
      </c>
      <c r="Y161" s="326">
        <v>103.29</v>
      </c>
      <c r="Z161" s="23">
        <f t="shared" si="164"/>
        <v>1.295522495220643E-3</v>
      </c>
      <c r="AA161" s="23">
        <f t="shared" si="165"/>
        <v>2.4262422360248445E-3</v>
      </c>
      <c r="AB161" s="325">
        <v>51957353.259999998</v>
      </c>
      <c r="AC161" s="326">
        <v>103.54</v>
      </c>
      <c r="AD161" s="23">
        <f t="shared" si="166"/>
        <v>1.3010417234759434E-3</v>
      </c>
      <c r="AE161" s="23">
        <f t="shared" si="167"/>
        <v>2.4203698325104073E-3</v>
      </c>
      <c r="AF161" s="325">
        <v>52024825.420000002</v>
      </c>
      <c r="AG161" s="326">
        <v>103.79</v>
      </c>
      <c r="AH161" s="23">
        <f t="shared" si="168"/>
        <v>1.2986065641636165E-3</v>
      </c>
      <c r="AI161" s="23">
        <f t="shared" si="169"/>
        <v>2.4145257871354066E-3</v>
      </c>
      <c r="AJ161" s="24">
        <f t="shared" si="142"/>
        <v>1.2729854155256388E-3</v>
      </c>
      <c r="AK161" s="24">
        <f t="shared" si="143"/>
        <v>2.3129225051648971E-3</v>
      </c>
      <c r="AL161" s="25">
        <f t="shared" si="144"/>
        <v>9.0332182237757852E-3</v>
      </c>
      <c r="AM161" s="25">
        <f t="shared" si="145"/>
        <v>1.6253794183883393E-2</v>
      </c>
      <c r="AN161" s="26">
        <f t="shared" si="146"/>
        <v>3.8497717090841691E-5</v>
      </c>
      <c r="AO161" s="78">
        <f t="shared" si="147"/>
        <v>1.3328410676310268E-3</v>
      </c>
    </row>
    <row r="162" spans="1:41" s="292" customFormat="1">
      <c r="A162" s="206" t="s">
        <v>192</v>
      </c>
      <c r="B162" s="330">
        <v>9569206492.7600002</v>
      </c>
      <c r="C162" s="330">
        <v>125.86</v>
      </c>
      <c r="D162" s="330">
        <v>9585802507.4300003</v>
      </c>
      <c r="E162" s="330">
        <v>126.06</v>
      </c>
      <c r="F162" s="23">
        <f t="shared" si="159"/>
        <v>1.7343146145457843E-3</v>
      </c>
      <c r="G162" s="23">
        <f t="shared" si="159"/>
        <v>1.5890672175433247E-3</v>
      </c>
      <c r="H162" s="330">
        <v>9572672977.6900005</v>
      </c>
      <c r="I162" s="330">
        <v>126.29</v>
      </c>
      <c r="J162" s="23">
        <f t="shared" si="160"/>
        <v>-1.36968498253777E-3</v>
      </c>
      <c r="K162" s="23">
        <f>((I162-E162)/E162)</f>
        <v>1.8245280025385052E-3</v>
      </c>
      <c r="L162" s="330">
        <v>9707912957.2900009</v>
      </c>
      <c r="M162" s="330">
        <v>126.56</v>
      </c>
      <c r="N162" s="23">
        <f t="shared" si="161"/>
        <v>1.4127713326799072E-2</v>
      </c>
      <c r="O162" s="23">
        <f>((M162-I162)/I162)</f>
        <v>2.1379364953677728E-3</v>
      </c>
      <c r="P162" s="330">
        <v>9723574730.7199993</v>
      </c>
      <c r="Q162" s="330">
        <v>126.82</v>
      </c>
      <c r="R162" s="23">
        <f t="shared" si="162"/>
        <v>1.6132997379459857E-3</v>
      </c>
      <c r="S162" s="23">
        <f>((Q162-M162)/M162)</f>
        <v>2.0543615676358322E-3</v>
      </c>
      <c r="T162" s="330">
        <v>9747458900.7199993</v>
      </c>
      <c r="U162" s="330">
        <v>127.17</v>
      </c>
      <c r="V162" s="23">
        <f t="shared" si="163"/>
        <v>2.4563157749528043E-3</v>
      </c>
      <c r="W162" s="23">
        <f>((U162-Q162)/Q162)</f>
        <v>2.7598170635547118E-3</v>
      </c>
      <c r="X162" s="330">
        <v>9753077206.25</v>
      </c>
      <c r="Y162" s="330">
        <v>127.42</v>
      </c>
      <c r="Z162" s="23">
        <f t="shared" si="164"/>
        <v>5.7638668572233614E-4</v>
      </c>
      <c r="AA162" s="23">
        <f>((Y162-U162)/U162)</f>
        <v>1.9658724541951719E-3</v>
      </c>
      <c r="AB162" s="330">
        <v>9482030679.6000004</v>
      </c>
      <c r="AC162" s="330">
        <v>127.74</v>
      </c>
      <c r="AD162" s="23">
        <f t="shared" si="166"/>
        <v>-2.7790872656714607E-2</v>
      </c>
      <c r="AE162" s="23">
        <f>((AC162-Y162)/Y162)</f>
        <v>2.51137968921671E-3</v>
      </c>
      <c r="AF162" s="330">
        <v>9396906448.2999992</v>
      </c>
      <c r="AG162" s="330">
        <v>128.03</v>
      </c>
      <c r="AH162" s="23">
        <f t="shared" si="168"/>
        <v>-8.9774262683140899E-3</v>
      </c>
      <c r="AI162" s="23">
        <f>((AG162-AC162)/AC162)</f>
        <v>2.2702364177235499E-3</v>
      </c>
      <c r="AJ162" s="24">
        <f t="shared" si="142"/>
        <v>-2.2037442209500609E-3</v>
      </c>
      <c r="AK162" s="24">
        <f t="shared" si="143"/>
        <v>2.1391498634719471E-3</v>
      </c>
      <c r="AL162" s="25">
        <f t="shared" si="144"/>
        <v>-1.9705815865034445E-2</v>
      </c>
      <c r="AM162" s="25">
        <f t="shared" si="145"/>
        <v>1.562747897826431E-2</v>
      </c>
      <c r="AN162" s="26">
        <f t="shared" si="146"/>
        <v>1.2115630338615289E-2</v>
      </c>
      <c r="AO162" s="78">
        <f t="shared" si="147"/>
        <v>3.7411990472990445E-4</v>
      </c>
    </row>
    <row r="163" spans="1:41" s="306" customFormat="1">
      <c r="A163" s="206" t="s">
        <v>179</v>
      </c>
      <c r="B163" s="330">
        <v>403233828.72000003</v>
      </c>
      <c r="C163" s="331">
        <v>102.36</v>
      </c>
      <c r="D163" s="330">
        <v>404148927.02999997</v>
      </c>
      <c r="E163" s="331">
        <v>102.63</v>
      </c>
      <c r="F163" s="23">
        <f t="shared" si="159"/>
        <v>2.2693986586015688E-3</v>
      </c>
      <c r="G163" s="23">
        <f t="shared" si="159"/>
        <v>2.6377491207502544E-3</v>
      </c>
      <c r="H163" s="330">
        <v>407073807.34999996</v>
      </c>
      <c r="I163" s="331">
        <v>102.82</v>
      </c>
      <c r="J163" s="23">
        <f t="shared" si="160"/>
        <v>7.2371349380889955E-3</v>
      </c>
      <c r="K163" s="23">
        <f>((I163-E163)/E163)</f>
        <v>1.8513105329825367E-3</v>
      </c>
      <c r="L163" s="330">
        <v>410722600.21999997</v>
      </c>
      <c r="M163" s="331">
        <v>102.98</v>
      </c>
      <c r="N163" s="23">
        <f t="shared" si="161"/>
        <v>8.9634675680884367E-3</v>
      </c>
      <c r="O163" s="23">
        <f>((M163-I163)/I163)</f>
        <v>1.5561174868703638E-3</v>
      </c>
      <c r="P163" s="330">
        <v>409662429.07999998</v>
      </c>
      <c r="Q163" s="331">
        <v>101.31</v>
      </c>
      <c r="R163" s="23">
        <f t="shared" si="162"/>
        <v>-2.5812339993760126E-3</v>
      </c>
      <c r="S163" s="23">
        <f>((Q163-M163)/M163)</f>
        <v>-1.6216741114779585E-2</v>
      </c>
      <c r="T163" s="330">
        <v>373877591.92000002</v>
      </c>
      <c r="U163" s="331">
        <v>101.49</v>
      </c>
      <c r="V163" s="23">
        <f t="shared" si="163"/>
        <v>-8.7352011363023493E-2</v>
      </c>
      <c r="W163" s="23">
        <f>((U163-Q163)/Q163)</f>
        <v>1.7767249037606615E-3</v>
      </c>
      <c r="X163" s="330">
        <v>440086089.62</v>
      </c>
      <c r="Y163" s="331">
        <v>101.68</v>
      </c>
      <c r="Z163" s="23">
        <f t="shared" si="164"/>
        <v>0.17708602796972883</v>
      </c>
      <c r="AA163" s="23">
        <f>((Y163-U163)/U163)</f>
        <v>1.8721056261701836E-3</v>
      </c>
      <c r="AB163" s="330">
        <v>445518069.19999999</v>
      </c>
      <c r="AC163" s="331">
        <v>101.88</v>
      </c>
      <c r="AD163" s="23">
        <f t="shared" si="166"/>
        <v>1.2342993128208893E-2</v>
      </c>
      <c r="AE163" s="23">
        <f>((AC163-Y163)/Y163)</f>
        <v>1.9669551534223901E-3</v>
      </c>
      <c r="AF163" s="330">
        <v>447138004.60000002</v>
      </c>
      <c r="AG163" s="331">
        <v>101.98</v>
      </c>
      <c r="AH163" s="23">
        <f t="shared" si="168"/>
        <v>3.636071153991336E-3</v>
      </c>
      <c r="AI163" s="23">
        <f>((AG163-AC163)/AC163)</f>
        <v>9.8154691794276132E-4</v>
      </c>
      <c r="AJ163" s="24">
        <f t="shared" si="142"/>
        <v>1.5200231006788571E-2</v>
      </c>
      <c r="AK163" s="24">
        <f t="shared" si="143"/>
        <v>-4.46778921610054E-4</v>
      </c>
      <c r="AL163" s="25">
        <f t="shared" si="144"/>
        <v>0.10636939676152839</v>
      </c>
      <c r="AM163" s="25">
        <f t="shared" si="145"/>
        <v>-6.3334307707297232E-3</v>
      </c>
      <c r="AN163" s="26">
        <f t="shared" si="146"/>
        <v>7.3145219856481244E-2</v>
      </c>
      <c r="AO163" s="78">
        <f t="shared" si="147"/>
        <v>6.3884522122654589E-3</v>
      </c>
    </row>
    <row r="164" spans="1:41" s="306" customFormat="1">
      <c r="A164" s="206" t="s">
        <v>134</v>
      </c>
      <c r="B164" s="330">
        <v>8238333058.6000004</v>
      </c>
      <c r="C164" s="331">
        <v>122.4</v>
      </c>
      <c r="D164" s="330">
        <v>8232753582.1499996</v>
      </c>
      <c r="E164" s="331">
        <v>122.54</v>
      </c>
      <c r="F164" s="23">
        <f t="shared" si="159"/>
        <v>-6.7725793680753715E-4</v>
      </c>
      <c r="G164" s="23">
        <f t="shared" si="159"/>
        <v>1.1437908496732072E-3</v>
      </c>
      <c r="H164" s="330">
        <v>8218760838.6300001</v>
      </c>
      <c r="I164" s="331">
        <v>122.69</v>
      </c>
      <c r="J164" s="23">
        <f t="shared" si="160"/>
        <v>-1.6996431850381305E-3</v>
      </c>
      <c r="K164" s="23">
        <f>((I164-E164)/E164)</f>
        <v>1.2240900930307775E-3</v>
      </c>
      <c r="L164" s="330">
        <v>8228345540.79</v>
      </c>
      <c r="M164" s="331">
        <v>122.84</v>
      </c>
      <c r="N164" s="23">
        <f t="shared" si="161"/>
        <v>1.1661979644120584E-3</v>
      </c>
      <c r="O164" s="23">
        <f>((M164-I164)/I164)</f>
        <v>1.2225935284049694E-3</v>
      </c>
      <c r="P164" s="330">
        <v>8237761894.7299995</v>
      </c>
      <c r="Q164" s="331">
        <v>122.96</v>
      </c>
      <c r="R164" s="23">
        <f t="shared" si="162"/>
        <v>1.1443799842046399E-3</v>
      </c>
      <c r="S164" s="23">
        <f>((Q164-M164)/M164)</f>
        <v>9.7688049495270541E-4</v>
      </c>
      <c r="T164" s="330">
        <v>8245991798.1499996</v>
      </c>
      <c r="U164" s="331">
        <v>123.12</v>
      </c>
      <c r="V164" s="23">
        <f t="shared" si="163"/>
        <v>9.9904604250154998E-4</v>
      </c>
      <c r="W164" s="23">
        <f>((U164-Q164)/Q164)</f>
        <v>1.3012361743657353E-3</v>
      </c>
      <c r="X164" s="330">
        <v>8282964062.6800003</v>
      </c>
      <c r="Y164" s="331">
        <v>123.25</v>
      </c>
      <c r="Z164" s="23">
        <f t="shared" si="164"/>
        <v>4.4836649653587418E-3</v>
      </c>
      <c r="AA164" s="23">
        <f>((Y164-U164)/U164)</f>
        <v>1.0558804418453172E-3</v>
      </c>
      <c r="AB164" s="330">
        <v>8288395262.54</v>
      </c>
      <c r="AC164" s="331">
        <v>123.42</v>
      </c>
      <c r="AD164" s="23">
        <f t="shared" si="166"/>
        <v>6.5570728291224306E-4</v>
      </c>
      <c r="AE164" s="23">
        <f>((AC164-Y164)/Y164)</f>
        <v>1.3793103448276E-3</v>
      </c>
      <c r="AF164" s="330">
        <v>8311811544.6199999</v>
      </c>
      <c r="AG164" s="331">
        <v>123.57</v>
      </c>
      <c r="AH164" s="23">
        <f t="shared" si="168"/>
        <v>2.8251888741155358E-3</v>
      </c>
      <c r="AI164" s="23">
        <f>((AG164-AC164)/AC164)</f>
        <v>1.2153621779289537E-3</v>
      </c>
      <c r="AJ164" s="24">
        <f t="shared" si="142"/>
        <v>1.1121604989573876E-3</v>
      </c>
      <c r="AK164" s="24">
        <f t="shared" si="143"/>
        <v>1.1898930131286581E-3</v>
      </c>
      <c r="AL164" s="25">
        <f t="shared" si="144"/>
        <v>9.6028578629404476E-3</v>
      </c>
      <c r="AM164" s="25">
        <f t="shared" si="145"/>
        <v>8.4054186388117097E-3</v>
      </c>
      <c r="AN164" s="26">
        <f t="shared" si="146"/>
        <v>1.913667736432806E-3</v>
      </c>
      <c r="AO164" s="78">
        <f t="shared" si="147"/>
        <v>1.290751603125159E-4</v>
      </c>
    </row>
    <row r="165" spans="1:41">
      <c r="A165" s="206" t="s">
        <v>168</v>
      </c>
      <c r="B165" s="330">
        <v>2246860621.5</v>
      </c>
      <c r="C165" s="331">
        <v>1.1238999999999999</v>
      </c>
      <c r="D165" s="330">
        <v>2268874287.4099998</v>
      </c>
      <c r="E165" s="331">
        <v>1.1258999999999999</v>
      </c>
      <c r="F165" s="23">
        <f t="shared" si="159"/>
        <v>9.7975217952342604E-3</v>
      </c>
      <c r="G165" s="23">
        <f t="shared" si="159"/>
        <v>1.779517750689565E-3</v>
      </c>
      <c r="H165" s="330">
        <v>2272858774.1500001</v>
      </c>
      <c r="I165" s="331">
        <v>1.1278999999999999</v>
      </c>
      <c r="J165" s="23">
        <f t="shared" si="160"/>
        <v>1.7561513928339681E-3</v>
      </c>
      <c r="K165" s="23">
        <f>((I165-E165)/E165)</f>
        <v>1.7763566924238405E-3</v>
      </c>
      <c r="L165" s="330">
        <v>2264145288.5300002</v>
      </c>
      <c r="M165" s="331">
        <v>1.1299999999999999</v>
      </c>
      <c r="N165" s="23">
        <f t="shared" si="161"/>
        <v>-3.8337118518322988E-3</v>
      </c>
      <c r="O165" s="23">
        <f>((M165-I165)/I165)</f>
        <v>1.861867186807333E-3</v>
      </c>
      <c r="P165" s="330">
        <v>2305433317.6100001</v>
      </c>
      <c r="Q165" s="331">
        <v>1.1335999999999999</v>
      </c>
      <c r="R165" s="23">
        <f t="shared" si="162"/>
        <v>1.823559172159232E-2</v>
      </c>
      <c r="S165" s="23">
        <f>((Q165-M165)/M165)</f>
        <v>3.1858407079646441E-3</v>
      </c>
      <c r="T165" s="330">
        <v>2339088601.1599998</v>
      </c>
      <c r="U165" s="331">
        <v>1.1384000000000001</v>
      </c>
      <c r="V165" s="23">
        <f t="shared" si="163"/>
        <v>1.4598246365628792E-2</v>
      </c>
      <c r="W165" s="23">
        <f>((U165-Q165)/Q165)</f>
        <v>4.2342978122795853E-3</v>
      </c>
      <c r="X165" s="330">
        <v>2375175435.9499998</v>
      </c>
      <c r="Y165" s="331">
        <v>1.1426000000000001</v>
      </c>
      <c r="Z165" s="23">
        <f t="shared" si="164"/>
        <v>1.5427733165859469E-2</v>
      </c>
      <c r="AA165" s="23">
        <f>((Y165-U165)/U165)</f>
        <v>3.6893886156008269E-3</v>
      </c>
      <c r="AB165" s="330">
        <v>2437395386.98</v>
      </c>
      <c r="AC165" s="331">
        <v>1.1468</v>
      </c>
      <c r="AD165" s="23">
        <f t="shared" si="166"/>
        <v>2.6195939082333121E-2</v>
      </c>
      <c r="AE165" s="23">
        <f>((AC165-Y165)/Y165)</f>
        <v>3.6758270610887287E-3</v>
      </c>
      <c r="AF165" s="330">
        <v>2607699840.98</v>
      </c>
      <c r="AG165" s="331">
        <v>1.1508</v>
      </c>
      <c r="AH165" s="23">
        <f t="shared" si="168"/>
        <v>6.9871492704764615E-2</v>
      </c>
      <c r="AI165" s="23">
        <f>((AG165-AC165)/AC165)</f>
        <v>3.487966515521454E-3</v>
      </c>
      <c r="AJ165" s="24">
        <f t="shared" si="142"/>
        <v>1.900612054705178E-2</v>
      </c>
      <c r="AK165" s="24">
        <f t="shared" si="143"/>
        <v>2.9613827927969967E-3</v>
      </c>
      <c r="AL165" s="25">
        <f t="shared" si="144"/>
        <v>0.14933641561815286</v>
      </c>
      <c r="AM165" s="25">
        <f t="shared" si="145"/>
        <v>2.2115640820676921E-2</v>
      </c>
      <c r="AN165" s="26">
        <f t="shared" si="146"/>
        <v>2.2601596567611435E-2</v>
      </c>
      <c r="AO165" s="78">
        <f t="shared" si="147"/>
        <v>9.998881304719852E-4</v>
      </c>
    </row>
    <row r="166" spans="1:41">
      <c r="A166" s="208" t="s">
        <v>42</v>
      </c>
      <c r="B166" s="76">
        <f>SUM(B155:B165)</f>
        <v>25118658682.68</v>
      </c>
      <c r="C166" s="87"/>
      <c r="D166" s="76">
        <f>SUM(D155:D165)</f>
        <v>25167427500.149998</v>
      </c>
      <c r="E166" s="87"/>
      <c r="F166" s="23">
        <f>((D166-B166)/B166)</f>
        <v>1.9415374875739219E-3</v>
      </c>
      <c r="G166" s="23"/>
      <c r="H166" s="76">
        <f>SUM(H155:H165)</f>
        <v>25123628784.880001</v>
      </c>
      <c r="I166" s="87"/>
      <c r="J166" s="23">
        <f t="shared" si="160"/>
        <v>-1.7402936899186699E-3</v>
      </c>
      <c r="K166" s="23"/>
      <c r="L166" s="76">
        <f>SUM(L155:L165)</f>
        <v>25237093944.099998</v>
      </c>
      <c r="M166" s="87"/>
      <c r="N166" s="23">
        <f t="shared" si="161"/>
        <v>4.5162727164749167E-3</v>
      </c>
      <c r="O166" s="23"/>
      <c r="P166" s="76">
        <f>SUM(P155:P165)</f>
        <v>25308511589.739998</v>
      </c>
      <c r="Q166" s="87"/>
      <c r="R166" s="23">
        <f t="shared" si="162"/>
        <v>2.8298680425800616E-3</v>
      </c>
      <c r="S166" s="23"/>
      <c r="T166" s="76">
        <f>SUM(T155:T165)</f>
        <v>25115154237.279999</v>
      </c>
      <c r="U166" s="87"/>
      <c r="V166" s="23">
        <f t="shared" si="163"/>
        <v>-7.6400127986343391E-3</v>
      </c>
      <c r="W166" s="23"/>
      <c r="X166" s="76">
        <f>SUM(X155:X165)</f>
        <v>25259823709.369999</v>
      </c>
      <c r="Y166" s="87"/>
      <c r="Z166" s="23">
        <f t="shared" si="164"/>
        <v>5.760246213230822E-3</v>
      </c>
      <c r="AA166" s="23"/>
      <c r="AB166" s="76">
        <f>SUM(AB155:AB165)</f>
        <v>25078820531.75</v>
      </c>
      <c r="AC166" s="87"/>
      <c r="AD166" s="23">
        <f t="shared" si="166"/>
        <v>-7.1656548241410233E-3</v>
      </c>
      <c r="AE166" s="23"/>
      <c r="AF166" s="76">
        <f>SUM(AF155:AF165)</f>
        <v>25223397111.16</v>
      </c>
      <c r="AG166" s="87"/>
      <c r="AH166" s="23">
        <f t="shared" si="168"/>
        <v>5.7648875164190705E-3</v>
      </c>
      <c r="AI166" s="23"/>
      <c r="AJ166" s="24">
        <f t="shared" si="142"/>
        <v>5.3335633294809511E-4</v>
      </c>
      <c r="AK166" s="24"/>
      <c r="AL166" s="25">
        <f t="shared" si="144"/>
        <v>2.2238908211682962E-3</v>
      </c>
      <c r="AM166" s="25"/>
      <c r="AN166" s="26">
        <f t="shared" si="146"/>
        <v>5.4649281741938876E-3</v>
      </c>
      <c r="AO166" s="78"/>
    </row>
    <row r="167" spans="1:41">
      <c r="A167" s="208" t="s">
        <v>28</v>
      </c>
      <c r="B167" s="307">
        <f>SUM(B21,B53,B86,B111,B118,B145,B151,B166)</f>
        <v>1590591629138.8459</v>
      </c>
      <c r="C167" s="87"/>
      <c r="D167" s="307">
        <f>SUM(D21,D53,D86,D111,D118,D145,D151,D166)</f>
        <v>1587941753781.4907</v>
      </c>
      <c r="E167" s="87"/>
      <c r="F167" s="23">
        <f>((D167-B167)/B167)</f>
        <v>-1.6659683785648237E-3</v>
      </c>
      <c r="G167" s="23"/>
      <c r="H167" s="307">
        <f>SUM(H21,H53,H86,H111,H118,H145,H151,H166)</f>
        <v>1574933447715.4641</v>
      </c>
      <c r="I167" s="87"/>
      <c r="J167" s="23">
        <f t="shared" si="160"/>
        <v>-8.1919289766447089E-3</v>
      </c>
      <c r="K167" s="23"/>
      <c r="L167" s="307">
        <f>SUM(L21,L53,L86,L111,L118,L145,L151,L166)</f>
        <v>1570379557163.522</v>
      </c>
      <c r="M167" s="87"/>
      <c r="N167" s="23">
        <f t="shared" si="161"/>
        <v>-2.891481261349698E-3</v>
      </c>
      <c r="O167" s="23"/>
      <c r="P167" s="307">
        <f>SUM(P21,P53,P86,P111,P118,P145,P151,P166)</f>
        <v>1585406389332.5886</v>
      </c>
      <c r="Q167" s="87"/>
      <c r="R167" s="23">
        <f t="shared" si="162"/>
        <v>9.5689173362703949E-3</v>
      </c>
      <c r="S167" s="23"/>
      <c r="T167" s="307">
        <f>SUM(T21,T53,T86,T111,T118,T145,T151,T166)</f>
        <v>1589874095297.8513</v>
      </c>
      <c r="U167" s="87"/>
      <c r="V167" s="23">
        <f t="shared" si="163"/>
        <v>2.8180194020433294E-3</v>
      </c>
      <c r="W167" s="23"/>
      <c r="X167" s="307">
        <f>SUM(X21,X53,X86,X111,X118,X145,X151,X166)</f>
        <v>1587789124997.645</v>
      </c>
      <c r="Y167" s="87"/>
      <c r="Z167" s="23">
        <f t="shared" si="164"/>
        <v>-1.3114059197346032E-3</v>
      </c>
      <c r="AA167" s="23"/>
      <c r="AB167" s="307">
        <f>SUM(AB21,AB53,AB86,AB111,AB118,AB145,AB151,AB166)</f>
        <v>1573619276108.0618</v>
      </c>
      <c r="AC167" s="87"/>
      <c r="AD167" s="23">
        <f t="shared" si="166"/>
        <v>-8.9242637240031907E-3</v>
      </c>
      <c r="AE167" s="23"/>
      <c r="AF167" s="307">
        <f>SUM(AF21,AF53,AF86,AF111,AF118,AF145,AF151,AF166)</f>
        <v>1638109066451.2014</v>
      </c>
      <c r="AG167" s="87"/>
      <c r="AH167" s="23">
        <f t="shared" si="168"/>
        <v>4.0981825351452471E-2</v>
      </c>
      <c r="AI167" s="23"/>
      <c r="AJ167" s="24">
        <f t="shared" si="142"/>
        <v>3.7979642286836463E-3</v>
      </c>
      <c r="AK167" s="24"/>
      <c r="AL167" s="25">
        <f t="shared" si="144"/>
        <v>3.159266550567319E-2</v>
      </c>
      <c r="AM167" s="25"/>
      <c r="AN167" s="26">
        <f t="shared" si="146"/>
        <v>1.6138796408477998E-2</v>
      </c>
      <c r="AO167" s="78"/>
    </row>
    <row r="168" spans="1:41" s="110" customFormat="1" ht="6" customHeight="1">
      <c r="A168" s="208"/>
      <c r="B168" s="87"/>
      <c r="C168" s="87"/>
      <c r="D168" s="87"/>
      <c r="E168" s="87"/>
      <c r="F168" s="23"/>
      <c r="G168" s="23"/>
      <c r="H168" s="87"/>
      <c r="I168" s="87"/>
      <c r="J168" s="23"/>
      <c r="K168" s="23"/>
      <c r="L168" s="87"/>
      <c r="M168" s="87"/>
      <c r="N168" s="23"/>
      <c r="O168" s="23"/>
      <c r="P168" s="87"/>
      <c r="Q168" s="87"/>
      <c r="R168" s="23"/>
      <c r="S168" s="23"/>
      <c r="T168" s="87"/>
      <c r="U168" s="87"/>
      <c r="V168" s="23"/>
      <c r="W168" s="23"/>
      <c r="X168" s="87"/>
      <c r="Y168" s="87"/>
      <c r="Z168" s="23"/>
      <c r="AA168" s="23"/>
      <c r="AB168" s="87"/>
      <c r="AC168" s="87"/>
      <c r="AD168" s="23"/>
      <c r="AE168" s="23"/>
      <c r="AF168" s="87"/>
      <c r="AG168" s="87"/>
      <c r="AH168" s="23"/>
      <c r="AI168" s="23"/>
      <c r="AJ168" s="24"/>
      <c r="AK168" s="24"/>
      <c r="AL168" s="25"/>
      <c r="AM168" s="25"/>
      <c r="AN168" s="26"/>
      <c r="AO168" s="78"/>
    </row>
    <row r="169" spans="1:41" s="110" customFormat="1">
      <c r="A169" s="212" t="s">
        <v>207</v>
      </c>
      <c r="B169" s="87"/>
      <c r="C169" s="87"/>
      <c r="D169" s="87"/>
      <c r="E169" s="87"/>
      <c r="F169" s="23"/>
      <c r="G169" s="23"/>
      <c r="H169" s="87"/>
      <c r="I169" s="87"/>
      <c r="J169" s="23"/>
      <c r="K169" s="23"/>
      <c r="L169" s="87"/>
      <c r="M169" s="87"/>
      <c r="N169" s="23"/>
      <c r="O169" s="23"/>
      <c r="P169" s="87"/>
      <c r="Q169" s="87"/>
      <c r="R169" s="23"/>
      <c r="S169" s="23"/>
      <c r="T169" s="87"/>
      <c r="U169" s="87"/>
      <c r="V169" s="23"/>
      <c r="W169" s="23"/>
      <c r="X169" s="87"/>
      <c r="Y169" s="87"/>
      <c r="Z169" s="23"/>
      <c r="AA169" s="23"/>
      <c r="AB169" s="87"/>
      <c r="AC169" s="87"/>
      <c r="AD169" s="23"/>
      <c r="AE169" s="23"/>
      <c r="AF169" s="87"/>
      <c r="AG169" s="87"/>
      <c r="AH169" s="23"/>
      <c r="AI169" s="23"/>
      <c r="AJ169" s="24"/>
      <c r="AK169" s="24"/>
      <c r="AL169" s="25"/>
      <c r="AM169" s="25"/>
      <c r="AN169" s="26"/>
      <c r="AO169" s="78"/>
    </row>
    <row r="170" spans="1:41" s="110" customFormat="1">
      <c r="A170" s="213" t="s">
        <v>121</v>
      </c>
      <c r="B170" s="330">
        <v>91117290437</v>
      </c>
      <c r="C170" s="331">
        <v>107.59</v>
      </c>
      <c r="D170" s="330">
        <v>91117290437</v>
      </c>
      <c r="E170" s="331">
        <v>107.59</v>
      </c>
      <c r="F170" s="23">
        <f>((D170-B170)/B170)</f>
        <v>0</v>
      </c>
      <c r="G170" s="23">
        <f>((E170-C170)/C170)</f>
        <v>0</v>
      </c>
      <c r="H170" s="330">
        <v>91117290437</v>
      </c>
      <c r="I170" s="331">
        <v>107.59</v>
      </c>
      <c r="J170" s="23">
        <f t="shared" ref="J170" si="170">((H170-D170)/D170)</f>
        <v>0</v>
      </c>
      <c r="K170" s="23">
        <f t="shared" ref="K170" si="171">((I170-E170)/E170)</f>
        <v>0</v>
      </c>
      <c r="L170" s="330">
        <v>91117290437</v>
      </c>
      <c r="M170" s="331">
        <v>107.59</v>
      </c>
      <c r="N170" s="23">
        <f t="shared" ref="N170" si="172">((L170-H170)/H170)</f>
        <v>0</v>
      </c>
      <c r="O170" s="23">
        <f t="shared" ref="O170" si="173">((M170-I170)/I170)</f>
        <v>0</v>
      </c>
      <c r="P170" s="330">
        <v>91117290437</v>
      </c>
      <c r="Q170" s="331">
        <v>107.59</v>
      </c>
      <c r="R170" s="23">
        <f>((P170-L170)/L170)</f>
        <v>0</v>
      </c>
      <c r="S170" s="23">
        <f>((Q170-M170)/M170)</f>
        <v>0</v>
      </c>
      <c r="T170" s="330">
        <v>91117290437</v>
      </c>
      <c r="U170" s="331">
        <v>107.59</v>
      </c>
      <c r="V170" s="23">
        <f>((T170-P170)/P170)</f>
        <v>0</v>
      </c>
      <c r="W170" s="23">
        <f>((U170-Q170)/Q170)</f>
        <v>0</v>
      </c>
      <c r="X170" s="330">
        <v>91842597312</v>
      </c>
      <c r="Y170" s="331">
        <v>107.59</v>
      </c>
      <c r="Z170" s="23">
        <f>((X170-T170)/T170)</f>
        <v>7.9601453414759864E-3</v>
      </c>
      <c r="AA170" s="23">
        <f>((Y170-U170)/U170)</f>
        <v>0</v>
      </c>
      <c r="AB170" s="330">
        <v>91842597312</v>
      </c>
      <c r="AC170" s="331">
        <v>107.58</v>
      </c>
      <c r="AD170" s="23">
        <f>((AB170-X170)/X170)</f>
        <v>0</v>
      </c>
      <c r="AE170" s="23">
        <f>((AC170-Y170)/Y170)</f>
        <v>-9.2945441026165212E-5</v>
      </c>
      <c r="AF170" s="330">
        <v>91842597312</v>
      </c>
      <c r="AG170" s="331">
        <v>107.58</v>
      </c>
      <c r="AH170" s="23">
        <f>((AF170-AB170)/AB170)</f>
        <v>0</v>
      </c>
      <c r="AI170" s="23">
        <f>((AG170-AC170)/AC170)</f>
        <v>0</v>
      </c>
      <c r="AJ170" s="24">
        <f t="shared" si="142"/>
        <v>9.9501816768449831E-4</v>
      </c>
      <c r="AK170" s="24">
        <f t="shared" si="143"/>
        <v>-1.1618180128270651E-5</v>
      </c>
      <c r="AL170" s="25">
        <f t="shared" si="144"/>
        <v>7.9601453414759864E-3</v>
      </c>
      <c r="AM170" s="25">
        <f t="shared" si="145"/>
        <v>-9.2945441026165212E-5</v>
      </c>
      <c r="AN170" s="26">
        <f t="shared" si="146"/>
        <v>2.8143363750940879E-3</v>
      </c>
      <c r="AO170" s="78">
        <f t="shared" si="147"/>
        <v>3.2861175814987876E-5</v>
      </c>
    </row>
    <row r="171" spans="1:41" s="110" customFormat="1">
      <c r="A171" s="213" t="s">
        <v>252</v>
      </c>
      <c r="B171" s="330">
        <v>2185305107</v>
      </c>
      <c r="C171" s="332">
        <v>1000000</v>
      </c>
      <c r="D171" s="330">
        <v>2191257881</v>
      </c>
      <c r="E171" s="332">
        <v>1000000</v>
      </c>
      <c r="F171" s="23">
        <f>((D171-B171)/B171)</f>
        <v>2.7240013217980368E-3</v>
      </c>
      <c r="G171" s="23">
        <f>((E171-C171)/C171)</f>
        <v>0</v>
      </c>
      <c r="H171" s="330">
        <v>2197210654</v>
      </c>
      <c r="I171" s="332">
        <v>1000000</v>
      </c>
      <c r="J171" s="23">
        <f t="shared" ref="J171" si="174">((H171-D171)/D171)</f>
        <v>2.7166008399172985E-3</v>
      </c>
      <c r="K171" s="23">
        <f t="shared" ref="K171" si="175">((I171-E171)/E171)</f>
        <v>0</v>
      </c>
      <c r="L171" s="330">
        <v>2203163427.9299998</v>
      </c>
      <c r="M171" s="332">
        <v>1000000</v>
      </c>
      <c r="N171" s="23">
        <f t="shared" ref="N171" si="176">((L171-H171)/H171)</f>
        <v>2.7092413370392423E-3</v>
      </c>
      <c r="O171" s="23">
        <f t="shared" ref="O171" si="177">((M171-I171)/I171)</f>
        <v>0</v>
      </c>
      <c r="P171" s="330">
        <v>2209966597.8499999</v>
      </c>
      <c r="Q171" s="332">
        <v>1000000</v>
      </c>
      <c r="R171" s="23">
        <f>((P171-L171)/L171)</f>
        <v>3.0879097908737755E-3</v>
      </c>
      <c r="S171" s="23">
        <f>((Q171-M171)/M171)</f>
        <v>0</v>
      </c>
      <c r="T171" s="330">
        <v>2215068975.3000002</v>
      </c>
      <c r="U171" s="332">
        <v>1000000</v>
      </c>
      <c r="V171" s="23">
        <f>((T171-P171)/P171)</f>
        <v>2.3088029723907196E-3</v>
      </c>
      <c r="W171" s="23">
        <f>((U171-Q171)/Q171)</f>
        <v>0</v>
      </c>
      <c r="X171" s="330">
        <v>2221872145.2199998</v>
      </c>
      <c r="Y171" s="332">
        <v>1000000</v>
      </c>
      <c r="Z171" s="23">
        <f>((X171-T171)/T171)</f>
        <v>3.0713129007994911E-3</v>
      </c>
      <c r="AA171" s="23">
        <f>((Y171-U171)/U171)</f>
        <v>0</v>
      </c>
      <c r="AB171" s="330">
        <v>2227824918.9099998</v>
      </c>
      <c r="AC171" s="332">
        <v>1000000</v>
      </c>
      <c r="AD171" s="23">
        <f>((AB171-X171)/X171)</f>
        <v>2.6791702226460199E-3</v>
      </c>
      <c r="AE171" s="23">
        <f>((AC171-Y171)/Y171)</f>
        <v>0</v>
      </c>
      <c r="AF171" s="330">
        <v>2232927296.3499999</v>
      </c>
      <c r="AG171" s="332">
        <v>1000000</v>
      </c>
      <c r="AH171" s="23">
        <f>((AF171-AB171)/AB171)</f>
        <v>2.2902955239842097E-3</v>
      </c>
      <c r="AI171" s="23">
        <f>((AG171-AC171)/AC171)</f>
        <v>0</v>
      </c>
      <c r="AJ171" s="24">
        <f t="shared" si="142"/>
        <v>2.6984168636810992E-3</v>
      </c>
      <c r="AK171" s="24">
        <f t="shared" si="143"/>
        <v>0</v>
      </c>
      <c r="AL171" s="25">
        <f t="shared" si="144"/>
        <v>1.9016207864582191E-2</v>
      </c>
      <c r="AM171" s="25">
        <f t="shared" si="145"/>
        <v>0</v>
      </c>
      <c r="AN171" s="26">
        <f t="shared" si="146"/>
        <v>2.9534266561732914E-4</v>
      </c>
      <c r="AO171" s="78">
        <f t="shared" si="147"/>
        <v>0</v>
      </c>
    </row>
    <row r="172" spans="1:41" s="110" customFormat="1">
      <c r="A172" s="208" t="s">
        <v>42</v>
      </c>
      <c r="B172" s="77">
        <f>SUM(B170:B171)</f>
        <v>93302595544</v>
      </c>
      <c r="C172" s="87"/>
      <c r="D172" s="77">
        <f>SUM(D170:D171)</f>
        <v>93308548318</v>
      </c>
      <c r="E172" s="87"/>
      <c r="F172" s="23"/>
      <c r="G172" s="23"/>
      <c r="H172" s="77">
        <f>SUM(H170:H171)</f>
        <v>93314501091</v>
      </c>
      <c r="I172" s="87"/>
      <c r="J172" s="23"/>
      <c r="K172" s="23"/>
      <c r="L172" s="77">
        <f>SUM(L170:L171)</f>
        <v>93320453864.929993</v>
      </c>
      <c r="M172" s="87"/>
      <c r="N172" s="23"/>
      <c r="O172" s="23"/>
      <c r="P172" s="77">
        <f>SUM(P170:P171)</f>
        <v>93327257034.850006</v>
      </c>
      <c r="Q172" s="87"/>
      <c r="R172" s="23"/>
      <c r="S172" s="23"/>
      <c r="T172" s="77">
        <f>SUM(T170:T171)</f>
        <v>93332359412.300003</v>
      </c>
      <c r="U172" s="87"/>
      <c r="V172" s="23"/>
      <c r="W172" s="23"/>
      <c r="X172" s="77">
        <f>SUM(X170:X171)</f>
        <v>94064469457.220001</v>
      </c>
      <c r="Y172" s="87"/>
      <c r="Z172" s="23"/>
      <c r="AA172" s="23"/>
      <c r="AB172" s="77">
        <f>SUM(AB170:AB171)</f>
        <v>94070422230.910004</v>
      </c>
      <c r="AC172" s="87"/>
      <c r="AD172" s="23"/>
      <c r="AE172" s="23"/>
      <c r="AF172" s="77">
        <f>SUM(AF170:AF171)</f>
        <v>94075524608.350006</v>
      </c>
      <c r="AG172" s="87"/>
      <c r="AH172" s="23"/>
      <c r="AI172" s="23"/>
      <c r="AJ172" s="24"/>
      <c r="AK172" s="24"/>
      <c r="AL172" s="25"/>
      <c r="AM172" s="25"/>
      <c r="AN172" s="26"/>
      <c r="AO172" s="78"/>
    </row>
    <row r="173" spans="1:41" ht="6" customHeight="1">
      <c r="A173" s="207"/>
      <c r="B173" s="87"/>
      <c r="C173" s="87"/>
      <c r="D173" s="87"/>
      <c r="E173" s="87"/>
      <c r="F173" s="23"/>
      <c r="G173" s="23"/>
      <c r="H173" s="87"/>
      <c r="I173" s="87"/>
      <c r="J173" s="23"/>
      <c r="K173" s="23"/>
      <c r="L173" s="87"/>
      <c r="M173" s="87"/>
      <c r="N173" s="23"/>
      <c r="O173" s="23"/>
      <c r="P173" s="87"/>
      <c r="Q173" s="87"/>
      <c r="R173" s="23"/>
      <c r="S173" s="23"/>
      <c r="T173" s="87"/>
      <c r="U173" s="87"/>
      <c r="V173" s="23"/>
      <c r="W173" s="23"/>
      <c r="X173" s="87"/>
      <c r="Y173" s="87"/>
      <c r="Z173" s="23"/>
      <c r="AA173" s="23"/>
      <c r="AB173" s="87"/>
      <c r="AC173" s="87"/>
      <c r="AD173" s="23"/>
      <c r="AE173" s="23"/>
      <c r="AF173" s="87"/>
      <c r="AG173" s="87"/>
      <c r="AH173" s="23"/>
      <c r="AI173" s="23"/>
      <c r="AJ173" s="24"/>
      <c r="AK173" s="24"/>
      <c r="AL173" s="25"/>
      <c r="AM173" s="25"/>
      <c r="AN173" s="26"/>
      <c r="AO173" s="78"/>
    </row>
    <row r="174" spans="1:41" ht="25.5">
      <c r="A174" s="203" t="s">
        <v>46</v>
      </c>
      <c r="B174" s="81" t="s">
        <v>74</v>
      </c>
      <c r="C174" s="82" t="s">
        <v>75</v>
      </c>
      <c r="D174" s="81" t="s">
        <v>74</v>
      </c>
      <c r="E174" s="82" t="s">
        <v>75</v>
      </c>
      <c r="F174" s="366" t="s">
        <v>73</v>
      </c>
      <c r="G174" s="366" t="s">
        <v>3</v>
      </c>
      <c r="H174" s="81" t="s">
        <v>74</v>
      </c>
      <c r="I174" s="82" t="s">
        <v>75</v>
      </c>
      <c r="J174" s="367" t="s">
        <v>59</v>
      </c>
      <c r="K174" s="367" t="s">
        <v>3</v>
      </c>
      <c r="L174" s="451" t="s">
        <v>271</v>
      </c>
      <c r="M174" s="451"/>
      <c r="N174" s="377" t="s">
        <v>59</v>
      </c>
      <c r="O174" s="377" t="s">
        <v>3</v>
      </c>
      <c r="P174" s="451" t="s">
        <v>272</v>
      </c>
      <c r="Q174" s="451"/>
      <c r="R174" s="379" t="s">
        <v>59</v>
      </c>
      <c r="S174" s="379" t="s">
        <v>3</v>
      </c>
      <c r="T174" s="451" t="s">
        <v>277</v>
      </c>
      <c r="U174" s="451"/>
      <c r="V174" s="389" t="s">
        <v>59</v>
      </c>
      <c r="W174" s="389" t="s">
        <v>3</v>
      </c>
      <c r="X174" s="451" t="s">
        <v>282</v>
      </c>
      <c r="Y174" s="451"/>
      <c r="Z174" s="393" t="s">
        <v>59</v>
      </c>
      <c r="AA174" s="393" t="s">
        <v>3</v>
      </c>
      <c r="AB174" s="451" t="s">
        <v>284</v>
      </c>
      <c r="AC174" s="451"/>
      <c r="AD174" s="394" t="s">
        <v>59</v>
      </c>
      <c r="AE174" s="394" t="s">
        <v>3</v>
      </c>
      <c r="AF174" s="451" t="s">
        <v>287</v>
      </c>
      <c r="AG174" s="451"/>
      <c r="AH174" s="407" t="s">
        <v>59</v>
      </c>
      <c r="AI174" s="407" t="s">
        <v>3</v>
      </c>
      <c r="AJ174" s="309" t="s">
        <v>79</v>
      </c>
      <c r="AK174" s="309" t="s">
        <v>79</v>
      </c>
      <c r="AL174" s="309" t="s">
        <v>79</v>
      </c>
      <c r="AM174" s="309" t="s">
        <v>79</v>
      </c>
      <c r="AN174" s="15" t="s">
        <v>79</v>
      </c>
      <c r="AO174" s="16" t="s">
        <v>79</v>
      </c>
    </row>
    <row r="175" spans="1:41">
      <c r="A175" s="207" t="s">
        <v>145</v>
      </c>
      <c r="B175" s="328">
        <v>561597585.58000004</v>
      </c>
      <c r="C175" s="332">
        <v>131.54</v>
      </c>
      <c r="D175" s="328">
        <v>553404962.46000004</v>
      </c>
      <c r="E175" s="332">
        <v>130.38</v>
      </c>
      <c r="F175" s="23">
        <f t="shared" ref="F175:F186" si="178">((D175-B175)/B175)</f>
        <v>-1.458806684779267E-2</v>
      </c>
      <c r="G175" s="23">
        <f t="shared" ref="G175:G186" si="179">((E175-C175)/C175)</f>
        <v>-8.8186103086513347E-3</v>
      </c>
      <c r="H175" s="328">
        <v>553131704.53999996</v>
      </c>
      <c r="I175" s="332">
        <v>132.32</v>
      </c>
      <c r="J175" s="23">
        <f t="shared" ref="J175:J186" si="180">((H175-D175)/D175)</f>
        <v>-4.9377569508120788E-4</v>
      </c>
      <c r="K175" s="23">
        <f t="shared" ref="K175:K186" si="181">((I175-E175)/E175)</f>
        <v>1.4879582758091715E-2</v>
      </c>
      <c r="L175" s="328">
        <v>534424296.64041394</v>
      </c>
      <c r="M175" s="332">
        <v>126.01</v>
      </c>
      <c r="N175" s="23">
        <f t="shared" ref="N175:N186" si="182">((L175-H175)/H175)</f>
        <v>-3.3820892467452457E-2</v>
      </c>
      <c r="O175" s="23">
        <f t="shared" ref="O175:O186" si="183">((M175-I175)/I175)</f>
        <v>-4.7687424425634735E-2</v>
      </c>
      <c r="P175" s="328">
        <v>522593453.18064034</v>
      </c>
      <c r="Q175" s="332">
        <v>123.28</v>
      </c>
      <c r="R175" s="23">
        <f t="shared" ref="R175:R186" si="184">((P175-L175)/L175)</f>
        <v>-2.2137547888721746E-2</v>
      </c>
      <c r="S175" s="23">
        <f t="shared" ref="S175:S186" si="185">((Q175-M175)/M175)</f>
        <v>-2.1664947226410634E-2</v>
      </c>
      <c r="T175" s="328">
        <v>513771136.80759794</v>
      </c>
      <c r="U175" s="332">
        <v>121.25</v>
      </c>
      <c r="V175" s="23">
        <f t="shared" ref="V175:V186" si="186">((T175-P175)/P175)</f>
        <v>-1.6881796584606028E-2</v>
      </c>
      <c r="W175" s="23">
        <f t="shared" ref="W175:W186" si="187">((U175-Q175)/Q175)</f>
        <v>-1.6466580142764448E-2</v>
      </c>
      <c r="X175" s="328">
        <v>510722655.90194839</v>
      </c>
      <c r="Y175" s="332">
        <v>120.55</v>
      </c>
      <c r="Z175" s="23">
        <f t="shared" ref="Z175:Z186" si="188">((X175-T175)/T175)</f>
        <v>-5.9335386658576888E-3</v>
      </c>
      <c r="AA175" s="23">
        <f t="shared" ref="AA175:AA186" si="189">((Y175-U175)/U175)</f>
        <v>-5.7731958762886832E-3</v>
      </c>
      <c r="AB175" s="328">
        <v>522098857.57276869</v>
      </c>
      <c r="AC175" s="332">
        <v>123.17</v>
      </c>
      <c r="AD175" s="23">
        <f t="shared" ref="AD175:AD186" si="190">((AB175-X175)/X175)</f>
        <v>2.2274715130327735E-2</v>
      </c>
      <c r="AE175" s="23">
        <f t="shared" ref="AE175:AE186" si="191">((AC175-Y175)/Y175)</f>
        <v>2.1733720447946948E-2</v>
      </c>
      <c r="AF175" s="328">
        <v>519525167.3496632</v>
      </c>
      <c r="AG175" s="332">
        <v>122.58</v>
      </c>
      <c r="AH175" s="23">
        <f t="shared" ref="AH175:AH186" si="192">((AF175-AB175)/AB175)</f>
        <v>-4.9295074788528459E-3</v>
      </c>
      <c r="AI175" s="23">
        <f t="shared" ref="AI175:AI186" si="193">((AG175-AC175)/AC175)</f>
        <v>-4.7901274661037866E-3</v>
      </c>
      <c r="AJ175" s="24">
        <f t="shared" ref="AJ175" si="194">AVERAGE(F175,J175,N175,R175,V175,Z175,AD175,AH175)</f>
        <v>-9.563801312254613E-3</v>
      </c>
      <c r="AK175" s="24">
        <f t="shared" ref="AK175" si="195">AVERAGE(G175,K175,O175,S175,W175,AA175,AE175,AI175)</f>
        <v>-8.5734477799768709E-3</v>
      </c>
      <c r="AL175" s="25">
        <f t="shared" ref="AL175" si="196">((AF175-D175)/D175)</f>
        <v>-6.1220620356807268E-2</v>
      </c>
      <c r="AM175" s="25">
        <f t="shared" ref="AM175" si="197">((AG175-E175)/E175)</f>
        <v>-5.9825126553152301E-2</v>
      </c>
      <c r="AN175" s="26">
        <f t="shared" ref="AN175" si="198">STDEV(F175,J175,N175,R175,V175,Z175,AD175,AH175)</f>
        <v>1.6715749004351934E-2</v>
      </c>
      <c r="AO175" s="78">
        <f t="shared" ref="AO175" si="199">STDEV(G175,K175,O175,S175,W175,AA175,AE175,AI175)</f>
        <v>2.1561792201854654E-2</v>
      </c>
    </row>
    <row r="176" spans="1:41">
      <c r="A176" s="207" t="s">
        <v>47</v>
      </c>
      <c r="B176" s="328">
        <v>574147608.40999997</v>
      </c>
      <c r="C176" s="332">
        <v>17.010000000000002</v>
      </c>
      <c r="D176" s="328">
        <v>572436722.16999996</v>
      </c>
      <c r="E176" s="332">
        <v>17.14</v>
      </c>
      <c r="F176" s="23">
        <f t="shared" si="178"/>
        <v>-2.9798717523843838E-3</v>
      </c>
      <c r="G176" s="23">
        <f t="shared" si="179"/>
        <v>7.6425631981186948E-3</v>
      </c>
      <c r="H176" s="328">
        <v>572316712.51999998</v>
      </c>
      <c r="I176" s="332">
        <v>17.14</v>
      </c>
      <c r="J176" s="23">
        <f t="shared" si="180"/>
        <v>-2.096470148613844E-4</v>
      </c>
      <c r="K176" s="23">
        <f t="shared" si="181"/>
        <v>0</v>
      </c>
      <c r="L176" s="328">
        <v>568512701.44000006</v>
      </c>
      <c r="M176" s="332">
        <v>17.02</v>
      </c>
      <c r="N176" s="23">
        <f t="shared" si="182"/>
        <v>-6.6466887944793152E-3</v>
      </c>
      <c r="O176" s="23">
        <f t="shared" si="183"/>
        <v>-7.0011668611435814E-3</v>
      </c>
      <c r="P176" s="328">
        <v>568512701.44000006</v>
      </c>
      <c r="Q176" s="332">
        <v>17.02</v>
      </c>
      <c r="R176" s="23">
        <f t="shared" si="184"/>
        <v>0</v>
      </c>
      <c r="S176" s="23">
        <f t="shared" si="185"/>
        <v>0</v>
      </c>
      <c r="T176" s="328">
        <v>553524771.50999999</v>
      </c>
      <c r="U176" s="332">
        <v>16.57</v>
      </c>
      <c r="V176" s="23">
        <f t="shared" si="186"/>
        <v>-2.6363403829038057E-2</v>
      </c>
      <c r="W176" s="23">
        <f t="shared" si="187"/>
        <v>-2.643948296122205E-2</v>
      </c>
      <c r="X176" s="328">
        <v>547280767.50999999</v>
      </c>
      <c r="Y176" s="332">
        <v>16.39</v>
      </c>
      <c r="Z176" s="23">
        <f t="shared" si="188"/>
        <v>-1.1280441854420594E-2</v>
      </c>
      <c r="AA176" s="23">
        <f t="shared" si="189"/>
        <v>-1.0863005431502698E-2</v>
      </c>
      <c r="AB176" s="328">
        <v>557400845.73000002</v>
      </c>
      <c r="AC176" s="332">
        <v>16.690000000000001</v>
      </c>
      <c r="AD176" s="23">
        <f t="shared" si="190"/>
        <v>1.8491565610909418E-2</v>
      </c>
      <c r="AE176" s="23">
        <f t="shared" si="191"/>
        <v>1.8303843807199554E-2</v>
      </c>
      <c r="AF176" s="328">
        <v>557626122.53999996</v>
      </c>
      <c r="AG176" s="332">
        <v>16.7</v>
      </c>
      <c r="AH176" s="23">
        <f t="shared" si="192"/>
        <v>4.0415584534126244E-4</v>
      </c>
      <c r="AI176" s="23">
        <f t="shared" si="193"/>
        <v>5.9916117435578249E-4</v>
      </c>
      <c r="AJ176" s="24">
        <f t="shared" ref="AJ176:AJ188" si="200">AVERAGE(F176,J176,N176,R176,V176,Z176,AD176,AH176)</f>
        <v>-3.573041473616631E-3</v>
      </c>
      <c r="AK176" s="24">
        <f t="shared" ref="AK176:AK186" si="201">AVERAGE(G176,K176,O176,S176,W176,AA176,AE176,AI176)</f>
        <v>-2.2197608842742869E-3</v>
      </c>
      <c r="AL176" s="25">
        <f t="shared" ref="AL176:AL188" si="202">((AF176-D176)/D176)</f>
        <v>-2.5872902726882717E-2</v>
      </c>
      <c r="AM176" s="25">
        <f t="shared" ref="AM176:AM186" si="203">((AG176-E176)/E176)</f>
        <v>-2.5670945157526329E-2</v>
      </c>
      <c r="AN176" s="26">
        <f t="shared" ref="AN176:AN188" si="204">STDEV(F176,J176,N176,R176,V176,Z176,AD176,AH176)</f>
        <v>1.2622812834922975E-2</v>
      </c>
      <c r="AO176" s="78">
        <f t="shared" ref="AO176:AO186" si="205">STDEV(G176,K176,O176,S176,W176,AA176,AE176,AI176)</f>
        <v>1.3204151084741718E-2</v>
      </c>
    </row>
    <row r="177" spans="1:41">
      <c r="A177" s="207" t="s">
        <v>190</v>
      </c>
      <c r="B177" s="328">
        <v>184834387.44</v>
      </c>
      <c r="C177" s="332">
        <v>17.5</v>
      </c>
      <c r="D177" s="328">
        <v>181643849.27000001</v>
      </c>
      <c r="E177" s="332">
        <v>17.5</v>
      </c>
      <c r="F177" s="23">
        <f t="shared" si="178"/>
        <v>-1.7261604911238085E-2</v>
      </c>
      <c r="G177" s="23">
        <f t="shared" si="179"/>
        <v>0</v>
      </c>
      <c r="H177" s="328">
        <v>177977078.88999999</v>
      </c>
      <c r="I177" s="332">
        <v>17.5</v>
      </c>
      <c r="J177" s="23">
        <f t="shared" si="180"/>
        <v>-2.0186592580680476E-2</v>
      </c>
      <c r="K177" s="23">
        <f t="shared" si="181"/>
        <v>0</v>
      </c>
      <c r="L177" s="328">
        <v>183042398.15000001</v>
      </c>
      <c r="M177" s="332">
        <v>17.5</v>
      </c>
      <c r="N177" s="23">
        <f t="shared" si="182"/>
        <v>2.8460514643746215E-2</v>
      </c>
      <c r="O177" s="23">
        <f t="shared" si="183"/>
        <v>0</v>
      </c>
      <c r="P177" s="328">
        <v>183188777.75999999</v>
      </c>
      <c r="Q177" s="332">
        <v>17.5</v>
      </c>
      <c r="R177" s="23">
        <f t="shared" si="184"/>
        <v>7.9970330087146806E-4</v>
      </c>
      <c r="S177" s="23">
        <f t="shared" si="185"/>
        <v>0</v>
      </c>
      <c r="T177" s="328">
        <v>181486603.66</v>
      </c>
      <c r="U177" s="332">
        <v>17.5</v>
      </c>
      <c r="V177" s="23">
        <f t="shared" si="186"/>
        <v>-9.2919125331468351E-3</v>
      </c>
      <c r="W177" s="23">
        <f t="shared" si="187"/>
        <v>0</v>
      </c>
      <c r="X177" s="328">
        <v>181486603.66</v>
      </c>
      <c r="Y177" s="332">
        <v>17.5</v>
      </c>
      <c r="Z177" s="23">
        <f t="shared" si="188"/>
        <v>0</v>
      </c>
      <c r="AA177" s="23">
        <f t="shared" si="189"/>
        <v>0</v>
      </c>
      <c r="AB177" s="328">
        <v>183224591.63</v>
      </c>
      <c r="AC177" s="332">
        <v>17.5</v>
      </c>
      <c r="AD177" s="23">
        <f t="shared" si="190"/>
        <v>9.5763981194775909E-3</v>
      </c>
      <c r="AE177" s="23">
        <f t="shared" si="191"/>
        <v>0</v>
      </c>
      <c r="AF177" s="328">
        <v>180605396.69</v>
      </c>
      <c r="AG177" s="332">
        <v>17.5</v>
      </c>
      <c r="AH177" s="23">
        <f t="shared" si="192"/>
        <v>-1.4294996739788873E-2</v>
      </c>
      <c r="AI177" s="23">
        <f t="shared" si="193"/>
        <v>0</v>
      </c>
      <c r="AJ177" s="24">
        <f t="shared" si="200"/>
        <v>-2.7748113375948747E-3</v>
      </c>
      <c r="AK177" s="24">
        <f t="shared" si="201"/>
        <v>0</v>
      </c>
      <c r="AL177" s="25">
        <f t="shared" si="202"/>
        <v>-5.7169707874690041E-3</v>
      </c>
      <c r="AM177" s="25">
        <f t="shared" si="203"/>
        <v>0</v>
      </c>
      <c r="AN177" s="26">
        <f t="shared" si="204"/>
        <v>1.6199203202932895E-2</v>
      </c>
      <c r="AO177" s="78">
        <f t="shared" si="205"/>
        <v>0</v>
      </c>
    </row>
    <row r="178" spans="1:41">
      <c r="A178" s="207" t="s">
        <v>189</v>
      </c>
      <c r="B178" s="328">
        <v>236877927.06999999</v>
      </c>
      <c r="C178" s="332">
        <v>16.5</v>
      </c>
      <c r="D178" s="328">
        <v>224350840.75</v>
      </c>
      <c r="E178" s="332">
        <v>16.5</v>
      </c>
      <c r="F178" s="23">
        <f t="shared" si="178"/>
        <v>-5.28841436386688E-2</v>
      </c>
      <c r="G178" s="23">
        <f t="shared" si="179"/>
        <v>0</v>
      </c>
      <c r="H178" s="328">
        <v>223248121.65000001</v>
      </c>
      <c r="I178" s="332">
        <v>16.5</v>
      </c>
      <c r="J178" s="23">
        <f t="shared" si="180"/>
        <v>-4.9151547474198358E-3</v>
      </c>
      <c r="K178" s="23">
        <f t="shared" si="181"/>
        <v>0</v>
      </c>
      <c r="L178" s="328">
        <v>242419943.75</v>
      </c>
      <c r="M178" s="332">
        <v>16.5</v>
      </c>
      <c r="N178" s="23">
        <f t="shared" si="182"/>
        <v>8.5876745382238218E-2</v>
      </c>
      <c r="O178" s="23">
        <f t="shared" si="183"/>
        <v>0</v>
      </c>
      <c r="P178" s="328">
        <v>240333063.61000001</v>
      </c>
      <c r="Q178" s="332">
        <v>16.5</v>
      </c>
      <c r="R178" s="23">
        <f t="shared" si="184"/>
        <v>-8.6085332242800908E-3</v>
      </c>
      <c r="S178" s="23">
        <f t="shared" si="185"/>
        <v>0</v>
      </c>
      <c r="T178" s="328">
        <v>235456652.36000001</v>
      </c>
      <c r="U178" s="332">
        <v>16.5</v>
      </c>
      <c r="V178" s="23">
        <f t="shared" si="186"/>
        <v>-2.0290222147349591E-2</v>
      </c>
      <c r="W178" s="23">
        <f t="shared" si="187"/>
        <v>0</v>
      </c>
      <c r="X178" s="328">
        <v>235456652.36000001</v>
      </c>
      <c r="Y178" s="332">
        <v>16.5</v>
      </c>
      <c r="Z178" s="23">
        <f t="shared" si="188"/>
        <v>0</v>
      </c>
      <c r="AA178" s="23">
        <f t="shared" si="189"/>
        <v>0</v>
      </c>
      <c r="AB178" s="328">
        <v>240711278.88999999</v>
      </c>
      <c r="AC178" s="332">
        <v>16.5</v>
      </c>
      <c r="AD178" s="23">
        <f t="shared" si="190"/>
        <v>2.2316746956743197E-2</v>
      </c>
      <c r="AE178" s="23">
        <f t="shared" si="191"/>
        <v>0</v>
      </c>
      <c r="AF178" s="328">
        <v>264482468.94999999</v>
      </c>
      <c r="AG178" s="332">
        <v>16.5</v>
      </c>
      <c r="AH178" s="23">
        <f t="shared" si="192"/>
        <v>9.8753951911256049E-2</v>
      </c>
      <c r="AI178" s="23">
        <f t="shared" si="193"/>
        <v>0</v>
      </c>
      <c r="AJ178" s="24">
        <f t="shared" si="200"/>
        <v>1.5031173811564894E-2</v>
      </c>
      <c r="AK178" s="24">
        <f t="shared" si="201"/>
        <v>0</v>
      </c>
      <c r="AL178" s="25">
        <f t="shared" si="202"/>
        <v>0.17887888481202399</v>
      </c>
      <c r="AM178" s="25">
        <f t="shared" si="203"/>
        <v>0</v>
      </c>
      <c r="AN178" s="26">
        <f t="shared" si="204"/>
        <v>5.2269080555318641E-2</v>
      </c>
      <c r="AO178" s="78">
        <f t="shared" si="205"/>
        <v>0</v>
      </c>
    </row>
    <row r="179" spans="1:41">
      <c r="A179" s="207" t="s">
        <v>32</v>
      </c>
      <c r="B179" s="328">
        <v>592723673.77999997</v>
      </c>
      <c r="C179" s="332">
        <v>11100</v>
      </c>
      <c r="D179" s="328">
        <v>592726343.67999995</v>
      </c>
      <c r="E179" s="332">
        <v>11100.16</v>
      </c>
      <c r="F179" s="23">
        <f t="shared" si="178"/>
        <v>4.5044598656728188E-6</v>
      </c>
      <c r="G179" s="23">
        <f t="shared" si="179"/>
        <v>1.4414414414401305E-5</v>
      </c>
      <c r="H179" s="328">
        <v>592717800</v>
      </c>
      <c r="I179" s="332">
        <v>11100</v>
      </c>
      <c r="J179" s="23">
        <f t="shared" si="180"/>
        <v>-1.4414206641977929E-5</v>
      </c>
      <c r="K179" s="23">
        <f t="shared" si="181"/>
        <v>-1.4414206642053312E-5</v>
      </c>
      <c r="L179" s="328">
        <v>592717800</v>
      </c>
      <c r="M179" s="332">
        <v>11100</v>
      </c>
      <c r="N179" s="23">
        <f t="shared" si="182"/>
        <v>0</v>
      </c>
      <c r="O179" s="23">
        <f t="shared" si="183"/>
        <v>0</v>
      </c>
      <c r="P179" s="328">
        <v>661601220</v>
      </c>
      <c r="Q179" s="332">
        <v>12390</v>
      </c>
      <c r="R179" s="23">
        <f t="shared" si="184"/>
        <v>0.11621621621621622</v>
      </c>
      <c r="S179" s="23">
        <f t="shared" si="185"/>
        <v>0.11621621621621622</v>
      </c>
      <c r="T179" s="328">
        <v>640776000</v>
      </c>
      <c r="U179" s="332">
        <v>12000</v>
      </c>
      <c r="V179" s="23">
        <f t="shared" si="186"/>
        <v>-3.1476997578692496E-2</v>
      </c>
      <c r="W179" s="23">
        <f t="shared" si="187"/>
        <v>-3.1476997578692496E-2</v>
      </c>
      <c r="X179" s="328">
        <v>592718333.98000002</v>
      </c>
      <c r="Y179" s="332">
        <v>11100.01</v>
      </c>
      <c r="Z179" s="23">
        <f t="shared" si="188"/>
        <v>-7.4999166666666631E-2</v>
      </c>
      <c r="AA179" s="23">
        <f t="shared" si="189"/>
        <v>-7.4999166666666645E-2</v>
      </c>
      <c r="AB179" s="328">
        <v>656795400</v>
      </c>
      <c r="AC179" s="332">
        <v>12300</v>
      </c>
      <c r="AD179" s="23">
        <f t="shared" si="190"/>
        <v>0.10810710981341455</v>
      </c>
      <c r="AE179" s="23">
        <f t="shared" si="191"/>
        <v>0.10810710981341456</v>
      </c>
      <c r="AF179" s="328">
        <v>614077000</v>
      </c>
      <c r="AG179" s="332">
        <v>11500</v>
      </c>
      <c r="AH179" s="23">
        <f t="shared" si="192"/>
        <v>-6.5040650406504072E-2</v>
      </c>
      <c r="AI179" s="23">
        <f t="shared" si="193"/>
        <v>-6.5040650406504072E-2</v>
      </c>
      <c r="AJ179" s="24">
        <f t="shared" si="200"/>
        <v>6.599575203873909E-3</v>
      </c>
      <c r="AK179" s="24">
        <f t="shared" si="201"/>
        <v>6.6008139481924921E-3</v>
      </c>
      <c r="AL179" s="25">
        <f t="shared" si="202"/>
        <v>3.6021102398524074E-2</v>
      </c>
      <c r="AM179" s="25">
        <f t="shared" si="203"/>
        <v>3.6021102398523998E-2</v>
      </c>
      <c r="AN179" s="26">
        <f t="shared" si="204"/>
        <v>7.1405165650948066E-2</v>
      </c>
      <c r="AO179" s="78">
        <f t="shared" si="205"/>
        <v>7.1405034980238924E-2</v>
      </c>
    </row>
    <row r="180" spans="1:41">
      <c r="A180" s="207" t="s">
        <v>96</v>
      </c>
      <c r="B180" s="328">
        <v>659721802.24000001</v>
      </c>
      <c r="C180" s="332">
        <v>78.2</v>
      </c>
      <c r="D180" s="328">
        <v>641171488.98000002</v>
      </c>
      <c r="E180" s="332">
        <v>80</v>
      </c>
      <c r="F180" s="23">
        <f t="shared" si="178"/>
        <v>-2.8118387473348314E-2</v>
      </c>
      <c r="G180" s="23">
        <f t="shared" si="179"/>
        <v>2.3017902813299195E-2</v>
      </c>
      <c r="H180" s="328">
        <v>641981664.67999995</v>
      </c>
      <c r="I180" s="332">
        <v>80</v>
      </c>
      <c r="J180" s="23">
        <f t="shared" si="180"/>
        <v>1.2635865972281249E-3</v>
      </c>
      <c r="K180" s="23">
        <f t="shared" si="181"/>
        <v>0</v>
      </c>
      <c r="L180" s="328">
        <v>646833903.70000005</v>
      </c>
      <c r="M180" s="332">
        <v>80</v>
      </c>
      <c r="N180" s="23">
        <f t="shared" si="182"/>
        <v>7.5582205644747361E-3</v>
      </c>
      <c r="O180" s="23">
        <f t="shared" si="183"/>
        <v>0</v>
      </c>
      <c r="P180" s="328">
        <v>638580769.52999997</v>
      </c>
      <c r="Q180" s="332">
        <v>73</v>
      </c>
      <c r="R180" s="23">
        <f t="shared" si="184"/>
        <v>-1.2759278885647063E-2</v>
      </c>
      <c r="S180" s="23">
        <f t="shared" si="185"/>
        <v>-8.7499999999999994E-2</v>
      </c>
      <c r="T180" s="328">
        <v>628465614.61000001</v>
      </c>
      <c r="U180" s="332">
        <v>73</v>
      </c>
      <c r="V180" s="23">
        <f t="shared" si="186"/>
        <v>-1.584005564001682E-2</v>
      </c>
      <c r="W180" s="23">
        <f t="shared" si="187"/>
        <v>0</v>
      </c>
      <c r="X180" s="328">
        <v>626110565.75</v>
      </c>
      <c r="Y180" s="332">
        <v>73</v>
      </c>
      <c r="Z180" s="23">
        <f t="shared" si="188"/>
        <v>-3.7472994627740469E-3</v>
      </c>
      <c r="AA180" s="23">
        <f t="shared" si="189"/>
        <v>0</v>
      </c>
      <c r="AB180" s="328">
        <v>631488101.87</v>
      </c>
      <c r="AC180" s="332">
        <v>73</v>
      </c>
      <c r="AD180" s="23">
        <f t="shared" si="190"/>
        <v>8.5887963151658493E-3</v>
      </c>
      <c r="AE180" s="23">
        <f t="shared" si="191"/>
        <v>0</v>
      </c>
      <c r="AF180" s="328">
        <v>643963752.39999998</v>
      </c>
      <c r="AG180" s="332">
        <v>73</v>
      </c>
      <c r="AH180" s="23">
        <f t="shared" si="192"/>
        <v>1.9755955010167785E-2</v>
      </c>
      <c r="AI180" s="23">
        <f t="shared" si="193"/>
        <v>0</v>
      </c>
      <c r="AJ180" s="24">
        <f t="shared" si="200"/>
        <v>-2.9123078718437177E-3</v>
      </c>
      <c r="AK180" s="24">
        <f t="shared" si="201"/>
        <v>-8.0602621483375995E-3</v>
      </c>
      <c r="AL180" s="25">
        <f t="shared" si="202"/>
        <v>4.3549400869991829E-3</v>
      </c>
      <c r="AM180" s="25">
        <f t="shared" si="203"/>
        <v>-8.7499999999999994E-2</v>
      </c>
      <c r="AN180" s="26">
        <f t="shared" si="204"/>
        <v>1.5461143740262952E-2</v>
      </c>
      <c r="AO180" s="78">
        <f t="shared" si="205"/>
        <v>3.3093657663242224E-2</v>
      </c>
    </row>
    <row r="181" spans="1:41">
      <c r="A181" s="207" t="s">
        <v>40</v>
      </c>
      <c r="B181" s="328">
        <v>488821099.52999997</v>
      </c>
      <c r="C181" s="332">
        <v>242.44</v>
      </c>
      <c r="D181" s="328">
        <v>482078162.77999997</v>
      </c>
      <c r="E181" s="332">
        <v>265</v>
      </c>
      <c r="F181" s="23">
        <f t="shared" si="178"/>
        <v>-1.3794283341049136E-2</v>
      </c>
      <c r="G181" s="23">
        <f t="shared" si="179"/>
        <v>9.3053951493152959E-2</v>
      </c>
      <c r="H181" s="328">
        <v>481090507.00999999</v>
      </c>
      <c r="I181" s="332">
        <v>265</v>
      </c>
      <c r="J181" s="23">
        <f t="shared" si="180"/>
        <v>-2.0487461292676415E-3</v>
      </c>
      <c r="K181" s="23">
        <f t="shared" si="181"/>
        <v>0</v>
      </c>
      <c r="L181" s="328">
        <v>478502096.05000001</v>
      </c>
      <c r="M181" s="332">
        <v>289.12</v>
      </c>
      <c r="N181" s="23">
        <f t="shared" si="182"/>
        <v>-5.3802993870884584E-3</v>
      </c>
      <c r="O181" s="23">
        <f t="shared" si="183"/>
        <v>9.1018867924528318E-2</v>
      </c>
      <c r="P181" s="328">
        <v>474765369.13</v>
      </c>
      <c r="Q181" s="332">
        <v>286.11</v>
      </c>
      <c r="R181" s="23">
        <f t="shared" si="184"/>
        <v>-7.8092174534791503E-3</v>
      </c>
      <c r="S181" s="23">
        <f t="shared" si="185"/>
        <v>-1.0410902047592664E-2</v>
      </c>
      <c r="T181" s="328">
        <v>468384420.36000001</v>
      </c>
      <c r="U181" s="332">
        <v>285</v>
      </c>
      <c r="V181" s="23">
        <f t="shared" si="186"/>
        <v>-1.3440215282957493E-2</v>
      </c>
      <c r="W181" s="23">
        <f t="shared" si="187"/>
        <v>-3.8796267169970066E-3</v>
      </c>
      <c r="X181" s="328">
        <v>466421971.91000003</v>
      </c>
      <c r="Y181" s="332">
        <v>254</v>
      </c>
      <c r="Z181" s="23">
        <f t="shared" si="188"/>
        <v>-4.1898243508860762E-3</v>
      </c>
      <c r="AA181" s="23">
        <f t="shared" si="189"/>
        <v>-0.10877192982456141</v>
      </c>
      <c r="AB181" s="328">
        <v>477351382.81</v>
      </c>
      <c r="AC181" s="332">
        <v>228.6</v>
      </c>
      <c r="AD181" s="23">
        <f t="shared" si="190"/>
        <v>2.3432452925071241E-2</v>
      </c>
      <c r="AE181" s="23">
        <f t="shared" si="191"/>
        <v>-0.10000000000000002</v>
      </c>
      <c r="AF181" s="328">
        <v>476720425.44</v>
      </c>
      <c r="AG181" s="332">
        <v>248.95</v>
      </c>
      <c r="AH181" s="23">
        <f t="shared" si="192"/>
        <v>-1.3217880846720926E-3</v>
      </c>
      <c r="AI181" s="23">
        <f t="shared" si="193"/>
        <v>8.9020122484689393E-2</v>
      </c>
      <c r="AJ181" s="24">
        <f t="shared" si="200"/>
        <v>-3.0689901380411009E-3</v>
      </c>
      <c r="AK181" s="24">
        <f t="shared" si="201"/>
        <v>6.253810414152447E-3</v>
      </c>
      <c r="AL181" s="25">
        <f t="shared" si="202"/>
        <v>-1.1113835377034113E-2</v>
      </c>
      <c r="AM181" s="25">
        <f t="shared" si="203"/>
        <v>-6.05660377358491E-2</v>
      </c>
      <c r="AN181" s="26">
        <f t="shared" si="204"/>
        <v>1.1699099460804649E-2</v>
      </c>
      <c r="AO181" s="78">
        <f t="shared" si="205"/>
        <v>8.1512439330307759E-2</v>
      </c>
    </row>
    <row r="182" spans="1:41">
      <c r="A182" s="207" t="s">
        <v>50</v>
      </c>
      <c r="B182" s="328">
        <v>178227639.03999999</v>
      </c>
      <c r="C182" s="332">
        <v>7</v>
      </c>
      <c r="D182" s="328">
        <v>180795760.63999999</v>
      </c>
      <c r="E182" s="332">
        <v>7.08</v>
      </c>
      <c r="F182" s="23">
        <f t="shared" si="178"/>
        <v>1.4409221902017258E-2</v>
      </c>
      <c r="G182" s="23">
        <f t="shared" si="179"/>
        <v>1.1428571428571439E-2</v>
      </c>
      <c r="H182" s="328">
        <v>178998075.52000001</v>
      </c>
      <c r="I182" s="332">
        <v>7.01</v>
      </c>
      <c r="J182" s="23">
        <f t="shared" si="180"/>
        <v>-9.943181818181681E-3</v>
      </c>
      <c r="K182" s="23">
        <f t="shared" si="181"/>
        <v>-9.8870056497175549E-3</v>
      </c>
      <c r="L182" s="328">
        <v>178998075.52000001</v>
      </c>
      <c r="M182" s="332">
        <v>7.08</v>
      </c>
      <c r="N182" s="23">
        <f t="shared" si="182"/>
        <v>0</v>
      </c>
      <c r="O182" s="23">
        <f t="shared" si="183"/>
        <v>9.985734664764663E-3</v>
      </c>
      <c r="P182" s="328">
        <v>154984118.11000001</v>
      </c>
      <c r="Q182" s="332">
        <v>7.03</v>
      </c>
      <c r="R182" s="23">
        <f t="shared" si="184"/>
        <v>-0.13415762901493788</v>
      </c>
      <c r="S182" s="23">
        <f t="shared" si="185"/>
        <v>-7.0621468926553421E-3</v>
      </c>
      <c r="T182" s="328">
        <v>154928813.90000001</v>
      </c>
      <c r="U182" s="332">
        <v>7.04</v>
      </c>
      <c r="V182" s="23">
        <f t="shared" si="186"/>
        <v>-3.5683791781010855E-4</v>
      </c>
      <c r="W182" s="23">
        <f t="shared" si="187"/>
        <v>1.4224751066856027E-3</v>
      </c>
      <c r="X182" s="328">
        <v>155001741.49000001</v>
      </c>
      <c r="Y182" s="332">
        <v>7.05</v>
      </c>
      <c r="Z182" s="23">
        <f t="shared" si="188"/>
        <v>4.7071676445593425E-4</v>
      </c>
      <c r="AA182" s="23">
        <f t="shared" si="189"/>
        <v>1.4204545454545151E-3</v>
      </c>
      <c r="AB182" s="328">
        <v>164375317.97</v>
      </c>
      <c r="AC182" s="332">
        <v>7.41</v>
      </c>
      <c r="AD182" s="23">
        <f t="shared" si="190"/>
        <v>6.047400751690734E-2</v>
      </c>
      <c r="AE182" s="23">
        <f t="shared" si="191"/>
        <v>5.1063829787234088E-2</v>
      </c>
      <c r="AF182" s="328">
        <v>164394642.63</v>
      </c>
      <c r="AG182" s="332">
        <v>7.41</v>
      </c>
      <c r="AH182" s="23">
        <f t="shared" si="192"/>
        <v>1.175642440644486E-4</v>
      </c>
      <c r="AI182" s="23">
        <f t="shared" si="193"/>
        <v>0</v>
      </c>
      <c r="AJ182" s="24">
        <f t="shared" si="200"/>
        <v>-8.6232672904355857E-3</v>
      </c>
      <c r="AK182" s="24">
        <f t="shared" si="201"/>
        <v>7.2964891237921759E-3</v>
      </c>
      <c r="AL182" s="25">
        <f t="shared" si="202"/>
        <v>-9.0716275381356154E-2</v>
      </c>
      <c r="AM182" s="25">
        <f t="shared" si="203"/>
        <v>4.6610169491525431E-2</v>
      </c>
      <c r="AN182" s="26">
        <f t="shared" si="204"/>
        <v>5.5249233178105484E-2</v>
      </c>
      <c r="AO182" s="78">
        <f t="shared" si="205"/>
        <v>1.9137098421501134E-2</v>
      </c>
    </row>
    <row r="183" spans="1:41">
      <c r="A183" s="207" t="s">
        <v>60</v>
      </c>
      <c r="B183" s="75">
        <v>386827036.22000003</v>
      </c>
      <c r="C183" s="332">
        <v>4.67</v>
      </c>
      <c r="D183" s="75">
        <v>369786197.62</v>
      </c>
      <c r="E183" s="332">
        <v>4.38</v>
      </c>
      <c r="F183" s="23">
        <f t="shared" si="178"/>
        <v>-4.4052863436123406E-2</v>
      </c>
      <c r="G183" s="23">
        <f t="shared" si="179"/>
        <v>-6.2098501070663822E-2</v>
      </c>
      <c r="H183" s="75">
        <v>369786197.62</v>
      </c>
      <c r="I183" s="332">
        <v>4.42</v>
      </c>
      <c r="J183" s="23">
        <f t="shared" si="180"/>
        <v>0</v>
      </c>
      <c r="K183" s="23">
        <f t="shared" si="181"/>
        <v>9.1324200913242091E-3</v>
      </c>
      <c r="L183" s="75">
        <v>369786197.62</v>
      </c>
      <c r="M183" s="332">
        <v>4.58</v>
      </c>
      <c r="N183" s="23">
        <f t="shared" si="182"/>
        <v>0</v>
      </c>
      <c r="O183" s="23">
        <f t="shared" si="183"/>
        <v>3.6199095022624465E-2</v>
      </c>
      <c r="P183" s="75">
        <v>349202483.66000003</v>
      </c>
      <c r="Q183" s="332">
        <v>4.53</v>
      </c>
      <c r="R183" s="23">
        <f t="shared" si="184"/>
        <v>-5.5663824373326752E-2</v>
      </c>
      <c r="S183" s="23">
        <f t="shared" si="185"/>
        <v>-1.0917030567685551E-2</v>
      </c>
      <c r="T183" s="75">
        <v>343445367.83999997</v>
      </c>
      <c r="U183" s="332">
        <v>4.47</v>
      </c>
      <c r="V183" s="23">
        <f t="shared" si="186"/>
        <v>-1.6486468709098447E-2</v>
      </c>
      <c r="W183" s="23">
        <f t="shared" si="187"/>
        <v>-1.3245033112582891E-2</v>
      </c>
      <c r="X183" s="75">
        <v>354042680.63</v>
      </c>
      <c r="Y183" s="332">
        <v>4.3600000000000003</v>
      </c>
      <c r="Z183" s="23">
        <f t="shared" si="188"/>
        <v>3.0855890870355149E-2</v>
      </c>
      <c r="AA183" s="23">
        <f t="shared" si="189"/>
        <v>-2.4608501118568108E-2</v>
      </c>
      <c r="AB183" s="75">
        <v>360064239.17000002</v>
      </c>
      <c r="AC183" s="332">
        <v>4.43</v>
      </c>
      <c r="AD183" s="23">
        <f t="shared" si="190"/>
        <v>1.7008001773359586E-2</v>
      </c>
      <c r="AE183" s="23">
        <f t="shared" si="191"/>
        <v>1.6055045871559492E-2</v>
      </c>
      <c r="AF183" s="75">
        <v>379381189.43000001</v>
      </c>
      <c r="AG183" s="332">
        <v>4.66</v>
      </c>
      <c r="AH183" s="23">
        <f t="shared" si="192"/>
        <v>5.3648621991809975E-2</v>
      </c>
      <c r="AI183" s="23">
        <f t="shared" si="193"/>
        <v>5.1918735891647957E-2</v>
      </c>
      <c r="AJ183" s="24">
        <f t="shared" si="200"/>
        <v>-1.8363302353779885E-3</v>
      </c>
      <c r="AK183" s="24">
        <f t="shared" si="201"/>
        <v>3.0452887595696851E-4</v>
      </c>
      <c r="AL183" s="25">
        <f t="shared" si="202"/>
        <v>2.5947403855943848E-2</v>
      </c>
      <c r="AM183" s="25">
        <f t="shared" si="203"/>
        <v>6.3926940639269458E-2</v>
      </c>
      <c r="AN183" s="26">
        <f t="shared" si="204"/>
        <v>3.6651789410149176E-2</v>
      </c>
      <c r="AO183" s="78">
        <f t="shared" si="205"/>
        <v>3.6060995806927419E-2</v>
      </c>
    </row>
    <row r="184" spans="1:41">
      <c r="A184" s="207" t="s">
        <v>94</v>
      </c>
      <c r="B184" s="328">
        <v>571811912.37</v>
      </c>
      <c r="C184" s="332">
        <v>142.75</v>
      </c>
      <c r="D184" s="328">
        <v>568291553.37</v>
      </c>
      <c r="E184" s="332">
        <v>143.69999999999999</v>
      </c>
      <c r="F184" s="23">
        <f t="shared" si="178"/>
        <v>-6.1564981838330354E-3</v>
      </c>
      <c r="G184" s="23">
        <f t="shared" si="179"/>
        <v>6.6549912434324945E-3</v>
      </c>
      <c r="H184" s="328">
        <v>563011014.87</v>
      </c>
      <c r="I184" s="332">
        <v>145.47</v>
      </c>
      <c r="J184" s="23">
        <f t="shared" si="180"/>
        <v>-9.2919531685560306E-3</v>
      </c>
      <c r="K184" s="23">
        <f t="shared" si="181"/>
        <v>1.2317327766179612E-2</v>
      </c>
      <c r="L184" s="328">
        <v>559490655.87</v>
      </c>
      <c r="M184" s="332">
        <v>144.26</v>
      </c>
      <c r="N184" s="23">
        <f t="shared" si="182"/>
        <v>-6.2527355718126681E-3</v>
      </c>
      <c r="O184" s="23">
        <f t="shared" si="183"/>
        <v>-8.3178662267134659E-3</v>
      </c>
      <c r="P184" s="328">
        <v>502329033.66000003</v>
      </c>
      <c r="Q184" s="332">
        <v>143.69</v>
      </c>
      <c r="R184" s="23">
        <f t="shared" si="184"/>
        <v>-0.1021672508920001</v>
      </c>
      <c r="S184" s="23">
        <f t="shared" si="185"/>
        <v>-3.9511992236239656E-3</v>
      </c>
      <c r="T184" s="328">
        <v>502786320.23000002</v>
      </c>
      <c r="U184" s="332">
        <v>143.82</v>
      </c>
      <c r="V184" s="23">
        <f t="shared" si="186"/>
        <v>9.1033274877260221E-4</v>
      </c>
      <c r="W184" s="23">
        <f t="shared" si="187"/>
        <v>9.04725450622837E-4</v>
      </c>
      <c r="X184" s="328">
        <v>503980955.83999997</v>
      </c>
      <c r="Y184" s="332">
        <v>144.16</v>
      </c>
      <c r="Z184" s="23">
        <f t="shared" si="188"/>
        <v>2.3760304565435823E-3</v>
      </c>
      <c r="AA184" s="23">
        <f t="shared" si="189"/>
        <v>2.3640661938534517E-3</v>
      </c>
      <c r="AB184" s="328">
        <v>507164044.56</v>
      </c>
      <c r="AC184" s="332">
        <v>145.07</v>
      </c>
      <c r="AD184" s="23">
        <f t="shared" si="190"/>
        <v>6.315890874675374E-3</v>
      </c>
      <c r="AE184" s="23">
        <f t="shared" si="191"/>
        <v>6.3124306326303873E-3</v>
      </c>
      <c r="AF184" s="328">
        <v>507266573.44999999</v>
      </c>
      <c r="AG184" s="332">
        <v>145.1</v>
      </c>
      <c r="AH184" s="23">
        <f t="shared" si="192"/>
        <v>2.0216119636189237E-4</v>
      </c>
      <c r="AI184" s="23">
        <f t="shared" si="193"/>
        <v>2.0679671882540247E-4</v>
      </c>
      <c r="AJ184" s="24">
        <f t="shared" si="200"/>
        <v>-1.4258002817481047E-2</v>
      </c>
      <c r="AK184" s="24">
        <f t="shared" si="201"/>
        <v>2.0614090694008446E-3</v>
      </c>
      <c r="AL184" s="25">
        <f t="shared" si="202"/>
        <v>-0.10738322531475006</v>
      </c>
      <c r="AM184" s="25">
        <f t="shared" si="203"/>
        <v>9.7425191370912028E-3</v>
      </c>
      <c r="AN184" s="26">
        <f t="shared" si="204"/>
        <v>3.5899795341481376E-2</v>
      </c>
      <c r="AO184" s="78">
        <f t="shared" si="205"/>
        <v>6.4708794864076352E-3</v>
      </c>
    </row>
    <row r="185" spans="1:41">
      <c r="A185" s="207" t="s">
        <v>30</v>
      </c>
      <c r="B185" s="328">
        <v>2597490000</v>
      </c>
      <c r="C185" s="332">
        <v>20.239999999999998</v>
      </c>
      <c r="D185" s="328">
        <v>2980278000</v>
      </c>
      <c r="E185" s="332">
        <v>20.059999999999999</v>
      </c>
      <c r="F185" s="23">
        <f t="shared" si="178"/>
        <v>0.14736842105263157</v>
      </c>
      <c r="G185" s="23">
        <f t="shared" si="179"/>
        <v>-8.893280632411054E-3</v>
      </c>
      <c r="H185" s="328">
        <v>2896733000</v>
      </c>
      <c r="I185" s="332">
        <v>20.02</v>
      </c>
      <c r="J185" s="23">
        <f t="shared" si="180"/>
        <v>-2.8032619775739041E-2</v>
      </c>
      <c r="K185" s="23">
        <f t="shared" si="181"/>
        <v>-1.9940179461614732E-3</v>
      </c>
      <c r="L185" s="328">
        <v>2831416000</v>
      </c>
      <c r="M185" s="332">
        <v>20.02</v>
      </c>
      <c r="N185" s="23">
        <f t="shared" si="182"/>
        <v>-2.2548505506030415E-2</v>
      </c>
      <c r="O185" s="23">
        <f t="shared" si="183"/>
        <v>0</v>
      </c>
      <c r="P185" s="328">
        <v>2851630995.5500002</v>
      </c>
      <c r="Q185" s="332">
        <v>19.350000000000001</v>
      </c>
      <c r="R185" s="23">
        <f t="shared" si="184"/>
        <v>7.1395356775550431E-3</v>
      </c>
      <c r="S185" s="23">
        <f t="shared" si="185"/>
        <v>-3.3466533466533374E-2</v>
      </c>
      <c r="T185" s="328">
        <v>2806952224.9899998</v>
      </c>
      <c r="U185" s="332">
        <v>19.04</v>
      </c>
      <c r="V185" s="23">
        <f t="shared" si="186"/>
        <v>-1.5667795247604654E-2</v>
      </c>
      <c r="W185" s="23">
        <f t="shared" si="187"/>
        <v>-1.6020671834625438E-2</v>
      </c>
      <c r="X185" s="328">
        <v>2803322645.0599999</v>
      </c>
      <c r="Y185" s="332">
        <v>18.93</v>
      </c>
      <c r="Z185" s="23">
        <f t="shared" si="188"/>
        <v>-1.2930679395559571E-3</v>
      </c>
      <c r="AA185" s="23">
        <f t="shared" si="189"/>
        <v>-5.7773109243697187E-3</v>
      </c>
      <c r="AB185" s="328">
        <v>2867818359.6500001</v>
      </c>
      <c r="AC185" s="332">
        <v>19.350000000000001</v>
      </c>
      <c r="AD185" s="23">
        <f t="shared" si="190"/>
        <v>2.3006882459161149E-2</v>
      </c>
      <c r="AE185" s="23">
        <f t="shared" si="191"/>
        <v>2.2187004754358253E-2</v>
      </c>
      <c r="AF185" s="328">
        <v>2866807508.1999998</v>
      </c>
      <c r="AG185" s="332">
        <v>19.29</v>
      </c>
      <c r="AH185" s="23">
        <f t="shared" si="192"/>
        <v>-3.5248098841366451E-4</v>
      </c>
      <c r="AI185" s="23">
        <f t="shared" si="193"/>
        <v>-3.1007751937985671E-3</v>
      </c>
      <c r="AJ185" s="24">
        <f t="shared" si="200"/>
        <v>1.3702546216500505E-2</v>
      </c>
      <c r="AK185" s="24">
        <f t="shared" si="201"/>
        <v>-5.883198155442671E-3</v>
      </c>
      <c r="AL185" s="25">
        <f t="shared" si="202"/>
        <v>-3.8073794390993121E-2</v>
      </c>
      <c r="AM185" s="25">
        <f t="shared" si="203"/>
        <v>-3.8384845463609152E-2</v>
      </c>
      <c r="AN185" s="26">
        <f t="shared" si="204"/>
        <v>5.6489192264304336E-2</v>
      </c>
      <c r="AO185" s="78">
        <f t="shared" si="205"/>
        <v>1.5666599960586728E-2</v>
      </c>
    </row>
    <row r="186" spans="1:41">
      <c r="A186" s="207" t="s">
        <v>51</v>
      </c>
      <c r="B186" s="75">
        <v>269373723.56999999</v>
      </c>
      <c r="C186" s="332">
        <v>25.26</v>
      </c>
      <c r="D186" s="75">
        <v>268636866.95999998</v>
      </c>
      <c r="E186" s="332">
        <v>25.62</v>
      </c>
      <c r="F186" s="23">
        <f t="shared" si="178"/>
        <v>-2.7354435326299867E-3</v>
      </c>
      <c r="G186" s="23">
        <f t="shared" si="179"/>
        <v>1.4251781472684062E-2</v>
      </c>
      <c r="H186" s="75">
        <v>267373684.19999999</v>
      </c>
      <c r="I186" s="332">
        <v>25.49</v>
      </c>
      <c r="J186" s="23">
        <f t="shared" si="180"/>
        <v>-4.7021943573667358E-3</v>
      </c>
      <c r="K186" s="23">
        <f t="shared" si="181"/>
        <v>-5.0741608118658292E-3</v>
      </c>
      <c r="L186" s="75">
        <v>267373684.19999999</v>
      </c>
      <c r="M186" s="332">
        <v>25.59</v>
      </c>
      <c r="N186" s="23">
        <f t="shared" si="182"/>
        <v>0</v>
      </c>
      <c r="O186" s="23">
        <f t="shared" si="183"/>
        <v>3.9231071008239086E-3</v>
      </c>
      <c r="P186" s="75">
        <v>259443510.68000001</v>
      </c>
      <c r="Q186" s="332">
        <v>24.65</v>
      </c>
      <c r="R186" s="23">
        <f t="shared" si="184"/>
        <v>-2.9659513963491181E-2</v>
      </c>
      <c r="S186" s="23">
        <f t="shared" si="185"/>
        <v>-3.6733098866744869E-2</v>
      </c>
      <c r="T186" s="75">
        <v>258249284.53</v>
      </c>
      <c r="U186" s="332">
        <v>24.56</v>
      </c>
      <c r="V186" s="23">
        <f t="shared" si="186"/>
        <v>-4.6030295645859316E-3</v>
      </c>
      <c r="W186" s="23">
        <f t="shared" si="187"/>
        <v>-3.6511156186612519E-3</v>
      </c>
      <c r="X186" s="75">
        <v>257695353.47</v>
      </c>
      <c r="Y186" s="332">
        <v>24.51</v>
      </c>
      <c r="Z186" s="23">
        <f t="shared" si="188"/>
        <v>-2.1449471235055985E-3</v>
      </c>
      <c r="AA186" s="23">
        <f t="shared" si="189"/>
        <v>-2.0358306188923924E-3</v>
      </c>
      <c r="AB186" s="75">
        <v>259160288.34</v>
      </c>
      <c r="AC186" s="332">
        <v>24.57</v>
      </c>
      <c r="AD186" s="23">
        <f t="shared" si="190"/>
        <v>5.6847546929888566E-3</v>
      </c>
      <c r="AE186" s="23">
        <f t="shared" si="191"/>
        <v>2.4479804161566185E-3</v>
      </c>
      <c r="AF186" s="75">
        <v>259243253.44999999</v>
      </c>
      <c r="AG186" s="332">
        <v>24.59</v>
      </c>
      <c r="AH186" s="23">
        <f t="shared" si="192"/>
        <v>3.2013048963404507E-4</v>
      </c>
      <c r="AI186" s="23">
        <f t="shared" si="193"/>
        <v>8.1400081400079662E-4</v>
      </c>
      <c r="AJ186" s="24">
        <f t="shared" si="200"/>
        <v>-4.7300304198695658E-3</v>
      </c>
      <c r="AK186" s="24">
        <f t="shared" si="201"/>
        <v>-3.2571670140623694E-3</v>
      </c>
      <c r="AL186" s="25">
        <f t="shared" si="202"/>
        <v>-3.496770051073704E-2</v>
      </c>
      <c r="AM186" s="25">
        <f t="shared" si="203"/>
        <v>-4.0202966432474674E-2</v>
      </c>
      <c r="AN186" s="26">
        <f t="shared" si="204"/>
        <v>1.0613348389423809E-2</v>
      </c>
      <c r="AO186" s="78">
        <f t="shared" si="205"/>
        <v>1.4797823518154708E-2</v>
      </c>
    </row>
    <row r="187" spans="1:41" ht="15.75" thickBot="1">
      <c r="A187" s="208" t="s">
        <v>33</v>
      </c>
      <c r="B187" s="77">
        <f>SUM(B175:B186)</f>
        <v>7302454395.249999</v>
      </c>
      <c r="C187" s="311"/>
      <c r="D187" s="77">
        <f>SUM(D175:D186)</f>
        <v>7615600748.6800003</v>
      </c>
      <c r="E187" s="311"/>
      <c r="F187" s="23">
        <f>((D187-B187)/B187)</f>
        <v>4.2882342905652709E-2</v>
      </c>
      <c r="G187" s="214"/>
      <c r="H187" s="77">
        <f>SUM(H175:H186)</f>
        <v>7518365561.5</v>
      </c>
      <c r="I187" s="311"/>
      <c r="J187" s="23">
        <f>((H187-D187)/D187)</f>
        <v>-1.2767894535024558E-2</v>
      </c>
      <c r="K187" s="214"/>
      <c r="L187" s="77">
        <f>SUM(L175:L186)</f>
        <v>7453517752.9404144</v>
      </c>
      <c r="M187" s="311"/>
      <c r="N187" s="23">
        <f>((L187-H187)/H187)</f>
        <v>-8.6252534582327081E-3</v>
      </c>
      <c r="O187" s="214"/>
      <c r="P187" s="77">
        <f>SUM(P175:P186)</f>
        <v>7407165496.3106413</v>
      </c>
      <c r="Q187" s="311"/>
      <c r="R187" s="23">
        <f>((P187-L187)/L187)</f>
        <v>-6.2188429901420929E-3</v>
      </c>
      <c r="S187" s="214"/>
      <c r="T187" s="77">
        <f>SUM(T175:T186)</f>
        <v>7288227210.7975979</v>
      </c>
      <c r="U187" s="311"/>
      <c r="V187" s="23">
        <f>((T187-P187)/P187)</f>
        <v>-1.60571929400368E-2</v>
      </c>
      <c r="W187" s="214"/>
      <c r="X187" s="77">
        <f>SUM(X175:X186)</f>
        <v>7234240927.5619497</v>
      </c>
      <c r="Y187" s="311"/>
      <c r="Z187" s="23">
        <f>((X187-T187)/T187)</f>
        <v>-7.407327142006058E-3</v>
      </c>
      <c r="AA187" s="214"/>
      <c r="AB187" s="77">
        <f>SUM(AB175:AB186)</f>
        <v>7427652708.1927681</v>
      </c>
      <c r="AC187" s="311"/>
      <c r="AD187" s="23">
        <f>((AB187-X187)/X187)</f>
        <v>2.6735601228586828E-2</v>
      </c>
      <c r="AE187" s="214"/>
      <c r="AF187" s="77">
        <f>SUM(AF175:AF186)</f>
        <v>7434093500.5296631</v>
      </c>
      <c r="AG187" s="311"/>
      <c r="AH187" s="23">
        <f>((AF187-AB187)/AB187)</f>
        <v>8.671369798685844E-4</v>
      </c>
      <c r="AI187" s="214"/>
      <c r="AJ187" s="24">
        <f t="shared" si="200"/>
        <v>2.4260712560832381E-3</v>
      </c>
      <c r="AK187" s="24"/>
      <c r="AL187" s="25">
        <f t="shared" si="202"/>
        <v>-2.3833608685670343E-2</v>
      </c>
      <c r="AM187" s="25"/>
      <c r="AN187" s="26">
        <f t="shared" si="204"/>
        <v>2.1031076106805369E-2</v>
      </c>
      <c r="AO187" s="78"/>
    </row>
    <row r="188" spans="1:41" ht="15.75" thickBot="1">
      <c r="A188" s="63" t="s">
        <v>43</v>
      </c>
      <c r="B188" s="227">
        <f>SUM(B167,B172,B187)</f>
        <v>1691196679078.0959</v>
      </c>
      <c r="C188" s="312"/>
      <c r="D188" s="227">
        <f>SUM(D167,D172,D187)</f>
        <v>1688865902848.1707</v>
      </c>
      <c r="E188" s="312"/>
      <c r="F188" s="214">
        <f>((D188-B188)/B188)</f>
        <v>-1.378181650164926E-3</v>
      </c>
      <c r="G188" s="310"/>
      <c r="H188" s="227">
        <f>SUM(H167,H172,H187)</f>
        <v>1675766314367.9641</v>
      </c>
      <c r="I188" s="312"/>
      <c r="J188" s="214">
        <f>((H188-D188)/D188)</f>
        <v>-7.7564408507003876E-3</v>
      </c>
      <c r="K188" s="310"/>
      <c r="L188" s="227">
        <f>SUM(L167,L172,L187)</f>
        <v>1671153528781.3923</v>
      </c>
      <c r="M188" s="312"/>
      <c r="N188" s="214">
        <f>((L188-H188)/H188)</f>
        <v>-2.752642505713302E-3</v>
      </c>
      <c r="O188" s="310"/>
      <c r="P188" s="227">
        <f>SUM(P167,P172,P187)</f>
        <v>1686140811863.7493</v>
      </c>
      <c r="Q188" s="312"/>
      <c r="R188" s="214">
        <f>((P188-L188)/L188)</f>
        <v>8.9682263324337916E-3</v>
      </c>
      <c r="S188" s="310"/>
      <c r="T188" s="227">
        <f>SUM(T167,T172,T187)</f>
        <v>1690494681920.949</v>
      </c>
      <c r="U188" s="312"/>
      <c r="V188" s="214">
        <f>((T188-P188)/P188)</f>
        <v>2.5821509250981388E-3</v>
      </c>
      <c r="W188" s="310"/>
      <c r="X188" s="227">
        <f>SUM(X167,X172,X187)</f>
        <v>1689087835382.427</v>
      </c>
      <c r="Y188" s="312"/>
      <c r="Z188" s="214">
        <f>((X188-T188)/T188)</f>
        <v>-8.3220997591269537E-4</v>
      </c>
      <c r="AA188" s="310"/>
      <c r="AB188" s="227">
        <f>SUM(AB167,AB172,AB187)</f>
        <v>1675117351047.1646</v>
      </c>
      <c r="AC188" s="312"/>
      <c r="AD188" s="214">
        <f>((AB188-X188)/X188)</f>
        <v>-8.2710229998781502E-3</v>
      </c>
      <c r="AE188" s="310"/>
      <c r="AF188" s="227">
        <f>SUM(AF167,AF172,AF187)</f>
        <v>1739618684560.0811</v>
      </c>
      <c r="AG188" s="312"/>
      <c r="AH188" s="214">
        <f>((AF188-AB188)/AB188)</f>
        <v>3.8505561101492287E-2</v>
      </c>
      <c r="AI188" s="310"/>
      <c r="AJ188" s="24">
        <f t="shared" si="200"/>
        <v>3.6331800470818447E-3</v>
      </c>
      <c r="AK188" s="24"/>
      <c r="AL188" s="25">
        <f t="shared" si="202"/>
        <v>3.0051398175733723E-2</v>
      </c>
      <c r="AM188" s="25"/>
      <c r="AN188" s="26">
        <f t="shared" si="204"/>
        <v>1.5132349641264937E-2</v>
      </c>
      <c r="AO188" s="78"/>
    </row>
    <row r="189" spans="1:41">
      <c r="L189" s="312"/>
      <c r="M189" s="312"/>
    </row>
  </sheetData>
  <protectedRanges>
    <protectedRange password="CADF" sqref="B18" name="Fund Name_1_1_1_3_1_1_2"/>
    <protectedRange password="CADF" sqref="C18" name="Fund Name_1_1_1_1_1_1_2"/>
    <protectedRange password="CADF" sqref="B76" name="Yield_2_1_2_1_1_7"/>
    <protectedRange password="CADF" sqref="C76" name="Fund Name_2_2_1_1_2"/>
    <protectedRange password="CADF" sqref="C75" name="BidOffer Prices_2_1_1_1_1_1_1_1_1_1_7"/>
    <protectedRange password="CADF" sqref="B93:B94" name="Yield_2_1_2_6_3_6"/>
    <protectedRange password="CADF" sqref="C123 C143:C144" name="Fund Name_1_1_1_1_2_2"/>
    <protectedRange password="CADF" sqref="B46" name="Yield_2_1_2_3_1"/>
    <protectedRange password="CADF" sqref="B51" name="Yield_2_1_2_4_1"/>
    <protectedRange password="CADF" sqref="B123 B143:B144" name="Fund Name_1_1_1_2_8"/>
    <protectedRange password="CADF" sqref="D18" name="Fund Name_1_1_1_3_1_1_8"/>
    <protectedRange password="CADF" sqref="E18" name="Fund Name_1_1_1_1_1_1_7"/>
    <protectedRange password="CADF" sqref="D46" name="Yield_2_1_2_3_1_9"/>
    <protectedRange password="CADF" sqref="D51" name="Yield_2_1_2_4_1_9"/>
    <protectedRange password="CADF" sqref="D76" name="Yield_2_1_2_1_1_8"/>
    <protectedRange password="CADF" sqref="E76" name="Fund Name_2_2_1_1_8"/>
    <protectedRange password="CADF" sqref="E75" name="BidOffer Prices_2_1_1_1_1_1_1_1_1_1_8"/>
    <protectedRange password="CADF" sqref="D93:D94" name="Yield_2_1_2_6_3_7"/>
    <protectedRange password="CADF" sqref="D123 D143:D144" name="Fund Name_1_1_1_2_7"/>
    <protectedRange password="CADF" sqref="E123 E143:E144" name="Fund Name_1_1_1_1_2_8"/>
    <protectedRange password="CADF" sqref="H18" name="Fund Name_1_1_1_3_1_1_3"/>
    <protectedRange password="CADF" sqref="I18" name="Fund Name_1_1_1_1_1_1_3"/>
    <protectedRange password="CADF" sqref="H76" name="Yield_2_1_2_1_1_9"/>
    <protectedRange password="CADF" sqref="I76" name="Fund Name_2_2_1_1_9"/>
    <protectedRange password="CADF" sqref="I75" name="BidOffer Prices_2_1_1_1_1_1_1_1_1_1_9"/>
    <protectedRange password="CADF" sqref="H93:H94" name="Yield_2_1_2_6_3_8"/>
    <protectedRange password="CADF" sqref="H46" name="Yield_2_1_2_3_1_2"/>
    <protectedRange password="CADF" sqref="H51" name="Yield_2_1_2_4_1_2"/>
    <protectedRange password="CADF" sqref="H123 H143:H144" name="Fund Name_1_1_1_2_3"/>
    <protectedRange password="CADF" sqref="I123 I143:I144" name="Fund Name_1_1_1_1_2_3"/>
    <protectedRange password="CADF" sqref="L18" name="Fund Name_1_1_1_3_1_1_4"/>
    <protectedRange password="CADF" sqref="M18" name="Fund Name_1_1_1_1_1_1_4"/>
    <protectedRange password="CADF" sqref="L46" name="Yield_2_1_2_3_1_3"/>
    <protectedRange password="CADF" sqref="L51" name="Yield_2_1_2_4_1_3"/>
    <protectedRange password="CADF" sqref="L76" name="Yield_2_1_2_1_1_2"/>
    <protectedRange password="CADF" sqref="M76" name="Fund Name_2_2_1_1_3"/>
    <protectedRange password="CADF" sqref="M75" name="BidOffer Prices_2_1_1_1_1_1_1_1_1_1_3"/>
    <protectedRange password="CADF" sqref="L93:L94" name="Yield_2_1_2_6_3_9"/>
    <protectedRange password="CADF" sqref="L123 L143:L144" name="Fund Name_1_1_1_2_4"/>
    <protectedRange password="CADF" sqref="M123 M143:M144" name="Fund Name_1_1_1_1_2_4"/>
    <protectedRange password="CADF" sqref="P18" name="Fund Name_1_1_1_3_1_1"/>
    <protectedRange password="CADF" sqref="Q18" name="Fund Name_1_1_1_1_1_1"/>
    <protectedRange password="CADF" sqref="P46" name="Yield_2_1_2_3_1_4"/>
    <protectedRange password="CADF" sqref="P51" name="Yield_2_1_2_4_1_4"/>
    <protectedRange password="CADF" sqref="P76" name="Yield_2_1_2_1_1_3"/>
    <protectedRange password="CADF" sqref="Q76" name="Fund Name_2_2_1_1_4"/>
    <protectedRange password="CADF" sqref="Q75" name="BidOffer Prices_2_1_1_1_1_1_1_1_1_1"/>
    <protectedRange password="CADF" sqref="P93:P94" name="Yield_2_1_2_6_3"/>
    <protectedRange password="CADF" sqref="P123 P143:P144" name="Fund Name_1_1_1_2"/>
    <protectedRange password="CADF" sqref="Q123 Q143:Q144" name="Fund Name_1_1_1_1_2_5"/>
    <protectedRange password="CADF" sqref="T18" name="Fund Name_1_1_1_3_1_1_11"/>
    <protectedRange password="CADF" sqref="U18" name="Fund Name_1_1_1_1_1_1_11"/>
    <protectedRange password="CADF" sqref="T46" name="Yield_2_1_2_3_1_10"/>
    <protectedRange password="CADF" sqref="T51" name="Yield_2_1_2_4_1_10"/>
    <protectedRange password="CADF" sqref="T76" name="Yield_2_1_2_1_1_10"/>
    <protectedRange password="CADF" sqref="U76" name="Fund Name_2_2_1_1_5"/>
    <protectedRange password="CADF" sqref="U75" name="BidOffer Prices_2_1_1_1_1_1_1_1_1_1_4"/>
    <protectedRange password="CADF" sqref="T93:T94" name="Yield_2_1_2_6_3_1"/>
    <protectedRange password="CADF" sqref="T142:T144" name="Fund Name_1_1_1_2_10"/>
    <protectedRange password="CADF" sqref="U142:U144" name="Fund Name_1_1_1_1_2_10"/>
    <protectedRange password="CADF" sqref="X18" name="Fund Name_1_1_1_3_1_1_5"/>
    <protectedRange password="CADF" sqref="Y18" name="Fund Name_1_1_1_1_1_1_5"/>
    <protectedRange password="CADF" sqref="X46" name="Yield_2_1_2_3_1_5"/>
    <protectedRange password="CADF" sqref="X51" name="Yield_2_1_2_4_1_5"/>
    <protectedRange password="CADF" sqref="X76" name="Yield_2_1_2_1_1_4"/>
    <protectedRange password="CADF" sqref="Y76" name="Fund Name_2_2_1_1_6"/>
    <protectedRange password="CADF" sqref="Y75" name="BidOffer Prices_2_1_1_1_1_1_1_1_1_1_5"/>
    <protectedRange password="CADF" sqref="X93:X94" name="Yield_2_1_2_6_3_2"/>
    <protectedRange password="CADF" sqref="X142:X144" name="Fund Name_1_1_1_2_5"/>
    <protectedRange password="CADF" sqref="Y142:Y144" name="Fund Name_1_1_1_1_2_6"/>
    <protectedRange password="CADF" sqref="AB18" name="Fund Name_1_1_1_3_1_1_6"/>
    <protectedRange password="CADF" sqref="AC18" name="Fund Name_1_1_1_1_1_1_6"/>
    <protectedRange password="CADF" sqref="AB46" name="Yield_2_1_2_3_1_6"/>
    <protectedRange password="CADF" sqref="AB51" name="Yield_2_1_2_4_1_6"/>
    <protectedRange password="CADF" sqref="AB76" name="Yield_2_1_2_1_1_5"/>
    <protectedRange password="CADF" sqref="AC76" name="Fund Name_2_2_1_1_7"/>
    <protectedRange password="CADF" sqref="AC75" name="BidOffer Prices_2_1_1_1_1_1_1_1_1_1_6"/>
    <protectedRange password="CADF" sqref="AB93:AB94" name="Yield_2_1_2_6_3_3"/>
    <protectedRange password="CADF" sqref="AB142:AB144" name="Fund Name_1_1_1_2_6"/>
    <protectedRange password="CADF" sqref="AC142:AC144" name="Fund Name_1_1_1_1_2_7"/>
    <protectedRange password="CADF" sqref="AF18" name="Fund Name_1_1_1_3_1_1_1"/>
    <protectedRange password="CADF" sqref="AG18" name="Fund Name_1_1_1_1_1_1_1"/>
    <protectedRange password="CADF" sqref="AF46" name="Yield_2_1_2_3_1_1"/>
    <protectedRange password="CADF" sqref="AF51" name="Yield_2_1_2_4_1_1"/>
    <protectedRange password="CADF" sqref="AF76" name="Yield_2_1_2_1_1_1"/>
    <protectedRange password="CADF" sqref="AG76" name="Fund Name_2_2_1_1"/>
    <protectedRange password="CADF" sqref="AG75" name="BidOffer Prices_2_1_1_1_1_1_1_1_1_1_1"/>
    <protectedRange password="CADF" sqref="AF93:AF94" name="Yield_2_1_2_6_3_4"/>
    <protectedRange password="CADF" sqref="AF142:AF144" name="Fund Name_1_1_1_2_1"/>
    <protectedRange password="CADF" sqref="AG142:AG144" name="Fund Name_1_1_1_1_2"/>
  </protectedRanges>
  <sortState ref="A174:AO185">
    <sortCondition ref="A174:A185"/>
  </sortState>
  <mergeCells count="29">
    <mergeCell ref="X174:Y174"/>
    <mergeCell ref="AQ2:AR2"/>
    <mergeCell ref="AQ127:AR127"/>
    <mergeCell ref="B2:C2"/>
    <mergeCell ref="D2:E2"/>
    <mergeCell ref="H2:I2"/>
    <mergeCell ref="T2:U2"/>
    <mergeCell ref="V2:W2"/>
    <mergeCell ref="X2:Y2"/>
    <mergeCell ref="Z2:AA2"/>
    <mergeCell ref="L174:M174"/>
    <mergeCell ref="P174:Q174"/>
    <mergeCell ref="T174:U174"/>
    <mergeCell ref="AB174:AC174"/>
    <mergeCell ref="AF174:AG174"/>
    <mergeCell ref="A1:AO1"/>
    <mergeCell ref="AN2:AO2"/>
    <mergeCell ref="AL2:AM2"/>
    <mergeCell ref="AJ2:AK2"/>
    <mergeCell ref="F2:G2"/>
    <mergeCell ref="J2:K2"/>
    <mergeCell ref="L2:M2"/>
    <mergeCell ref="N2:O2"/>
    <mergeCell ref="P2:Q2"/>
    <mergeCell ref="R2:S2"/>
    <mergeCell ref="AB2:AC2"/>
    <mergeCell ref="AD2:AE2"/>
    <mergeCell ref="AF2:AG2"/>
    <mergeCell ref="AH2:AI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Data</vt:lpstr>
      <vt:lpstr>Market Share</vt:lpstr>
      <vt:lpstr>NAV Trend</vt:lpstr>
      <vt:lpstr>Volatility Measure</vt:lpstr>
      <vt:lpstr>Total NAV</vt:lpstr>
      <vt:lpstr>Sector Trend</vt:lpstr>
      <vt:lpstr>NAV COMPARISON</vt:lpstr>
      <vt:lpstr>Data!OLE_LINK6</vt:lpstr>
      <vt:lpstr>Data!Print_Area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2021-12-05T22:39:14Z</cp:lastPrinted>
  <dcterms:created xsi:type="dcterms:W3CDTF">2014-07-02T14:15:07Z</dcterms:created>
  <dcterms:modified xsi:type="dcterms:W3CDTF">2023-05-12T08:15:10Z</dcterms:modified>
</cp:coreProperties>
</file>