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Data!$K$65</definedName>
    <definedName name="_xlnm.Print_Area" localSheetId="0">Data!$A$1:$AQ$192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H158" i="11" l="1"/>
  <c r="AH159" i="11"/>
  <c r="AH160" i="11"/>
  <c r="AH161" i="11"/>
  <c r="AH162" i="11"/>
  <c r="AH163" i="11"/>
  <c r="AH164" i="11"/>
  <c r="AH165" i="11"/>
  <c r="AD158" i="11"/>
  <c r="AD159" i="11"/>
  <c r="AD160" i="11"/>
  <c r="AD161" i="11"/>
  <c r="AD162" i="11"/>
  <c r="AD163" i="11"/>
  <c r="AD164" i="11"/>
  <c r="AD165" i="11"/>
  <c r="Z158" i="11"/>
  <c r="Z159" i="11"/>
  <c r="Z160" i="11"/>
  <c r="Z161" i="11"/>
  <c r="Z162" i="11"/>
  <c r="Z163" i="11"/>
  <c r="Z164" i="11"/>
  <c r="Z165" i="11"/>
  <c r="V158" i="11"/>
  <c r="V159" i="11"/>
  <c r="V160" i="11"/>
  <c r="V161" i="11"/>
  <c r="V162" i="11"/>
  <c r="V163" i="11"/>
  <c r="V164" i="11"/>
  <c r="V165" i="11"/>
  <c r="R158" i="11"/>
  <c r="R159" i="11"/>
  <c r="R160" i="11"/>
  <c r="R161" i="11"/>
  <c r="R162" i="11"/>
  <c r="R163" i="11"/>
  <c r="R164" i="11"/>
  <c r="R165" i="11"/>
  <c r="N158" i="11"/>
  <c r="N159" i="11"/>
  <c r="N160" i="11"/>
  <c r="N161" i="11"/>
  <c r="N162" i="11"/>
  <c r="N163" i="11"/>
  <c r="N164" i="11"/>
  <c r="N165" i="11"/>
  <c r="J158" i="11"/>
  <c r="J159" i="11"/>
  <c r="J160" i="11"/>
  <c r="J161" i="11"/>
  <c r="J162" i="11"/>
  <c r="J163" i="11"/>
  <c r="J164" i="11"/>
  <c r="J165" i="11"/>
  <c r="F158" i="11"/>
  <c r="F159" i="11"/>
  <c r="F160" i="11"/>
  <c r="F161" i="11"/>
  <c r="F162" i="11"/>
  <c r="F163" i="11"/>
  <c r="F164" i="11"/>
  <c r="F165" i="11"/>
  <c r="AH91" i="11"/>
  <c r="AD91" i="11"/>
  <c r="Z91" i="11"/>
  <c r="AJ91" i="11" s="1"/>
  <c r="V91" i="11"/>
  <c r="T91" i="11"/>
  <c r="P91" i="11"/>
  <c r="U91" i="11"/>
  <c r="AM5" i="11"/>
  <c r="AH108" i="11"/>
  <c r="AI108" i="11"/>
  <c r="AD108" i="11"/>
  <c r="AE108" i="11"/>
  <c r="Z108" i="11"/>
  <c r="AA108" i="11"/>
  <c r="V108" i="11"/>
  <c r="W108" i="11"/>
  <c r="R108" i="11"/>
  <c r="S108" i="11"/>
  <c r="N108" i="11"/>
  <c r="O108" i="11"/>
  <c r="K108" i="11"/>
  <c r="J108" i="11"/>
  <c r="G108" i="11"/>
  <c r="F108" i="11"/>
  <c r="F95" i="11"/>
  <c r="F98" i="11"/>
  <c r="F92" i="11"/>
  <c r="F93" i="11"/>
  <c r="F90" i="11"/>
  <c r="AF143" i="11"/>
  <c r="AM121" i="11"/>
  <c r="AL121" i="11"/>
  <c r="AI121" i="11"/>
  <c r="AH121" i="11"/>
  <c r="AE121" i="11"/>
  <c r="AD121" i="11"/>
  <c r="AA121" i="11"/>
  <c r="Z121" i="11"/>
  <c r="W121" i="11"/>
  <c r="V121" i="11"/>
  <c r="S121" i="11"/>
  <c r="R121" i="11"/>
  <c r="O121" i="11"/>
  <c r="N121" i="11"/>
  <c r="K121" i="11"/>
  <c r="J121" i="11"/>
  <c r="G121" i="11"/>
  <c r="F121" i="11"/>
  <c r="AM131" i="11"/>
  <c r="AL131" i="11"/>
  <c r="AI131" i="11"/>
  <c r="AH131" i="11"/>
  <c r="AE131" i="11"/>
  <c r="AD131" i="11"/>
  <c r="AA131" i="11"/>
  <c r="Z131" i="11"/>
  <c r="W131" i="11"/>
  <c r="V131" i="11"/>
  <c r="S131" i="11"/>
  <c r="R131" i="11"/>
  <c r="O131" i="11"/>
  <c r="N131" i="11"/>
  <c r="K131" i="11"/>
  <c r="J131" i="11"/>
  <c r="G131" i="11"/>
  <c r="F131" i="11"/>
  <c r="AM130" i="11"/>
  <c r="AL130" i="11"/>
  <c r="AI130" i="11"/>
  <c r="AH130" i="11"/>
  <c r="AE130" i="11"/>
  <c r="AD130" i="11"/>
  <c r="AA130" i="11"/>
  <c r="Z130" i="11"/>
  <c r="W130" i="11"/>
  <c r="V130" i="11"/>
  <c r="S130" i="11"/>
  <c r="R130" i="11"/>
  <c r="O130" i="11"/>
  <c r="N130" i="11"/>
  <c r="K130" i="11"/>
  <c r="AO130" i="11" s="1"/>
  <c r="J130" i="11"/>
  <c r="G130" i="11"/>
  <c r="F130" i="11"/>
  <c r="AH95" i="11"/>
  <c r="AD95" i="11"/>
  <c r="Z95" i="11"/>
  <c r="V95" i="11"/>
  <c r="R95" i="11"/>
  <c r="N95" i="11"/>
  <c r="J95" i="11"/>
  <c r="AM16" i="11"/>
  <c r="AL16" i="11"/>
  <c r="AI16" i="11"/>
  <c r="AH16" i="11"/>
  <c r="AO131" i="11" l="1"/>
  <c r="AN131" i="11"/>
  <c r="AK130" i="11"/>
  <c r="AN121" i="11"/>
  <c r="AJ121" i="11"/>
  <c r="AO121" i="11"/>
  <c r="AK121" i="11"/>
  <c r="AJ130" i="11"/>
  <c r="AN130" i="11"/>
  <c r="AJ131" i="11"/>
  <c r="AK131" i="11"/>
  <c r="AJ95" i="11"/>
  <c r="AL174" i="11"/>
  <c r="AM174" i="11"/>
  <c r="AL175" i="11"/>
  <c r="AM175" i="11"/>
  <c r="AL176" i="11"/>
  <c r="AM176" i="11"/>
  <c r="AL177" i="11"/>
  <c r="AM177" i="11"/>
  <c r="AL178" i="11"/>
  <c r="AM178" i="11"/>
  <c r="AL179" i="11"/>
  <c r="AM179" i="11"/>
  <c r="AL180" i="11"/>
  <c r="AM180" i="11"/>
  <c r="AL181" i="11"/>
  <c r="AM181" i="11"/>
  <c r="AL182" i="11"/>
  <c r="AM182" i="11"/>
  <c r="AL183" i="11"/>
  <c r="AM183" i="11"/>
  <c r="AL184" i="11"/>
  <c r="AM184" i="11"/>
  <c r="AM173" i="11"/>
  <c r="AL173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7" i="11"/>
  <c r="AM17" i="11"/>
  <c r="AL18" i="11"/>
  <c r="AM18" i="11"/>
  <c r="AL19" i="11"/>
  <c r="AM19" i="11"/>
  <c r="AL20" i="11"/>
  <c r="AM20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5" i="11"/>
  <c r="AM85" i="11"/>
  <c r="AL90" i="11"/>
  <c r="AL92" i="11"/>
  <c r="AM92" i="11"/>
  <c r="AL93" i="11"/>
  <c r="AM93" i="11"/>
  <c r="AL95" i="11"/>
  <c r="AM95" i="11"/>
  <c r="AL98" i="11"/>
  <c r="AM98" i="11"/>
  <c r="AL101" i="11"/>
  <c r="AM101" i="11"/>
  <c r="AL103" i="11"/>
  <c r="AM103" i="11"/>
  <c r="AL104" i="11"/>
  <c r="AM104" i="11"/>
  <c r="AL105" i="11"/>
  <c r="AL106" i="11"/>
  <c r="AM106" i="11"/>
  <c r="AL107" i="11"/>
  <c r="AM107" i="11"/>
  <c r="AL108" i="11"/>
  <c r="AM108" i="11"/>
  <c r="AL109" i="11"/>
  <c r="AM109" i="11"/>
  <c r="AJ110" i="11"/>
  <c r="AN110" i="11"/>
  <c r="AL113" i="11"/>
  <c r="AM113" i="11"/>
  <c r="AL114" i="11"/>
  <c r="AM114" i="11"/>
  <c r="AL115" i="11"/>
  <c r="AM115" i="11"/>
  <c r="AL116" i="11"/>
  <c r="AM116" i="11"/>
  <c r="AL119" i="11"/>
  <c r="AM119" i="11"/>
  <c r="AL120" i="11"/>
  <c r="AM120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2" i="11"/>
  <c r="AM142" i="11"/>
  <c r="AL146" i="11"/>
  <c r="AM146" i="11"/>
  <c r="AL147" i="11"/>
  <c r="AM147" i="11"/>
  <c r="AL148" i="11"/>
  <c r="AM148" i="11"/>
  <c r="AL153" i="11"/>
  <c r="AM153" i="11"/>
  <c r="AL154" i="11"/>
  <c r="AM154" i="11"/>
  <c r="AL157" i="11"/>
  <c r="AM157" i="11"/>
  <c r="AL158" i="11"/>
  <c r="AM158" i="11"/>
  <c r="AL159" i="11"/>
  <c r="AM159" i="11"/>
  <c r="AL160" i="11"/>
  <c r="AM160" i="11"/>
  <c r="AL161" i="11"/>
  <c r="AM161" i="11"/>
  <c r="AL162" i="11"/>
  <c r="AM162" i="11"/>
  <c r="AL163" i="11"/>
  <c r="AM163" i="11"/>
  <c r="AL168" i="11"/>
  <c r="AM168" i="11"/>
  <c r="AL169" i="11"/>
  <c r="AM169" i="11"/>
  <c r="AL5" i="11"/>
  <c r="AF185" i="11" l="1"/>
  <c r="AF170" i="11"/>
  <c r="AF164" i="11"/>
  <c r="AF149" i="11"/>
  <c r="AF117" i="11"/>
  <c r="AG105" i="11"/>
  <c r="AG102" i="11"/>
  <c r="AF102" i="11"/>
  <c r="AG97" i="11"/>
  <c r="AG96" i="11"/>
  <c r="AG94" i="11"/>
  <c r="AG91" i="11"/>
  <c r="AG90" i="11"/>
  <c r="AF97" i="11"/>
  <c r="AF96" i="11"/>
  <c r="AF94" i="11"/>
  <c r="AF91" i="11"/>
  <c r="AF86" i="11"/>
  <c r="AF53" i="11"/>
  <c r="AF21" i="11"/>
  <c r="AI175" i="11"/>
  <c r="AH175" i="11"/>
  <c r="AI176" i="11"/>
  <c r="AH176" i="11"/>
  <c r="AI173" i="11"/>
  <c r="AH173" i="11"/>
  <c r="AI178" i="11"/>
  <c r="AH178" i="11"/>
  <c r="AI179" i="11"/>
  <c r="AH179" i="11"/>
  <c r="AI174" i="11"/>
  <c r="AH174" i="11"/>
  <c r="AI177" i="11"/>
  <c r="AH177" i="11"/>
  <c r="AI182" i="11"/>
  <c r="AH182" i="11"/>
  <c r="AI184" i="11"/>
  <c r="AH184" i="11"/>
  <c r="AI180" i="11"/>
  <c r="AH180" i="11"/>
  <c r="AI181" i="11"/>
  <c r="AH181" i="11"/>
  <c r="AI183" i="11"/>
  <c r="AH183" i="11"/>
  <c r="AI169" i="11"/>
  <c r="AH169" i="11"/>
  <c r="AI168" i="11"/>
  <c r="AH168" i="11"/>
  <c r="AI163" i="11"/>
  <c r="AI162" i="11"/>
  <c r="AI161" i="11"/>
  <c r="AI160" i="11"/>
  <c r="AI159" i="11"/>
  <c r="AI158" i="11"/>
  <c r="AI157" i="11"/>
  <c r="AH157" i="11"/>
  <c r="AI154" i="11"/>
  <c r="AH154" i="11"/>
  <c r="AI153" i="11"/>
  <c r="AH153" i="11"/>
  <c r="AI148" i="11"/>
  <c r="AH148" i="11"/>
  <c r="AI147" i="11"/>
  <c r="AH147" i="11"/>
  <c r="AI146" i="11"/>
  <c r="AH146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0" i="11"/>
  <c r="AH120" i="11"/>
  <c r="AI119" i="11"/>
  <c r="AH119" i="11"/>
  <c r="AI116" i="11"/>
  <c r="AH116" i="11"/>
  <c r="AI115" i="11"/>
  <c r="AH115" i="11"/>
  <c r="AI114" i="11"/>
  <c r="AH114" i="11"/>
  <c r="AI113" i="11"/>
  <c r="AH113" i="11"/>
  <c r="AI109" i="11"/>
  <c r="AH109" i="11"/>
  <c r="AI107" i="11"/>
  <c r="AH107" i="11"/>
  <c r="AI106" i="11"/>
  <c r="AH106" i="11"/>
  <c r="AH105" i="11"/>
  <c r="AI104" i="11"/>
  <c r="AH104" i="11"/>
  <c r="AI103" i="11"/>
  <c r="AH103" i="11"/>
  <c r="AI101" i="11"/>
  <c r="AH101" i="11"/>
  <c r="AI98" i="11"/>
  <c r="AI95" i="11"/>
  <c r="AI93" i="11"/>
  <c r="AH93" i="11"/>
  <c r="AI92" i="11"/>
  <c r="AH92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10" i="11" l="1"/>
  <c r="AH90" i="11"/>
  <c r="M106" i="9"/>
  <c r="L106" i="9"/>
  <c r="M95" i="9"/>
  <c r="L95" i="9"/>
  <c r="J95" i="9"/>
  <c r="AH98" i="11" l="1"/>
  <c r="AF165" i="11"/>
  <c r="AF186" i="11" s="1"/>
  <c r="J151" i="9"/>
  <c r="K149" i="9" s="1"/>
  <c r="M92" i="9"/>
  <c r="L92" i="9"/>
  <c r="J92" i="9"/>
  <c r="M103" i="9"/>
  <c r="L103" i="9"/>
  <c r="J103" i="9"/>
  <c r="K148" i="9" l="1"/>
  <c r="K150" i="9"/>
  <c r="M91" i="9"/>
  <c r="L91" i="9"/>
  <c r="L98" i="9" l="1"/>
  <c r="M98" i="9"/>
  <c r="J98" i="9"/>
  <c r="M97" i="9"/>
  <c r="L97" i="9"/>
  <c r="J97" i="9"/>
  <c r="D191" i="9" l="1"/>
  <c r="D174" i="9"/>
  <c r="D166" i="9"/>
  <c r="D151" i="9"/>
  <c r="D145" i="9"/>
  <c r="D118" i="9"/>
  <c r="G103" i="9"/>
  <c r="F103" i="9"/>
  <c r="G106" i="9"/>
  <c r="F106" i="9"/>
  <c r="D103" i="9"/>
  <c r="G97" i="9"/>
  <c r="F97" i="9"/>
  <c r="G95" i="9"/>
  <c r="F95" i="9"/>
  <c r="G92" i="9"/>
  <c r="F92" i="9"/>
  <c r="G91" i="9"/>
  <c r="F91" i="9"/>
  <c r="G98" i="9"/>
  <c r="F98" i="9"/>
  <c r="D97" i="9"/>
  <c r="D95" i="9"/>
  <c r="D92" i="9"/>
  <c r="D111" i="9" s="1"/>
  <c r="D98" i="9"/>
  <c r="D87" i="9"/>
  <c r="D54" i="9"/>
  <c r="D22" i="9"/>
  <c r="D167" i="9" l="1"/>
  <c r="D192" i="9" s="1"/>
  <c r="AE169" i="11"/>
  <c r="AD169" i="11"/>
  <c r="AA169" i="11"/>
  <c r="Z169" i="11"/>
  <c r="W169" i="11"/>
  <c r="V169" i="11"/>
  <c r="S169" i="11"/>
  <c r="R169" i="11"/>
  <c r="O169" i="11"/>
  <c r="N169" i="11"/>
  <c r="K169" i="11"/>
  <c r="J169" i="11"/>
  <c r="G169" i="11"/>
  <c r="F169" i="11"/>
  <c r="AB185" i="11"/>
  <c r="AH185" i="11" s="1"/>
  <c r="AB170" i="11"/>
  <c r="AB164" i="11"/>
  <c r="AB149" i="11"/>
  <c r="AH149" i="11" s="1"/>
  <c r="AB143" i="11"/>
  <c r="AH143" i="11" s="1"/>
  <c r="AB117" i="11"/>
  <c r="AH117" i="11" s="1"/>
  <c r="AC102" i="11"/>
  <c r="AI102" i="11" s="1"/>
  <c r="AC105" i="11"/>
  <c r="AI105" i="11" s="1"/>
  <c r="AB102" i="11"/>
  <c r="AH102" i="11" s="1"/>
  <c r="AC96" i="11"/>
  <c r="AI96" i="11" s="1"/>
  <c r="AC94" i="11"/>
  <c r="AI94" i="11" s="1"/>
  <c r="AC91" i="11"/>
  <c r="AI91" i="11" s="1"/>
  <c r="AC90" i="11"/>
  <c r="AI90" i="11" s="1"/>
  <c r="AC97" i="11"/>
  <c r="AI97" i="11" s="1"/>
  <c r="AB96" i="11"/>
  <c r="AH96" i="11" s="1"/>
  <c r="AB94" i="11"/>
  <c r="AH94" i="11" s="1"/>
  <c r="AB91" i="11"/>
  <c r="AB97" i="11"/>
  <c r="AH97" i="11" s="1"/>
  <c r="AB86" i="11"/>
  <c r="AH86" i="11" s="1"/>
  <c r="AB53" i="11"/>
  <c r="AH53" i="11" s="1"/>
  <c r="AB21" i="11"/>
  <c r="AH21" i="11" s="1"/>
  <c r="AJ169" i="11" l="1"/>
  <c r="AN169" i="11"/>
  <c r="AK169" i="11"/>
  <c r="AO169" i="11"/>
  <c r="AB110" i="11"/>
  <c r="AE175" i="11"/>
  <c r="AD175" i="11"/>
  <c r="AE176" i="11"/>
  <c r="AD176" i="11"/>
  <c r="AE173" i="11"/>
  <c r="AD173" i="11"/>
  <c r="AE178" i="11"/>
  <c r="AD178" i="11"/>
  <c r="AE179" i="11"/>
  <c r="AD179" i="11"/>
  <c r="AE174" i="11"/>
  <c r="AD174" i="11"/>
  <c r="AE177" i="11"/>
  <c r="AD177" i="11"/>
  <c r="AE182" i="11"/>
  <c r="AD182" i="11"/>
  <c r="AE184" i="11"/>
  <c r="AD184" i="11"/>
  <c r="AE180" i="11"/>
  <c r="AD180" i="11"/>
  <c r="AE181" i="11"/>
  <c r="AD181" i="11"/>
  <c r="AE183" i="11"/>
  <c r="AD183" i="11"/>
  <c r="AE168" i="11"/>
  <c r="AD168" i="11"/>
  <c r="AE159" i="11"/>
  <c r="AE158" i="11"/>
  <c r="AE157" i="11"/>
  <c r="AD157" i="11"/>
  <c r="AE161" i="11"/>
  <c r="AE163" i="11"/>
  <c r="AE160" i="11"/>
  <c r="AE162" i="11"/>
  <c r="AE154" i="11"/>
  <c r="AD154" i="11"/>
  <c r="AE153" i="11"/>
  <c r="AD153" i="11"/>
  <c r="AE146" i="11"/>
  <c r="AD146" i="11"/>
  <c r="AE148" i="11"/>
  <c r="AD148" i="11"/>
  <c r="AE147" i="11"/>
  <c r="AD147" i="11"/>
  <c r="AE137" i="11"/>
  <c r="AD137" i="11"/>
  <c r="AE127" i="11"/>
  <c r="AD127" i="11"/>
  <c r="AE125" i="11"/>
  <c r="AD125" i="11"/>
  <c r="AE128" i="11"/>
  <c r="AD128" i="11"/>
  <c r="AE134" i="11"/>
  <c r="AD134" i="11"/>
  <c r="AE122" i="11"/>
  <c r="AD122" i="11"/>
  <c r="AE132" i="11"/>
  <c r="AD132" i="11"/>
  <c r="AE124" i="11"/>
  <c r="AD124" i="11"/>
  <c r="AE119" i="11"/>
  <c r="AD119" i="11"/>
  <c r="AE126" i="11"/>
  <c r="AD126" i="11"/>
  <c r="AE139" i="11"/>
  <c r="AD139" i="11"/>
  <c r="AE135" i="11"/>
  <c r="AD135" i="11"/>
  <c r="AE141" i="11"/>
  <c r="AD141" i="11"/>
  <c r="AE133" i="11"/>
  <c r="AD133" i="11"/>
  <c r="AE123" i="11"/>
  <c r="AD123" i="11"/>
  <c r="AE140" i="11"/>
  <c r="AD140" i="11"/>
  <c r="AE129" i="11"/>
  <c r="AD129" i="11"/>
  <c r="AE120" i="11"/>
  <c r="AD120" i="11"/>
  <c r="AE138" i="11"/>
  <c r="AD138" i="11"/>
  <c r="AE142" i="11"/>
  <c r="AD142" i="11"/>
  <c r="AE136" i="11"/>
  <c r="AD136" i="11"/>
  <c r="AE113" i="11"/>
  <c r="AD113" i="11"/>
  <c r="AE116" i="11"/>
  <c r="AD116" i="11"/>
  <c r="AE115" i="11"/>
  <c r="AD115" i="11"/>
  <c r="AE114" i="11"/>
  <c r="AD114" i="11"/>
  <c r="AD105" i="11"/>
  <c r="AE106" i="11"/>
  <c r="AD106" i="11"/>
  <c r="AE104" i="11"/>
  <c r="AD104" i="11"/>
  <c r="AE101" i="11"/>
  <c r="AD101" i="11"/>
  <c r="AE103" i="11"/>
  <c r="AD103" i="11"/>
  <c r="AE109" i="11"/>
  <c r="AD109" i="11"/>
  <c r="AE107" i="11"/>
  <c r="AD107" i="11"/>
  <c r="AE92" i="11"/>
  <c r="AD92" i="11"/>
  <c r="AD90" i="11"/>
  <c r="AE95" i="11"/>
  <c r="AE98" i="11"/>
  <c r="AD98" i="11"/>
  <c r="AE93" i="11"/>
  <c r="AD93" i="11"/>
  <c r="AE82" i="11"/>
  <c r="AD82" i="11"/>
  <c r="AE65" i="11"/>
  <c r="AD65" i="11"/>
  <c r="AE58" i="11"/>
  <c r="AD58" i="11"/>
  <c r="AE63" i="11"/>
  <c r="AD63" i="11"/>
  <c r="AE74" i="11"/>
  <c r="AD74" i="11"/>
  <c r="AE60" i="11"/>
  <c r="AD60" i="11"/>
  <c r="AE59" i="11"/>
  <c r="AD59" i="11"/>
  <c r="AE80" i="11"/>
  <c r="AD80" i="11"/>
  <c r="AE57" i="11"/>
  <c r="AD57" i="11"/>
  <c r="AE56" i="11"/>
  <c r="AD56" i="11"/>
  <c r="AE64" i="11"/>
  <c r="AD64" i="11"/>
  <c r="AE70" i="11"/>
  <c r="AD70" i="11"/>
  <c r="AE66" i="11"/>
  <c r="AD66" i="11"/>
  <c r="AE69" i="11"/>
  <c r="AD69" i="11"/>
  <c r="AE72" i="11"/>
  <c r="AD72" i="11"/>
  <c r="AE75" i="11"/>
  <c r="AD75" i="11"/>
  <c r="AE79" i="11"/>
  <c r="AD79" i="11"/>
  <c r="AE77" i="11"/>
  <c r="AD77" i="11"/>
  <c r="AE71" i="11"/>
  <c r="AD71" i="11"/>
  <c r="AE76" i="11"/>
  <c r="AD76" i="11"/>
  <c r="AE81" i="11"/>
  <c r="AD81" i="11"/>
  <c r="AE61" i="11"/>
  <c r="AD61" i="11"/>
  <c r="AE85" i="11"/>
  <c r="AD85" i="11"/>
  <c r="AE84" i="11"/>
  <c r="AD84" i="11"/>
  <c r="AE83" i="11"/>
  <c r="AD83" i="11"/>
  <c r="AE62" i="11"/>
  <c r="AD62" i="11"/>
  <c r="AE67" i="11"/>
  <c r="AD67" i="11"/>
  <c r="AE68" i="11"/>
  <c r="AD68" i="11"/>
  <c r="AE73" i="11"/>
  <c r="AD73" i="11"/>
  <c r="AE78" i="11"/>
  <c r="AD78" i="11"/>
  <c r="AE44" i="11"/>
  <c r="AD44" i="11"/>
  <c r="AE33" i="11"/>
  <c r="AD33" i="11"/>
  <c r="AE37" i="11"/>
  <c r="AD37" i="11"/>
  <c r="AE45" i="11"/>
  <c r="AD45" i="11"/>
  <c r="AE50" i="11"/>
  <c r="AD50" i="11"/>
  <c r="AE48" i="11"/>
  <c r="AD48" i="11"/>
  <c r="AE27" i="11"/>
  <c r="AD27" i="11"/>
  <c r="AE38" i="11"/>
  <c r="AD38" i="11"/>
  <c r="AE31" i="11"/>
  <c r="AD31" i="11"/>
  <c r="AE51" i="11"/>
  <c r="AD51" i="11"/>
  <c r="AE40" i="11"/>
  <c r="AD40" i="11"/>
  <c r="AE42" i="11"/>
  <c r="AD42" i="11"/>
  <c r="AE25" i="11"/>
  <c r="AD25" i="11"/>
  <c r="AE52" i="11"/>
  <c r="AD52" i="11"/>
  <c r="AE34" i="11"/>
  <c r="AD34" i="11"/>
  <c r="AE36" i="11"/>
  <c r="AD36" i="11"/>
  <c r="AE35" i="11"/>
  <c r="AD35" i="11"/>
  <c r="AE24" i="11"/>
  <c r="AD24" i="11"/>
  <c r="AE30" i="11"/>
  <c r="AD30" i="11"/>
  <c r="AE46" i="11"/>
  <c r="AD46" i="11"/>
  <c r="AE32" i="11"/>
  <c r="AD32" i="11"/>
  <c r="AE41" i="11"/>
  <c r="AD41" i="11"/>
  <c r="AE29" i="11"/>
  <c r="AD29" i="11"/>
  <c r="AE43" i="11"/>
  <c r="AD43" i="11"/>
  <c r="AE28" i="11"/>
  <c r="AD28" i="11"/>
  <c r="AE26" i="11"/>
  <c r="AD26" i="11"/>
  <c r="AE49" i="11"/>
  <c r="AD49" i="11"/>
  <c r="AE39" i="11"/>
  <c r="AD39" i="11"/>
  <c r="AE47" i="11"/>
  <c r="AD47" i="11"/>
  <c r="AE18" i="11"/>
  <c r="AD18" i="11"/>
  <c r="AE11" i="11"/>
  <c r="AD11" i="11"/>
  <c r="AE6" i="11"/>
  <c r="AD6" i="11"/>
  <c r="AE14" i="11"/>
  <c r="AD14" i="11"/>
  <c r="AE20" i="11"/>
  <c r="AD20" i="11"/>
  <c r="AE8" i="11"/>
  <c r="AD8" i="11"/>
  <c r="AE16" i="11"/>
  <c r="AD16" i="11"/>
  <c r="AE13" i="11"/>
  <c r="AD13" i="11"/>
  <c r="AE9" i="11"/>
  <c r="AD9" i="11"/>
  <c r="AE7" i="11"/>
  <c r="AD7" i="11"/>
  <c r="AE19" i="11"/>
  <c r="AD19" i="11"/>
  <c r="AE5" i="11"/>
  <c r="AD5" i="11"/>
  <c r="AE15" i="11"/>
  <c r="AD15" i="11"/>
  <c r="AE10" i="11"/>
  <c r="AD10" i="11"/>
  <c r="AE12" i="11"/>
  <c r="AD12" i="11"/>
  <c r="AE17" i="11"/>
  <c r="AD17" i="11"/>
  <c r="J10" i="1"/>
  <c r="I10" i="1"/>
  <c r="H10" i="1"/>
  <c r="G10" i="1"/>
  <c r="F10" i="1"/>
  <c r="E10" i="1"/>
  <c r="D10" i="1"/>
  <c r="C10" i="1"/>
  <c r="AB165" i="11" l="1"/>
  <c r="AB186" i="11" l="1"/>
  <c r="AH186" i="11" s="1"/>
  <c r="X185" i="11"/>
  <c r="AD185" i="11" s="1"/>
  <c r="X170" i="11"/>
  <c r="X164" i="11"/>
  <c r="X149" i="11"/>
  <c r="AD149" i="11" s="1"/>
  <c r="X143" i="11"/>
  <c r="AD143" i="11" s="1"/>
  <c r="X117" i="11"/>
  <c r="AD117" i="11" s="1"/>
  <c r="Y102" i="11"/>
  <c r="AE102" i="11" s="1"/>
  <c r="Y105" i="11"/>
  <c r="AE105" i="11" s="1"/>
  <c r="X102" i="11"/>
  <c r="AD102" i="11" s="1"/>
  <c r="Y96" i="11"/>
  <c r="AE96" i="11" s="1"/>
  <c r="Y94" i="11"/>
  <c r="AE94" i="11" s="1"/>
  <c r="Y91" i="11"/>
  <c r="AE91" i="11" s="1"/>
  <c r="Y90" i="11"/>
  <c r="AE90" i="11" s="1"/>
  <c r="Y97" i="11"/>
  <c r="AE97" i="11" s="1"/>
  <c r="X96" i="11"/>
  <c r="AD96" i="11" s="1"/>
  <c r="X94" i="11"/>
  <c r="AD94" i="11" s="1"/>
  <c r="X91" i="11"/>
  <c r="X97" i="11"/>
  <c r="AD97" i="11" s="1"/>
  <c r="X86" i="11"/>
  <c r="AD86" i="11" s="1"/>
  <c r="X53" i="11"/>
  <c r="AD53" i="11" s="1"/>
  <c r="X21" i="11"/>
  <c r="AD21" i="11" s="1"/>
  <c r="AA175" i="11"/>
  <c r="Z175" i="11"/>
  <c r="AA176" i="11"/>
  <c r="Z176" i="11"/>
  <c r="AA173" i="11"/>
  <c r="Z173" i="11"/>
  <c r="AA178" i="11"/>
  <c r="Z178" i="11"/>
  <c r="AA179" i="11"/>
  <c r="Z179" i="11"/>
  <c r="AA174" i="11"/>
  <c r="Z174" i="11"/>
  <c r="AA177" i="11"/>
  <c r="Z177" i="11"/>
  <c r="AA182" i="11"/>
  <c r="Z182" i="11"/>
  <c r="AA184" i="11"/>
  <c r="Z184" i="11"/>
  <c r="AA180" i="11"/>
  <c r="Z180" i="11"/>
  <c r="AA181" i="11"/>
  <c r="Z181" i="11"/>
  <c r="AA183" i="11"/>
  <c r="Z183" i="11"/>
  <c r="AA168" i="11"/>
  <c r="Z168" i="11"/>
  <c r="AA159" i="11"/>
  <c r="AA158" i="11"/>
  <c r="AA157" i="11"/>
  <c r="Z157" i="11"/>
  <c r="AA161" i="11"/>
  <c r="AA163" i="11"/>
  <c r="AA160" i="11"/>
  <c r="AA162" i="11"/>
  <c r="AA154" i="11"/>
  <c r="Z154" i="11"/>
  <c r="AA153" i="11"/>
  <c r="Z153" i="11"/>
  <c r="AA146" i="11"/>
  <c r="Z146" i="11"/>
  <c r="AA148" i="11"/>
  <c r="Z148" i="11"/>
  <c r="AA147" i="11"/>
  <c r="Z147" i="11"/>
  <c r="AA137" i="11"/>
  <c r="Z137" i="11"/>
  <c r="AA127" i="11"/>
  <c r="Z127" i="11"/>
  <c r="AA125" i="11"/>
  <c r="Z125" i="11"/>
  <c r="AA128" i="11"/>
  <c r="Z128" i="11"/>
  <c r="AA134" i="11"/>
  <c r="Z134" i="11"/>
  <c r="AA122" i="11"/>
  <c r="Z122" i="11"/>
  <c r="AA132" i="11"/>
  <c r="Z132" i="11"/>
  <c r="AA124" i="11"/>
  <c r="Z124" i="11"/>
  <c r="AA119" i="11"/>
  <c r="Z119" i="11"/>
  <c r="AA126" i="11"/>
  <c r="Z126" i="11"/>
  <c r="AA139" i="11"/>
  <c r="Z139" i="11"/>
  <c r="AA135" i="11"/>
  <c r="Z135" i="11"/>
  <c r="AA141" i="11"/>
  <c r="Z141" i="11"/>
  <c r="AA133" i="11"/>
  <c r="Z133" i="11"/>
  <c r="AA123" i="11"/>
  <c r="Z123" i="11"/>
  <c r="AA140" i="11"/>
  <c r="Z140" i="11"/>
  <c r="AA129" i="11"/>
  <c r="Z129" i="11"/>
  <c r="AA120" i="11"/>
  <c r="Z120" i="11"/>
  <c r="AA138" i="11"/>
  <c r="Z138" i="11"/>
  <c r="AA142" i="11"/>
  <c r="Z142" i="11"/>
  <c r="AA136" i="11"/>
  <c r="Z136" i="11"/>
  <c r="AA113" i="11"/>
  <c r="Z113" i="11"/>
  <c r="AA116" i="11"/>
  <c r="Z116" i="11"/>
  <c r="AA115" i="11"/>
  <c r="Z115" i="11"/>
  <c r="AA114" i="11"/>
  <c r="Z114" i="11"/>
  <c r="Z105" i="11"/>
  <c r="AA106" i="11"/>
  <c r="Z106" i="11"/>
  <c r="AA104" i="11"/>
  <c r="Z104" i="11"/>
  <c r="AA101" i="11"/>
  <c r="Z101" i="11"/>
  <c r="AA103" i="11"/>
  <c r="Z103" i="11"/>
  <c r="AA109" i="11"/>
  <c r="Z109" i="11"/>
  <c r="AA107" i="11"/>
  <c r="Z107" i="11"/>
  <c r="AA92" i="11"/>
  <c r="Z92" i="11"/>
  <c r="AA95" i="11"/>
  <c r="AA98" i="11"/>
  <c r="AA93" i="11"/>
  <c r="Z93" i="11"/>
  <c r="AA82" i="11"/>
  <c r="Z82" i="11"/>
  <c r="AA65" i="11"/>
  <c r="Z65" i="11"/>
  <c r="AA58" i="11"/>
  <c r="Z58" i="11"/>
  <c r="AA63" i="11"/>
  <c r="Z63" i="11"/>
  <c r="AA74" i="11"/>
  <c r="Z74" i="11"/>
  <c r="AA60" i="11"/>
  <c r="Z60" i="11"/>
  <c r="AA59" i="11"/>
  <c r="Z59" i="11"/>
  <c r="AA80" i="11"/>
  <c r="Z80" i="11"/>
  <c r="AA57" i="11"/>
  <c r="Z57" i="11"/>
  <c r="AA56" i="11"/>
  <c r="Z56" i="11"/>
  <c r="AA64" i="11"/>
  <c r="Z64" i="11"/>
  <c r="AA70" i="11"/>
  <c r="Z70" i="11"/>
  <c r="AA66" i="11"/>
  <c r="Z66" i="11"/>
  <c r="AA69" i="11"/>
  <c r="Z69" i="11"/>
  <c r="AA72" i="11"/>
  <c r="Z72" i="11"/>
  <c r="AA75" i="11"/>
  <c r="Z75" i="11"/>
  <c r="AA79" i="11"/>
  <c r="Z79" i="11"/>
  <c r="AA77" i="11"/>
  <c r="Z77" i="11"/>
  <c r="AA71" i="11"/>
  <c r="Z71" i="11"/>
  <c r="AA76" i="11"/>
  <c r="Z76" i="11"/>
  <c r="AA81" i="11"/>
  <c r="Z81" i="11"/>
  <c r="AA61" i="11"/>
  <c r="Z61" i="11"/>
  <c r="AA85" i="11"/>
  <c r="Z85" i="11"/>
  <c r="AA84" i="11"/>
  <c r="Z84" i="11"/>
  <c r="AA83" i="11"/>
  <c r="Z83" i="11"/>
  <c r="AA62" i="11"/>
  <c r="Z62" i="11"/>
  <c r="AA67" i="11"/>
  <c r="Z67" i="11"/>
  <c r="AA68" i="11"/>
  <c r="Z68" i="11"/>
  <c r="AA73" i="11"/>
  <c r="Z73" i="11"/>
  <c r="AA78" i="11"/>
  <c r="Z78" i="11"/>
  <c r="AA44" i="11"/>
  <c r="Z44" i="11"/>
  <c r="AA33" i="11"/>
  <c r="Z33" i="11"/>
  <c r="AA37" i="11"/>
  <c r="Z37" i="11"/>
  <c r="AA45" i="11"/>
  <c r="Z45" i="11"/>
  <c r="AA50" i="11"/>
  <c r="Z50" i="11"/>
  <c r="AA48" i="11"/>
  <c r="Z48" i="11"/>
  <c r="AA27" i="11"/>
  <c r="Z27" i="11"/>
  <c r="AA38" i="11"/>
  <c r="Z38" i="11"/>
  <c r="AA31" i="11"/>
  <c r="Z31" i="11"/>
  <c r="AA51" i="11"/>
  <c r="Z51" i="11"/>
  <c r="AA40" i="11"/>
  <c r="Z40" i="11"/>
  <c r="AA42" i="11"/>
  <c r="Z42" i="11"/>
  <c r="AA25" i="11"/>
  <c r="Z25" i="11"/>
  <c r="AA52" i="11"/>
  <c r="Z52" i="11"/>
  <c r="AA34" i="11"/>
  <c r="Z34" i="11"/>
  <c r="AA36" i="11"/>
  <c r="Z36" i="11"/>
  <c r="AA35" i="11"/>
  <c r="Z35" i="11"/>
  <c r="AA24" i="11"/>
  <c r="Z24" i="11"/>
  <c r="AA30" i="11"/>
  <c r="Z30" i="11"/>
  <c r="AA46" i="11"/>
  <c r="Z46" i="11"/>
  <c r="AA32" i="11"/>
  <c r="Z32" i="11"/>
  <c r="AA41" i="11"/>
  <c r="Z41" i="11"/>
  <c r="AA29" i="11"/>
  <c r="Z29" i="11"/>
  <c r="AA43" i="11"/>
  <c r="Z43" i="11"/>
  <c r="AA28" i="11"/>
  <c r="Z28" i="11"/>
  <c r="AA26" i="11"/>
  <c r="Z26" i="11"/>
  <c r="AA49" i="11"/>
  <c r="Z49" i="11"/>
  <c r="AA39" i="11"/>
  <c r="Z39" i="11"/>
  <c r="AA47" i="11"/>
  <c r="Z47" i="11"/>
  <c r="AA18" i="11"/>
  <c r="Z18" i="11"/>
  <c r="AA11" i="11"/>
  <c r="Z11" i="11"/>
  <c r="AA6" i="11"/>
  <c r="Z6" i="11"/>
  <c r="AA14" i="11"/>
  <c r="Z14" i="11"/>
  <c r="AA20" i="11"/>
  <c r="Z20" i="11"/>
  <c r="AA8" i="11"/>
  <c r="Z8" i="11"/>
  <c r="AA16" i="11"/>
  <c r="Z16" i="11"/>
  <c r="AA13" i="11"/>
  <c r="Z13" i="11"/>
  <c r="AA9" i="11"/>
  <c r="Z9" i="11"/>
  <c r="AA7" i="11"/>
  <c r="Z7" i="11"/>
  <c r="AA19" i="11"/>
  <c r="Z19" i="11"/>
  <c r="AA5" i="11"/>
  <c r="Z5" i="11"/>
  <c r="AA15" i="11"/>
  <c r="Z15" i="11"/>
  <c r="AA10" i="11"/>
  <c r="Z10" i="11"/>
  <c r="AA12" i="11"/>
  <c r="Z12" i="11"/>
  <c r="AA17" i="11"/>
  <c r="Z17" i="11"/>
  <c r="Z90" i="11" l="1"/>
  <c r="X110" i="11"/>
  <c r="X165" i="11" l="1"/>
  <c r="Z98" i="11"/>
  <c r="X186" i="11" l="1"/>
  <c r="AD186" i="11" s="1"/>
  <c r="P47" i="9"/>
  <c r="S189" i="9" l="1"/>
  <c r="S187" i="9"/>
  <c r="S186" i="9"/>
  <c r="S190" i="9"/>
  <c r="S188" i="9"/>
  <c r="S183" i="9"/>
  <c r="S180" i="9"/>
  <c r="S185" i="9"/>
  <c r="S184" i="9"/>
  <c r="S179" i="9"/>
  <c r="S182" i="9"/>
  <c r="S181" i="9"/>
  <c r="S191" i="9"/>
  <c r="S178" i="9"/>
  <c r="S173" i="9"/>
  <c r="S174" i="9"/>
  <c r="S172" i="9"/>
  <c r="S162" i="9"/>
  <c r="S165" i="9"/>
  <c r="S163" i="9"/>
  <c r="S159" i="9"/>
  <c r="S160" i="9"/>
  <c r="S161" i="9"/>
  <c r="S166" i="9"/>
  <c r="S164" i="9"/>
  <c r="S156" i="9"/>
  <c r="S155" i="9"/>
  <c r="S150" i="9"/>
  <c r="S148" i="9"/>
  <c r="S151" i="9"/>
  <c r="S149" i="9"/>
  <c r="S144" i="9"/>
  <c r="S140" i="9"/>
  <c r="S122" i="9"/>
  <c r="S123" i="9"/>
  <c r="S131" i="9"/>
  <c r="S142" i="9"/>
  <c r="S125" i="9"/>
  <c r="S132" i="9"/>
  <c r="S135" i="9"/>
  <c r="S143" i="9"/>
  <c r="S137" i="9"/>
  <c r="S141" i="9"/>
  <c r="S128" i="9"/>
  <c r="S133" i="9"/>
  <c r="S121" i="9"/>
  <c r="S126" i="9"/>
  <c r="S134" i="9"/>
  <c r="S124" i="9"/>
  <c r="S136" i="9"/>
  <c r="S130" i="9"/>
  <c r="S127" i="9"/>
  <c r="S129" i="9"/>
  <c r="S139" i="9"/>
  <c r="S145" i="9"/>
  <c r="S138" i="9"/>
  <c r="S116" i="9"/>
  <c r="S117" i="9"/>
  <c r="S114" i="9"/>
  <c r="S118" i="9"/>
  <c r="S115" i="9"/>
  <c r="S110" i="9"/>
  <c r="S104" i="9"/>
  <c r="S102" i="9"/>
  <c r="S105" i="9"/>
  <c r="S107" i="9"/>
  <c r="S106" i="9"/>
  <c r="S103" i="9"/>
  <c r="S109" i="9"/>
  <c r="S111" i="9"/>
  <c r="S108" i="9"/>
  <c r="S99" i="9"/>
  <c r="S96" i="9"/>
  <c r="S98" i="9"/>
  <c r="S91" i="9"/>
  <c r="S92" i="9"/>
  <c r="S93" i="9"/>
  <c r="S95" i="9"/>
  <c r="S97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T143" i="11" l="1"/>
  <c r="Z143" i="11" s="1"/>
  <c r="T53" i="11"/>
  <c r="Z53" i="11" s="1"/>
  <c r="T185" i="11" l="1"/>
  <c r="Z185" i="11" s="1"/>
  <c r="T170" i="11"/>
  <c r="T164" i="11"/>
  <c r="T149" i="11"/>
  <c r="Z149" i="11" s="1"/>
  <c r="T117" i="11"/>
  <c r="Z117" i="11" s="1"/>
  <c r="U102" i="11"/>
  <c r="AA102" i="11" s="1"/>
  <c r="U105" i="11"/>
  <c r="AA105" i="11" s="1"/>
  <c r="T102" i="11"/>
  <c r="Z102" i="11" s="1"/>
  <c r="U96" i="11"/>
  <c r="AA96" i="11" s="1"/>
  <c r="U94" i="11"/>
  <c r="AA94" i="11" s="1"/>
  <c r="AA91" i="11"/>
  <c r="U90" i="11"/>
  <c r="AA90" i="11" s="1"/>
  <c r="U97" i="11"/>
  <c r="AA97" i="11" s="1"/>
  <c r="T96" i="11"/>
  <c r="Z96" i="11" s="1"/>
  <c r="T94" i="11"/>
  <c r="Z94" i="11" s="1"/>
  <c r="T97" i="11"/>
  <c r="T86" i="11"/>
  <c r="Z86" i="11" s="1"/>
  <c r="T21" i="11"/>
  <c r="Z21" i="11" s="1"/>
  <c r="T110" i="11" l="1"/>
  <c r="T165" i="11" s="1"/>
  <c r="Z97" i="11"/>
  <c r="W175" i="11"/>
  <c r="V175" i="11"/>
  <c r="W176" i="11"/>
  <c r="V176" i="11"/>
  <c r="W173" i="11"/>
  <c r="V173" i="11"/>
  <c r="W178" i="11"/>
  <c r="V178" i="11"/>
  <c r="W179" i="11"/>
  <c r="V179" i="11"/>
  <c r="W174" i="11"/>
  <c r="V174" i="11"/>
  <c r="W177" i="11"/>
  <c r="V177" i="11"/>
  <c r="W182" i="11"/>
  <c r="V182" i="11"/>
  <c r="W184" i="11"/>
  <c r="V184" i="11"/>
  <c r="W180" i="11"/>
  <c r="V180" i="11"/>
  <c r="W181" i="11"/>
  <c r="V181" i="11"/>
  <c r="W183" i="11"/>
  <c r="V183" i="11"/>
  <c r="W168" i="11"/>
  <c r="V168" i="11"/>
  <c r="W159" i="11"/>
  <c r="W158" i="11"/>
  <c r="W157" i="11"/>
  <c r="V157" i="11"/>
  <c r="W161" i="11"/>
  <c r="W163" i="11"/>
  <c r="W160" i="11"/>
  <c r="W162" i="11"/>
  <c r="W154" i="11"/>
  <c r="V154" i="11"/>
  <c r="W153" i="11"/>
  <c r="V153" i="11"/>
  <c r="W146" i="11"/>
  <c r="V146" i="11"/>
  <c r="W148" i="11"/>
  <c r="V148" i="11"/>
  <c r="W147" i="11"/>
  <c r="V147" i="11"/>
  <c r="W137" i="11"/>
  <c r="V137" i="11"/>
  <c r="W127" i="11"/>
  <c r="V127" i="11"/>
  <c r="W125" i="11"/>
  <c r="V125" i="11"/>
  <c r="W128" i="11"/>
  <c r="V128" i="11"/>
  <c r="W134" i="11"/>
  <c r="V134" i="11"/>
  <c r="W122" i="11"/>
  <c r="V122" i="11"/>
  <c r="W132" i="11"/>
  <c r="V132" i="11"/>
  <c r="W124" i="11"/>
  <c r="V124" i="11"/>
  <c r="W119" i="11"/>
  <c r="V119" i="11"/>
  <c r="W126" i="11"/>
  <c r="V126" i="11"/>
  <c r="W139" i="11"/>
  <c r="V139" i="11"/>
  <c r="W135" i="11"/>
  <c r="V135" i="11"/>
  <c r="W141" i="11"/>
  <c r="V141" i="11"/>
  <c r="W133" i="11"/>
  <c r="V133" i="11"/>
  <c r="W123" i="11"/>
  <c r="V123" i="11"/>
  <c r="W140" i="11"/>
  <c r="V140" i="11"/>
  <c r="W129" i="11"/>
  <c r="V129" i="11"/>
  <c r="W120" i="11"/>
  <c r="V120" i="11"/>
  <c r="W138" i="11"/>
  <c r="V138" i="11"/>
  <c r="W142" i="11"/>
  <c r="V142" i="11"/>
  <c r="W136" i="11"/>
  <c r="V136" i="11"/>
  <c r="W113" i="11"/>
  <c r="V113" i="11"/>
  <c r="W116" i="11"/>
  <c r="V116" i="11"/>
  <c r="W115" i="11"/>
  <c r="V115" i="11"/>
  <c r="W114" i="11"/>
  <c r="V114" i="11"/>
  <c r="V105" i="11"/>
  <c r="W106" i="11"/>
  <c r="V106" i="11"/>
  <c r="W104" i="11"/>
  <c r="V104" i="11"/>
  <c r="W101" i="11"/>
  <c r="V101" i="11"/>
  <c r="W103" i="11"/>
  <c r="V103" i="11"/>
  <c r="W109" i="11"/>
  <c r="V109" i="11"/>
  <c r="W107" i="11"/>
  <c r="V107" i="11"/>
  <c r="W92" i="11"/>
  <c r="V92" i="11"/>
  <c r="V90" i="11"/>
  <c r="W95" i="11"/>
  <c r="W98" i="11"/>
  <c r="W93" i="11"/>
  <c r="V93" i="11"/>
  <c r="W82" i="11"/>
  <c r="V82" i="11"/>
  <c r="W65" i="11"/>
  <c r="V65" i="11"/>
  <c r="W58" i="11"/>
  <c r="V58" i="11"/>
  <c r="W63" i="11"/>
  <c r="V63" i="11"/>
  <c r="W74" i="11"/>
  <c r="V74" i="11"/>
  <c r="W60" i="11"/>
  <c r="V60" i="11"/>
  <c r="W59" i="11"/>
  <c r="V59" i="11"/>
  <c r="W80" i="11"/>
  <c r="V80" i="11"/>
  <c r="W57" i="11"/>
  <c r="V57" i="11"/>
  <c r="W56" i="11"/>
  <c r="V56" i="11"/>
  <c r="W64" i="11"/>
  <c r="V64" i="11"/>
  <c r="W70" i="11"/>
  <c r="V70" i="11"/>
  <c r="W66" i="11"/>
  <c r="V66" i="11"/>
  <c r="W69" i="11"/>
  <c r="V69" i="11"/>
  <c r="W72" i="11"/>
  <c r="V72" i="11"/>
  <c r="W75" i="11"/>
  <c r="V75" i="11"/>
  <c r="W79" i="11"/>
  <c r="V79" i="11"/>
  <c r="W77" i="11"/>
  <c r="V77" i="11"/>
  <c r="W71" i="11"/>
  <c r="V71" i="11"/>
  <c r="W76" i="11"/>
  <c r="V76" i="11"/>
  <c r="W81" i="11"/>
  <c r="V81" i="11"/>
  <c r="W61" i="11"/>
  <c r="V61" i="11"/>
  <c r="W85" i="11"/>
  <c r="V85" i="11"/>
  <c r="W84" i="11"/>
  <c r="V84" i="11"/>
  <c r="W83" i="11"/>
  <c r="V83" i="11"/>
  <c r="W62" i="11"/>
  <c r="V62" i="11"/>
  <c r="W67" i="11"/>
  <c r="V67" i="11"/>
  <c r="W68" i="11"/>
  <c r="V68" i="11"/>
  <c r="W73" i="11"/>
  <c r="V73" i="11"/>
  <c r="W78" i="11"/>
  <c r="V78" i="11"/>
  <c r="W44" i="11"/>
  <c r="V44" i="11"/>
  <c r="W33" i="11"/>
  <c r="V33" i="11"/>
  <c r="W37" i="11"/>
  <c r="V37" i="11"/>
  <c r="W45" i="11"/>
  <c r="V45" i="11"/>
  <c r="W50" i="11"/>
  <c r="V50" i="11"/>
  <c r="W48" i="11"/>
  <c r="V48" i="11"/>
  <c r="W27" i="11"/>
  <c r="V27" i="11"/>
  <c r="W38" i="11"/>
  <c r="V38" i="11"/>
  <c r="W31" i="11"/>
  <c r="V31" i="11"/>
  <c r="W51" i="11"/>
  <c r="V51" i="11"/>
  <c r="W40" i="11"/>
  <c r="V40" i="11"/>
  <c r="W42" i="11"/>
  <c r="V42" i="11"/>
  <c r="W25" i="11"/>
  <c r="V25" i="11"/>
  <c r="W52" i="11"/>
  <c r="V52" i="11"/>
  <c r="W34" i="11"/>
  <c r="V34" i="11"/>
  <c r="W36" i="11"/>
  <c r="V36" i="11"/>
  <c r="W35" i="11"/>
  <c r="V35" i="11"/>
  <c r="W24" i="11"/>
  <c r="V24" i="11"/>
  <c r="W30" i="11"/>
  <c r="V30" i="11"/>
  <c r="W46" i="11"/>
  <c r="V46" i="11"/>
  <c r="W32" i="11"/>
  <c r="V32" i="11"/>
  <c r="W41" i="11"/>
  <c r="V41" i="11"/>
  <c r="W29" i="11"/>
  <c r="V29" i="11"/>
  <c r="W43" i="11"/>
  <c r="V43" i="11"/>
  <c r="W28" i="11"/>
  <c r="V28" i="11"/>
  <c r="W26" i="11"/>
  <c r="V26" i="11"/>
  <c r="W49" i="11"/>
  <c r="V49" i="11"/>
  <c r="W39" i="11"/>
  <c r="V39" i="11"/>
  <c r="W47" i="11"/>
  <c r="V47" i="11"/>
  <c r="W18" i="11"/>
  <c r="V18" i="11"/>
  <c r="W11" i="11"/>
  <c r="V11" i="11"/>
  <c r="W6" i="11"/>
  <c r="V6" i="11"/>
  <c r="W14" i="11"/>
  <c r="V14" i="11"/>
  <c r="W20" i="11"/>
  <c r="V20" i="11"/>
  <c r="W8" i="11"/>
  <c r="V8" i="11"/>
  <c r="W16" i="11"/>
  <c r="V16" i="11"/>
  <c r="W13" i="11"/>
  <c r="V13" i="11"/>
  <c r="W9" i="11"/>
  <c r="V9" i="11"/>
  <c r="W7" i="11"/>
  <c r="V7" i="11"/>
  <c r="W19" i="11"/>
  <c r="V19" i="11"/>
  <c r="W5" i="11"/>
  <c r="V5" i="11"/>
  <c r="W15" i="11"/>
  <c r="V15" i="11"/>
  <c r="W10" i="11"/>
  <c r="V10" i="11"/>
  <c r="W12" i="11"/>
  <c r="V12" i="11"/>
  <c r="W17" i="11"/>
  <c r="V17" i="11"/>
  <c r="V98" i="11" l="1"/>
  <c r="T186" i="11"/>
  <c r="Z186" i="11" s="1"/>
  <c r="P15" i="9"/>
  <c r="P185" i="11" l="1"/>
  <c r="V185" i="11" s="1"/>
  <c r="P170" i="11"/>
  <c r="P164" i="11"/>
  <c r="P149" i="11"/>
  <c r="V149" i="11" s="1"/>
  <c r="P143" i="11"/>
  <c r="V143" i="11" s="1"/>
  <c r="P117" i="11"/>
  <c r="V117" i="11" s="1"/>
  <c r="Q102" i="11"/>
  <c r="W102" i="11" s="1"/>
  <c r="Q105" i="11"/>
  <c r="W105" i="11" s="1"/>
  <c r="P102" i="11"/>
  <c r="V102" i="11" s="1"/>
  <c r="Q96" i="11"/>
  <c r="W96" i="11" s="1"/>
  <c r="Q94" i="11"/>
  <c r="W94" i="11" s="1"/>
  <c r="Q91" i="11"/>
  <c r="W91" i="11" s="1"/>
  <c r="Q90" i="11"/>
  <c r="W90" i="11" s="1"/>
  <c r="Q97" i="11"/>
  <c r="W97" i="11" s="1"/>
  <c r="P96" i="11"/>
  <c r="V96" i="11" s="1"/>
  <c r="P94" i="11"/>
  <c r="V94" i="11" s="1"/>
  <c r="P97" i="11"/>
  <c r="V97" i="11" s="1"/>
  <c r="P86" i="11"/>
  <c r="V86" i="11" s="1"/>
  <c r="P53" i="11"/>
  <c r="V53" i="11" s="1"/>
  <c r="P21" i="11"/>
  <c r="V21" i="11" s="1"/>
  <c r="S175" i="11"/>
  <c r="R175" i="11"/>
  <c r="S176" i="11"/>
  <c r="R176" i="11"/>
  <c r="S173" i="11"/>
  <c r="R173" i="11"/>
  <c r="S178" i="11"/>
  <c r="R178" i="11"/>
  <c r="S179" i="11"/>
  <c r="R179" i="11"/>
  <c r="S174" i="11"/>
  <c r="R174" i="11"/>
  <c r="S177" i="11"/>
  <c r="R177" i="11"/>
  <c r="S182" i="11"/>
  <c r="R182" i="11"/>
  <c r="S184" i="11"/>
  <c r="R184" i="11"/>
  <c r="S180" i="11"/>
  <c r="R180" i="11"/>
  <c r="S181" i="11"/>
  <c r="R181" i="11"/>
  <c r="S183" i="11"/>
  <c r="R183" i="11"/>
  <c r="S168" i="11"/>
  <c r="R168" i="11"/>
  <c r="S159" i="11"/>
  <c r="S158" i="11"/>
  <c r="S157" i="11"/>
  <c r="R157" i="11"/>
  <c r="S161" i="11"/>
  <c r="S163" i="11"/>
  <c r="S160" i="11"/>
  <c r="S162" i="11"/>
  <c r="S154" i="11"/>
  <c r="R154" i="11"/>
  <c r="S153" i="11"/>
  <c r="R153" i="11"/>
  <c r="S146" i="11"/>
  <c r="R146" i="11"/>
  <c r="S148" i="11"/>
  <c r="R148" i="11"/>
  <c r="S147" i="11"/>
  <c r="R147" i="11"/>
  <c r="S137" i="11"/>
  <c r="R137" i="11"/>
  <c r="S127" i="11"/>
  <c r="R127" i="11"/>
  <c r="S125" i="11"/>
  <c r="R125" i="11"/>
  <c r="S128" i="11"/>
  <c r="R128" i="11"/>
  <c r="S134" i="11"/>
  <c r="R134" i="11"/>
  <c r="S122" i="11"/>
  <c r="R122" i="11"/>
  <c r="S132" i="11"/>
  <c r="R132" i="11"/>
  <c r="S124" i="11"/>
  <c r="R124" i="11"/>
  <c r="S119" i="11"/>
  <c r="R119" i="11"/>
  <c r="S126" i="11"/>
  <c r="R126" i="11"/>
  <c r="S139" i="11"/>
  <c r="R139" i="11"/>
  <c r="S135" i="11"/>
  <c r="R135" i="11"/>
  <c r="S141" i="11"/>
  <c r="R141" i="11"/>
  <c r="S133" i="11"/>
  <c r="R133" i="11"/>
  <c r="S123" i="11"/>
  <c r="R123" i="11"/>
  <c r="S140" i="11"/>
  <c r="R140" i="11"/>
  <c r="S129" i="11"/>
  <c r="R129" i="11"/>
  <c r="S120" i="11"/>
  <c r="R120" i="11"/>
  <c r="S138" i="11"/>
  <c r="R138" i="11"/>
  <c r="S142" i="11"/>
  <c r="R142" i="11"/>
  <c r="S136" i="11"/>
  <c r="R136" i="11"/>
  <c r="S113" i="11"/>
  <c r="R113" i="11"/>
  <c r="S116" i="11"/>
  <c r="R116" i="11"/>
  <c r="S115" i="11"/>
  <c r="R115" i="11"/>
  <c r="S114" i="11"/>
  <c r="R114" i="11"/>
  <c r="R105" i="11"/>
  <c r="S106" i="11"/>
  <c r="R106" i="11"/>
  <c r="S104" i="11"/>
  <c r="R104" i="11"/>
  <c r="S101" i="11"/>
  <c r="R101" i="11"/>
  <c r="S103" i="11"/>
  <c r="R103" i="11"/>
  <c r="S109" i="11"/>
  <c r="R109" i="11"/>
  <c r="S107" i="11"/>
  <c r="R107" i="11"/>
  <c r="S92" i="11"/>
  <c r="R92" i="11"/>
  <c r="S95" i="11"/>
  <c r="S98" i="11"/>
  <c r="S93" i="11"/>
  <c r="R93" i="11"/>
  <c r="S82" i="11"/>
  <c r="R82" i="11"/>
  <c r="S65" i="11"/>
  <c r="R65" i="11"/>
  <c r="S58" i="11"/>
  <c r="R58" i="11"/>
  <c r="S63" i="11"/>
  <c r="R63" i="11"/>
  <c r="S74" i="11"/>
  <c r="R74" i="11"/>
  <c r="S60" i="11"/>
  <c r="R60" i="11"/>
  <c r="S59" i="11"/>
  <c r="R59" i="11"/>
  <c r="S80" i="11"/>
  <c r="R80" i="11"/>
  <c r="S57" i="11"/>
  <c r="R57" i="11"/>
  <c r="S56" i="11"/>
  <c r="R56" i="11"/>
  <c r="S64" i="11"/>
  <c r="R64" i="11"/>
  <c r="S70" i="11"/>
  <c r="R70" i="11"/>
  <c r="S66" i="11"/>
  <c r="R66" i="11"/>
  <c r="S69" i="11"/>
  <c r="R69" i="11"/>
  <c r="S72" i="11"/>
  <c r="R72" i="11"/>
  <c r="S75" i="11"/>
  <c r="R75" i="11"/>
  <c r="S79" i="11"/>
  <c r="R79" i="11"/>
  <c r="S77" i="11"/>
  <c r="R77" i="11"/>
  <c r="S71" i="11"/>
  <c r="R71" i="11"/>
  <c r="S76" i="11"/>
  <c r="R76" i="11"/>
  <c r="S81" i="11"/>
  <c r="R81" i="11"/>
  <c r="S61" i="11"/>
  <c r="R61" i="11"/>
  <c r="S85" i="11"/>
  <c r="R85" i="11"/>
  <c r="S84" i="11"/>
  <c r="R84" i="11"/>
  <c r="S83" i="11"/>
  <c r="R83" i="11"/>
  <c r="S62" i="11"/>
  <c r="R62" i="11"/>
  <c r="S67" i="11"/>
  <c r="R67" i="11"/>
  <c r="S68" i="11"/>
  <c r="R68" i="11"/>
  <c r="S73" i="11"/>
  <c r="R73" i="11"/>
  <c r="S78" i="11"/>
  <c r="R78" i="11"/>
  <c r="S44" i="11"/>
  <c r="R44" i="11"/>
  <c r="S33" i="11"/>
  <c r="R33" i="11"/>
  <c r="S37" i="11"/>
  <c r="R37" i="11"/>
  <c r="S45" i="11"/>
  <c r="R45" i="11"/>
  <c r="S50" i="11"/>
  <c r="R50" i="11"/>
  <c r="S48" i="11"/>
  <c r="R48" i="11"/>
  <c r="S27" i="11"/>
  <c r="R27" i="11"/>
  <c r="S38" i="11"/>
  <c r="R38" i="11"/>
  <c r="S31" i="11"/>
  <c r="R31" i="11"/>
  <c r="S51" i="11"/>
  <c r="R51" i="11"/>
  <c r="S40" i="11"/>
  <c r="R40" i="11"/>
  <c r="S42" i="11"/>
  <c r="R42" i="11"/>
  <c r="S25" i="11"/>
  <c r="R25" i="11"/>
  <c r="S52" i="11"/>
  <c r="R52" i="11"/>
  <c r="S34" i="11"/>
  <c r="R34" i="11"/>
  <c r="S36" i="11"/>
  <c r="R36" i="11"/>
  <c r="S35" i="11"/>
  <c r="R35" i="11"/>
  <c r="S24" i="11"/>
  <c r="R24" i="11"/>
  <c r="S30" i="11"/>
  <c r="R30" i="11"/>
  <c r="S46" i="11"/>
  <c r="R46" i="11"/>
  <c r="S32" i="11"/>
  <c r="R32" i="11"/>
  <c r="S41" i="11"/>
  <c r="R41" i="11"/>
  <c r="S29" i="11"/>
  <c r="R29" i="11"/>
  <c r="S43" i="11"/>
  <c r="R43" i="11"/>
  <c r="S28" i="11"/>
  <c r="R28" i="11"/>
  <c r="S26" i="11"/>
  <c r="R26" i="11"/>
  <c r="S49" i="11"/>
  <c r="R49" i="11"/>
  <c r="S39" i="11"/>
  <c r="R39" i="11"/>
  <c r="S47" i="11"/>
  <c r="R47" i="11"/>
  <c r="S18" i="11"/>
  <c r="R18" i="11"/>
  <c r="S11" i="11"/>
  <c r="R11" i="11"/>
  <c r="S6" i="11"/>
  <c r="R6" i="11"/>
  <c r="S14" i="11"/>
  <c r="R14" i="11"/>
  <c r="S20" i="11"/>
  <c r="R20" i="11"/>
  <c r="S8" i="11"/>
  <c r="R8" i="11"/>
  <c r="S16" i="11"/>
  <c r="R16" i="11"/>
  <c r="S13" i="11"/>
  <c r="R13" i="11"/>
  <c r="S9" i="11"/>
  <c r="R9" i="11"/>
  <c r="S7" i="11"/>
  <c r="R7" i="11"/>
  <c r="S19" i="11"/>
  <c r="R19" i="11"/>
  <c r="S5" i="11"/>
  <c r="R5" i="11"/>
  <c r="S15" i="11"/>
  <c r="R15" i="11"/>
  <c r="S10" i="11"/>
  <c r="R10" i="11"/>
  <c r="S12" i="11"/>
  <c r="R12" i="11"/>
  <c r="S17" i="11"/>
  <c r="R17" i="11"/>
  <c r="R90" i="11" l="1"/>
  <c r="P110" i="11"/>
  <c r="R98" i="11" s="1"/>
  <c r="P165" i="11" l="1"/>
  <c r="P186" i="11" l="1"/>
  <c r="V186" i="11" s="1"/>
  <c r="L143" i="11"/>
  <c r="R143" i="11" s="1"/>
  <c r="L53" i="11"/>
  <c r="R53" i="11" s="1"/>
  <c r="L185" i="11" l="1"/>
  <c r="L170" i="11"/>
  <c r="L164" i="11"/>
  <c r="L149" i="11"/>
  <c r="L117" i="11"/>
  <c r="R117" i="11" s="1"/>
  <c r="M102" i="11"/>
  <c r="M105" i="11"/>
  <c r="S105" i="11" s="1"/>
  <c r="L102" i="11"/>
  <c r="R102" i="11" s="1"/>
  <c r="M96" i="11"/>
  <c r="M94" i="11"/>
  <c r="S94" i="11" s="1"/>
  <c r="M91" i="11"/>
  <c r="M90" i="11"/>
  <c r="S90" i="11" s="1"/>
  <c r="M97" i="11"/>
  <c r="S97" i="11" s="1"/>
  <c r="L96" i="11"/>
  <c r="L94" i="11"/>
  <c r="R94" i="11" s="1"/>
  <c r="L91" i="11"/>
  <c r="R91" i="11" s="1"/>
  <c r="L97" i="11"/>
  <c r="L86" i="11"/>
  <c r="R86" i="11" s="1"/>
  <c r="L21" i="11"/>
  <c r="R21" i="11" s="1"/>
  <c r="O175" i="11"/>
  <c r="N175" i="11"/>
  <c r="O176" i="11"/>
  <c r="N176" i="11"/>
  <c r="O173" i="11"/>
  <c r="N173" i="11"/>
  <c r="O178" i="11"/>
  <c r="N178" i="11"/>
  <c r="O179" i="11"/>
  <c r="N179" i="11"/>
  <c r="O174" i="11"/>
  <c r="N174" i="11"/>
  <c r="O177" i="11"/>
  <c r="N177" i="11"/>
  <c r="O182" i="11"/>
  <c r="N182" i="11"/>
  <c r="O184" i="11"/>
  <c r="N184" i="11"/>
  <c r="O180" i="11"/>
  <c r="N180" i="11"/>
  <c r="O181" i="11"/>
  <c r="N181" i="11"/>
  <c r="O183" i="11"/>
  <c r="N183" i="11"/>
  <c r="O168" i="11"/>
  <c r="N168" i="11"/>
  <c r="O159" i="11"/>
  <c r="O158" i="11"/>
  <c r="O157" i="11"/>
  <c r="N157" i="11"/>
  <c r="O161" i="11"/>
  <c r="O163" i="11"/>
  <c r="O160" i="11"/>
  <c r="O162" i="11"/>
  <c r="O154" i="11"/>
  <c r="N154" i="11"/>
  <c r="O153" i="11"/>
  <c r="N153" i="11"/>
  <c r="O146" i="11"/>
  <c r="N146" i="11"/>
  <c r="O148" i="11"/>
  <c r="N148" i="11"/>
  <c r="O147" i="11"/>
  <c r="N147" i="11"/>
  <c r="O137" i="11"/>
  <c r="N137" i="11"/>
  <c r="O127" i="11"/>
  <c r="N127" i="11"/>
  <c r="O125" i="11"/>
  <c r="N125" i="11"/>
  <c r="O128" i="11"/>
  <c r="N128" i="11"/>
  <c r="O134" i="11"/>
  <c r="N134" i="11"/>
  <c r="O122" i="11"/>
  <c r="N122" i="11"/>
  <c r="O132" i="11"/>
  <c r="N132" i="11"/>
  <c r="O124" i="11"/>
  <c r="N124" i="11"/>
  <c r="O119" i="11"/>
  <c r="N119" i="11"/>
  <c r="O126" i="11"/>
  <c r="N126" i="11"/>
  <c r="O139" i="11"/>
  <c r="N139" i="11"/>
  <c r="O135" i="11"/>
  <c r="N135" i="11"/>
  <c r="O141" i="11"/>
  <c r="N141" i="11"/>
  <c r="O133" i="11"/>
  <c r="N133" i="11"/>
  <c r="O123" i="11"/>
  <c r="N123" i="11"/>
  <c r="O140" i="11"/>
  <c r="N140" i="11"/>
  <c r="O129" i="11"/>
  <c r="N129" i="11"/>
  <c r="O120" i="11"/>
  <c r="N120" i="11"/>
  <c r="O138" i="11"/>
  <c r="N138" i="11"/>
  <c r="O142" i="11"/>
  <c r="N142" i="11"/>
  <c r="O136" i="11"/>
  <c r="N136" i="11"/>
  <c r="O113" i="11"/>
  <c r="N113" i="11"/>
  <c r="O116" i="11"/>
  <c r="N116" i="11"/>
  <c r="O115" i="11"/>
  <c r="N115" i="11"/>
  <c r="O114" i="11"/>
  <c r="N114" i="11"/>
  <c r="N105" i="11"/>
  <c r="O106" i="11"/>
  <c r="N106" i="11"/>
  <c r="O104" i="11"/>
  <c r="N104" i="11"/>
  <c r="O101" i="11"/>
  <c r="N101" i="11"/>
  <c r="O103" i="11"/>
  <c r="N103" i="11"/>
  <c r="O109" i="11"/>
  <c r="N109" i="11"/>
  <c r="O107" i="11"/>
  <c r="N107" i="11"/>
  <c r="O92" i="11"/>
  <c r="N92" i="11"/>
  <c r="O95" i="11"/>
  <c r="O98" i="11"/>
  <c r="O93" i="11"/>
  <c r="N93" i="11"/>
  <c r="O82" i="11"/>
  <c r="N82" i="11"/>
  <c r="O65" i="11"/>
  <c r="N65" i="11"/>
  <c r="O58" i="11"/>
  <c r="N58" i="11"/>
  <c r="O63" i="11"/>
  <c r="N63" i="11"/>
  <c r="O74" i="11"/>
  <c r="N74" i="11"/>
  <c r="O60" i="11"/>
  <c r="N60" i="11"/>
  <c r="O59" i="11"/>
  <c r="N59" i="11"/>
  <c r="O80" i="11"/>
  <c r="N80" i="11"/>
  <c r="O57" i="11"/>
  <c r="N57" i="11"/>
  <c r="O56" i="11"/>
  <c r="N56" i="11"/>
  <c r="O64" i="11"/>
  <c r="N64" i="11"/>
  <c r="O70" i="11"/>
  <c r="N70" i="11"/>
  <c r="O66" i="11"/>
  <c r="N66" i="11"/>
  <c r="O69" i="11"/>
  <c r="N69" i="11"/>
  <c r="O72" i="11"/>
  <c r="N72" i="11"/>
  <c r="O75" i="11"/>
  <c r="N75" i="11"/>
  <c r="O79" i="11"/>
  <c r="N79" i="11"/>
  <c r="O77" i="11"/>
  <c r="N77" i="11"/>
  <c r="O71" i="11"/>
  <c r="N71" i="11"/>
  <c r="O76" i="11"/>
  <c r="N76" i="11"/>
  <c r="O81" i="11"/>
  <c r="N81" i="11"/>
  <c r="O61" i="11"/>
  <c r="N61" i="11"/>
  <c r="O85" i="11"/>
  <c r="N85" i="11"/>
  <c r="O84" i="11"/>
  <c r="N84" i="11"/>
  <c r="O83" i="11"/>
  <c r="N83" i="11"/>
  <c r="O62" i="11"/>
  <c r="N62" i="11"/>
  <c r="O67" i="11"/>
  <c r="N67" i="11"/>
  <c r="O68" i="11"/>
  <c r="N68" i="11"/>
  <c r="O73" i="11"/>
  <c r="N73" i="11"/>
  <c r="O78" i="11"/>
  <c r="N78" i="11"/>
  <c r="O44" i="11"/>
  <c r="N44" i="11"/>
  <c r="O33" i="11"/>
  <c r="N33" i="11"/>
  <c r="O37" i="11"/>
  <c r="N37" i="11"/>
  <c r="O45" i="11"/>
  <c r="N45" i="11"/>
  <c r="O50" i="11"/>
  <c r="N50" i="11"/>
  <c r="O48" i="11"/>
  <c r="N48" i="11"/>
  <c r="O27" i="11"/>
  <c r="N27" i="11"/>
  <c r="O38" i="11"/>
  <c r="N38" i="11"/>
  <c r="O31" i="11"/>
  <c r="N31" i="11"/>
  <c r="O51" i="11"/>
  <c r="N51" i="11"/>
  <c r="O40" i="11"/>
  <c r="N40" i="11"/>
  <c r="O42" i="11"/>
  <c r="N42" i="11"/>
  <c r="O25" i="11"/>
  <c r="N25" i="11"/>
  <c r="O52" i="11"/>
  <c r="N52" i="11"/>
  <c r="O34" i="11"/>
  <c r="N34" i="11"/>
  <c r="O36" i="11"/>
  <c r="N36" i="11"/>
  <c r="O35" i="11"/>
  <c r="N35" i="11"/>
  <c r="O24" i="11"/>
  <c r="N24" i="11"/>
  <c r="O30" i="11"/>
  <c r="N30" i="11"/>
  <c r="O46" i="11"/>
  <c r="N46" i="11"/>
  <c r="O32" i="11"/>
  <c r="N32" i="11"/>
  <c r="O41" i="11"/>
  <c r="N41" i="11"/>
  <c r="O29" i="11"/>
  <c r="N29" i="11"/>
  <c r="O43" i="11"/>
  <c r="N43" i="11"/>
  <c r="O28" i="11"/>
  <c r="N28" i="11"/>
  <c r="O26" i="11"/>
  <c r="N26" i="11"/>
  <c r="O49" i="11"/>
  <c r="N49" i="11"/>
  <c r="O39" i="11"/>
  <c r="N39" i="11"/>
  <c r="O47" i="11"/>
  <c r="N47" i="11"/>
  <c r="O18" i="11"/>
  <c r="N18" i="11"/>
  <c r="O11" i="11"/>
  <c r="N11" i="11"/>
  <c r="O6" i="11"/>
  <c r="N6" i="11"/>
  <c r="O14" i="11"/>
  <c r="N14" i="11"/>
  <c r="O20" i="11"/>
  <c r="N20" i="11"/>
  <c r="O8" i="11"/>
  <c r="N8" i="11"/>
  <c r="O16" i="11"/>
  <c r="N16" i="11"/>
  <c r="O13" i="11"/>
  <c r="N13" i="11"/>
  <c r="O9" i="11"/>
  <c r="N9" i="11"/>
  <c r="O7" i="11"/>
  <c r="N7" i="11"/>
  <c r="O19" i="11"/>
  <c r="N19" i="11"/>
  <c r="O5" i="11"/>
  <c r="N5" i="11"/>
  <c r="O15" i="11"/>
  <c r="N15" i="11"/>
  <c r="O10" i="11"/>
  <c r="N10" i="11"/>
  <c r="O12" i="11"/>
  <c r="N12" i="11"/>
  <c r="O17" i="11"/>
  <c r="N17" i="11"/>
  <c r="N90" i="11" l="1"/>
  <c r="R97" i="11"/>
  <c r="L110" i="11"/>
  <c r="N98" i="11" s="1"/>
  <c r="S96" i="11"/>
  <c r="R185" i="11"/>
  <c r="R96" i="11"/>
  <c r="S102" i="11"/>
  <c r="S91" i="11"/>
  <c r="R149" i="11"/>
  <c r="L165" i="11" l="1"/>
  <c r="L186" i="11" l="1"/>
  <c r="R186" i="11" l="1"/>
  <c r="H143" i="11"/>
  <c r="N143" i="11" s="1"/>
  <c r="H86" i="11"/>
  <c r="N86" i="11" s="1"/>
  <c r="H185" i="11" l="1"/>
  <c r="N185" i="11" s="1"/>
  <c r="H170" i="11"/>
  <c r="H164" i="11"/>
  <c r="H149" i="11"/>
  <c r="N149" i="11" s="1"/>
  <c r="H117" i="11"/>
  <c r="N117" i="11" s="1"/>
  <c r="I102" i="11"/>
  <c r="O102" i="11" s="1"/>
  <c r="I105" i="11"/>
  <c r="O105" i="11" s="1"/>
  <c r="H102" i="11"/>
  <c r="N102" i="11" s="1"/>
  <c r="I96" i="11"/>
  <c r="O96" i="11" s="1"/>
  <c r="I94" i="11"/>
  <c r="O94" i="11" s="1"/>
  <c r="I91" i="11"/>
  <c r="O91" i="11" s="1"/>
  <c r="I90" i="11"/>
  <c r="O90" i="11" s="1"/>
  <c r="I97" i="11"/>
  <c r="O97" i="11" s="1"/>
  <c r="H96" i="11"/>
  <c r="N96" i="11" s="1"/>
  <c r="H94" i="11"/>
  <c r="N94" i="11" s="1"/>
  <c r="H91" i="11"/>
  <c r="N91" i="11" s="1"/>
  <c r="H97" i="11"/>
  <c r="N97" i="11" s="1"/>
  <c r="H53" i="11"/>
  <c r="N53" i="11" s="1"/>
  <c r="H21" i="11"/>
  <c r="N21" i="11" s="1"/>
  <c r="K175" i="11"/>
  <c r="J175" i="11"/>
  <c r="K176" i="11"/>
  <c r="J176" i="11"/>
  <c r="K173" i="11"/>
  <c r="J173" i="11"/>
  <c r="K178" i="11"/>
  <c r="J178" i="11"/>
  <c r="K179" i="11"/>
  <c r="J179" i="11"/>
  <c r="K174" i="11"/>
  <c r="J174" i="11"/>
  <c r="K177" i="11"/>
  <c r="J177" i="11"/>
  <c r="K182" i="11"/>
  <c r="J182" i="11"/>
  <c r="K184" i="11"/>
  <c r="J184" i="11"/>
  <c r="K180" i="11"/>
  <c r="J180" i="11"/>
  <c r="K181" i="11"/>
  <c r="J181" i="11"/>
  <c r="K183" i="11"/>
  <c r="J183" i="11"/>
  <c r="K168" i="11"/>
  <c r="J168" i="11"/>
  <c r="K159" i="11"/>
  <c r="K158" i="11"/>
  <c r="K157" i="11"/>
  <c r="J157" i="11"/>
  <c r="K161" i="11"/>
  <c r="K163" i="11"/>
  <c r="K160" i="11"/>
  <c r="K162" i="11"/>
  <c r="K154" i="11"/>
  <c r="J154" i="11"/>
  <c r="K153" i="11"/>
  <c r="J153" i="11"/>
  <c r="K146" i="11"/>
  <c r="J146" i="11"/>
  <c r="K148" i="11"/>
  <c r="J148" i="11"/>
  <c r="K147" i="11"/>
  <c r="J147" i="11"/>
  <c r="K137" i="11"/>
  <c r="J137" i="11"/>
  <c r="K127" i="11"/>
  <c r="J127" i="11"/>
  <c r="K125" i="11"/>
  <c r="J125" i="11"/>
  <c r="K128" i="11"/>
  <c r="J128" i="11"/>
  <c r="K134" i="11"/>
  <c r="J134" i="11"/>
  <c r="K122" i="11"/>
  <c r="J122" i="11"/>
  <c r="K132" i="11"/>
  <c r="J132" i="11"/>
  <c r="K124" i="11"/>
  <c r="J124" i="11"/>
  <c r="K119" i="11"/>
  <c r="J119" i="11"/>
  <c r="K126" i="11"/>
  <c r="J126" i="11"/>
  <c r="K139" i="11"/>
  <c r="J139" i="11"/>
  <c r="K135" i="11"/>
  <c r="J135" i="11"/>
  <c r="K141" i="11"/>
  <c r="J141" i="11"/>
  <c r="K133" i="11"/>
  <c r="J133" i="11"/>
  <c r="K123" i="11"/>
  <c r="J123" i="11"/>
  <c r="K140" i="11"/>
  <c r="J140" i="11"/>
  <c r="K129" i="11"/>
  <c r="J129" i="11"/>
  <c r="K120" i="11"/>
  <c r="J120" i="11"/>
  <c r="K138" i="11"/>
  <c r="J138" i="11"/>
  <c r="K142" i="11"/>
  <c r="J142" i="11"/>
  <c r="K136" i="11"/>
  <c r="J136" i="11"/>
  <c r="K113" i="11"/>
  <c r="J113" i="11"/>
  <c r="K116" i="11"/>
  <c r="J116" i="11"/>
  <c r="K115" i="11"/>
  <c r="J115" i="11"/>
  <c r="K114" i="11"/>
  <c r="J114" i="11"/>
  <c r="J105" i="11"/>
  <c r="K106" i="11"/>
  <c r="J106" i="11"/>
  <c r="K104" i="11"/>
  <c r="J104" i="11"/>
  <c r="K101" i="11"/>
  <c r="J101" i="11"/>
  <c r="K103" i="11"/>
  <c r="J103" i="11"/>
  <c r="K109" i="11"/>
  <c r="J109" i="11"/>
  <c r="K107" i="11"/>
  <c r="J107" i="11"/>
  <c r="K92" i="11"/>
  <c r="J92" i="11"/>
  <c r="K95" i="11"/>
  <c r="K98" i="11"/>
  <c r="K93" i="11"/>
  <c r="J93" i="11"/>
  <c r="K82" i="11"/>
  <c r="J82" i="11"/>
  <c r="K65" i="11"/>
  <c r="J65" i="11"/>
  <c r="K58" i="11"/>
  <c r="J58" i="11"/>
  <c r="K63" i="11"/>
  <c r="J63" i="11"/>
  <c r="K74" i="11"/>
  <c r="J74" i="11"/>
  <c r="K60" i="11"/>
  <c r="J60" i="11"/>
  <c r="K59" i="11"/>
  <c r="J59" i="11"/>
  <c r="K80" i="11"/>
  <c r="J80" i="11"/>
  <c r="K57" i="11"/>
  <c r="J57" i="11"/>
  <c r="K56" i="11"/>
  <c r="J56" i="11"/>
  <c r="K64" i="11"/>
  <c r="J64" i="11"/>
  <c r="K70" i="11"/>
  <c r="J70" i="11"/>
  <c r="K66" i="11"/>
  <c r="J66" i="11"/>
  <c r="K69" i="11"/>
  <c r="J69" i="11"/>
  <c r="K72" i="11"/>
  <c r="J72" i="11"/>
  <c r="K75" i="11"/>
  <c r="J75" i="11"/>
  <c r="K79" i="11"/>
  <c r="J79" i="11"/>
  <c r="K77" i="11"/>
  <c r="J77" i="11"/>
  <c r="K71" i="11"/>
  <c r="J71" i="11"/>
  <c r="K76" i="11"/>
  <c r="J76" i="11"/>
  <c r="K81" i="11"/>
  <c r="J81" i="11"/>
  <c r="K61" i="11"/>
  <c r="J61" i="11"/>
  <c r="K85" i="11"/>
  <c r="J85" i="11"/>
  <c r="K84" i="11"/>
  <c r="J84" i="11"/>
  <c r="K83" i="11"/>
  <c r="J83" i="11"/>
  <c r="K62" i="11"/>
  <c r="J62" i="11"/>
  <c r="K67" i="11"/>
  <c r="J67" i="11"/>
  <c r="K68" i="11"/>
  <c r="J68" i="11"/>
  <c r="K73" i="11"/>
  <c r="J73" i="11"/>
  <c r="K78" i="11"/>
  <c r="J78" i="11"/>
  <c r="K44" i="11"/>
  <c r="J44" i="11"/>
  <c r="K33" i="11"/>
  <c r="J33" i="11"/>
  <c r="K37" i="11"/>
  <c r="J37" i="11"/>
  <c r="K45" i="11"/>
  <c r="J45" i="11"/>
  <c r="K50" i="11"/>
  <c r="J50" i="11"/>
  <c r="K48" i="11"/>
  <c r="J48" i="11"/>
  <c r="K27" i="11"/>
  <c r="J27" i="11"/>
  <c r="K38" i="11"/>
  <c r="J38" i="11"/>
  <c r="K31" i="11"/>
  <c r="J31" i="11"/>
  <c r="K51" i="11"/>
  <c r="J51" i="11"/>
  <c r="K40" i="11"/>
  <c r="J40" i="11"/>
  <c r="K42" i="11"/>
  <c r="J42" i="11"/>
  <c r="K25" i="11"/>
  <c r="J25" i="11"/>
  <c r="K52" i="11"/>
  <c r="J52" i="11"/>
  <c r="K34" i="11"/>
  <c r="J34" i="11"/>
  <c r="K36" i="11"/>
  <c r="J36" i="11"/>
  <c r="K35" i="11"/>
  <c r="J35" i="11"/>
  <c r="K24" i="11"/>
  <c r="J24" i="11"/>
  <c r="K30" i="11"/>
  <c r="J30" i="11"/>
  <c r="K46" i="11"/>
  <c r="J46" i="11"/>
  <c r="K32" i="11"/>
  <c r="J32" i="11"/>
  <c r="K41" i="11"/>
  <c r="J41" i="11"/>
  <c r="K29" i="11"/>
  <c r="J29" i="11"/>
  <c r="K43" i="11"/>
  <c r="J43" i="11"/>
  <c r="K28" i="11"/>
  <c r="J28" i="11"/>
  <c r="K26" i="11"/>
  <c r="J26" i="11"/>
  <c r="K49" i="11"/>
  <c r="J49" i="11"/>
  <c r="K39" i="11"/>
  <c r="J39" i="11"/>
  <c r="K47" i="11"/>
  <c r="J47" i="11"/>
  <c r="K18" i="11"/>
  <c r="J18" i="11"/>
  <c r="K11" i="11"/>
  <c r="J11" i="11"/>
  <c r="K6" i="11"/>
  <c r="J6" i="11"/>
  <c r="K14" i="11"/>
  <c r="J14" i="11"/>
  <c r="K20" i="11"/>
  <c r="J20" i="11"/>
  <c r="K8" i="11"/>
  <c r="J8" i="11"/>
  <c r="K16" i="11"/>
  <c r="J16" i="11"/>
  <c r="K13" i="11"/>
  <c r="J13" i="11"/>
  <c r="K9" i="11"/>
  <c r="J9" i="11"/>
  <c r="K7" i="11"/>
  <c r="J7" i="11"/>
  <c r="K19" i="11"/>
  <c r="J19" i="11"/>
  <c r="K5" i="11"/>
  <c r="J5" i="11"/>
  <c r="K15" i="11"/>
  <c r="J15" i="11"/>
  <c r="K10" i="11"/>
  <c r="J10" i="11"/>
  <c r="K12" i="11"/>
  <c r="J12" i="11"/>
  <c r="K17" i="11"/>
  <c r="J17" i="11"/>
  <c r="J90" i="11" l="1"/>
  <c r="H110" i="11"/>
  <c r="J98" i="11" s="1"/>
  <c r="H165" i="11" l="1"/>
  <c r="H186" i="11" l="1"/>
  <c r="N186" i="11" s="1"/>
  <c r="D185" i="11" l="1"/>
  <c r="D170" i="11"/>
  <c r="D164" i="11"/>
  <c r="D149" i="11"/>
  <c r="D143" i="11"/>
  <c r="D117" i="11"/>
  <c r="E102" i="11"/>
  <c r="E105" i="11"/>
  <c r="D102" i="11"/>
  <c r="E96" i="11"/>
  <c r="E94" i="11"/>
  <c r="E91" i="11"/>
  <c r="E90" i="11"/>
  <c r="E97" i="11"/>
  <c r="D96" i="11"/>
  <c r="D94" i="11"/>
  <c r="D91" i="11"/>
  <c r="D97" i="11"/>
  <c r="D86" i="11"/>
  <c r="D53" i="11"/>
  <c r="K10" i="1"/>
  <c r="D21" i="11"/>
  <c r="G175" i="11"/>
  <c r="F175" i="11"/>
  <c r="G176" i="11"/>
  <c r="F176" i="11"/>
  <c r="G173" i="11"/>
  <c r="F173" i="11"/>
  <c r="G178" i="11"/>
  <c r="F178" i="11"/>
  <c r="G179" i="11"/>
  <c r="F179" i="11"/>
  <c r="G174" i="11"/>
  <c r="F174" i="11"/>
  <c r="G177" i="11"/>
  <c r="F177" i="11"/>
  <c r="G182" i="11"/>
  <c r="F182" i="11"/>
  <c r="G184" i="11"/>
  <c r="F184" i="11"/>
  <c r="G180" i="11"/>
  <c r="F180" i="11"/>
  <c r="G181" i="11"/>
  <c r="F181" i="11"/>
  <c r="G183" i="11"/>
  <c r="F183" i="11"/>
  <c r="G168" i="11"/>
  <c r="F168" i="11"/>
  <c r="G159" i="11"/>
  <c r="G158" i="11"/>
  <c r="G157" i="11"/>
  <c r="F157" i="11"/>
  <c r="G161" i="11"/>
  <c r="G163" i="11"/>
  <c r="G160" i="11"/>
  <c r="G162" i="11"/>
  <c r="G154" i="11"/>
  <c r="F154" i="11"/>
  <c r="G153" i="11"/>
  <c r="F153" i="11"/>
  <c r="G146" i="11"/>
  <c r="F146" i="11"/>
  <c r="G148" i="11"/>
  <c r="F148" i="11"/>
  <c r="G147" i="11"/>
  <c r="F147" i="11"/>
  <c r="G137" i="11"/>
  <c r="F137" i="11"/>
  <c r="G127" i="11"/>
  <c r="F127" i="11"/>
  <c r="G125" i="11"/>
  <c r="F125" i="11"/>
  <c r="G128" i="11"/>
  <c r="F128" i="11"/>
  <c r="G134" i="11"/>
  <c r="F134" i="11"/>
  <c r="G122" i="11"/>
  <c r="F122" i="11"/>
  <c r="G132" i="11"/>
  <c r="F132" i="11"/>
  <c r="G124" i="11"/>
  <c r="F124" i="11"/>
  <c r="G119" i="11"/>
  <c r="F119" i="11"/>
  <c r="G126" i="11"/>
  <c r="F126" i="11"/>
  <c r="G139" i="11"/>
  <c r="F139" i="11"/>
  <c r="G135" i="11"/>
  <c r="F135" i="11"/>
  <c r="G141" i="11"/>
  <c r="F141" i="11"/>
  <c r="G133" i="11"/>
  <c r="F133" i="11"/>
  <c r="G123" i="11"/>
  <c r="F123" i="11"/>
  <c r="G140" i="11"/>
  <c r="F140" i="11"/>
  <c r="G129" i="11"/>
  <c r="F129" i="11"/>
  <c r="G120" i="11"/>
  <c r="F120" i="11"/>
  <c r="G138" i="11"/>
  <c r="F138" i="11"/>
  <c r="G142" i="11"/>
  <c r="F142" i="11"/>
  <c r="G136" i="11"/>
  <c r="F136" i="11"/>
  <c r="G113" i="11"/>
  <c r="F113" i="11"/>
  <c r="G116" i="11"/>
  <c r="F116" i="11"/>
  <c r="G115" i="11"/>
  <c r="F115" i="11"/>
  <c r="G114" i="11"/>
  <c r="F114" i="11"/>
  <c r="F105" i="11"/>
  <c r="G106" i="11"/>
  <c r="F106" i="11"/>
  <c r="G104" i="11"/>
  <c r="F104" i="11"/>
  <c r="G101" i="11"/>
  <c r="F101" i="11"/>
  <c r="G103" i="11"/>
  <c r="F103" i="11"/>
  <c r="G109" i="11"/>
  <c r="F109" i="11"/>
  <c r="G107" i="11"/>
  <c r="F107" i="11"/>
  <c r="G92" i="11"/>
  <c r="G95" i="11"/>
  <c r="G98" i="11"/>
  <c r="G93" i="11"/>
  <c r="G82" i="11"/>
  <c r="F82" i="11"/>
  <c r="G65" i="11"/>
  <c r="F65" i="11"/>
  <c r="G58" i="11"/>
  <c r="F58" i="11"/>
  <c r="G63" i="11"/>
  <c r="F63" i="11"/>
  <c r="G74" i="11"/>
  <c r="F74" i="11"/>
  <c r="G60" i="11"/>
  <c r="F60" i="11"/>
  <c r="G59" i="11"/>
  <c r="F59" i="11"/>
  <c r="G80" i="11"/>
  <c r="F80" i="11"/>
  <c r="G57" i="11"/>
  <c r="F57" i="11"/>
  <c r="G56" i="11"/>
  <c r="F56" i="11"/>
  <c r="G64" i="11"/>
  <c r="F64" i="11"/>
  <c r="G70" i="11"/>
  <c r="F70" i="11"/>
  <c r="G66" i="11"/>
  <c r="F66" i="11"/>
  <c r="G69" i="11"/>
  <c r="F69" i="11"/>
  <c r="G72" i="11"/>
  <c r="F72" i="11"/>
  <c r="G75" i="11"/>
  <c r="F75" i="11"/>
  <c r="G79" i="11"/>
  <c r="F79" i="11"/>
  <c r="G77" i="11"/>
  <c r="F77" i="11"/>
  <c r="G71" i="11"/>
  <c r="F71" i="11"/>
  <c r="G76" i="11"/>
  <c r="F76" i="11"/>
  <c r="G81" i="11"/>
  <c r="F81" i="11"/>
  <c r="G61" i="11"/>
  <c r="F61" i="11"/>
  <c r="G85" i="11"/>
  <c r="F85" i="11"/>
  <c r="G84" i="11"/>
  <c r="F84" i="11"/>
  <c r="G83" i="11"/>
  <c r="F83" i="11"/>
  <c r="G62" i="11"/>
  <c r="F62" i="11"/>
  <c r="G67" i="11"/>
  <c r="F67" i="11"/>
  <c r="G68" i="11"/>
  <c r="F68" i="11"/>
  <c r="G73" i="11"/>
  <c r="F73" i="11"/>
  <c r="G78" i="11"/>
  <c r="F78" i="11"/>
  <c r="G44" i="11"/>
  <c r="F44" i="11"/>
  <c r="G33" i="11"/>
  <c r="F33" i="11"/>
  <c r="G37" i="11"/>
  <c r="F37" i="11"/>
  <c r="G45" i="11"/>
  <c r="F45" i="11"/>
  <c r="G50" i="11"/>
  <c r="F50" i="11"/>
  <c r="G48" i="11"/>
  <c r="F48" i="11"/>
  <c r="G27" i="11"/>
  <c r="F27" i="11"/>
  <c r="G38" i="11"/>
  <c r="F38" i="11"/>
  <c r="G31" i="11"/>
  <c r="F31" i="11"/>
  <c r="G51" i="11"/>
  <c r="F51" i="11"/>
  <c r="G40" i="11"/>
  <c r="F40" i="11"/>
  <c r="G42" i="11"/>
  <c r="F42" i="11"/>
  <c r="G25" i="11"/>
  <c r="F25" i="11"/>
  <c r="G52" i="11"/>
  <c r="F52" i="11"/>
  <c r="G34" i="11"/>
  <c r="F34" i="11"/>
  <c r="G36" i="11"/>
  <c r="F36" i="11"/>
  <c r="G35" i="11"/>
  <c r="F35" i="11"/>
  <c r="G24" i="11"/>
  <c r="F24" i="11"/>
  <c r="G30" i="11"/>
  <c r="F30" i="11"/>
  <c r="G46" i="11"/>
  <c r="F46" i="11"/>
  <c r="G32" i="11"/>
  <c r="F32" i="11"/>
  <c r="G41" i="11"/>
  <c r="F41" i="11"/>
  <c r="G29" i="11"/>
  <c r="F29" i="11"/>
  <c r="G43" i="11"/>
  <c r="F43" i="11"/>
  <c r="G28" i="11"/>
  <c r="F28" i="11"/>
  <c r="G26" i="11"/>
  <c r="F26" i="11"/>
  <c r="G49" i="11"/>
  <c r="F49" i="11"/>
  <c r="G39" i="11"/>
  <c r="F39" i="11"/>
  <c r="G47" i="11"/>
  <c r="F47" i="11"/>
  <c r="G18" i="11"/>
  <c r="F18" i="11"/>
  <c r="G11" i="11"/>
  <c r="F11" i="11"/>
  <c r="G6" i="11"/>
  <c r="F6" i="11"/>
  <c r="G14" i="11"/>
  <c r="F14" i="11"/>
  <c r="G20" i="11"/>
  <c r="F20" i="11"/>
  <c r="G8" i="11"/>
  <c r="F8" i="11"/>
  <c r="G16" i="11"/>
  <c r="F16" i="11"/>
  <c r="G13" i="11"/>
  <c r="F13" i="11"/>
  <c r="G9" i="11"/>
  <c r="F9" i="11"/>
  <c r="G7" i="11"/>
  <c r="F7" i="11"/>
  <c r="G19" i="11"/>
  <c r="F19" i="11"/>
  <c r="G5" i="11"/>
  <c r="F5" i="11"/>
  <c r="AN5" i="11" s="1"/>
  <c r="G15" i="11"/>
  <c r="F15" i="11"/>
  <c r="G10" i="11"/>
  <c r="F10" i="11"/>
  <c r="G12" i="11"/>
  <c r="F12" i="11"/>
  <c r="G17" i="11"/>
  <c r="F17" i="11"/>
  <c r="J91" i="11" l="1"/>
  <c r="AK39" i="11"/>
  <c r="AO39" i="11"/>
  <c r="AK42" i="11"/>
  <c r="AO42" i="11"/>
  <c r="AO77" i="11"/>
  <c r="AK77" i="11"/>
  <c r="AO69" i="11"/>
  <c r="AK69" i="11"/>
  <c r="AO108" i="11"/>
  <c r="AK108" i="11"/>
  <c r="AO113" i="11"/>
  <c r="AK113" i="11"/>
  <c r="AK123" i="11"/>
  <c r="AO123" i="11"/>
  <c r="AK135" i="11"/>
  <c r="AO135" i="11"/>
  <c r="AO119" i="11"/>
  <c r="AK119" i="11"/>
  <c r="AO134" i="11"/>
  <c r="AK134" i="11"/>
  <c r="AO137" i="11"/>
  <c r="AK137" i="11"/>
  <c r="AO153" i="11"/>
  <c r="AK153" i="11"/>
  <c r="AK163" i="11"/>
  <c r="AO163" i="11"/>
  <c r="AK159" i="11"/>
  <c r="AO159" i="11"/>
  <c r="AO180" i="11"/>
  <c r="AK180" i="11"/>
  <c r="AK174" i="11"/>
  <c r="AO174" i="11"/>
  <c r="AO176" i="11"/>
  <c r="AK176" i="11"/>
  <c r="AL91" i="11"/>
  <c r="J102" i="11"/>
  <c r="AL102" i="11"/>
  <c r="J185" i="11"/>
  <c r="AL185" i="11"/>
  <c r="AN49" i="11"/>
  <c r="AJ49" i="11"/>
  <c r="AN29" i="11"/>
  <c r="AJ29" i="11"/>
  <c r="AJ30" i="11"/>
  <c r="AN30" i="11"/>
  <c r="AJ34" i="11"/>
  <c r="AN34" i="11"/>
  <c r="AN40" i="11"/>
  <c r="AJ40" i="11"/>
  <c r="AJ27" i="11"/>
  <c r="AN27" i="11"/>
  <c r="AN37" i="11"/>
  <c r="AJ37" i="11"/>
  <c r="AN73" i="11"/>
  <c r="AJ73" i="11"/>
  <c r="AJ83" i="11"/>
  <c r="AN83" i="11"/>
  <c r="AN81" i="11"/>
  <c r="AJ81" i="11"/>
  <c r="AJ79" i="11"/>
  <c r="AN79" i="11"/>
  <c r="AJ66" i="11"/>
  <c r="AN66" i="11"/>
  <c r="AN57" i="11"/>
  <c r="AJ57" i="11"/>
  <c r="AJ74" i="11"/>
  <c r="AN74" i="11"/>
  <c r="AJ82" i="11"/>
  <c r="AN82" i="11"/>
  <c r="AO92" i="11"/>
  <c r="AK92" i="11"/>
  <c r="AO101" i="11"/>
  <c r="AK101" i="11"/>
  <c r="AN114" i="11"/>
  <c r="AJ114" i="11"/>
  <c r="AJ136" i="11"/>
  <c r="AN136" i="11"/>
  <c r="AN139" i="11"/>
  <c r="AJ139" i="11"/>
  <c r="AJ124" i="11"/>
  <c r="AN124" i="11"/>
  <c r="AN128" i="11"/>
  <c r="AJ128" i="11"/>
  <c r="AJ147" i="11"/>
  <c r="AN147" i="11"/>
  <c r="AJ154" i="11"/>
  <c r="AN154" i="11"/>
  <c r="AN161" i="11"/>
  <c r="AJ161" i="11"/>
  <c r="AJ168" i="11"/>
  <c r="AN168" i="11"/>
  <c r="AN184" i="11"/>
  <c r="AJ184" i="11"/>
  <c r="AN179" i="11"/>
  <c r="AJ179" i="11"/>
  <c r="AN175" i="11"/>
  <c r="AJ175" i="11"/>
  <c r="J94" i="11"/>
  <c r="AL94" i="11"/>
  <c r="K105" i="11"/>
  <c r="AM105" i="11"/>
  <c r="AK78" i="11"/>
  <c r="AO78" i="11"/>
  <c r="AN101" i="11"/>
  <c r="AJ101" i="11"/>
  <c r="AO49" i="11"/>
  <c r="AK49" i="11"/>
  <c r="AO37" i="11"/>
  <c r="AK37" i="11"/>
  <c r="AK79" i="11"/>
  <c r="AO79" i="11"/>
  <c r="AJ107" i="11"/>
  <c r="AN107" i="11"/>
  <c r="AK136" i="11"/>
  <c r="AO136" i="11"/>
  <c r="AO128" i="11"/>
  <c r="AK128" i="11"/>
  <c r="AO161" i="11"/>
  <c r="AK161" i="11"/>
  <c r="AO179" i="11"/>
  <c r="AK179" i="11"/>
  <c r="AJ26" i="11"/>
  <c r="AN26" i="11"/>
  <c r="AN41" i="11"/>
  <c r="AJ41" i="11"/>
  <c r="AN24" i="11"/>
  <c r="AJ24" i="11"/>
  <c r="AN52" i="11"/>
  <c r="AJ52" i="11"/>
  <c r="AJ51" i="11"/>
  <c r="AN51" i="11"/>
  <c r="AN48" i="11"/>
  <c r="AJ48" i="11"/>
  <c r="AN33" i="11"/>
  <c r="AJ33" i="11"/>
  <c r="AN68" i="11"/>
  <c r="AJ68" i="11"/>
  <c r="AN84" i="11"/>
  <c r="AJ84" i="11"/>
  <c r="AN76" i="11"/>
  <c r="AJ76" i="11"/>
  <c r="AJ75" i="11"/>
  <c r="AN75" i="11"/>
  <c r="AJ70" i="11"/>
  <c r="AN70" i="11"/>
  <c r="AN80" i="11"/>
  <c r="AJ80" i="11"/>
  <c r="AJ63" i="11"/>
  <c r="AN63" i="11"/>
  <c r="AN93" i="11"/>
  <c r="AJ93" i="11"/>
  <c r="AK107" i="11"/>
  <c r="AO107" i="11"/>
  <c r="AO104" i="11"/>
  <c r="AK104" i="11"/>
  <c r="AJ115" i="11"/>
  <c r="AN115" i="11"/>
  <c r="AN142" i="11"/>
  <c r="AJ142" i="11"/>
  <c r="AN129" i="11"/>
  <c r="AJ129" i="11"/>
  <c r="AJ133" i="11"/>
  <c r="AN133" i="11"/>
  <c r="AJ126" i="11"/>
  <c r="AN126" i="11"/>
  <c r="AN132" i="11"/>
  <c r="AJ132" i="11"/>
  <c r="AN125" i="11"/>
  <c r="AJ125" i="11"/>
  <c r="AN148" i="11"/>
  <c r="AJ148" i="11"/>
  <c r="AJ162" i="11"/>
  <c r="AN162" i="11"/>
  <c r="AN157" i="11"/>
  <c r="AJ157" i="11"/>
  <c r="AN183" i="11"/>
  <c r="AJ183" i="11"/>
  <c r="AJ182" i="11"/>
  <c r="AN182" i="11"/>
  <c r="AJ178" i="11"/>
  <c r="AN178" i="11"/>
  <c r="K97" i="11"/>
  <c r="AM97" i="11"/>
  <c r="J117" i="11"/>
  <c r="AL117" i="11"/>
  <c r="AO36" i="11"/>
  <c r="AK36" i="11"/>
  <c r="AO61" i="11"/>
  <c r="AK61" i="11"/>
  <c r="AO56" i="11"/>
  <c r="AK56" i="11"/>
  <c r="AK34" i="11"/>
  <c r="AO34" i="11"/>
  <c r="AO81" i="11"/>
  <c r="AK81" i="11"/>
  <c r="AK82" i="11"/>
  <c r="AO82" i="11"/>
  <c r="AK114" i="11"/>
  <c r="AO114" i="11"/>
  <c r="AO124" i="11"/>
  <c r="AK124" i="11"/>
  <c r="AK154" i="11"/>
  <c r="AO154" i="11"/>
  <c r="AO184" i="11"/>
  <c r="AK184" i="11"/>
  <c r="AK26" i="11"/>
  <c r="AO26" i="11"/>
  <c r="AO24" i="11"/>
  <c r="AK24" i="11"/>
  <c r="AK51" i="11"/>
  <c r="AO51" i="11"/>
  <c r="AO48" i="11"/>
  <c r="AK48" i="11"/>
  <c r="AO33" i="11"/>
  <c r="AK33" i="11"/>
  <c r="AO68" i="11"/>
  <c r="AK68" i="11"/>
  <c r="AO84" i="11"/>
  <c r="AK84" i="11"/>
  <c r="AO76" i="11"/>
  <c r="AK76" i="11"/>
  <c r="AK75" i="11"/>
  <c r="AO75" i="11"/>
  <c r="AK70" i="11"/>
  <c r="AO70" i="11"/>
  <c r="AO80" i="11"/>
  <c r="AK80" i="11"/>
  <c r="AK63" i="11"/>
  <c r="AO63" i="11"/>
  <c r="AO93" i="11"/>
  <c r="AK93" i="11"/>
  <c r="AN109" i="11"/>
  <c r="AJ109" i="11"/>
  <c r="AJ106" i="11"/>
  <c r="AN106" i="11"/>
  <c r="AK115" i="11"/>
  <c r="AO115" i="11"/>
  <c r="AO142" i="11"/>
  <c r="AK142" i="11"/>
  <c r="AO129" i="11"/>
  <c r="AK129" i="11"/>
  <c r="AK133" i="11"/>
  <c r="AO133" i="11"/>
  <c r="AK126" i="11"/>
  <c r="AO126" i="11"/>
  <c r="AK132" i="11"/>
  <c r="AO132" i="11"/>
  <c r="AO125" i="11"/>
  <c r="AK125" i="11"/>
  <c r="AO148" i="11"/>
  <c r="AK148" i="11"/>
  <c r="AK162" i="11"/>
  <c r="AO162" i="11"/>
  <c r="AO157" i="11"/>
  <c r="AK157" i="11"/>
  <c r="AO183" i="11"/>
  <c r="AK183" i="11"/>
  <c r="AK182" i="11"/>
  <c r="AO182" i="11"/>
  <c r="AK178" i="11"/>
  <c r="AO178" i="11"/>
  <c r="K90" i="11"/>
  <c r="AM90" i="11"/>
  <c r="J143" i="11"/>
  <c r="AL143" i="11"/>
  <c r="AK46" i="11"/>
  <c r="AO46" i="11"/>
  <c r="AK62" i="11"/>
  <c r="AO62" i="11"/>
  <c r="AN92" i="11"/>
  <c r="AJ92" i="11"/>
  <c r="AK30" i="11"/>
  <c r="AO30" i="11"/>
  <c r="AO40" i="11"/>
  <c r="AK40" i="11"/>
  <c r="AK83" i="11"/>
  <c r="AO83" i="11"/>
  <c r="AK74" i="11"/>
  <c r="AO74" i="11"/>
  <c r="AN104" i="11"/>
  <c r="AJ104" i="11"/>
  <c r="AK139" i="11"/>
  <c r="AO139" i="11"/>
  <c r="AK147" i="11"/>
  <c r="AO147" i="11"/>
  <c r="AO168" i="11"/>
  <c r="AK168" i="11"/>
  <c r="AO175" i="11"/>
  <c r="AK175" i="11"/>
  <c r="AO41" i="11"/>
  <c r="AK41" i="11"/>
  <c r="AO52" i="11"/>
  <c r="AK52" i="11"/>
  <c r="AJ47" i="11"/>
  <c r="AN47" i="11"/>
  <c r="AN28" i="11"/>
  <c r="AJ28" i="11"/>
  <c r="AN32" i="11"/>
  <c r="AJ32" i="11"/>
  <c r="AJ35" i="11"/>
  <c r="AN35" i="11"/>
  <c r="AN25" i="11"/>
  <c r="AJ25" i="11"/>
  <c r="AJ31" i="11"/>
  <c r="AN31" i="11"/>
  <c r="AJ50" i="11"/>
  <c r="AN50" i="11"/>
  <c r="AN44" i="11"/>
  <c r="AJ44" i="11"/>
  <c r="AJ67" i="11"/>
  <c r="AN67" i="11"/>
  <c r="AN85" i="11"/>
  <c r="AJ85" i="11"/>
  <c r="AJ71" i="11"/>
  <c r="AN71" i="11"/>
  <c r="AN72" i="11"/>
  <c r="AJ72" i="11"/>
  <c r="AN64" i="11"/>
  <c r="AJ64" i="11"/>
  <c r="AJ59" i="11"/>
  <c r="AN59" i="11"/>
  <c r="AJ58" i="11"/>
  <c r="AN58" i="11"/>
  <c r="AK98" i="11"/>
  <c r="AO98" i="11"/>
  <c r="AO109" i="11"/>
  <c r="AK109" i="11"/>
  <c r="AK106" i="11"/>
  <c r="AO106" i="11"/>
  <c r="AJ116" i="11"/>
  <c r="AN116" i="11"/>
  <c r="AN138" i="11"/>
  <c r="AJ138" i="11"/>
  <c r="AJ140" i="11"/>
  <c r="AN140" i="11"/>
  <c r="AN141" i="11"/>
  <c r="AJ141" i="11"/>
  <c r="AN122" i="11"/>
  <c r="AJ122" i="11"/>
  <c r="AJ127" i="11"/>
  <c r="AN127" i="11"/>
  <c r="AJ146" i="11"/>
  <c r="AN146" i="11"/>
  <c r="AN160" i="11"/>
  <c r="AJ160" i="11"/>
  <c r="AJ158" i="11"/>
  <c r="AN158" i="11"/>
  <c r="AJ181" i="11"/>
  <c r="AN181" i="11"/>
  <c r="AJ177" i="11"/>
  <c r="AN177" i="11"/>
  <c r="AJ173" i="11"/>
  <c r="AN173" i="11"/>
  <c r="J53" i="11"/>
  <c r="AL53" i="11"/>
  <c r="K91" i="11"/>
  <c r="AM91" i="11"/>
  <c r="J149" i="11"/>
  <c r="AL149" i="11"/>
  <c r="AK38" i="11"/>
  <c r="AO38" i="11"/>
  <c r="AO65" i="11"/>
  <c r="AK65" i="11"/>
  <c r="AO29" i="11"/>
  <c r="AK29" i="11"/>
  <c r="AO73" i="11"/>
  <c r="AK73" i="11"/>
  <c r="AO57" i="11"/>
  <c r="AK57" i="11"/>
  <c r="J96" i="11"/>
  <c r="AL96" i="11"/>
  <c r="AK47" i="11"/>
  <c r="AO47" i="11"/>
  <c r="AO28" i="11"/>
  <c r="AK28" i="11"/>
  <c r="AO32" i="11"/>
  <c r="AK32" i="11"/>
  <c r="AK35" i="11"/>
  <c r="AO35" i="11"/>
  <c r="AO25" i="11"/>
  <c r="AK25" i="11"/>
  <c r="AK31" i="11"/>
  <c r="AO31" i="11"/>
  <c r="AK50" i="11"/>
  <c r="AO50" i="11"/>
  <c r="AO44" i="11"/>
  <c r="AK44" i="11"/>
  <c r="AK67" i="11"/>
  <c r="AO67" i="11"/>
  <c r="AO85" i="11"/>
  <c r="AK85" i="11"/>
  <c r="AK71" i="11"/>
  <c r="AO71" i="11"/>
  <c r="AO72" i="11"/>
  <c r="AK72" i="11"/>
  <c r="AO64" i="11"/>
  <c r="AK64" i="11"/>
  <c r="AK59" i="11"/>
  <c r="AO59" i="11"/>
  <c r="AK58" i="11"/>
  <c r="AO58" i="11"/>
  <c r="AN95" i="11"/>
  <c r="AJ103" i="11"/>
  <c r="AN103" i="11"/>
  <c r="AN105" i="11"/>
  <c r="AJ105" i="11"/>
  <c r="AO116" i="11"/>
  <c r="AK116" i="11"/>
  <c r="AO138" i="11"/>
  <c r="AK138" i="11"/>
  <c r="AK140" i="11"/>
  <c r="AO140" i="11"/>
  <c r="AO141" i="11"/>
  <c r="AK141" i="11"/>
  <c r="AK122" i="11"/>
  <c r="AO122" i="11"/>
  <c r="AK127" i="11"/>
  <c r="AO127" i="11"/>
  <c r="AK146" i="11"/>
  <c r="AO146" i="11"/>
  <c r="AO160" i="11"/>
  <c r="AK160" i="11"/>
  <c r="AK158" i="11"/>
  <c r="AO158" i="11"/>
  <c r="AK181" i="11"/>
  <c r="AO181" i="11"/>
  <c r="AK177" i="11"/>
  <c r="AO177" i="11"/>
  <c r="AO173" i="11"/>
  <c r="AK173" i="11"/>
  <c r="J86" i="11"/>
  <c r="AL86" i="11"/>
  <c r="K94" i="11"/>
  <c r="AM94" i="11"/>
  <c r="AL164" i="11"/>
  <c r="AK43" i="11"/>
  <c r="AO43" i="11"/>
  <c r="AO45" i="11"/>
  <c r="AK45" i="11"/>
  <c r="AO60" i="11"/>
  <c r="AK60" i="11"/>
  <c r="AK27" i="11"/>
  <c r="AO27" i="11"/>
  <c r="AK66" i="11"/>
  <c r="AO66" i="11"/>
  <c r="K102" i="11"/>
  <c r="AM102" i="11"/>
  <c r="AJ39" i="11"/>
  <c r="AN39" i="11"/>
  <c r="AJ43" i="11"/>
  <c r="AN43" i="11"/>
  <c r="AJ46" i="11"/>
  <c r="AN46" i="11"/>
  <c r="AN36" i="11"/>
  <c r="AJ36" i="11"/>
  <c r="AJ42" i="11"/>
  <c r="AN42" i="11"/>
  <c r="AJ38" i="11"/>
  <c r="AN38" i="11"/>
  <c r="AN45" i="11"/>
  <c r="AJ45" i="11"/>
  <c r="AJ78" i="11"/>
  <c r="AN78" i="11"/>
  <c r="AJ62" i="11"/>
  <c r="AN62" i="11"/>
  <c r="AN61" i="11"/>
  <c r="AJ61" i="11"/>
  <c r="AN77" i="11"/>
  <c r="AJ77" i="11"/>
  <c r="AN69" i="11"/>
  <c r="AJ69" i="11"/>
  <c r="AN56" i="11"/>
  <c r="AJ56" i="11"/>
  <c r="AN60" i="11"/>
  <c r="AJ60" i="11"/>
  <c r="AN65" i="11"/>
  <c r="AJ65" i="11"/>
  <c r="AK95" i="11"/>
  <c r="AO95" i="11"/>
  <c r="AK103" i="11"/>
  <c r="AO103" i="11"/>
  <c r="AN108" i="11"/>
  <c r="AJ108" i="11"/>
  <c r="AN113" i="11"/>
  <c r="AJ113" i="11"/>
  <c r="AN120" i="11"/>
  <c r="AJ120" i="11"/>
  <c r="AJ123" i="11"/>
  <c r="AN123" i="11"/>
  <c r="AJ135" i="11"/>
  <c r="AN135" i="11"/>
  <c r="AN119" i="11"/>
  <c r="AJ119" i="11"/>
  <c r="AN134" i="11"/>
  <c r="AJ134" i="11"/>
  <c r="AN137" i="11"/>
  <c r="AJ137" i="11"/>
  <c r="AN153" i="11"/>
  <c r="AJ153" i="11"/>
  <c r="AJ163" i="11"/>
  <c r="AN163" i="11"/>
  <c r="AJ159" i="11"/>
  <c r="AN159" i="11"/>
  <c r="AN180" i="11"/>
  <c r="AJ180" i="11"/>
  <c r="AJ174" i="11"/>
  <c r="AN174" i="11"/>
  <c r="AN176" i="11"/>
  <c r="AJ176" i="11"/>
  <c r="J97" i="11"/>
  <c r="AL97" i="11"/>
  <c r="K96" i="11"/>
  <c r="AM96" i="11"/>
  <c r="AO120" i="11"/>
  <c r="AK120" i="11"/>
  <c r="AK12" i="11"/>
  <c r="AO12" i="11"/>
  <c r="AK19" i="11"/>
  <c r="AO19" i="11"/>
  <c r="AO16" i="11"/>
  <c r="AK16" i="11"/>
  <c r="AO6" i="11"/>
  <c r="AK6" i="11"/>
  <c r="AN10" i="11"/>
  <c r="AJ10" i="11"/>
  <c r="AJ7" i="11"/>
  <c r="AN7" i="11"/>
  <c r="AJ8" i="11"/>
  <c r="AN8" i="11"/>
  <c r="AJ11" i="11"/>
  <c r="AN11" i="11"/>
  <c r="AK7" i="11"/>
  <c r="AO7" i="11"/>
  <c r="J21" i="11"/>
  <c r="AL21" i="11"/>
  <c r="AO9" i="11"/>
  <c r="AK9" i="11"/>
  <c r="AK20" i="11"/>
  <c r="AO20" i="11"/>
  <c r="AO18" i="11"/>
  <c r="AK18" i="11"/>
  <c r="AN14" i="11"/>
  <c r="AJ14" i="11"/>
  <c r="AO10" i="11"/>
  <c r="AK10" i="11"/>
  <c r="AK11" i="11"/>
  <c r="AO11" i="11"/>
  <c r="AN9" i="11"/>
  <c r="AJ9" i="11"/>
  <c r="AN18" i="11"/>
  <c r="AJ18" i="11"/>
  <c r="AK15" i="11"/>
  <c r="AO15" i="11"/>
  <c r="AJ17" i="11"/>
  <c r="AN17" i="11"/>
  <c r="AJ5" i="11"/>
  <c r="AK17" i="11"/>
  <c r="AO17" i="11"/>
  <c r="AK5" i="11"/>
  <c r="AO5" i="11"/>
  <c r="AO13" i="11"/>
  <c r="AK13" i="11"/>
  <c r="AO14" i="11"/>
  <c r="AK14" i="11"/>
  <c r="AK8" i="11"/>
  <c r="AO8" i="11"/>
  <c r="AJ15" i="11"/>
  <c r="AN15" i="11"/>
  <c r="AJ20" i="11"/>
  <c r="AN20" i="11"/>
  <c r="AN13" i="11"/>
  <c r="AJ13" i="11"/>
  <c r="AJ12" i="11"/>
  <c r="AN12" i="11"/>
  <c r="AJ19" i="11"/>
  <c r="AN19" i="11"/>
  <c r="AN16" i="11"/>
  <c r="AJ16" i="11"/>
  <c r="AN6" i="11"/>
  <c r="AJ6" i="11"/>
  <c r="K12" i="1"/>
  <c r="D110" i="11"/>
  <c r="AL110" i="11" s="1"/>
  <c r="AJ90" i="11" l="1"/>
  <c r="AN90" i="11"/>
  <c r="D165" i="11"/>
  <c r="B96" i="11"/>
  <c r="F96" i="11" s="1"/>
  <c r="B185" i="11"/>
  <c r="B170" i="11"/>
  <c r="B164" i="11"/>
  <c r="B149" i="11"/>
  <c r="B143" i="11"/>
  <c r="B117" i="11"/>
  <c r="C102" i="11"/>
  <c r="B102" i="11"/>
  <c r="C105" i="11"/>
  <c r="C96" i="11"/>
  <c r="C94" i="11"/>
  <c r="C91" i="11"/>
  <c r="C90" i="11"/>
  <c r="C97" i="11"/>
  <c r="B94" i="11"/>
  <c r="F94" i="11" s="1"/>
  <c r="B91" i="11"/>
  <c r="F91" i="11" s="1"/>
  <c r="B97" i="11"/>
  <c r="F97" i="11" s="1"/>
  <c r="B86" i="11"/>
  <c r="B53" i="11"/>
  <c r="B21" i="11"/>
  <c r="AN98" i="11" l="1"/>
  <c r="AJ98" i="11"/>
  <c r="AL165" i="11"/>
  <c r="D186" i="11"/>
  <c r="G91" i="11"/>
  <c r="F53" i="11"/>
  <c r="G94" i="11"/>
  <c r="F143" i="11"/>
  <c r="F117" i="11"/>
  <c r="F86" i="11"/>
  <c r="G96" i="11"/>
  <c r="F149" i="11"/>
  <c r="G105" i="11"/>
  <c r="F185" i="11"/>
  <c r="F21" i="11"/>
  <c r="G97" i="11"/>
  <c r="F102" i="11"/>
  <c r="G90" i="11"/>
  <c r="G102" i="11"/>
  <c r="B110" i="11"/>
  <c r="AN91" i="11" l="1"/>
  <c r="AJ143" i="11"/>
  <c r="AN143" i="11"/>
  <c r="AK90" i="11"/>
  <c r="AO90" i="11"/>
  <c r="AN164" i="11"/>
  <c r="AJ164" i="11"/>
  <c r="AK94" i="11"/>
  <c r="AO94" i="11"/>
  <c r="AJ96" i="11"/>
  <c r="AN96" i="11"/>
  <c r="AO105" i="11"/>
  <c r="AK105" i="11"/>
  <c r="AN53" i="11"/>
  <c r="AJ53" i="11"/>
  <c r="AK102" i="11"/>
  <c r="AO102" i="11"/>
  <c r="AJ102" i="11"/>
  <c r="AN102" i="11"/>
  <c r="AN97" i="11"/>
  <c r="AJ97" i="11"/>
  <c r="AK91" i="11"/>
  <c r="AO91" i="11"/>
  <c r="AO97" i="11"/>
  <c r="AK97" i="11"/>
  <c r="AN149" i="11"/>
  <c r="AJ149" i="11"/>
  <c r="AJ185" i="11"/>
  <c r="AN185" i="11"/>
  <c r="AO96" i="11"/>
  <c r="AK96" i="11"/>
  <c r="AJ86" i="11"/>
  <c r="AN86" i="11"/>
  <c r="AJ94" i="11"/>
  <c r="AN94" i="11"/>
  <c r="AN117" i="11"/>
  <c r="AJ117" i="11"/>
  <c r="J186" i="11"/>
  <c r="AL186" i="11"/>
  <c r="AN21" i="11"/>
  <c r="AJ21" i="11"/>
  <c r="B165" i="11"/>
  <c r="B186" i="11" l="1"/>
  <c r="AN165" i="11" l="1"/>
  <c r="AJ165" i="11"/>
  <c r="F186" i="11"/>
  <c r="R109" i="9"/>
  <c r="Q109" i="9"/>
  <c r="R103" i="9"/>
  <c r="Q103" i="9"/>
  <c r="P103" i="9"/>
  <c r="R97" i="9"/>
  <c r="Q97" i="9"/>
  <c r="P97" i="9"/>
  <c r="AJ186" i="11" l="1"/>
  <c r="AN186" i="11"/>
  <c r="P109" i="9"/>
  <c r="E138" i="9" l="1"/>
  <c r="E129" i="9" l="1"/>
  <c r="E121" i="9"/>
  <c r="E139" i="9"/>
  <c r="E133" i="9"/>
  <c r="E125" i="9"/>
  <c r="E142" i="9"/>
  <c r="E127" i="9"/>
  <c r="E128" i="9"/>
  <c r="E131" i="9"/>
  <c r="E130" i="9"/>
  <c r="E141" i="9"/>
  <c r="E123" i="9"/>
  <c r="E136" i="9"/>
  <c r="E137" i="9"/>
  <c r="E122" i="9"/>
  <c r="E124" i="9"/>
  <c r="E143" i="9"/>
  <c r="E140" i="9"/>
  <c r="E134" i="9"/>
  <c r="E135" i="9"/>
  <c r="E144" i="9"/>
  <c r="E126" i="9"/>
  <c r="E132" i="9"/>
  <c r="E109" i="9" l="1"/>
  <c r="E97" i="9"/>
  <c r="J22" i="9" l="1"/>
  <c r="R95" i="9" l="1"/>
  <c r="P95" i="9"/>
  <c r="Q95" i="9"/>
  <c r="E95" i="9" l="1"/>
  <c r="R191" i="9" l="1"/>
  <c r="Q98" i="9"/>
  <c r="Q18" i="9"/>
  <c r="R129" i="9" l="1"/>
  <c r="Q129" i="9"/>
  <c r="P129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5" i="9" l="1"/>
  <c r="J118" i="9"/>
  <c r="J111" i="9"/>
  <c r="J87" i="9"/>
  <c r="J54" i="9"/>
  <c r="K26" i="9" s="1"/>
  <c r="K109" i="9" l="1"/>
  <c r="K102" i="9"/>
  <c r="K127" i="9"/>
  <c r="K143" i="9"/>
  <c r="K82" i="9"/>
  <c r="K80" i="9"/>
  <c r="K103" i="9"/>
  <c r="E103" i="9"/>
  <c r="K95" i="9"/>
  <c r="K97" i="9"/>
  <c r="K52" i="9"/>
  <c r="K44" i="9"/>
  <c r="K66" i="9"/>
  <c r="K60" i="9"/>
  <c r="K129" i="9"/>
  <c r="K123" i="9"/>
  <c r="K43" i="9"/>
  <c r="K46" i="9"/>
  <c r="K28" i="9"/>
  <c r="K41" i="9"/>
  <c r="K38" i="9"/>
  <c r="K51" i="9"/>
  <c r="K34" i="9"/>
  <c r="K39" i="9"/>
  <c r="K49" i="9"/>
  <c r="K32" i="9"/>
  <c r="K45" i="9"/>
  <c r="K135" i="9"/>
  <c r="K124" i="9"/>
  <c r="K59" i="9"/>
  <c r="K73" i="9"/>
  <c r="R93" i="9"/>
  <c r="Q93" i="9"/>
  <c r="P93" i="9"/>
  <c r="K93" i="9"/>
  <c r="R160" i="9"/>
  <c r="Q160" i="9"/>
  <c r="P160" i="9"/>
  <c r="R127" i="9"/>
  <c r="Q127" i="9"/>
  <c r="P127" i="9"/>
  <c r="E93" i="9"/>
  <c r="E160" i="9" l="1"/>
  <c r="J191" i="9" l="1"/>
  <c r="K182" i="9" s="1"/>
  <c r="J174" i="9"/>
  <c r="J166" i="9"/>
  <c r="K189" i="9" l="1"/>
  <c r="K160" i="9"/>
  <c r="J167" i="9"/>
  <c r="J192" i="9" s="1"/>
  <c r="R181" i="9" l="1"/>
  <c r="Q181" i="9"/>
  <c r="P181" i="9"/>
  <c r="E181" i="9"/>
  <c r="R182" i="9"/>
  <c r="Q182" i="9"/>
  <c r="P182" i="9"/>
  <c r="E182" i="9"/>
  <c r="R179" i="9"/>
  <c r="Q179" i="9"/>
  <c r="P179" i="9"/>
  <c r="E179" i="9"/>
  <c r="R184" i="9"/>
  <c r="Q184" i="9"/>
  <c r="P184" i="9"/>
  <c r="E184" i="9"/>
  <c r="R185" i="9"/>
  <c r="Q185" i="9"/>
  <c r="P185" i="9"/>
  <c r="E185" i="9"/>
  <c r="R180" i="9"/>
  <c r="Q180" i="9"/>
  <c r="P180" i="9"/>
  <c r="E180" i="9"/>
  <c r="R183" i="9"/>
  <c r="Q183" i="9"/>
  <c r="P183" i="9"/>
  <c r="E183" i="9"/>
  <c r="R188" i="9"/>
  <c r="Q188" i="9"/>
  <c r="P188" i="9"/>
  <c r="E188" i="9"/>
  <c r="R190" i="9"/>
  <c r="Q190" i="9"/>
  <c r="P190" i="9"/>
  <c r="E190" i="9"/>
  <c r="R186" i="9"/>
  <c r="Q186" i="9"/>
  <c r="P186" i="9"/>
  <c r="E186" i="9"/>
  <c r="R187" i="9"/>
  <c r="Q187" i="9"/>
  <c r="P187" i="9"/>
  <c r="E187" i="9"/>
  <c r="R189" i="9"/>
  <c r="Q189" i="9"/>
  <c r="P189" i="9"/>
  <c r="E189" i="9"/>
  <c r="R174" i="9"/>
  <c r="P174" i="9"/>
  <c r="R173" i="9"/>
  <c r="Q173" i="9"/>
  <c r="P173" i="9"/>
  <c r="K173" i="9"/>
  <c r="E173" i="9"/>
  <c r="R172" i="9"/>
  <c r="Q172" i="9"/>
  <c r="P172" i="9"/>
  <c r="K172" i="9"/>
  <c r="E172" i="9"/>
  <c r="R166" i="9"/>
  <c r="K164" i="9"/>
  <c r="E156" i="9"/>
  <c r="R161" i="9"/>
  <c r="Q161" i="9"/>
  <c r="P161" i="9"/>
  <c r="R159" i="9"/>
  <c r="Q159" i="9"/>
  <c r="P159" i="9"/>
  <c r="R163" i="9"/>
  <c r="Q163" i="9"/>
  <c r="P163" i="9"/>
  <c r="R165" i="9"/>
  <c r="Q165" i="9"/>
  <c r="P165" i="9"/>
  <c r="R162" i="9"/>
  <c r="Q162" i="9"/>
  <c r="P162" i="9"/>
  <c r="E162" i="9"/>
  <c r="R164" i="9"/>
  <c r="Q164" i="9"/>
  <c r="P164" i="9"/>
  <c r="R156" i="9"/>
  <c r="Q156" i="9"/>
  <c r="P156" i="9"/>
  <c r="K156" i="9"/>
  <c r="R155" i="9"/>
  <c r="Q155" i="9"/>
  <c r="P155" i="9"/>
  <c r="R151" i="9"/>
  <c r="P151" i="9"/>
  <c r="R148" i="9"/>
  <c r="Q148" i="9"/>
  <c r="P148" i="9"/>
  <c r="E148" i="9"/>
  <c r="R150" i="9"/>
  <c r="Q150" i="9"/>
  <c r="P150" i="9"/>
  <c r="E150" i="9"/>
  <c r="R149" i="9"/>
  <c r="Q149" i="9"/>
  <c r="P149" i="9"/>
  <c r="E149" i="9"/>
  <c r="R145" i="9"/>
  <c r="R139" i="9"/>
  <c r="Q139" i="9"/>
  <c r="P139" i="9"/>
  <c r="R130" i="9"/>
  <c r="Q130" i="9"/>
  <c r="P130" i="9"/>
  <c r="R136" i="9"/>
  <c r="Q136" i="9"/>
  <c r="P136" i="9"/>
  <c r="R124" i="9"/>
  <c r="Q124" i="9"/>
  <c r="P124" i="9"/>
  <c r="R134" i="9"/>
  <c r="Q134" i="9"/>
  <c r="P134" i="9"/>
  <c r="R126" i="9"/>
  <c r="Q126" i="9"/>
  <c r="P126" i="9"/>
  <c r="R121" i="9"/>
  <c r="Q121" i="9"/>
  <c r="P121" i="9"/>
  <c r="R133" i="9"/>
  <c r="Q133" i="9"/>
  <c r="P133" i="9"/>
  <c r="R128" i="9"/>
  <c r="Q128" i="9"/>
  <c r="P128" i="9"/>
  <c r="R141" i="9"/>
  <c r="Q141" i="9"/>
  <c r="P141" i="9"/>
  <c r="R137" i="9"/>
  <c r="Q137" i="9"/>
  <c r="P137" i="9"/>
  <c r="R143" i="9"/>
  <c r="Q143" i="9"/>
  <c r="P143" i="9"/>
  <c r="R135" i="9"/>
  <c r="Q135" i="9"/>
  <c r="P135" i="9"/>
  <c r="R132" i="9"/>
  <c r="Q132" i="9"/>
  <c r="P132" i="9"/>
  <c r="R125" i="9"/>
  <c r="Q125" i="9"/>
  <c r="P125" i="9"/>
  <c r="R142" i="9"/>
  <c r="Q142" i="9"/>
  <c r="P142" i="9"/>
  <c r="R131" i="9"/>
  <c r="Q131" i="9"/>
  <c r="P131" i="9"/>
  <c r="R123" i="9"/>
  <c r="Q123" i="9"/>
  <c r="P123" i="9"/>
  <c r="R122" i="9"/>
  <c r="Q122" i="9"/>
  <c r="P122" i="9"/>
  <c r="R140" i="9"/>
  <c r="Q140" i="9"/>
  <c r="P140" i="9"/>
  <c r="R144" i="9"/>
  <c r="Q144" i="9"/>
  <c r="P144" i="9"/>
  <c r="R138" i="9"/>
  <c r="Q138" i="9"/>
  <c r="P138" i="9"/>
  <c r="R118" i="9"/>
  <c r="P118" i="9"/>
  <c r="E114" i="9"/>
  <c r="R114" i="9"/>
  <c r="Q114" i="9"/>
  <c r="P114" i="9"/>
  <c r="R117" i="9"/>
  <c r="Q117" i="9"/>
  <c r="P117" i="9"/>
  <c r="E117" i="9"/>
  <c r="R116" i="9"/>
  <c r="Q116" i="9"/>
  <c r="P116" i="9"/>
  <c r="R115" i="9"/>
  <c r="Q115" i="9"/>
  <c r="P115" i="9"/>
  <c r="E115" i="9"/>
  <c r="R111" i="9"/>
  <c r="R106" i="9"/>
  <c r="Q106" i="9"/>
  <c r="P106" i="9"/>
  <c r="R107" i="9"/>
  <c r="Q107" i="9"/>
  <c r="P107" i="9"/>
  <c r="R105" i="9"/>
  <c r="Q105" i="9"/>
  <c r="P105" i="9"/>
  <c r="R102" i="9"/>
  <c r="Q102" i="9"/>
  <c r="P102" i="9"/>
  <c r="R104" i="9"/>
  <c r="Q104" i="9"/>
  <c r="P104" i="9"/>
  <c r="R110" i="9"/>
  <c r="Q110" i="9"/>
  <c r="P110" i="9"/>
  <c r="R108" i="9"/>
  <c r="Q108" i="9"/>
  <c r="P108" i="9"/>
  <c r="R92" i="9"/>
  <c r="Q92" i="9"/>
  <c r="R91" i="9"/>
  <c r="P91" i="9"/>
  <c r="Q91" i="9"/>
  <c r="R98" i="9"/>
  <c r="P98" i="9"/>
  <c r="R96" i="9"/>
  <c r="Q96" i="9"/>
  <c r="P96" i="9"/>
  <c r="R99" i="9"/>
  <c r="Q99" i="9"/>
  <c r="P99" i="9"/>
  <c r="R94" i="9"/>
  <c r="Q94" i="9"/>
  <c r="P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P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79" i="9" l="1"/>
  <c r="K186" i="9"/>
  <c r="K188" i="9"/>
  <c r="K180" i="9"/>
  <c r="K187" i="9"/>
  <c r="K184" i="9"/>
  <c r="P191" i="9"/>
  <c r="K185" i="9"/>
  <c r="K181" i="9"/>
  <c r="K183" i="9"/>
  <c r="K165" i="9"/>
  <c r="K155" i="9"/>
  <c r="K162" i="9"/>
  <c r="K163" i="9"/>
  <c r="K159" i="9"/>
  <c r="K161" i="9"/>
  <c r="K122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2" i="9"/>
  <c r="K136" i="9"/>
  <c r="K137" i="9"/>
  <c r="K133" i="9"/>
  <c r="K116" i="9"/>
  <c r="K117" i="9"/>
  <c r="K115" i="9"/>
  <c r="K7" i="9"/>
  <c r="K6" i="9"/>
  <c r="K8" i="9"/>
  <c r="K9" i="9"/>
  <c r="E155" i="9"/>
  <c r="E159" i="9"/>
  <c r="P166" i="9"/>
  <c r="E7" i="9"/>
  <c r="K68" i="9"/>
  <c r="K72" i="9"/>
  <c r="K71" i="9"/>
  <c r="K131" i="9"/>
  <c r="K128" i="9"/>
  <c r="K139" i="9"/>
  <c r="P145" i="9"/>
  <c r="E163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6" i="9"/>
  <c r="K140" i="9"/>
  <c r="E164" i="9"/>
  <c r="P92" i="9"/>
  <c r="K132" i="9"/>
  <c r="K126" i="9"/>
  <c r="K57" i="9"/>
  <c r="K74" i="9"/>
  <c r="K125" i="9"/>
  <c r="K121" i="9"/>
  <c r="E161" i="9"/>
  <c r="K138" i="9"/>
  <c r="E13" i="9"/>
  <c r="E17" i="9"/>
  <c r="E19" i="9"/>
  <c r="K69" i="9"/>
  <c r="K77" i="9"/>
  <c r="K81" i="9"/>
  <c r="K141" i="9"/>
  <c r="K130" i="9"/>
  <c r="E165" i="9"/>
  <c r="E92" i="9"/>
  <c r="E6" i="9"/>
  <c r="E15" i="9"/>
  <c r="K86" i="9"/>
  <c r="E61" i="9"/>
  <c r="K83" i="9"/>
  <c r="K114" i="9"/>
  <c r="K144" i="9"/>
  <c r="E108" i="9" l="1"/>
  <c r="E102" i="9"/>
  <c r="E106" i="9"/>
  <c r="E110" i="9"/>
  <c r="E96" i="9"/>
  <c r="E105" i="9"/>
  <c r="E98" i="9"/>
  <c r="E107" i="9"/>
  <c r="E94" i="9"/>
  <c r="E91" i="9"/>
  <c r="E104" i="9"/>
  <c r="E99" i="9"/>
  <c r="E145" i="9" l="1"/>
  <c r="E118" i="9"/>
  <c r="E151" i="9"/>
  <c r="E166" i="9"/>
  <c r="E54" i="9"/>
  <c r="E22" i="9"/>
  <c r="E87" i="9"/>
  <c r="E111" i="9"/>
  <c r="AT140" i="11" l="1"/>
  <c r="AT135" i="11"/>
  <c r="AQ135" i="11"/>
  <c r="AS135" i="11" s="1"/>
  <c r="AT134" i="11"/>
  <c r="AS134" i="11"/>
  <c r="AT133" i="11"/>
  <c r="AS133" i="11"/>
  <c r="AT132" i="11"/>
  <c r="AS132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40" i="11" s="1"/>
  <c r="AS140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T174" i="9"/>
  <c r="T192" i="9"/>
  <c r="K105" i="9"/>
  <c r="P167" i="9" l="1"/>
  <c r="K98" i="9"/>
  <c r="K92" i="9"/>
  <c r="K106" i="9"/>
  <c r="K108" i="9"/>
  <c r="K104" i="9"/>
  <c r="K107" i="9"/>
  <c r="K96" i="9"/>
  <c r="P111" i="9"/>
  <c r="K99" i="9"/>
  <c r="K94" i="9"/>
  <c r="K91" i="9"/>
  <c r="K110" i="9"/>
  <c r="K54" i="9" l="1"/>
  <c r="K87" i="9"/>
  <c r="T167" i="9"/>
  <c r="K151" i="9"/>
  <c r="K22" i="9"/>
  <c r="K111" i="9"/>
  <c r="K166" i="9"/>
  <c r="K145" i="9"/>
  <c r="K118" i="9"/>
</calcChain>
</file>

<file path=xl/sharedStrings.xml><?xml version="1.0" encoding="utf-8"?>
<sst xmlns="http://schemas.openxmlformats.org/spreadsheetml/2006/main" count="719" uniqueCount="292">
  <si>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</si>
  <si>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</si>
  <si>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</si>
  <si>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</si>
  <si>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</si>
  <si>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</si>
  <si>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</si>
  <si>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</si>
  <si>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</si>
  <si>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</si>
  <si>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</si>
  <si>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</si>
  <si>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</si>
  <si>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</si>
  <si>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</si>
  <si>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</si>
  <si>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</si>
  <si>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</si>
  <si>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</si>
  <si>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</si>
  <si>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</si>
  <si>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</si>
  <si>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</si>
  <si>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</si>
  <si>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</si>
  <si>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</si>
  <si>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</si>
  <si>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</si>
  <si>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</si>
  <si>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</si>
  <si>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</si>
  <si>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</si>
  <si>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</si>
  <si>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</si>
  <si>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</si>
  <si>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</si>
  <si>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</si>
  <si>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</si>
  <si>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</si>
  <si>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</si>
  <si>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</si>
  <si>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</si>
  <si>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</si>
  <si>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</si>
  <si>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</si>
  <si>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</si>
  <si>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</si>
  <si>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</si>
  <si>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</si>
  <si>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</si>
  <si>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</si>
  <si>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</si>
  <si>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</si>
  <si>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</si>
  <si>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</si>
  <si>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</si>
  <si>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</si>
  <si>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</si>
  <si>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</si>
  <si>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</si>
  <si>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</si>
  <si>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</si>
  <si>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</si>
  <si>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</si>
  <si>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</si>
  <si>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</si>
  <si>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</si>
  <si>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</si>
  <si>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</si>
  <si>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</si>
  <si>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</si>
  <si>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</si>
  <si>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</si>
  <si>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</si>
  <si>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</si>
  <si>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</si>
  <si>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</si>
  <si>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</si>
  <si>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</si>
  <si>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</si>
  <si>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</si>
  <si>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</si>
  <si>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</si>
  <si>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</si>
  <si>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</si>
  <si>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</si>
  <si>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</si>
  <si>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</si>
  <si>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</si>
  <si>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</si>
  <si>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</si>
  <si>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</si>
  <si>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</si>
  <si>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</si>
  <si>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</si>
  <si>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</si>
  <si>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</si>
  <si>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</si>
  <si>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</si>
  <si>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</si>
  <si>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</si>
  <si>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</si>
  <si>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</si>
  <si>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</si>
  <si>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</si>
  <si>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</si>
  <si>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</si>
  <si>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</si>
  <si>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</si>
  <si>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</si>
  <si>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</si>
  <si>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</si>
  <si>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</si>
  <si>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</si>
  <si>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</si>
  <si>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</si>
  <si>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</si>
  <si>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</si>
  <si>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</si>
  <si>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</si>
  <si>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</si>
  <si>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</si>
  <si>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</si>
  <si>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</si>
  <si>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</si>
  <si>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</si>
  <si>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</si>
  <si>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</si>
  <si>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</si>
  <si>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</si>
  <si>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</si>
  <si>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</si>
  <si>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</si>
  <si>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</si>
  <si>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</si>
  <si>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</si>
  <si>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</si>
  <si>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</si>
  <si>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</si>
  <si>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</si>
  <si>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</si>
  <si>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</si>
  <si>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</si>
  <si>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</si>
  <si>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</si>
  <si>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</si>
  <si>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</si>
  <si>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</si>
  <si>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</si>
  <si>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</si>
  <si>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</si>
  <si>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</si>
  <si>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</si>
  <si>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</si>
  <si>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</si>
  <si>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</si>
  <si>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</si>
  <si>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</si>
  <si>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</si>
  <si>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</si>
  <si>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</si>
  <si>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</si>
  <si>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</si>
  <si>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</si>
  <si>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</si>
  <si>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</si>
  <si>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</si>
  <si>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</si>
  <si>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</si>
  <si>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</si>
  <si>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</si>
  <si>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</si>
  <si>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</si>
  <si>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</si>
  <si>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</si>
  <si>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</si>
  <si>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</si>
  <si>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</si>
  <si>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</si>
  <si>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</si>
  <si>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</si>
  <si>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</si>
  <si>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</si>
  <si>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</si>
  <si>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</si>
  <si>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</si>
  <si>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</si>
  <si>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</si>
  <si>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</si>
  <si>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</si>
  <si>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</si>
  <si>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</si>
  <si>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</si>
  <si>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</si>
  <si>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</si>
  <si>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</si>
  <si>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</si>
  <si>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</si>
  <si>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</si>
  <si>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</si>
  <si>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</si>
  <si>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</si>
  <si>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</si>
  <si>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</si>
  <si>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</si>
  <si>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</si>
  <si>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</si>
  <si>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</si>
  <si>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</si>
  <si>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</si>
  <si>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</si>
  <si>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</si>
  <si>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</si>
  <si>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</si>
  <si>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</si>
  <si>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</si>
  <si>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</si>
  <si>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</si>
  <si>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</si>
  <si>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</si>
  <si>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</si>
  <si>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</si>
  <si>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</si>
  <si>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</si>
  <si>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</si>
  <si>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</si>
  <si>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</si>
  <si>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</si>
  <si>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</si>
  <si>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</si>
  <si>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</si>
  <si>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</si>
  <si>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</si>
  <si>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</si>
  <si>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</si>
  <si>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</si>
  <si>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</si>
  <si>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</si>
  <si>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</si>
  <si>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</si>
  <si>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</si>
  <si>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</si>
  <si>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</si>
  <si>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</si>
  <si>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</si>
  <si>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</si>
  <si>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</si>
  <si>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</si>
  <si>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</si>
  <si>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</si>
  <si>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</si>
  <si>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</si>
  <si>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</si>
  <si>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</si>
  <si>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</si>
  <si>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</si>
  <si>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</si>
  <si>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</si>
  <si>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</si>
  <si>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</si>
  <si>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</si>
  <si>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</si>
  <si>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</si>
  <si>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NAV and Unit Price as at Week Ended February 17, 2023</t>
  </si>
  <si>
    <t>NAV and Unit Price as at Week Ended February 24, 2023</t>
  </si>
  <si>
    <t>NAV and Unit Price as at Week Ended March 3, 2023</t>
  </si>
  <si>
    <t>NAV and Unit Price as at Week Ended March 10, 2023</t>
  </si>
  <si>
    <t>NAV and Unit Price as at Week Ended March 17, 2023</t>
  </si>
  <si>
    <t>Yield (WTD)</t>
  </si>
  <si>
    <t>Yield  (YTD)</t>
  </si>
  <si>
    <t>Greenwich Balanced Fund</t>
  </si>
  <si>
    <t>NAV and Unit Price as at Week Ended March 24, 2023</t>
  </si>
  <si>
    <t>Yield (%) WYD</t>
  </si>
  <si>
    <t>Yield (%) YTD</t>
  </si>
  <si>
    <t>Coronation Asset Management Ltd</t>
  </si>
  <si>
    <t>NAV and Unit Price as at Week Ended March 31, 2023</t>
  </si>
  <si>
    <t>NAV, Unit Price and Yield as at Week Ended April 6, 2023</t>
  </si>
  <si>
    <t>NAV and Unit Price as at Week Ended April 6, 2023</t>
  </si>
  <si>
    <t>% Change in Total NAV of ETFs</t>
  </si>
  <si>
    <t>% Change in Total NAV of CIS</t>
  </si>
  <si>
    <t>NAV, Unit Price and Yield as at Week Ended April 14, 2023</t>
  </si>
  <si>
    <t>NET ASSET VALUES AND UNIT PRICES OF COLLECTIVE INVESTMENT SCHEMES AS AT WEEK ENDED APRIL 14, 2023</t>
  </si>
  <si>
    <t xml:space="preserve">                 52,936.77 </t>
  </si>
  <si>
    <t xml:space="preserve">                52,936.77 </t>
  </si>
  <si>
    <t>460.93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</si>
  <si>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</si>
  <si>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</si>
  <si>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</si>
  <si>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</si>
  <si>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</si>
  <si>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</si>
  <si>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The chart above shows that Money Market Fund category has 51.71% share of the Net Asset Value (NAV), followed by Dollar Fund (Eurobonds and Fixed Income) with 20.71%, Bond/Fixed Income Fund at 20.46%, Real Estate Investment Trust at 2.93%.  Next is Balanced Fund at 1.95%, Shari'ah Compliant Fund at 1.58%, Equity Fund at 1.04% and Ethical Fund at 0.15%.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</si>
</sst>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43" fontId="5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94" fillId="0" borderId="0" applyFont="0" applyFill="0" applyBorder="0" applyAlignment="0" applyProtection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4" fillId="0" borderId="0"/>
    <xf numFmtId="0" fontId="54" fillId="0" borderId="0">
      <alignment wrapText="1"/>
    </xf>
    <xf numFmtId="0" fontId="54" fillId="0" borderId="0">
      <alignment wrapText="1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58" fillId="0" borderId="0"/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4" fillId="0" borderId="0" applyNumberFormat="0" applyFont="0" applyBorder="0" applyProtection="0"/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93" fillId="0" borderId="0" applyNumberFormat="0" applyBorder="0" applyProtection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79" fillId="0" borderId="0">
      <alignment vertical="top"/>
    </xf>
    <xf numFmtId="0" fontId="5" fillId="19" borderId="19" applyNumberFormat="0" applyFont="0" applyAlignment="0" applyProtection="0"/>
    <xf numFmtId="9" fontId="58" fillId="0" borderId="0" applyFont="0" applyFill="0" applyBorder="0" applyAlignment="0" applyProtection="0"/>
    <xf numFmtId="9" fontId="94" fillId="0" borderId="0" applyFont="0" applyFill="0" applyBorder="0" applyAlignment="0" applyProtection="0"/>
    <xf numFmtId="169" fontId="54" fillId="0" borderId="0" applyFont="0" applyFill="0" applyBorder="0" applyAlignment="0" applyProtection="0">
      <alignment wrapText="1"/>
    </xf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4" fillId="0" borderId="0" applyFont="0" applyFill="0" applyBorder="0" applyAlignment="0" applyProtection="0"/>
    <xf numFmtId="43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>
      <alignment wrapText="1"/>
    </xf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9" fillId="0" borderId="0"/>
    <xf numFmtId="0" fontId="54" fillId="0" borderId="0">
      <alignment wrapText="1"/>
    </xf>
    <xf numFmtId="0" fontId="5" fillId="0" borderId="0"/>
    <xf numFmtId="0" fontId="5" fillId="0" borderId="0"/>
    <xf numFmtId="0" fontId="54" fillId="0" borderId="0"/>
    <xf numFmtId="0" fontId="95" fillId="0" borderId="0"/>
    <xf numFmtId="0" fontId="56" fillId="0" borderId="0"/>
    <xf numFmtId="0" fontId="59" fillId="0" borderId="0"/>
    <xf numFmtId="0" fontId="59" fillId="0" borderId="0"/>
    <xf numFmtId="0" fontId="54" fillId="0" borderId="0"/>
    <xf numFmtId="0" fontId="54" fillId="0" borderId="0">
      <alignment wrapText="1"/>
    </xf>
    <xf numFmtId="0" fontId="5" fillId="0" borderId="0"/>
    <xf numFmtId="0" fontId="54" fillId="0" borderId="0"/>
    <xf numFmtId="0" fontId="5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95" fillId="0" borderId="0"/>
    <xf numFmtId="0" fontId="59" fillId="0" borderId="0"/>
    <xf numFmtId="0" fontId="54" fillId="0" borderId="0">
      <alignment wrapText="1"/>
    </xf>
    <xf numFmtId="0" fontId="5" fillId="0" borderId="0"/>
    <xf numFmtId="0" fontId="54" fillId="0" borderId="0">
      <alignment wrapText="1"/>
    </xf>
    <xf numFmtId="0" fontId="54" fillId="0" borderId="0">
      <alignment wrapText="1"/>
    </xf>
    <xf numFmtId="0" fontId="5" fillId="0" borderId="0"/>
    <xf numFmtId="0" fontId="5" fillId="0" borderId="0"/>
    <xf numFmtId="0" fontId="5" fillId="0" borderId="0"/>
    <xf numFmtId="0" fontId="54" fillId="0" borderId="0"/>
    <xf numFmtId="0" fontId="39" fillId="0" borderId="0"/>
    <xf numFmtId="0" fontId="54" fillId="0" borderId="0">
      <alignment wrapText="1"/>
    </xf>
    <xf numFmtId="0" fontId="95" fillId="0" borderId="0"/>
    <xf numFmtId="0" fontId="95" fillId="0" borderId="0"/>
    <xf numFmtId="0" fontId="95" fillId="0" borderId="0"/>
    <xf numFmtId="0" fontId="54" fillId="0" borderId="0"/>
    <xf numFmtId="0" fontId="39" fillId="0" borderId="0"/>
    <xf numFmtId="0" fontId="54" fillId="0" borderId="0"/>
    <xf numFmtId="0" fontId="54" fillId="0" borderId="0"/>
    <xf numFmtId="0" fontId="54" fillId="0" borderId="0"/>
    <xf numFmtId="0" fontId="96" fillId="0" borderId="0"/>
    <xf numFmtId="0" fontId="96" fillId="0" borderId="0"/>
    <xf numFmtId="0" fontId="96" fillId="0" borderId="0"/>
    <xf numFmtId="0" fontId="54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>
      <alignment wrapText="1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4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84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5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1" xfId="0" applyNumberFormat="1" applyFont="1" applyBorder="1"/>
    <xf numFmtId="43" fontId="1" fillId="6" borderId="0" xfId="13398" applyFont="1" applyFill="1" applyBorder="1" applyAlignment="1">
      <alignment horizontal="right"/>
    </xf>
    <xf numFmtId="4" fontId="90" fillId="0" borderId="1" xfId="0" applyNumberFormat="1" applyFont="1" applyBorder="1"/>
    <xf numFmtId="0" fontId="72" fillId="44" borderId="6" xfId="0" applyFont="1" applyFill="1" applyBorder="1" applyAlignment="1">
      <alignment horizontal="center" wrapText="1"/>
    </xf>
    <xf numFmtId="0" fontId="72" fillId="44" borderId="2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78" fillId="45" borderId="6" xfId="0" applyFont="1" applyFill="1" applyBorder="1" applyAlignment="1">
      <alignment horizontal="center"/>
    </xf>
    <xf numFmtId="0" fontId="78" fillId="45" borderId="2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77" fillId="49" borderId="21" xfId="0" applyFont="1" applyFill="1" applyBorder="1" applyAlignment="1">
      <alignment horizontal="center"/>
    </xf>
    <xf numFmtId="0" fontId="77" fillId="49" borderId="25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2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72" fillId="44" borderId="6" xfId="0" applyFont="1" applyFill="1" applyBorder="1" applyAlignment="1">
      <alignment horizontal="center"/>
    </xf>
    <xf numFmtId="0" fontId="72" fillId="44" borderId="2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14TH APRIL,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16887170786.960003</c:v>
                </c:pt>
                <c:pt idx="1">
                  <c:v>809389465815.42651</c:v>
                </c:pt>
                <c:pt idx="2">
                  <c:v>324645636399.64471</c:v>
                </c:pt>
                <c:pt idx="3">
                  <c:v>328369020682.2923</c:v>
                </c:pt>
                <c:pt idx="4">
                  <c:v>46547556602.110001</c:v>
                </c:pt>
                <c:pt idx="5">
                  <c:v>31214054403.725143</c:v>
                </c:pt>
                <c:pt idx="6">
                  <c:v>3044973052.6900001</c:v>
                </c:pt>
                <c:pt idx="7">
                  <c:v>25308511589.740002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14,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1547246773235.0869</c:v>
                </c:pt>
                <c:pt idx="1">
                  <c:v>1573777700117.2585</c:v>
                </c:pt>
                <c:pt idx="2">
                  <c:v>1590591629138.8462</c:v>
                </c:pt>
                <c:pt idx="3">
                  <c:v>1587941753781.491</c:v>
                </c:pt>
                <c:pt idx="4">
                  <c:v>1574933447715.4641</c:v>
                </c:pt>
                <c:pt idx="5">
                  <c:v>1570379557163.522</c:v>
                </c:pt>
                <c:pt idx="6">
                  <c:v>1585406389332.5886</c:v>
                </c:pt>
                <c:pt idx="7">
                  <c:v>1589874095297.8513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APRIL 14,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23850690692.210003</c:v>
                </c:pt>
                <c:pt idx="1">
                  <c:v>23767011958.820007</c:v>
                </c:pt>
                <c:pt idx="2">
                  <c:v>23646207806.779999</c:v>
                </c:pt>
                <c:pt idx="3">
                  <c:v>25118658682.680004</c:v>
                </c:pt>
                <c:pt idx="4">
                  <c:v>25167427500.150002</c:v>
                </c:pt>
                <c:pt idx="5">
                  <c:v>25123628784.880001</c:v>
                </c:pt>
                <c:pt idx="6">
                  <c:v>25237093944.099998</c:v>
                </c:pt>
                <c:pt idx="7">
                  <c:v>25308511589.740002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3061691984.0600004</c:v>
                </c:pt>
                <c:pt idx="1">
                  <c:v>3158407721.2199998</c:v>
                </c:pt>
                <c:pt idx="2">
                  <c:v>3177550412.0600004</c:v>
                </c:pt>
                <c:pt idx="3">
                  <c:v>3184420481.5599999</c:v>
                </c:pt>
                <c:pt idx="4">
                  <c:v>3138053697.2600002</c:v>
                </c:pt>
                <c:pt idx="5">
                  <c:v>3062737011.3699999</c:v>
                </c:pt>
                <c:pt idx="6">
                  <c:v>3065619906.6200004</c:v>
                </c:pt>
                <c:pt idx="7">
                  <c:v>3044973052.6900001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31120048445.681793</c:v>
                </c:pt>
                <c:pt idx="1">
                  <c:v>31292470255.431282</c:v>
                </c:pt>
                <c:pt idx="2">
                  <c:v>31275370993.764259</c:v>
                </c:pt>
                <c:pt idx="3">
                  <c:v>31644276857.633732</c:v>
                </c:pt>
                <c:pt idx="4">
                  <c:v>31193956823.055714</c:v>
                </c:pt>
                <c:pt idx="5">
                  <c:v>31270923143.617718</c:v>
                </c:pt>
                <c:pt idx="6">
                  <c:v>31357580652.94627</c:v>
                </c:pt>
                <c:pt idx="7">
                  <c:v>31214054403.725143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17010664326.750002</c:v>
                </c:pt>
                <c:pt idx="1">
                  <c:v>17138775616.899998</c:v>
                </c:pt>
                <c:pt idx="2">
                  <c:v>17291112299.790001</c:v>
                </c:pt>
                <c:pt idx="3">
                  <c:v>17294675587.010002</c:v>
                </c:pt>
                <c:pt idx="4">
                  <c:v>17018697028.65</c:v>
                </c:pt>
                <c:pt idx="5">
                  <c:v>17022340090.360001</c:v>
                </c:pt>
                <c:pt idx="6">
                  <c:v>16999391000.99</c:v>
                </c:pt>
                <c:pt idx="7">
                  <c:v>16887170786.960003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46362288631.089996</c:v>
                </c:pt>
                <c:pt idx="1">
                  <c:v>46378152063.179993</c:v>
                </c:pt>
                <c:pt idx="2">
                  <c:v>46384295590.5</c:v>
                </c:pt>
                <c:pt idx="3">
                  <c:v>46432760216.860001</c:v>
                </c:pt>
                <c:pt idx="4">
                  <c:v>46442483642.769997</c:v>
                </c:pt>
                <c:pt idx="5">
                  <c:v>46448137747.110001</c:v>
                </c:pt>
                <c:pt idx="6">
                  <c:v>46504435280.830002</c:v>
                </c:pt>
                <c:pt idx="7">
                  <c:v>46547556602.110001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748848468799.76001</c:v>
                </c:pt>
                <c:pt idx="1">
                  <c:v>773728453122.66284</c:v>
                </c:pt>
                <c:pt idx="2">
                  <c:v>796016399970.13013</c:v>
                </c:pt>
                <c:pt idx="3">
                  <c:v>809621970053.67017</c:v>
                </c:pt>
                <c:pt idx="4">
                  <c:v>808804557491.32593</c:v>
                </c:pt>
                <c:pt idx="5">
                  <c:v>808555564328.63843</c:v>
                </c:pt>
                <c:pt idx="6">
                  <c:v>806141589764.57471</c:v>
                </c:pt>
                <c:pt idx="7">
                  <c:v>809389465815.42651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337557374886.08539</c:v>
                </c:pt>
                <c:pt idx="1">
                  <c:v>335945984770.62183</c:v>
                </c:pt>
                <c:pt idx="2">
                  <c:v>337420772556.3739</c:v>
                </c:pt>
                <c:pt idx="3">
                  <c:v>337681545776.1922</c:v>
                </c:pt>
                <c:pt idx="4">
                  <c:v>338781243498.64948</c:v>
                </c:pt>
                <c:pt idx="5">
                  <c:v>329560582532.39893</c:v>
                </c:pt>
                <c:pt idx="6">
                  <c:v>325274738811.00598</c:v>
                </c:pt>
                <c:pt idx="7">
                  <c:v>324645636399.64471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44981</c:v>
                </c:pt>
                <c:pt idx="1">
                  <c:v>44988</c:v>
                </c:pt>
                <c:pt idx="2">
                  <c:v>44995</c:v>
                </c:pt>
                <c:pt idx="3">
                  <c:v>45002</c:v>
                </c:pt>
                <c:pt idx="4">
                  <c:v>45009</c:v>
                </c:pt>
                <c:pt idx="5">
                  <c:v>45016</c:v>
                </c:pt>
                <c:pt idx="6">
                  <c:v>45022</c:v>
                </c:pt>
                <c:pt idx="7">
                  <c:v>45030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315347453563.14014</c:v>
                </c:pt>
                <c:pt idx="1">
                  <c:v>315837517726.25104</c:v>
                </c:pt>
                <c:pt idx="2">
                  <c:v>318565990487.86023</c:v>
                </c:pt>
                <c:pt idx="3">
                  <c:v>319613321483.23999</c:v>
                </c:pt>
                <c:pt idx="4">
                  <c:v>317395334099.62982</c:v>
                </c:pt>
                <c:pt idx="5">
                  <c:v>313889534077.08875</c:v>
                </c:pt>
                <c:pt idx="6">
                  <c:v>315799107802.45465</c:v>
                </c:pt>
                <c:pt idx="7">
                  <c:v>328369020682.2923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95</xdr:row>
      <xdr:rowOff>0</xdr:rowOff>
    </xdr:from>
    <xdr:to>
      <xdr:col>20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39"/>
  <sheetViews>
    <sheetView tabSelected="1" view="pageBreakPreview" zoomScale="160" zoomScaleNormal="160" zoomScaleSheetLayoutView="16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8" customWidth="1"/>
    <col min="9" max="9" width="7.28515625" style="228" customWidth="1"/>
    <col min="10" max="10" width="19" style="224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10" customWidth="1"/>
    <col min="19" max="19" width="7.5703125" style="110" customWidth="1"/>
    <col min="20" max="20" width="29" style="111" customWidth="1"/>
    <col min="21" max="21" width="18.42578125" style="110" customWidth="1"/>
    <col min="22" max="22" width="18.140625" style="110" customWidth="1"/>
    <col min="23" max="23" width="9.42578125" style="110" customWidth="1"/>
    <col min="24" max="24" width="18.42578125" style="110" customWidth="1"/>
    <col min="25" max="25" width="8.85546875" style="110" customWidth="1"/>
    <col min="26" max="26" width="25.140625" style="110" customWidth="1"/>
    <col min="27" max="32" width="8.85546875" style="110"/>
    <col min="33" max="33" width="9" style="110" bestFit="1" customWidth="1"/>
    <col min="34" max="42" width="8.85546875" style="110"/>
    <col min="43" max="43" width="9.28515625" style="110" bestFit="1" customWidth="1"/>
    <col min="44" max="51" width="8.85546875" style="110"/>
    <col min="52" max="52" width="8.85546875" style="110" customWidth="1"/>
    <col min="53" max="103" width="8.85546875" style="110"/>
    <col min="104" max="16384" width="8.85546875" style="3"/>
  </cols>
  <sheetData>
    <row r="1" spans="1:26" s="116" customFormat="1" ht="22.5" customHeight="1">
      <c r="A1" s="427" t="s">
        <v>281</v>
      </c>
      <c r="B1" s="428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30"/>
      <c r="T1" s="295"/>
      <c r="U1" s="117"/>
    </row>
    <row r="2" spans="1:26" s="116" customFormat="1" ht="25.5" customHeight="1">
      <c r="A2" s="248"/>
      <c r="B2" s="249"/>
      <c r="C2" s="249"/>
      <c r="D2" s="433" t="s">
        <v>276</v>
      </c>
      <c r="E2" s="433"/>
      <c r="F2" s="433"/>
      <c r="G2" s="433"/>
      <c r="H2" s="433"/>
      <c r="I2" s="374"/>
      <c r="J2" s="433" t="s">
        <v>280</v>
      </c>
      <c r="K2" s="433"/>
      <c r="L2" s="433"/>
      <c r="M2" s="433"/>
      <c r="N2" s="433"/>
      <c r="O2" s="374"/>
      <c r="P2" s="433" t="s">
        <v>63</v>
      </c>
      <c r="Q2" s="433"/>
      <c r="R2" s="433" t="s">
        <v>225</v>
      </c>
      <c r="S2" s="434"/>
      <c r="T2" s="295"/>
      <c r="U2" s="117"/>
    </row>
    <row r="3" spans="1:26" s="116" customFormat="1" ht="24.75" customHeight="1">
      <c r="A3" s="300" t="s">
        <v>1</v>
      </c>
      <c r="B3" s="301" t="s">
        <v>2</v>
      </c>
      <c r="C3" s="301" t="s">
        <v>201</v>
      </c>
      <c r="D3" s="302" t="s">
        <v>210</v>
      </c>
      <c r="E3" s="303" t="s">
        <v>62</v>
      </c>
      <c r="F3" s="303" t="s">
        <v>222</v>
      </c>
      <c r="G3" s="303" t="s">
        <v>223</v>
      </c>
      <c r="H3" s="303" t="s">
        <v>268</v>
      </c>
      <c r="I3" s="303" t="s">
        <v>269</v>
      </c>
      <c r="J3" s="304" t="s">
        <v>210</v>
      </c>
      <c r="K3" s="303" t="s">
        <v>62</v>
      </c>
      <c r="L3" s="303" t="s">
        <v>222</v>
      </c>
      <c r="M3" s="303" t="s">
        <v>223</v>
      </c>
      <c r="N3" s="303" t="s">
        <v>268</v>
      </c>
      <c r="O3" s="303" t="s">
        <v>269</v>
      </c>
      <c r="P3" s="305" t="s">
        <v>211</v>
      </c>
      <c r="Q3" s="306" t="s">
        <v>122</v>
      </c>
      <c r="R3" s="303" t="s">
        <v>272</v>
      </c>
      <c r="S3" s="307" t="s">
        <v>273</v>
      </c>
      <c r="T3" s="295"/>
      <c r="U3" s="117"/>
    </row>
    <row r="4" spans="1:26" s="116" customFormat="1" ht="5.25" customHeight="1">
      <c r="A4" s="438"/>
      <c r="B4" s="439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1"/>
      <c r="T4" s="295"/>
      <c r="U4" s="117"/>
    </row>
    <row r="5" spans="1:26" s="116" customFormat="1" ht="12.95" customHeight="1">
      <c r="A5" s="442" t="s">
        <v>0</v>
      </c>
      <c r="B5" s="443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5"/>
      <c r="T5" s="295"/>
      <c r="U5" s="117"/>
    </row>
    <row r="6" spans="1:26" s="116" customFormat="1" ht="12.95" customHeight="1">
      <c r="A6" s="387">
        <v>1</v>
      </c>
      <c r="B6" s="380" t="s">
        <v>13</v>
      </c>
      <c r="C6" s="381" t="s">
        <v>58</v>
      </c>
      <c r="D6" s="332">
        <v>419865459.12</v>
      </c>
      <c r="E6" s="339">
        <f t="shared" ref="E6:E21" si="0">(D6/$D$22)</f>
        <v>2.4862984120715671E-2</v>
      </c>
      <c r="F6" s="331">
        <v>196.52770000000001</v>
      </c>
      <c r="G6" s="331">
        <v>199.80719999999999</v>
      </c>
      <c r="H6" s="340">
        <v>-1.5628270087524765E-2</v>
      </c>
      <c r="I6" s="340">
        <v>4.2527242172165414E-2</v>
      </c>
      <c r="J6" s="332">
        <v>413703612.5</v>
      </c>
      <c r="K6" s="339">
        <f t="shared" ref="K6:K11" si="1">(J6/$J$22)</f>
        <v>2.5001876657623108E-2</v>
      </c>
      <c r="L6" s="331">
        <v>193.94569999999999</v>
      </c>
      <c r="M6" s="331">
        <v>196.5668</v>
      </c>
      <c r="N6" s="340">
        <v>-2.93E-2</v>
      </c>
      <c r="O6" s="340">
        <v>2.8799999999999999E-2</v>
      </c>
      <c r="P6" s="113">
        <f>((J6-D6)/D6)</f>
        <v>-1.4675764548278578E-2</v>
      </c>
      <c r="Q6" s="113">
        <f t="shared" ref="Q6:Q21" si="2">((M6-G6)/G6)</f>
        <v>-1.6217633798982188E-2</v>
      </c>
      <c r="R6" s="335">
        <f t="shared" ref="R6:R21" si="3">N6-H6</f>
        <v>-1.3671729912475235E-2</v>
      </c>
      <c r="S6" s="376">
        <f t="shared" ref="S6:S21" si="4">O6-I6</f>
        <v>-1.3727242172165414E-2</v>
      </c>
      <c r="U6" s="117"/>
    </row>
    <row r="7" spans="1:26" s="116" customFormat="1" ht="12.95" customHeight="1">
      <c r="A7" s="397">
        <v>2</v>
      </c>
      <c r="B7" s="380" t="s">
        <v>141</v>
      </c>
      <c r="C7" s="381" t="s">
        <v>140</v>
      </c>
      <c r="D7" s="331">
        <v>460001180.99000001</v>
      </c>
      <c r="E7" s="339">
        <f t="shared" si="0"/>
        <v>2.723968311762474E-2</v>
      </c>
      <c r="F7" s="331">
        <v>153.88900000000001</v>
      </c>
      <c r="G7" s="331">
        <v>155.28960000000001</v>
      </c>
      <c r="H7" s="340">
        <v>9.3830000000000007E-3</v>
      </c>
      <c r="I7" s="340">
        <v>6.1699999999999998E-2</v>
      </c>
      <c r="J7" s="331">
        <v>457015174.61000001</v>
      </c>
      <c r="K7" s="339">
        <f t="shared" si="1"/>
        <v>2.7619379384223548E-2</v>
      </c>
      <c r="L7" s="331">
        <v>152.90620000000001</v>
      </c>
      <c r="M7" s="331">
        <v>154.28749999999999</v>
      </c>
      <c r="N7" s="340">
        <v>9.4459999999999995E-3</v>
      </c>
      <c r="O7" s="340">
        <v>5.4899999999999997E-2</v>
      </c>
      <c r="P7" s="335">
        <v>5.6480000000000002E-3</v>
      </c>
      <c r="Q7" s="335">
        <f t="shared" si="2"/>
        <v>-6.4531043933400102E-3</v>
      </c>
      <c r="R7" s="335">
        <f t="shared" si="3"/>
        <v>6.2999999999998821E-5</v>
      </c>
      <c r="S7" s="376">
        <f t="shared" si="4"/>
        <v>-6.8000000000000005E-3</v>
      </c>
      <c r="T7" s="295"/>
      <c r="U7" s="117"/>
    </row>
    <row r="8" spans="1:26" s="116" customFormat="1" ht="12.95" customHeight="1">
      <c r="A8" s="387">
        <v>3</v>
      </c>
      <c r="B8" s="380" t="s">
        <v>11</v>
      </c>
      <c r="C8" s="381" t="s">
        <v>6</v>
      </c>
      <c r="D8" s="331">
        <v>2407790657.52</v>
      </c>
      <c r="E8" s="339">
        <f t="shared" si="0"/>
        <v>0.14258105682091265</v>
      </c>
      <c r="F8" s="331">
        <v>23.015799999999999</v>
      </c>
      <c r="G8" s="331">
        <v>23.709800000000001</v>
      </c>
      <c r="H8" s="321">
        <v>-0.91949999999999998</v>
      </c>
      <c r="I8" s="321">
        <v>0.1447</v>
      </c>
      <c r="J8" s="331">
        <v>2380937587.1799998</v>
      </c>
      <c r="K8" s="339">
        <f t="shared" si="1"/>
        <v>0.14389022983011326</v>
      </c>
      <c r="L8" s="331">
        <v>22.758600000000001</v>
      </c>
      <c r="M8" s="331">
        <v>23.444800000000001</v>
      </c>
      <c r="N8" s="321">
        <v>-0.58279999999999998</v>
      </c>
      <c r="O8" s="321">
        <v>9.4200000000000006E-2</v>
      </c>
      <c r="P8" s="335">
        <f t="shared" ref="P8:P22" si="5">((J8-D8)/D8)</f>
        <v>-1.1152576847215838E-2</v>
      </c>
      <c r="Q8" s="335">
        <f t="shared" si="2"/>
        <v>-1.1176812963415994E-2</v>
      </c>
      <c r="R8" s="335">
        <f t="shared" si="3"/>
        <v>0.3367</v>
      </c>
      <c r="S8" s="376">
        <f t="shared" si="4"/>
        <v>-5.0499999999999989E-2</v>
      </c>
      <c r="T8" s="295"/>
      <c r="U8" s="117"/>
      <c r="V8" s="150"/>
      <c r="W8" s="118"/>
      <c r="X8" s="118"/>
      <c r="Y8" s="119"/>
    </row>
    <row r="9" spans="1:26" s="116" customFormat="1" ht="12.95" customHeight="1">
      <c r="A9" s="387">
        <v>4</v>
      </c>
      <c r="B9" s="380" t="s">
        <v>83</v>
      </c>
      <c r="C9" s="381" t="s">
        <v>82</v>
      </c>
      <c r="D9" s="332">
        <v>262752285.47999999</v>
      </c>
      <c r="E9" s="339">
        <f t="shared" si="0"/>
        <v>1.5559283955539377E-2</v>
      </c>
      <c r="F9" s="331">
        <v>138.58000000000001</v>
      </c>
      <c r="G9" s="331">
        <v>139.56</v>
      </c>
      <c r="H9" s="340">
        <v>1.12E-2</v>
      </c>
      <c r="I9" s="340">
        <v>2.7400000000000001E-2</v>
      </c>
      <c r="J9" s="332">
        <v>257911619.90000001</v>
      </c>
      <c r="K9" s="339">
        <f t="shared" si="1"/>
        <v>1.5586700996737304E-2</v>
      </c>
      <c r="L9" s="331">
        <v>136.02000000000001</v>
      </c>
      <c r="M9" s="331">
        <v>136.97</v>
      </c>
      <c r="N9" s="340">
        <v>-1.8499999999999999E-2</v>
      </c>
      <c r="O9" s="340">
        <v>8.3999999999999995E-3</v>
      </c>
      <c r="P9" s="335">
        <f t="shared" si="5"/>
        <v>-1.8422924737484126E-2</v>
      </c>
      <c r="Q9" s="335">
        <f t="shared" si="2"/>
        <v>-1.8558326167956458E-2</v>
      </c>
      <c r="R9" s="335">
        <f t="shared" si="3"/>
        <v>-2.9699999999999997E-2</v>
      </c>
      <c r="S9" s="376">
        <f t="shared" si="4"/>
        <v>-1.9000000000000003E-2</v>
      </c>
      <c r="T9" s="295"/>
      <c r="U9" s="117"/>
      <c r="V9" s="150"/>
      <c r="W9" s="118"/>
      <c r="X9" s="118"/>
      <c r="Y9" s="119"/>
    </row>
    <row r="10" spans="1:26" s="116" customFormat="1" ht="12.95" customHeight="1">
      <c r="A10" s="387">
        <v>5</v>
      </c>
      <c r="B10" s="380" t="s">
        <v>53</v>
      </c>
      <c r="C10" s="381" t="s">
        <v>192</v>
      </c>
      <c r="D10" s="331">
        <v>380537889.02999997</v>
      </c>
      <c r="E10" s="339">
        <f t="shared" si="0"/>
        <v>2.2534141084416887E-2</v>
      </c>
      <c r="F10" s="331">
        <v>176.18</v>
      </c>
      <c r="G10" s="331">
        <v>178.5</v>
      </c>
      <c r="H10" s="321">
        <v>-5.7000000000000002E-3</v>
      </c>
      <c r="I10" s="321">
        <v>5.79E-2</v>
      </c>
      <c r="J10" s="331">
        <v>378423731.22000003</v>
      </c>
      <c r="K10" s="339">
        <f t="shared" si="1"/>
        <v>2.2869762715161109E-2</v>
      </c>
      <c r="L10" s="331">
        <v>174.2</v>
      </c>
      <c r="M10" s="331">
        <v>176.47</v>
      </c>
      <c r="N10" s="321">
        <v>-5.7000000000000002E-3</v>
      </c>
      <c r="O10" s="321">
        <v>5.1900000000000002E-2</v>
      </c>
      <c r="P10" s="335">
        <f t="shared" si="5"/>
        <v>-5.5557090921720849E-3</v>
      </c>
      <c r="Q10" s="335">
        <f t="shared" si="2"/>
        <v>-1.1372549019607849E-2</v>
      </c>
      <c r="R10" s="335">
        <f t="shared" si="3"/>
        <v>0</v>
      </c>
      <c r="S10" s="376">
        <f t="shared" si="4"/>
        <v>-5.9999999999999984E-3</v>
      </c>
      <c r="T10" s="295"/>
      <c r="U10" s="117"/>
      <c r="V10" s="150"/>
      <c r="W10" s="118"/>
      <c r="X10" s="118"/>
      <c r="Y10" s="119"/>
    </row>
    <row r="11" spans="1:26" s="116" customFormat="1" ht="12.95" customHeight="1">
      <c r="A11" s="397">
        <v>6</v>
      </c>
      <c r="B11" s="380" t="s">
        <v>8</v>
      </c>
      <c r="C11" s="381" t="s">
        <v>57</v>
      </c>
      <c r="D11" s="332">
        <v>260761523.71000001</v>
      </c>
      <c r="E11" s="339">
        <f t="shared" si="0"/>
        <v>1.544139791085407E-2</v>
      </c>
      <c r="F11" s="331">
        <v>131.05000000000001</v>
      </c>
      <c r="G11" s="331">
        <v>134.13999999999999</v>
      </c>
      <c r="H11" s="340">
        <v>-1.2999999999999999E-2</v>
      </c>
      <c r="I11" s="340">
        <v>4.2500000000000003E-2</v>
      </c>
      <c r="J11" s="332">
        <v>261028734.77000001</v>
      </c>
      <c r="K11" s="339">
        <f t="shared" si="1"/>
        <v>1.5775081564739675E-2</v>
      </c>
      <c r="L11" s="331">
        <v>131.18</v>
      </c>
      <c r="M11" s="331">
        <v>134.28</v>
      </c>
      <c r="N11" s="340">
        <v>9.8999999999999999E-4</v>
      </c>
      <c r="O11" s="340">
        <v>4.3499999999999997E-2</v>
      </c>
      <c r="P11" s="335">
        <f t="shared" si="5"/>
        <v>1.0247334660353307E-3</v>
      </c>
      <c r="Q11" s="335">
        <f t="shared" si="2"/>
        <v>1.0436857015059997E-3</v>
      </c>
      <c r="R11" s="335">
        <f t="shared" si="3"/>
        <v>1.3989999999999999E-2</v>
      </c>
      <c r="S11" s="376">
        <f t="shared" si="4"/>
        <v>9.9999999999999395E-4</v>
      </c>
      <c r="T11" s="295"/>
      <c r="U11" s="117"/>
      <c r="V11" s="152"/>
      <c r="W11" s="119"/>
      <c r="X11" s="119"/>
      <c r="Y11" s="120"/>
      <c r="Z11" s="121"/>
    </row>
    <row r="12" spans="1:26" s="116" customFormat="1" ht="12.95" customHeight="1">
      <c r="A12" s="397">
        <v>7</v>
      </c>
      <c r="B12" s="380" t="s">
        <v>226</v>
      </c>
      <c r="C12" s="381" t="s">
        <v>227</v>
      </c>
      <c r="D12" s="75">
        <v>26260978.399999999</v>
      </c>
      <c r="E12" s="339">
        <f t="shared" si="0"/>
        <v>1.5550845509467047E-3</v>
      </c>
      <c r="F12" s="331">
        <v>102.49</v>
      </c>
      <c r="G12" s="331">
        <v>105.68</v>
      </c>
      <c r="H12" s="340">
        <v>-5.9999999999999995E-4</v>
      </c>
      <c r="I12" s="340">
        <v>5.8400000000000001E-2</v>
      </c>
      <c r="J12" s="75">
        <v>26047390.780000001</v>
      </c>
      <c r="K12" s="339">
        <v>0.96619999999999995</v>
      </c>
      <c r="L12" s="331">
        <v>101.66</v>
      </c>
      <c r="M12" s="331">
        <v>104.81</v>
      </c>
      <c r="N12" s="340">
        <v>-8.5000000000000006E-3</v>
      </c>
      <c r="O12" s="340">
        <v>4.99E-2</v>
      </c>
      <c r="P12" s="335">
        <f t="shared" si="5"/>
        <v>-8.1332697033099626E-3</v>
      </c>
      <c r="Q12" s="335">
        <f t="shared" si="2"/>
        <v>-8.2323996971991348E-3</v>
      </c>
      <c r="R12" s="335">
        <f t="shared" si="3"/>
        <v>-7.9000000000000008E-3</v>
      </c>
      <c r="S12" s="376">
        <f t="shared" si="4"/>
        <v>-8.5000000000000006E-3</v>
      </c>
      <c r="T12" s="148"/>
      <c r="U12" s="117"/>
    </row>
    <row r="13" spans="1:26" s="116" customFormat="1" ht="12.95" customHeight="1">
      <c r="A13" s="387">
        <v>8</v>
      </c>
      <c r="B13" s="380" t="s">
        <v>45</v>
      </c>
      <c r="C13" s="381" t="s">
        <v>137</v>
      </c>
      <c r="D13" s="332">
        <v>1064328708.47</v>
      </c>
      <c r="E13" s="339">
        <f t="shared" si="0"/>
        <v>6.3025874606056423E-2</v>
      </c>
      <c r="F13" s="331">
        <v>2.12</v>
      </c>
      <c r="G13" s="331">
        <v>2.17</v>
      </c>
      <c r="H13" s="340">
        <v>2.3800000000000002E-2</v>
      </c>
      <c r="I13" s="340">
        <v>7.51E-2</v>
      </c>
      <c r="J13" s="332">
        <v>1024827540.0700001</v>
      </c>
      <c r="K13" s="339">
        <f t="shared" ref="K13:K18" si="6">(J13/$J$22)</f>
        <v>6.1934706340437004E-2</v>
      </c>
      <c r="L13" s="331">
        <v>2.0499999999999998</v>
      </c>
      <c r="M13" s="331">
        <v>2.09</v>
      </c>
      <c r="N13" s="340">
        <v>-3.7100000000000001E-2</v>
      </c>
      <c r="O13" s="340">
        <v>3.5200000000000002E-2</v>
      </c>
      <c r="P13" s="335">
        <f t="shared" si="5"/>
        <v>-3.7113692495229153E-2</v>
      </c>
      <c r="Q13" s="335">
        <f t="shared" si="2"/>
        <v>-3.6866359447004643E-2</v>
      </c>
      <c r="R13" s="335">
        <f t="shared" si="3"/>
        <v>-6.0900000000000003E-2</v>
      </c>
      <c r="S13" s="376">
        <f t="shared" si="4"/>
        <v>-3.9899999999999998E-2</v>
      </c>
      <c r="T13" s="148"/>
      <c r="U13" s="117"/>
    </row>
    <row r="14" spans="1:26" s="116" customFormat="1" ht="12.95" customHeight="1">
      <c r="A14" s="387">
        <v>9</v>
      </c>
      <c r="B14" s="380" t="s">
        <v>54</v>
      </c>
      <c r="C14" s="381" t="s">
        <v>55</v>
      </c>
      <c r="D14" s="331">
        <v>315086006.37</v>
      </c>
      <c r="E14" s="339">
        <f t="shared" si="0"/>
        <v>1.8658306376181398E-2</v>
      </c>
      <c r="F14" s="331">
        <v>12.9032</v>
      </c>
      <c r="G14" s="331">
        <v>12.976599999999999</v>
      </c>
      <c r="H14" s="340">
        <v>-6.1000000000000004E-3</v>
      </c>
      <c r="I14" s="340">
        <v>4.8099999999999997E-2</v>
      </c>
      <c r="J14" s="331">
        <v>303964969.38999999</v>
      </c>
      <c r="K14" s="339">
        <f t="shared" si="6"/>
        <v>1.8369901647709113E-2</v>
      </c>
      <c r="L14" s="331">
        <v>12.6</v>
      </c>
      <c r="M14" s="331">
        <v>12.6791</v>
      </c>
      <c r="N14" s="340">
        <v>-2.3199999999999998E-2</v>
      </c>
      <c r="O14" s="340">
        <v>2.3800000000000002E-2</v>
      </c>
      <c r="P14" s="335">
        <f t="shared" si="5"/>
        <v>-3.5295242426414769E-2</v>
      </c>
      <c r="Q14" s="335">
        <f t="shared" si="2"/>
        <v>-2.2925881972165239E-2</v>
      </c>
      <c r="R14" s="335">
        <f t="shared" si="3"/>
        <v>-1.7099999999999997E-2</v>
      </c>
      <c r="S14" s="376">
        <f t="shared" si="4"/>
        <v>-2.4299999999999995E-2</v>
      </c>
      <c r="T14" s="148"/>
      <c r="U14" s="153"/>
      <c r="V14" s="153"/>
    </row>
    <row r="15" spans="1:26" s="116" customFormat="1" ht="12.95" customHeight="1">
      <c r="A15" s="387">
        <v>10</v>
      </c>
      <c r="B15" s="380" t="s">
        <v>130</v>
      </c>
      <c r="C15" s="381" t="s">
        <v>92</v>
      </c>
      <c r="D15" s="331">
        <v>297835987.75999999</v>
      </c>
      <c r="E15" s="339">
        <f t="shared" si="0"/>
        <v>1.7636819779781238E-2</v>
      </c>
      <c r="F15" s="331">
        <v>1.51</v>
      </c>
      <c r="G15" s="331">
        <v>1.54</v>
      </c>
      <c r="H15" s="340">
        <v>-4.0000000000000002E-4</v>
      </c>
      <c r="I15" s="340">
        <v>-1.2999999999999999E-3</v>
      </c>
      <c r="J15" s="331">
        <v>294779075.10000002</v>
      </c>
      <c r="K15" s="339">
        <f t="shared" si="6"/>
        <v>1.7814758813348333E-2</v>
      </c>
      <c r="L15" s="331">
        <v>1.4983109999999999</v>
      </c>
      <c r="M15" s="331">
        <v>1.5246459999999999</v>
      </c>
      <c r="N15" s="340">
        <v>-3.5616438356164383E-4</v>
      </c>
      <c r="O15" s="340">
        <v>0.26050000000000001</v>
      </c>
      <c r="P15" s="335">
        <f t="shared" si="5"/>
        <v>-1.0263745100082619E-2</v>
      </c>
      <c r="Q15" s="335">
        <f t="shared" si="2"/>
        <v>-9.9701298701299276E-3</v>
      </c>
      <c r="R15" s="335">
        <f t="shared" si="3"/>
        <v>4.3835616438356187E-5</v>
      </c>
      <c r="S15" s="376">
        <f t="shared" si="4"/>
        <v>0.26180000000000003</v>
      </c>
      <c r="T15" s="148"/>
      <c r="U15" s="154"/>
      <c r="V15" s="154"/>
    </row>
    <row r="16" spans="1:26" s="116" customFormat="1" ht="12.95" customHeight="1">
      <c r="A16" s="397">
        <v>11</v>
      </c>
      <c r="B16" s="380" t="s">
        <v>10</v>
      </c>
      <c r="C16" s="381" t="s">
        <v>9</v>
      </c>
      <c r="D16" s="332">
        <v>749352694.53999996</v>
      </c>
      <c r="E16" s="339">
        <f t="shared" si="0"/>
        <v>4.4374081602741769E-2</v>
      </c>
      <c r="F16" s="331">
        <v>20.010000000000002</v>
      </c>
      <c r="G16" s="331">
        <v>20.38</v>
      </c>
      <c r="H16" s="340">
        <v>-1E-3</v>
      </c>
      <c r="I16" s="340">
        <v>4.2999999999999997E-2</v>
      </c>
      <c r="J16" s="332">
        <v>661891481.22000003</v>
      </c>
      <c r="K16" s="339">
        <f t="shared" si="6"/>
        <v>4.0000929830396152E-2</v>
      </c>
      <c r="L16" s="331">
        <v>20.010000000000002</v>
      </c>
      <c r="M16" s="331">
        <v>20.38</v>
      </c>
      <c r="N16" s="340">
        <v>-6.9999999999999999E-4</v>
      </c>
      <c r="O16" s="340">
        <v>2.7900000000000001E-2</v>
      </c>
      <c r="P16" s="335">
        <f t="shared" si="5"/>
        <v>-0.11671568536053527</v>
      </c>
      <c r="Q16" s="335">
        <f t="shared" si="2"/>
        <v>0</v>
      </c>
      <c r="R16" s="335">
        <f t="shared" si="3"/>
        <v>3.0000000000000003E-4</v>
      </c>
      <c r="S16" s="376">
        <f t="shared" si="4"/>
        <v>-1.5099999999999995E-2</v>
      </c>
      <c r="T16" s="148"/>
      <c r="U16" s="155"/>
      <c r="V16" s="155"/>
    </row>
    <row r="17" spans="1:25" s="116" customFormat="1" ht="12.95" customHeight="1">
      <c r="A17" s="399">
        <v>12</v>
      </c>
      <c r="B17" s="380" t="s">
        <v>68</v>
      </c>
      <c r="C17" s="381" t="s">
        <v>5</v>
      </c>
      <c r="D17" s="332">
        <v>348432570.62</v>
      </c>
      <c r="E17" s="339">
        <f t="shared" si="0"/>
        <v>2.0632974878720005E-2</v>
      </c>
      <c r="F17" s="331">
        <v>3417.34</v>
      </c>
      <c r="G17" s="331">
        <v>3458.4</v>
      </c>
      <c r="H17" s="340">
        <v>-1.12E-2</v>
      </c>
      <c r="I17" s="340">
        <v>5.62E-2</v>
      </c>
      <c r="J17" s="332">
        <v>342252402.37</v>
      </c>
      <c r="K17" s="339">
        <f t="shared" si="6"/>
        <v>2.0683774787753236E-2</v>
      </c>
      <c r="L17" s="331">
        <v>3376.36</v>
      </c>
      <c r="M17" s="331">
        <v>3416.91</v>
      </c>
      <c r="N17" s="340">
        <v>-1.2E-2</v>
      </c>
      <c r="O17" s="340">
        <v>4.36E-2</v>
      </c>
      <c r="P17" s="335">
        <f t="shared" si="5"/>
        <v>-1.7737056667816744E-2</v>
      </c>
      <c r="Q17" s="335">
        <f t="shared" si="2"/>
        <v>-1.1996877168632961E-2</v>
      </c>
      <c r="R17" s="335">
        <f t="shared" si="3"/>
        <v>-8.0000000000000036E-4</v>
      </c>
      <c r="S17" s="376">
        <f t="shared" si="4"/>
        <v>-1.26E-2</v>
      </c>
      <c r="T17" s="148"/>
      <c r="U17" s="154"/>
      <c r="V17" s="154"/>
    </row>
    <row r="18" spans="1:25" s="116" customFormat="1" ht="12.95" customHeight="1">
      <c r="A18" s="399">
        <v>13</v>
      </c>
      <c r="B18" s="380" t="s">
        <v>234</v>
      </c>
      <c r="C18" s="381" t="s">
        <v>5</v>
      </c>
      <c r="D18" s="332">
        <v>7475572117.2399998</v>
      </c>
      <c r="E18" s="339">
        <f t="shared" si="0"/>
        <v>0.44267759304077836</v>
      </c>
      <c r="F18" s="331">
        <v>12851.76</v>
      </c>
      <c r="G18" s="331">
        <v>13003.9</v>
      </c>
      <c r="H18" s="340">
        <v>4.1999999999999997E-3</v>
      </c>
      <c r="I18" s="340">
        <v>5.11E-2</v>
      </c>
      <c r="J18" s="332">
        <v>7333365642.3800001</v>
      </c>
      <c r="K18" s="339">
        <f t="shared" si="6"/>
        <v>0.44318661412712657</v>
      </c>
      <c r="L18" s="331">
        <v>12636.2</v>
      </c>
      <c r="M18" s="331">
        <v>12784.96</v>
      </c>
      <c r="N18" s="340">
        <v>4.1999999999999997E-3</v>
      </c>
      <c r="O18" s="340">
        <v>3.3399999999999999E-2</v>
      </c>
      <c r="P18" s="335">
        <f t="shared" si="5"/>
        <v>-1.9022821615491639E-2</v>
      </c>
      <c r="Q18" s="335">
        <f t="shared" si="2"/>
        <v>-1.6836487515283917E-2</v>
      </c>
      <c r="R18" s="335">
        <f t="shared" si="3"/>
        <v>0</v>
      </c>
      <c r="S18" s="376">
        <f t="shared" si="4"/>
        <v>-1.77E-2</v>
      </c>
      <c r="T18" s="148"/>
      <c r="U18" s="156"/>
      <c r="V18" s="156"/>
    </row>
    <row r="19" spans="1:25" s="116" customFormat="1" ht="12.95" customHeight="1">
      <c r="A19" s="387">
        <v>14</v>
      </c>
      <c r="B19" s="380" t="s">
        <v>254</v>
      </c>
      <c r="C19" s="381" t="s">
        <v>255</v>
      </c>
      <c r="D19" s="75">
        <v>57428707.299999997</v>
      </c>
      <c r="E19" s="339">
        <f t="shared" si="0"/>
        <v>3.4007299401712402E-3</v>
      </c>
      <c r="F19" s="331">
        <v>108.8763</v>
      </c>
      <c r="G19" s="331">
        <v>109.3078</v>
      </c>
      <c r="H19" s="340">
        <v>3.6331000000000002E-2</v>
      </c>
      <c r="I19" s="340">
        <v>2.7647999999999999E-2</v>
      </c>
      <c r="J19" s="75">
        <v>57356204.850000001</v>
      </c>
      <c r="K19" s="339">
        <v>0.96619999999999995</v>
      </c>
      <c r="L19" s="331">
        <v>108.73869999999999</v>
      </c>
      <c r="M19" s="331">
        <v>109.1682</v>
      </c>
      <c r="N19" s="340">
        <v>3.5020999999999997E-2</v>
      </c>
      <c r="O19" s="340">
        <v>2.3647999999999999E-2</v>
      </c>
      <c r="P19" s="335">
        <f t="shared" si="5"/>
        <v>-1.2624774857155027E-3</v>
      </c>
      <c r="Q19" s="335">
        <f t="shared" si="2"/>
        <v>-1.277127524293797E-3</v>
      </c>
      <c r="R19" s="335">
        <f t="shared" si="3"/>
        <v>-1.3100000000000056E-3</v>
      </c>
      <c r="S19" s="376">
        <f t="shared" si="4"/>
        <v>-4.0000000000000001E-3</v>
      </c>
      <c r="T19" s="315"/>
      <c r="U19" s="315"/>
      <c r="V19" s="156"/>
    </row>
    <row r="20" spans="1:25" s="336" customFormat="1" ht="12.95" customHeight="1">
      <c r="A20" s="387">
        <v>15</v>
      </c>
      <c r="B20" s="381" t="s">
        <v>77</v>
      </c>
      <c r="C20" s="381" t="s">
        <v>41</v>
      </c>
      <c r="D20" s="331">
        <v>2009640542.96</v>
      </c>
      <c r="E20" s="339">
        <f t="shared" si="0"/>
        <v>0.11900398049576262</v>
      </c>
      <c r="F20" s="331">
        <v>1.0350999999999999</v>
      </c>
      <c r="G20" s="316">
        <v>1.0593999999999999</v>
      </c>
      <c r="H20" s="340">
        <v>-3.5999999999999999E-3</v>
      </c>
      <c r="I20" s="340">
        <v>8.6300000000000002E-2</v>
      </c>
      <c r="J20" s="331">
        <v>2003579694.8599999</v>
      </c>
      <c r="K20" s="339">
        <f>(J20/$J$22)</f>
        <v>0.12108488031297493</v>
      </c>
      <c r="L20" s="331">
        <v>1.0319</v>
      </c>
      <c r="M20" s="316">
        <v>1.0548</v>
      </c>
      <c r="N20" s="340">
        <v>-3.0999999999999999E-3</v>
      </c>
      <c r="O20" s="340">
        <v>8.2900000000000001E-2</v>
      </c>
      <c r="P20" s="335">
        <f t="shared" si="5"/>
        <v>-3.0158866575577333E-3</v>
      </c>
      <c r="Q20" s="335">
        <f t="shared" si="2"/>
        <v>-4.3420804228808171E-3</v>
      </c>
      <c r="R20" s="335">
        <f t="shared" si="3"/>
        <v>5.0000000000000001E-4</v>
      </c>
      <c r="S20" s="376">
        <f t="shared" si="4"/>
        <v>-3.4000000000000002E-3</v>
      </c>
      <c r="T20" s="315"/>
      <c r="U20" s="315"/>
      <c r="V20" s="156"/>
    </row>
    <row r="21" spans="1:25" s="116" customFormat="1" ht="12.95" customHeight="1">
      <c r="A21" s="387">
        <v>16</v>
      </c>
      <c r="B21" s="380" t="s">
        <v>127</v>
      </c>
      <c r="C21" s="381" t="s">
        <v>252</v>
      </c>
      <c r="D21" s="332">
        <v>351523477.44999999</v>
      </c>
      <c r="E21" s="339">
        <f t="shared" si="0"/>
        <v>2.0816007718796849E-2</v>
      </c>
      <c r="F21" s="331">
        <v>1.29</v>
      </c>
      <c r="G21" s="331">
        <v>1.33</v>
      </c>
      <c r="H21" s="340">
        <v>-8.9189604797785815E-3</v>
      </c>
      <c r="I21" s="340">
        <v>3.8762188733983516E-2</v>
      </c>
      <c r="J21" s="332">
        <v>349817523.98000002</v>
      </c>
      <c r="K21" s="339">
        <f>(J21/$J$22)</f>
        <v>2.1140967405072087E-2</v>
      </c>
      <c r="L21" s="331">
        <v>1.28</v>
      </c>
      <c r="M21" s="331">
        <v>1.32</v>
      </c>
      <c r="N21" s="340">
        <v>-3.3E-3</v>
      </c>
      <c r="O21" s="340">
        <v>3.5400000000000001E-2</v>
      </c>
      <c r="P21" s="335">
        <f t="shared" si="5"/>
        <v>-4.8530285441393331E-3</v>
      </c>
      <c r="Q21" s="335">
        <f t="shared" si="2"/>
        <v>-7.5187969924812095E-3</v>
      </c>
      <c r="R21" s="335">
        <f t="shared" si="3"/>
        <v>5.6189604797785815E-3</v>
      </c>
      <c r="S21" s="376">
        <f t="shared" si="4"/>
        <v>-3.3621887339835149E-3</v>
      </c>
      <c r="T21" s="149"/>
      <c r="U21" s="123"/>
      <c r="V21" s="123"/>
    </row>
    <row r="22" spans="1:25" s="116" customFormat="1" ht="12.95" customHeight="1">
      <c r="A22" s="220"/>
      <c r="C22" s="250" t="s">
        <v>42</v>
      </c>
      <c r="D22" s="71">
        <f>SUM(D6:D21)</f>
        <v>16887170786.959999</v>
      </c>
      <c r="E22" s="268">
        <f>(D22/$D$167)</f>
        <v>1.0651635379159171E-2</v>
      </c>
      <c r="F22" s="270"/>
      <c r="G22" s="72"/>
      <c r="H22" s="287"/>
      <c r="I22" s="287"/>
      <c r="J22" s="71">
        <f>SUM(J6:J21)</f>
        <v>16546902385.180002</v>
      </c>
      <c r="K22" s="268">
        <f>(J22/$J$167)</f>
        <v>1.0407680981857913E-2</v>
      </c>
      <c r="L22" s="270"/>
      <c r="M22" s="72"/>
      <c r="N22" s="287"/>
      <c r="O22" s="287"/>
      <c r="P22" s="272">
        <f t="shared" si="5"/>
        <v>-2.0149520963141241E-2</v>
      </c>
      <c r="Q22" s="272"/>
      <c r="R22" s="272">
        <f t="shared" ref="R22" si="7">N22-H22</f>
        <v>0</v>
      </c>
      <c r="S22" s="376">
        <f t="shared" ref="S22" si="8">O22-I22</f>
        <v>0</v>
      </c>
      <c r="T22" s="148"/>
      <c r="U22" s="157"/>
      <c r="X22" s="123"/>
      <c r="Y22" s="123"/>
    </row>
    <row r="23" spans="1:25" s="116" customFormat="1" ht="5.25" customHeight="1">
      <c r="A23" s="411"/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4"/>
      <c r="T23" s="148"/>
      <c r="U23" s="157"/>
      <c r="X23" s="123"/>
      <c r="Y23" s="123"/>
    </row>
    <row r="24" spans="1:25" s="116" customFormat="1" ht="12.95" customHeight="1">
      <c r="A24" s="407" t="s">
        <v>44</v>
      </c>
      <c r="B24" s="408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10"/>
      <c r="T24" s="158"/>
      <c r="V24" s="159"/>
    </row>
    <row r="25" spans="1:25" s="116" customFormat="1" ht="12.95" customHeight="1">
      <c r="A25" s="387">
        <v>17</v>
      </c>
      <c r="B25" s="380" t="s">
        <v>100</v>
      </c>
      <c r="C25" s="381" t="s">
        <v>252</v>
      </c>
      <c r="D25" s="327">
        <v>14917305381.5</v>
      </c>
      <c r="E25" s="198">
        <v>4.7199999999999999E-2</v>
      </c>
      <c r="F25" s="316">
        <v>100</v>
      </c>
      <c r="G25" s="316">
        <v>100</v>
      </c>
      <c r="H25" s="340">
        <v>8.3500000000000005E-2</v>
      </c>
      <c r="I25" s="340">
        <v>8.1000000000000003E-2</v>
      </c>
      <c r="J25" s="327">
        <v>17371324724.130001</v>
      </c>
      <c r="K25" s="339">
        <f t="shared" ref="K25:K53" si="9">(J25/$J$54)</f>
        <v>2.1351254764418088E-2</v>
      </c>
      <c r="L25" s="316">
        <v>100</v>
      </c>
      <c r="M25" s="316">
        <v>100</v>
      </c>
      <c r="N25" s="340">
        <v>9.4299999999999995E-2</v>
      </c>
      <c r="O25" s="340">
        <v>7.2300000000000003E-2</v>
      </c>
      <c r="P25" s="335">
        <f t="shared" ref="P25:P53" si="10">((J25-D25)/D25)</f>
        <v>0.16450821913677541</v>
      </c>
      <c r="Q25" s="335">
        <f t="shared" ref="Q25:Q53" si="11">((M25-G25)/G25)</f>
        <v>0</v>
      </c>
      <c r="R25" s="335">
        <f t="shared" ref="R25:R53" si="12">N25-H25</f>
        <v>1.079999999999999E-2</v>
      </c>
      <c r="S25" s="376">
        <f t="shared" ref="S25:S53" si="13">O25-I25</f>
        <v>-8.6999999999999994E-3</v>
      </c>
      <c r="T25" s="160"/>
      <c r="U25" s="115"/>
      <c r="V25" s="115"/>
    </row>
    <row r="26" spans="1:25" s="116" customFormat="1" ht="12.95" customHeight="1">
      <c r="A26" s="387">
        <v>18</v>
      </c>
      <c r="B26" s="380" t="s">
        <v>118</v>
      </c>
      <c r="C26" s="381" t="s">
        <v>58</v>
      </c>
      <c r="D26" s="327">
        <v>758391576.14999998</v>
      </c>
      <c r="E26" s="198">
        <v>7.9600000000000004E-2</v>
      </c>
      <c r="F26" s="316">
        <v>100</v>
      </c>
      <c r="G26" s="316">
        <v>100</v>
      </c>
      <c r="H26" s="340">
        <v>0.13089999999999999</v>
      </c>
      <c r="I26" s="340">
        <v>0.13089999999999999</v>
      </c>
      <c r="J26" s="327">
        <v>766148632.13</v>
      </c>
      <c r="K26" s="339">
        <f t="shared" si="9"/>
        <v>9.4168032040154749E-4</v>
      </c>
      <c r="L26" s="316">
        <v>100</v>
      </c>
      <c r="M26" s="316">
        <v>100</v>
      </c>
      <c r="N26" s="340">
        <v>0.13320000000000001</v>
      </c>
      <c r="O26" s="340">
        <v>0.13320000000000001</v>
      </c>
      <c r="P26" s="113">
        <f t="shared" si="10"/>
        <v>1.0228299237418975E-2</v>
      </c>
      <c r="Q26" s="113">
        <f t="shared" si="11"/>
        <v>0</v>
      </c>
      <c r="R26" s="335">
        <f t="shared" si="12"/>
        <v>2.3000000000000242E-3</v>
      </c>
      <c r="S26" s="376">
        <f t="shared" si="13"/>
        <v>2.3000000000000242E-3</v>
      </c>
      <c r="T26" s="161"/>
      <c r="U26" s="124"/>
      <c r="V26" s="159"/>
      <c r="W26" s="162"/>
    </row>
    <row r="27" spans="1:25" s="116" customFormat="1" ht="12.95" customHeight="1">
      <c r="A27" s="397">
        <v>19</v>
      </c>
      <c r="B27" s="380" t="s">
        <v>37</v>
      </c>
      <c r="C27" s="381" t="s">
        <v>36</v>
      </c>
      <c r="D27" s="327">
        <v>2562208773.8000002</v>
      </c>
      <c r="E27" s="198">
        <v>8.6400000000000005E-2</v>
      </c>
      <c r="F27" s="316">
        <v>100</v>
      </c>
      <c r="G27" s="316">
        <v>100</v>
      </c>
      <c r="H27" s="340">
        <v>-3.1840000000000002E-3</v>
      </c>
      <c r="I27" s="340">
        <v>0.123685</v>
      </c>
      <c r="J27" s="327">
        <v>2611053785.0900002</v>
      </c>
      <c r="K27" s="339">
        <f t="shared" si="9"/>
        <v>3.2092701883360141E-3</v>
      </c>
      <c r="L27" s="316">
        <v>100</v>
      </c>
      <c r="M27" s="316">
        <v>100</v>
      </c>
      <c r="N27" s="340">
        <v>-4.8799999999999998E-3</v>
      </c>
      <c r="O27" s="340">
        <v>0.123197</v>
      </c>
      <c r="P27" s="335">
        <f t="shared" si="10"/>
        <v>1.9063634388215036E-2</v>
      </c>
      <c r="Q27" s="335">
        <f t="shared" si="11"/>
        <v>0</v>
      </c>
      <c r="R27" s="335">
        <f t="shared" si="12"/>
        <v>-1.6959999999999996E-3</v>
      </c>
      <c r="S27" s="376">
        <f t="shared" si="13"/>
        <v>-4.8800000000000232E-4</v>
      </c>
      <c r="T27" s="148"/>
      <c r="U27" s="117"/>
    </row>
    <row r="28" spans="1:25" s="116" customFormat="1" ht="12.95" customHeight="1">
      <c r="A28" s="397">
        <v>20</v>
      </c>
      <c r="B28" s="380" t="s">
        <v>142</v>
      </c>
      <c r="C28" s="381" t="s">
        <v>140</v>
      </c>
      <c r="D28" s="327">
        <v>483121043.02999997</v>
      </c>
      <c r="E28" s="198">
        <v>2.0000000000000001E-4</v>
      </c>
      <c r="F28" s="316">
        <v>100</v>
      </c>
      <c r="G28" s="316">
        <v>100</v>
      </c>
      <c r="H28" s="340">
        <v>6.87E-4</v>
      </c>
      <c r="I28" s="340">
        <v>6.59E-2</v>
      </c>
      <c r="J28" s="327">
        <v>470428276.13</v>
      </c>
      <c r="K28" s="339">
        <f t="shared" si="9"/>
        <v>5.7820771481437432E-4</v>
      </c>
      <c r="L28" s="316">
        <v>100</v>
      </c>
      <c r="M28" s="316">
        <v>100</v>
      </c>
      <c r="N28" s="340">
        <v>9.0499999999999999E-4</v>
      </c>
      <c r="O28" s="340">
        <v>6.6699999999999995E-2</v>
      </c>
      <c r="P28" s="335">
        <f t="shared" si="10"/>
        <v>-2.6272436448626816E-2</v>
      </c>
      <c r="Q28" s="335">
        <f t="shared" si="11"/>
        <v>0</v>
      </c>
      <c r="R28" s="335">
        <f t="shared" si="12"/>
        <v>2.1799999999999999E-4</v>
      </c>
      <c r="S28" s="376">
        <f t="shared" si="13"/>
        <v>7.9999999999999516E-4</v>
      </c>
      <c r="T28" s="148"/>
      <c r="U28" s="124"/>
    </row>
    <row r="29" spans="1:25" s="116" customFormat="1" ht="12.95" customHeight="1">
      <c r="A29" s="387">
        <v>21</v>
      </c>
      <c r="B29" s="380" t="s">
        <v>15</v>
      </c>
      <c r="C29" s="381" t="s">
        <v>6</v>
      </c>
      <c r="D29" s="327">
        <v>77644321729.720001</v>
      </c>
      <c r="E29" s="198">
        <v>6.54E-2</v>
      </c>
      <c r="F29" s="316">
        <v>1</v>
      </c>
      <c r="G29" s="316">
        <v>1</v>
      </c>
      <c r="H29" s="340">
        <v>0.1027</v>
      </c>
      <c r="I29" s="340">
        <v>0.1027</v>
      </c>
      <c r="J29" s="327">
        <v>77373682481.070007</v>
      </c>
      <c r="K29" s="339">
        <f t="shared" si="9"/>
        <v>9.5100703771874018E-2</v>
      </c>
      <c r="L29" s="316">
        <v>1</v>
      </c>
      <c r="M29" s="316">
        <v>1</v>
      </c>
      <c r="N29" s="340">
        <v>0.1011</v>
      </c>
      <c r="O29" s="340">
        <v>0.1011</v>
      </c>
      <c r="P29" s="335">
        <f t="shared" si="10"/>
        <v>-3.4856283450075015E-3</v>
      </c>
      <c r="Q29" s="335">
        <f t="shared" si="11"/>
        <v>0</v>
      </c>
      <c r="R29" s="335">
        <f t="shared" si="12"/>
        <v>-1.6000000000000042E-3</v>
      </c>
      <c r="S29" s="376">
        <f t="shared" si="13"/>
        <v>-1.6000000000000042E-3</v>
      </c>
      <c r="T29" s="158"/>
      <c r="U29" s="117"/>
    </row>
    <row r="30" spans="1:25" s="116" customFormat="1" ht="12.95" customHeight="1">
      <c r="A30" s="387">
        <v>22</v>
      </c>
      <c r="B30" s="380" t="s">
        <v>84</v>
      </c>
      <c r="C30" s="381" t="s">
        <v>82</v>
      </c>
      <c r="D30" s="327">
        <v>36637222597.720001</v>
      </c>
      <c r="E30" s="198">
        <v>6.9800000000000001E-2</v>
      </c>
      <c r="F30" s="316">
        <v>1</v>
      </c>
      <c r="G30" s="316">
        <v>1</v>
      </c>
      <c r="H30" s="340">
        <v>9.8900000000000002E-2</v>
      </c>
      <c r="I30" s="340">
        <v>0.10580000000000001</v>
      </c>
      <c r="J30" s="327">
        <v>37901167101.580002</v>
      </c>
      <c r="K30" s="339">
        <f t="shared" si="9"/>
        <v>4.6584672585765895E-2</v>
      </c>
      <c r="L30" s="316">
        <v>1</v>
      </c>
      <c r="M30" s="316">
        <v>1</v>
      </c>
      <c r="N30" s="340">
        <v>0.10440000000000001</v>
      </c>
      <c r="O30" s="340">
        <v>0.1055</v>
      </c>
      <c r="P30" s="335">
        <f t="shared" si="10"/>
        <v>3.449891706416245E-2</v>
      </c>
      <c r="Q30" s="335">
        <f t="shared" si="11"/>
        <v>0</v>
      </c>
      <c r="R30" s="335">
        <f t="shared" si="12"/>
        <v>5.5000000000000049E-3</v>
      </c>
      <c r="S30" s="376">
        <f t="shared" si="13"/>
        <v>-3.0000000000000859E-4</v>
      </c>
      <c r="T30" s="148"/>
      <c r="U30" s="153"/>
      <c r="V30" s="432"/>
      <c r="W30" s="432"/>
    </row>
    <row r="31" spans="1:25" s="116" customFormat="1" ht="12.95" customHeight="1">
      <c r="A31" s="397">
        <v>23</v>
      </c>
      <c r="B31" s="380" t="s">
        <v>99</v>
      </c>
      <c r="C31" s="381" t="s">
        <v>9</v>
      </c>
      <c r="D31" s="327">
        <v>5250605455.4700003</v>
      </c>
      <c r="E31" s="198">
        <v>5.3699999999999998E-2</v>
      </c>
      <c r="F31" s="316">
        <v>100</v>
      </c>
      <c r="G31" s="316">
        <v>100</v>
      </c>
      <c r="H31" s="340">
        <v>1.1000000000000001E-3</v>
      </c>
      <c r="I31" s="340">
        <v>9.4299999999999995E-2</v>
      </c>
      <c r="J31" s="327">
        <v>5879797445.79</v>
      </c>
      <c r="K31" s="339">
        <f t="shared" si="9"/>
        <v>7.2269130433012755E-3</v>
      </c>
      <c r="L31" s="316">
        <v>100</v>
      </c>
      <c r="M31" s="316">
        <v>100</v>
      </c>
      <c r="N31" s="340">
        <v>1.1000000000000001E-3</v>
      </c>
      <c r="O31" s="340">
        <v>9.4299999999999995E-2</v>
      </c>
      <c r="P31" s="335">
        <f t="shared" si="10"/>
        <v>0.1198322737551185</v>
      </c>
      <c r="Q31" s="335">
        <f t="shared" si="11"/>
        <v>0</v>
      </c>
      <c r="R31" s="335">
        <f t="shared" si="12"/>
        <v>0</v>
      </c>
      <c r="S31" s="376">
        <f t="shared" si="13"/>
        <v>0</v>
      </c>
      <c r="T31" s="148"/>
      <c r="U31" s="117"/>
      <c r="V31" s="435"/>
      <c r="W31" s="435"/>
    </row>
    <row r="32" spans="1:25" s="116" customFormat="1" ht="12.95" customHeight="1">
      <c r="A32" s="387">
        <v>24</v>
      </c>
      <c r="B32" s="380" t="s">
        <v>239</v>
      </c>
      <c r="C32" s="381" t="s">
        <v>7</v>
      </c>
      <c r="D32" s="327">
        <v>11863696748.280001</v>
      </c>
      <c r="E32" s="198">
        <v>6.1269999999999998E-2</v>
      </c>
      <c r="F32" s="316">
        <v>100</v>
      </c>
      <c r="G32" s="316">
        <v>100</v>
      </c>
      <c r="H32" s="340">
        <v>0.1134</v>
      </c>
      <c r="I32" s="340">
        <v>0.1134</v>
      </c>
      <c r="J32" s="327">
        <v>11980549973.41</v>
      </c>
      <c r="K32" s="339">
        <f t="shared" si="9"/>
        <v>1.4725404007029772E-2</v>
      </c>
      <c r="L32" s="316">
        <v>100</v>
      </c>
      <c r="M32" s="316">
        <v>100</v>
      </c>
      <c r="N32" s="340">
        <v>0.1169</v>
      </c>
      <c r="O32" s="340">
        <v>0.1169</v>
      </c>
      <c r="P32" s="335">
        <f t="shared" si="10"/>
        <v>9.8496470037419438E-3</v>
      </c>
      <c r="Q32" s="335">
        <f t="shared" si="11"/>
        <v>0</v>
      </c>
      <c r="R32" s="335">
        <f t="shared" si="12"/>
        <v>3.5000000000000031E-3</v>
      </c>
      <c r="S32" s="376">
        <f t="shared" si="13"/>
        <v>3.5000000000000031E-3</v>
      </c>
      <c r="T32" s="148"/>
      <c r="U32" s="117"/>
      <c r="V32" s="436"/>
      <c r="W32" s="436"/>
    </row>
    <row r="33" spans="1:23" s="116" customFormat="1" ht="12.95" customHeight="1">
      <c r="A33" s="386">
        <v>25</v>
      </c>
      <c r="B33" s="380" t="s">
        <v>91</v>
      </c>
      <c r="C33" s="381" t="s">
        <v>90</v>
      </c>
      <c r="D33" s="327">
        <v>5538913822.2399998</v>
      </c>
      <c r="E33" s="198">
        <v>7.0599999999999996E-2</v>
      </c>
      <c r="F33" s="316">
        <v>100</v>
      </c>
      <c r="G33" s="316">
        <v>100</v>
      </c>
      <c r="H33" s="340">
        <v>9.2600000000000002E-2</v>
      </c>
      <c r="I33" s="340">
        <v>9.2600000000000002E-2</v>
      </c>
      <c r="J33" s="327">
        <v>5759383477.2700005</v>
      </c>
      <c r="K33" s="339">
        <f t="shared" si="9"/>
        <v>7.07891112865778E-3</v>
      </c>
      <c r="L33" s="316">
        <v>100</v>
      </c>
      <c r="M33" s="316">
        <v>100</v>
      </c>
      <c r="N33" s="340">
        <v>9.5699999999999993E-2</v>
      </c>
      <c r="O33" s="340">
        <v>9.5699999999999993E-2</v>
      </c>
      <c r="P33" s="335">
        <f t="shared" si="10"/>
        <v>3.9803770577683452E-2</v>
      </c>
      <c r="Q33" s="335">
        <f t="shared" si="11"/>
        <v>0</v>
      </c>
      <c r="R33" s="335">
        <f t="shared" si="12"/>
        <v>3.0999999999999917E-3</v>
      </c>
      <c r="S33" s="376">
        <f t="shared" si="13"/>
        <v>3.0999999999999917E-3</v>
      </c>
      <c r="T33" s="148"/>
      <c r="U33" s="117"/>
    </row>
    <row r="34" spans="1:23" s="116" customFormat="1" ht="12.95" customHeight="1">
      <c r="A34" s="402">
        <v>26</v>
      </c>
      <c r="B34" s="380" t="s">
        <v>186</v>
      </c>
      <c r="C34" s="381" t="s">
        <v>185</v>
      </c>
      <c r="D34" s="327">
        <v>44514190.369999997</v>
      </c>
      <c r="E34" s="198">
        <v>3.7000000000000002E-3</v>
      </c>
      <c r="F34" s="316">
        <v>100</v>
      </c>
      <c r="G34" s="316">
        <v>100</v>
      </c>
      <c r="H34" s="340">
        <v>8.2400000000000001E-2</v>
      </c>
      <c r="I34" s="340">
        <v>8.2400000000000001E-2</v>
      </c>
      <c r="J34" s="327">
        <v>44514190.369999997</v>
      </c>
      <c r="K34" s="339">
        <f t="shared" si="9"/>
        <v>5.47128002219345E-5</v>
      </c>
      <c r="L34" s="316">
        <v>100</v>
      </c>
      <c r="M34" s="316">
        <v>100</v>
      </c>
      <c r="N34" s="340">
        <v>0</v>
      </c>
      <c r="O34" s="340">
        <v>0</v>
      </c>
      <c r="P34" s="335">
        <f t="shared" si="10"/>
        <v>0</v>
      </c>
      <c r="Q34" s="335">
        <f t="shared" si="11"/>
        <v>0</v>
      </c>
      <c r="R34" s="335">
        <f t="shared" si="12"/>
        <v>-8.2400000000000001E-2</v>
      </c>
      <c r="S34" s="376">
        <f t="shared" si="13"/>
        <v>-8.2400000000000001E-2</v>
      </c>
      <c r="T34" s="151"/>
      <c r="U34" s="163"/>
    </row>
    <row r="35" spans="1:23" s="116" customFormat="1" ht="12.95" customHeight="1">
      <c r="A35" s="397">
        <v>27</v>
      </c>
      <c r="B35" s="380" t="s">
        <v>111</v>
      </c>
      <c r="C35" s="381" t="s">
        <v>274</v>
      </c>
      <c r="D35" s="327">
        <v>4623949433.0600004</v>
      </c>
      <c r="E35" s="198">
        <v>6.3E-2</v>
      </c>
      <c r="F35" s="316">
        <v>1</v>
      </c>
      <c r="G35" s="316">
        <v>1</v>
      </c>
      <c r="H35" s="340">
        <v>9.7000000000000003E-2</v>
      </c>
      <c r="I35" s="340">
        <v>9.7000000000000003E-2</v>
      </c>
      <c r="J35" s="327">
        <v>4726651313.3299999</v>
      </c>
      <c r="K35" s="339">
        <f t="shared" si="9"/>
        <v>5.8095705408865699E-3</v>
      </c>
      <c r="L35" s="316">
        <v>1</v>
      </c>
      <c r="M35" s="316">
        <v>1</v>
      </c>
      <c r="N35" s="340">
        <v>9.4E-2</v>
      </c>
      <c r="O35" s="340">
        <v>9.4E-2</v>
      </c>
      <c r="P35" s="335">
        <f t="shared" si="10"/>
        <v>2.2210857137776759E-2</v>
      </c>
      <c r="Q35" s="335">
        <f t="shared" si="11"/>
        <v>0</v>
      </c>
      <c r="R35" s="335">
        <f t="shared" si="12"/>
        <v>-3.0000000000000027E-3</v>
      </c>
      <c r="S35" s="376">
        <f t="shared" si="13"/>
        <v>-3.0000000000000027E-3</v>
      </c>
      <c r="T35" s="164"/>
      <c r="U35" s="117"/>
      <c r="V35" s="432"/>
      <c r="W35" s="432"/>
    </row>
    <row r="36" spans="1:23" s="116" customFormat="1" ht="12.95" customHeight="1">
      <c r="A36" s="387">
        <v>28</v>
      </c>
      <c r="B36" s="380" t="s">
        <v>103</v>
      </c>
      <c r="C36" s="381" t="s">
        <v>101</v>
      </c>
      <c r="D36" s="327">
        <v>12179909900.700001</v>
      </c>
      <c r="E36" s="198">
        <v>4.5100000000000001E-2</v>
      </c>
      <c r="F36" s="70">
        <v>100</v>
      </c>
      <c r="G36" s="70">
        <v>100</v>
      </c>
      <c r="H36" s="340">
        <v>1.8E-3</v>
      </c>
      <c r="I36" s="340">
        <v>2.6499999999999999E-2</v>
      </c>
      <c r="J36" s="327">
        <v>12233470293.200001</v>
      </c>
      <c r="K36" s="339">
        <f t="shared" si="9"/>
        <v>1.5036270695016623E-2</v>
      </c>
      <c r="L36" s="70">
        <v>100</v>
      </c>
      <c r="M36" s="70">
        <v>100</v>
      </c>
      <c r="N36" s="340">
        <v>1.8E-3</v>
      </c>
      <c r="O36" s="340">
        <v>2.8299999999999999E-2</v>
      </c>
      <c r="P36" s="335">
        <f t="shared" si="10"/>
        <v>4.3974374963908222E-3</v>
      </c>
      <c r="Q36" s="335">
        <f t="shared" si="11"/>
        <v>0</v>
      </c>
      <c r="R36" s="335">
        <f t="shared" si="12"/>
        <v>0</v>
      </c>
      <c r="S36" s="376">
        <f t="shared" si="13"/>
        <v>1.7999999999999995E-3</v>
      </c>
      <c r="T36" s="148"/>
      <c r="U36" s="126"/>
    </row>
    <row r="37" spans="1:23" s="116" customFormat="1" ht="12.95" customHeight="1">
      <c r="A37" s="387">
        <v>29</v>
      </c>
      <c r="B37" s="380" t="s">
        <v>102</v>
      </c>
      <c r="C37" s="381" t="s">
        <v>101</v>
      </c>
      <c r="D37" s="327">
        <v>431349439.44</v>
      </c>
      <c r="E37" s="198">
        <v>5.2900000000000003E-2</v>
      </c>
      <c r="F37" s="70">
        <v>1000000</v>
      </c>
      <c r="G37" s="70">
        <v>1000000</v>
      </c>
      <c r="H37" s="340">
        <v>2.3999999999999998E-3</v>
      </c>
      <c r="I37" s="340">
        <v>2.81E-2</v>
      </c>
      <c r="J37" s="327">
        <v>421161670.00999999</v>
      </c>
      <c r="K37" s="339">
        <f t="shared" si="9"/>
        <v>5.1765367674581008E-4</v>
      </c>
      <c r="L37" s="70">
        <v>1000000</v>
      </c>
      <c r="M37" s="70">
        <v>1000000</v>
      </c>
      <c r="N37" s="340">
        <v>1.9E-3</v>
      </c>
      <c r="O37" s="340">
        <v>0.03</v>
      </c>
      <c r="P37" s="335">
        <f t="shared" si="10"/>
        <v>-2.3618367148514886E-2</v>
      </c>
      <c r="Q37" s="335">
        <f t="shared" si="11"/>
        <v>0</v>
      </c>
      <c r="R37" s="335">
        <f t="shared" si="12"/>
        <v>-4.9999999999999979E-4</v>
      </c>
      <c r="S37" s="376">
        <f t="shared" si="13"/>
        <v>1.8999999999999989E-3</v>
      </c>
      <c r="T37" s="148"/>
      <c r="U37" s="127"/>
    </row>
    <row r="38" spans="1:23" s="116" customFormat="1" ht="12.95" customHeight="1">
      <c r="A38" s="401">
        <v>30</v>
      </c>
      <c r="B38" s="380" t="s">
        <v>176</v>
      </c>
      <c r="C38" s="381" t="s">
        <v>175</v>
      </c>
      <c r="D38" s="327">
        <v>1387569275.3900001</v>
      </c>
      <c r="E38" s="198">
        <v>9.0300000000000005E-2</v>
      </c>
      <c r="F38" s="316">
        <v>1</v>
      </c>
      <c r="G38" s="316">
        <v>1</v>
      </c>
      <c r="H38" s="340">
        <v>0.1283</v>
      </c>
      <c r="I38" s="340">
        <v>0.1283</v>
      </c>
      <c r="J38" s="327">
        <v>1406729107.5799999</v>
      </c>
      <c r="K38" s="339">
        <f t="shared" si="9"/>
        <v>1.7290236661537813E-3</v>
      </c>
      <c r="L38" s="316">
        <v>1</v>
      </c>
      <c r="M38" s="316">
        <v>1</v>
      </c>
      <c r="N38" s="340">
        <v>0.1263</v>
      </c>
      <c r="O38" s="340">
        <v>0.1263</v>
      </c>
      <c r="P38" s="335">
        <f t="shared" si="10"/>
        <v>1.3808198646236686E-2</v>
      </c>
      <c r="Q38" s="335">
        <f t="shared" si="11"/>
        <v>0</v>
      </c>
      <c r="R38" s="335">
        <f t="shared" si="12"/>
        <v>-2.0000000000000018E-3</v>
      </c>
      <c r="S38" s="376">
        <f t="shared" si="13"/>
        <v>-2.0000000000000018E-3</v>
      </c>
      <c r="T38" s="148"/>
      <c r="U38" s="126"/>
    </row>
    <row r="39" spans="1:23" s="116" customFormat="1" ht="12.95" customHeight="1">
      <c r="A39" s="397">
        <v>31</v>
      </c>
      <c r="B39" s="380" t="s">
        <v>285</v>
      </c>
      <c r="C39" s="381" t="s">
        <v>138</v>
      </c>
      <c r="D39" s="327">
        <v>275337983.68000001</v>
      </c>
      <c r="E39" s="339">
        <f>(D39/$J$54)</f>
        <v>3.384204445678679E-4</v>
      </c>
      <c r="F39" s="316">
        <v>1</v>
      </c>
      <c r="G39" s="316">
        <v>1</v>
      </c>
      <c r="H39" s="326">
        <v>7.1599999999999997E-2</v>
      </c>
      <c r="I39" s="326">
        <v>7.1599999999999997E-2</v>
      </c>
      <c r="J39" s="327">
        <v>272271411.38999999</v>
      </c>
      <c r="K39" s="339">
        <f t="shared" si="9"/>
        <v>3.3465129240146198E-4</v>
      </c>
      <c r="L39" s="316">
        <v>1</v>
      </c>
      <c r="M39" s="316">
        <v>1</v>
      </c>
      <c r="N39" s="326">
        <v>7.1099999999999997E-2</v>
      </c>
      <c r="O39" s="326">
        <v>7.1099999999999997E-2</v>
      </c>
      <c r="P39" s="335">
        <f t="shared" si="10"/>
        <v>-1.1137483644697624E-2</v>
      </c>
      <c r="Q39" s="335">
        <f t="shared" si="11"/>
        <v>0</v>
      </c>
      <c r="R39" s="335">
        <f t="shared" si="12"/>
        <v>-5.0000000000000044E-4</v>
      </c>
      <c r="S39" s="376">
        <f t="shared" si="13"/>
        <v>-5.0000000000000044E-4</v>
      </c>
      <c r="T39" s="148"/>
      <c r="U39" s="126"/>
      <c r="V39" s="128"/>
    </row>
    <row r="40" spans="1:23" s="116" customFormat="1" ht="12.95" customHeight="1">
      <c r="A40" s="387">
        <v>32</v>
      </c>
      <c r="B40" s="380" t="s">
        <v>14</v>
      </c>
      <c r="C40" s="381" t="s">
        <v>192</v>
      </c>
      <c r="D40" s="327">
        <v>190601254188.38</v>
      </c>
      <c r="E40" s="198">
        <v>6.2600000000000003E-2</v>
      </c>
      <c r="F40" s="316">
        <v>100</v>
      </c>
      <c r="G40" s="316">
        <v>100</v>
      </c>
      <c r="H40" s="340">
        <v>-1.01E-2</v>
      </c>
      <c r="I40" s="340">
        <v>0.1075</v>
      </c>
      <c r="J40" s="327">
        <v>191364530207.37</v>
      </c>
      <c r="K40" s="339">
        <f t="shared" si="9"/>
        <v>0.23520790165502869</v>
      </c>
      <c r="L40" s="316">
        <v>100</v>
      </c>
      <c r="M40" s="316">
        <v>100</v>
      </c>
      <c r="N40" s="340">
        <v>1.0200000000000001E-2</v>
      </c>
      <c r="O40" s="340">
        <v>0.10879999999999999</v>
      </c>
      <c r="P40" s="335">
        <f t="shared" si="10"/>
        <v>4.0045697613070759E-3</v>
      </c>
      <c r="Q40" s="335">
        <f t="shared" si="11"/>
        <v>0</v>
      </c>
      <c r="R40" s="335">
        <f t="shared" si="12"/>
        <v>2.0299999999999999E-2</v>
      </c>
      <c r="S40" s="376">
        <f t="shared" si="13"/>
        <v>1.2999999999999956E-3</v>
      </c>
      <c r="T40" s="158"/>
      <c r="U40" s="437"/>
      <c r="V40" s="191"/>
    </row>
    <row r="41" spans="1:23" s="116" customFormat="1" ht="12.95" customHeight="1">
      <c r="A41" s="399">
        <v>33</v>
      </c>
      <c r="B41" s="380" t="s">
        <v>126</v>
      </c>
      <c r="C41" s="381" t="s">
        <v>182</v>
      </c>
      <c r="D41" s="327">
        <v>564368553.01999986</v>
      </c>
      <c r="E41" s="198">
        <v>4.9799999999999997E-2</v>
      </c>
      <c r="F41" s="316">
        <v>10</v>
      </c>
      <c r="G41" s="316">
        <v>10</v>
      </c>
      <c r="H41" s="340">
        <v>2.2000000000000001E-3</v>
      </c>
      <c r="I41" s="340">
        <v>3.1E-2</v>
      </c>
      <c r="J41" s="327">
        <v>566052668.36000001</v>
      </c>
      <c r="K41" s="339">
        <f t="shared" si="9"/>
        <v>6.9574053356131224E-4</v>
      </c>
      <c r="L41" s="316">
        <v>10</v>
      </c>
      <c r="M41" s="316">
        <v>10</v>
      </c>
      <c r="N41" s="340">
        <v>2.3E-3</v>
      </c>
      <c r="O41" s="340">
        <v>3.2800000000000003E-2</v>
      </c>
      <c r="P41" s="113">
        <f t="shared" si="10"/>
        <v>2.9840701275580667E-3</v>
      </c>
      <c r="Q41" s="335">
        <f t="shared" si="11"/>
        <v>0</v>
      </c>
      <c r="R41" s="335">
        <f t="shared" si="12"/>
        <v>9.9999999999999829E-5</v>
      </c>
      <c r="S41" s="376">
        <f t="shared" si="13"/>
        <v>1.800000000000003E-3</v>
      </c>
      <c r="T41" s="160"/>
      <c r="U41" s="437"/>
      <c r="V41" s="191"/>
    </row>
    <row r="42" spans="1:23" s="116" customFormat="1" ht="12.95" customHeight="1">
      <c r="A42" s="399">
        <v>34</v>
      </c>
      <c r="B42" s="380" t="s">
        <v>88</v>
      </c>
      <c r="C42" s="381" t="s">
        <v>89</v>
      </c>
      <c r="D42" s="327">
        <v>1989076260.7164867</v>
      </c>
      <c r="E42" s="198">
        <v>4.2599999999999999E-2</v>
      </c>
      <c r="F42" s="316">
        <v>100</v>
      </c>
      <c r="G42" s="316">
        <v>100</v>
      </c>
      <c r="H42" s="340">
        <v>7.0400000000000004E-2</v>
      </c>
      <c r="I42" s="340">
        <v>8.5900000000000004E-2</v>
      </c>
      <c r="J42" s="327">
        <v>1993015380.4723482</v>
      </c>
      <c r="K42" s="339">
        <f t="shared" si="9"/>
        <v>2.4496335088802462E-3</v>
      </c>
      <c r="L42" s="316">
        <v>100</v>
      </c>
      <c r="M42" s="316">
        <v>100</v>
      </c>
      <c r="N42" s="340">
        <v>8.0399999999999999E-2</v>
      </c>
      <c r="O42" s="340">
        <v>7.9000000000000001E-2</v>
      </c>
      <c r="P42" s="335">
        <f t="shared" si="10"/>
        <v>1.9803764358650622E-3</v>
      </c>
      <c r="Q42" s="335">
        <f t="shared" si="11"/>
        <v>0</v>
      </c>
      <c r="R42" s="335">
        <f t="shared" si="12"/>
        <v>9.999999999999995E-3</v>
      </c>
      <c r="S42" s="376">
        <f t="shared" si="13"/>
        <v>-6.9000000000000034E-3</v>
      </c>
      <c r="T42" s="151"/>
      <c r="U42" s="126"/>
    </row>
    <row r="43" spans="1:23" s="116" customFormat="1" ht="12.95" customHeight="1">
      <c r="A43" s="387">
        <v>35</v>
      </c>
      <c r="B43" s="380" t="s">
        <v>125</v>
      </c>
      <c r="C43" s="381" t="s">
        <v>137</v>
      </c>
      <c r="D43" s="327">
        <v>3518153364.8099999</v>
      </c>
      <c r="E43" s="198">
        <v>4.8399999999999999E-2</v>
      </c>
      <c r="F43" s="316">
        <v>1</v>
      </c>
      <c r="G43" s="316">
        <v>1</v>
      </c>
      <c r="H43" s="340">
        <v>-1.5800000000000002E-2</v>
      </c>
      <c r="I43" s="340">
        <v>8.0799999999999997E-2</v>
      </c>
      <c r="J43" s="327">
        <v>3385593879.98</v>
      </c>
      <c r="K43" s="339">
        <f t="shared" si="9"/>
        <v>4.1612645326868118E-3</v>
      </c>
      <c r="L43" s="316">
        <v>1</v>
      </c>
      <c r="M43" s="316">
        <v>1</v>
      </c>
      <c r="N43" s="340">
        <v>-1.5800000000000002E-2</v>
      </c>
      <c r="O43" s="340">
        <v>7.9500000000000001E-2</v>
      </c>
      <c r="P43" s="113">
        <f t="shared" si="10"/>
        <v>-3.7678711268222066E-2</v>
      </c>
      <c r="Q43" s="113">
        <f t="shared" si="11"/>
        <v>0</v>
      </c>
      <c r="R43" s="335">
        <f t="shared" si="12"/>
        <v>0</v>
      </c>
      <c r="S43" s="376">
        <f t="shared" si="13"/>
        <v>-1.2999999999999956E-3</v>
      </c>
      <c r="T43" s="148"/>
      <c r="U43" s="165"/>
      <c r="V43" s="191"/>
    </row>
    <row r="44" spans="1:23" s="116" customFormat="1" ht="12.95" customHeight="1">
      <c r="A44" s="387">
        <v>36</v>
      </c>
      <c r="B44" s="380" t="s">
        <v>56</v>
      </c>
      <c r="C44" s="381" t="s">
        <v>55</v>
      </c>
      <c r="D44" s="322">
        <v>2413724439.21</v>
      </c>
      <c r="E44" s="198">
        <v>6.4500000000000002E-2</v>
      </c>
      <c r="F44" s="316">
        <v>10</v>
      </c>
      <c r="G44" s="316">
        <v>10</v>
      </c>
      <c r="H44" s="340">
        <v>0.1188</v>
      </c>
      <c r="I44" s="340">
        <v>0.1188</v>
      </c>
      <c r="J44" s="322">
        <v>2402197227.46</v>
      </c>
      <c r="K44" s="339">
        <f t="shared" si="9"/>
        <v>2.9525626751212533E-3</v>
      </c>
      <c r="L44" s="316">
        <v>10</v>
      </c>
      <c r="M44" s="316">
        <v>10</v>
      </c>
      <c r="N44" s="340">
        <v>0.1216</v>
      </c>
      <c r="O44" s="340">
        <v>0.1216</v>
      </c>
      <c r="P44" s="335">
        <f t="shared" si="10"/>
        <v>-4.7756950059190681E-3</v>
      </c>
      <c r="Q44" s="335">
        <f t="shared" si="11"/>
        <v>0</v>
      </c>
      <c r="R44" s="335">
        <f t="shared" si="12"/>
        <v>2.7999999999999969E-3</v>
      </c>
      <c r="S44" s="376">
        <f t="shared" si="13"/>
        <v>2.7999999999999969E-3</v>
      </c>
      <c r="T44" s="148"/>
      <c r="U44" s="165"/>
      <c r="V44" s="191"/>
    </row>
    <row r="45" spans="1:23" s="116" customFormat="1" ht="12.95" customHeight="1">
      <c r="A45" s="387">
        <v>37</v>
      </c>
      <c r="B45" s="380" t="s">
        <v>195</v>
      </c>
      <c r="C45" s="381" t="s">
        <v>179</v>
      </c>
      <c r="D45" s="327">
        <v>3374386717.5100002</v>
      </c>
      <c r="E45" s="198">
        <v>7.8700000000000006E-2</v>
      </c>
      <c r="F45" s="316">
        <v>100</v>
      </c>
      <c r="G45" s="316">
        <v>100</v>
      </c>
      <c r="H45" s="340">
        <v>0.1132</v>
      </c>
      <c r="I45" s="340">
        <v>3.1199999999999999E-2</v>
      </c>
      <c r="J45" s="327">
        <v>3423385900.6399999</v>
      </c>
      <c r="K45" s="339">
        <f t="shared" si="9"/>
        <v>4.2077150523787826E-3</v>
      </c>
      <c r="L45" s="316">
        <v>100</v>
      </c>
      <c r="M45" s="316">
        <v>100</v>
      </c>
      <c r="N45" s="340">
        <v>0.1113</v>
      </c>
      <c r="O45" s="340">
        <v>3.2399999999999998E-2</v>
      </c>
      <c r="P45" s="335">
        <f t="shared" si="10"/>
        <v>1.4520915126810573E-2</v>
      </c>
      <c r="Q45" s="335">
        <f t="shared" si="11"/>
        <v>0</v>
      </c>
      <c r="R45" s="335">
        <f t="shared" si="12"/>
        <v>-1.8999999999999989E-3</v>
      </c>
      <c r="S45" s="376">
        <f t="shared" si="13"/>
        <v>1.1999999999999997E-3</v>
      </c>
      <c r="T45" s="148"/>
      <c r="U45" s="126"/>
    </row>
    <row r="46" spans="1:23" s="116" customFormat="1" ht="12.95" customHeight="1">
      <c r="A46" s="387">
        <v>38</v>
      </c>
      <c r="B46" s="380" t="s">
        <v>167</v>
      </c>
      <c r="C46" s="381" t="s">
        <v>165</v>
      </c>
      <c r="D46" s="327">
        <v>138309794.72</v>
      </c>
      <c r="E46" s="198">
        <v>2.9985000000000001E-2</v>
      </c>
      <c r="F46" s="316">
        <v>1</v>
      </c>
      <c r="G46" s="316">
        <v>1</v>
      </c>
      <c r="H46" s="340">
        <v>8.5000000000000006E-2</v>
      </c>
      <c r="I46" s="340">
        <v>0</v>
      </c>
      <c r="J46" s="327">
        <v>138309794.56999999</v>
      </c>
      <c r="K46" s="339">
        <f t="shared" si="9"/>
        <v>1.6999783880479485E-4</v>
      </c>
      <c r="L46" s="316">
        <v>1</v>
      </c>
      <c r="M46" s="316">
        <v>1</v>
      </c>
      <c r="N46" s="340">
        <v>8.5000000000000006E-2</v>
      </c>
      <c r="O46" s="340">
        <v>8.5000000000000006E-2</v>
      </c>
      <c r="P46" s="335">
        <f t="shared" si="10"/>
        <v>-1.0845219332740001E-9</v>
      </c>
      <c r="Q46" s="335">
        <f t="shared" si="11"/>
        <v>0</v>
      </c>
      <c r="R46" s="335">
        <f t="shared" si="12"/>
        <v>0</v>
      </c>
      <c r="S46" s="376">
        <f t="shared" si="13"/>
        <v>8.5000000000000006E-2</v>
      </c>
      <c r="T46" s="148"/>
      <c r="U46" s="126"/>
    </row>
    <row r="47" spans="1:23" s="116" customFormat="1" ht="12.95" customHeight="1">
      <c r="A47" s="387">
        <v>39</v>
      </c>
      <c r="B47" s="380" t="s">
        <v>97</v>
      </c>
      <c r="C47" s="381" t="s">
        <v>92</v>
      </c>
      <c r="D47" s="322">
        <v>690526572.61000001</v>
      </c>
      <c r="E47" s="198">
        <v>6.6600000000000006E-2</v>
      </c>
      <c r="F47" s="316">
        <v>10</v>
      </c>
      <c r="G47" s="316">
        <v>10</v>
      </c>
      <c r="H47" s="340">
        <v>2.9600000000000001E-2</v>
      </c>
      <c r="I47" s="340">
        <v>0.1082</v>
      </c>
      <c r="J47" s="322">
        <v>664723800.10000002</v>
      </c>
      <c r="K47" s="339">
        <f t="shared" si="9"/>
        <v>8.1701812782260491E-4</v>
      </c>
      <c r="L47" s="316">
        <v>10</v>
      </c>
      <c r="M47" s="316">
        <v>10</v>
      </c>
      <c r="N47" s="340">
        <v>2.9643835616438356E-2</v>
      </c>
      <c r="O47" s="340">
        <v>0.1129</v>
      </c>
      <c r="P47" s="335">
        <f t="shared" si="10"/>
        <v>-3.7366806048422768E-2</v>
      </c>
      <c r="Q47" s="335">
        <f t="shared" si="11"/>
        <v>0</v>
      </c>
      <c r="R47" s="335">
        <f t="shared" si="12"/>
        <v>4.3835616438354236E-5</v>
      </c>
      <c r="S47" s="376">
        <f t="shared" si="13"/>
        <v>4.6999999999999958E-3</v>
      </c>
      <c r="T47" s="158"/>
      <c r="U47" s="126"/>
    </row>
    <row r="48" spans="1:23" s="116" customFormat="1" ht="12.95" customHeight="1">
      <c r="A48" s="399">
        <v>40</v>
      </c>
      <c r="B48" s="380" t="s">
        <v>34</v>
      </c>
      <c r="C48" s="381" t="s">
        <v>5</v>
      </c>
      <c r="D48" s="327">
        <v>363019503293.75</v>
      </c>
      <c r="E48" s="198">
        <v>3.6200000000000003E-2</v>
      </c>
      <c r="F48" s="316">
        <v>100</v>
      </c>
      <c r="G48" s="316">
        <v>100</v>
      </c>
      <c r="H48" s="340">
        <v>9.3799999999999994E-2</v>
      </c>
      <c r="I48" s="340">
        <v>9.3799999999999994E-2</v>
      </c>
      <c r="J48" s="327">
        <v>361737432365.97998</v>
      </c>
      <c r="K48" s="339">
        <f t="shared" si="9"/>
        <v>0.44461480047885699</v>
      </c>
      <c r="L48" s="316">
        <v>100</v>
      </c>
      <c r="M48" s="316">
        <v>100</v>
      </c>
      <c r="N48" s="340">
        <v>9.0399999999999994E-2</v>
      </c>
      <c r="O48" s="340">
        <v>9.0399999999999994E-2</v>
      </c>
      <c r="P48" s="335">
        <f t="shared" si="10"/>
        <v>-3.5316860833578597E-3</v>
      </c>
      <c r="Q48" s="335">
        <f t="shared" si="11"/>
        <v>0</v>
      </c>
      <c r="R48" s="335">
        <f t="shared" si="12"/>
        <v>-3.4000000000000002E-3</v>
      </c>
      <c r="S48" s="376">
        <f t="shared" si="13"/>
        <v>-3.4000000000000002E-3</v>
      </c>
      <c r="T48" s="158"/>
      <c r="U48" s="126"/>
    </row>
    <row r="49" spans="1:23" s="116" customFormat="1" ht="12.95" customHeight="1">
      <c r="A49" s="387">
        <v>41</v>
      </c>
      <c r="B49" s="380" t="s">
        <v>155</v>
      </c>
      <c r="C49" s="381" t="s">
        <v>154</v>
      </c>
      <c r="D49" s="327">
        <v>1117767309.04</v>
      </c>
      <c r="E49" s="198">
        <v>5.3145060299999998E-2</v>
      </c>
      <c r="F49" s="316">
        <v>1</v>
      </c>
      <c r="G49" s="316">
        <v>1</v>
      </c>
      <c r="H49" s="340">
        <v>0.12556020912077856</v>
      </c>
      <c r="I49" s="340">
        <v>0.12556020912077856</v>
      </c>
      <c r="J49" s="327">
        <v>1171643511.78</v>
      </c>
      <c r="K49" s="339">
        <f t="shared" si="9"/>
        <v>1.4400778012250951E-3</v>
      </c>
      <c r="L49" s="316">
        <v>1</v>
      </c>
      <c r="M49" s="316">
        <v>1</v>
      </c>
      <c r="N49" s="340">
        <v>0.13404910368364212</v>
      </c>
      <c r="O49" s="340">
        <v>0.13404910368364212</v>
      </c>
      <c r="P49" s="335">
        <f t="shared" si="10"/>
        <v>4.8199837572877179E-2</v>
      </c>
      <c r="Q49" s="335">
        <f t="shared" si="11"/>
        <v>0</v>
      </c>
      <c r="R49" s="335">
        <f t="shared" si="12"/>
        <v>8.4888945628635581E-3</v>
      </c>
      <c r="S49" s="376">
        <f t="shared" si="13"/>
        <v>8.4888945628635581E-3</v>
      </c>
      <c r="T49" s="148"/>
      <c r="U49" s="126"/>
    </row>
    <row r="50" spans="1:23" s="116" customFormat="1" ht="12.95" customHeight="1">
      <c r="A50" s="387">
        <v>42</v>
      </c>
      <c r="B50" s="380" t="s">
        <v>78</v>
      </c>
      <c r="C50" s="381" t="s">
        <v>41</v>
      </c>
      <c r="D50" s="327">
        <v>44757079119.07</v>
      </c>
      <c r="E50" s="198">
        <v>5.2600000000000001E-2</v>
      </c>
      <c r="F50" s="316">
        <v>1</v>
      </c>
      <c r="G50" s="316">
        <v>1</v>
      </c>
      <c r="H50" s="340">
        <v>9.6699999999999994E-2</v>
      </c>
      <c r="I50" s="340">
        <v>9.6699999999999994E-2</v>
      </c>
      <c r="J50" s="327">
        <v>44528210991.18</v>
      </c>
      <c r="K50" s="339">
        <f t="shared" si="9"/>
        <v>5.4730033096198477E-2</v>
      </c>
      <c r="L50" s="316">
        <v>1</v>
      </c>
      <c r="M50" s="316">
        <v>1</v>
      </c>
      <c r="N50" s="340">
        <v>9.8799999999999999E-2</v>
      </c>
      <c r="O50" s="340">
        <v>9.8799999999999999E-2</v>
      </c>
      <c r="P50" s="335">
        <f t="shared" si="10"/>
        <v>-5.1135626451656391E-3</v>
      </c>
      <c r="Q50" s="335">
        <f t="shared" si="11"/>
        <v>0</v>
      </c>
      <c r="R50" s="335">
        <f t="shared" si="12"/>
        <v>2.1000000000000046E-3</v>
      </c>
      <c r="S50" s="376">
        <f t="shared" si="13"/>
        <v>2.1000000000000046E-3</v>
      </c>
      <c r="T50" s="148"/>
      <c r="U50" s="126"/>
    </row>
    <row r="51" spans="1:23" s="116" customFormat="1" ht="12.95" customHeight="1">
      <c r="A51" s="399">
        <v>43</v>
      </c>
      <c r="B51" s="380" t="s">
        <v>164</v>
      </c>
      <c r="C51" s="381" t="s">
        <v>109</v>
      </c>
      <c r="D51" s="327">
        <v>1386446347.23</v>
      </c>
      <c r="E51" s="198">
        <v>6.4199999999999993E-2</v>
      </c>
      <c r="F51" s="316">
        <v>1</v>
      </c>
      <c r="G51" s="316">
        <v>1</v>
      </c>
      <c r="H51" s="340">
        <v>6.6400000000000001E-2</v>
      </c>
      <c r="I51" s="340">
        <v>6.6400000000000001E-2</v>
      </c>
      <c r="J51" s="327">
        <v>1384878578.6400001</v>
      </c>
      <c r="K51" s="339">
        <f t="shared" si="9"/>
        <v>1.7021669803486295E-3</v>
      </c>
      <c r="L51" s="316">
        <v>1</v>
      </c>
      <c r="M51" s="316">
        <v>1</v>
      </c>
      <c r="N51" s="340">
        <v>6.7599999999999993E-2</v>
      </c>
      <c r="O51" s="340">
        <v>6.7599999999999993E-2</v>
      </c>
      <c r="P51" s="335">
        <f t="shared" si="10"/>
        <v>-1.1307820119633048E-3</v>
      </c>
      <c r="Q51" s="335">
        <f t="shared" si="11"/>
        <v>0</v>
      </c>
      <c r="R51" s="335">
        <f t="shared" si="12"/>
        <v>1.1999999999999927E-3</v>
      </c>
      <c r="S51" s="376">
        <f t="shared" si="13"/>
        <v>1.1999999999999927E-3</v>
      </c>
      <c r="T51" s="91"/>
      <c r="U51" s="126"/>
    </row>
    <row r="52" spans="1:23" s="116" customFormat="1" ht="12.95" customHeight="1">
      <c r="A52" s="387">
        <v>44</v>
      </c>
      <c r="B52" s="380" t="s">
        <v>136</v>
      </c>
      <c r="C52" s="381" t="s">
        <v>38</v>
      </c>
      <c r="D52" s="327">
        <v>808988012.13</v>
      </c>
      <c r="E52" s="198">
        <v>2.2200000000000001E-2</v>
      </c>
      <c r="F52" s="316">
        <v>1</v>
      </c>
      <c r="G52" s="316">
        <v>1</v>
      </c>
      <c r="H52" s="340">
        <v>9.9299999999999999E-2</v>
      </c>
      <c r="I52" s="340">
        <v>9.9299999999999999E-2</v>
      </c>
      <c r="J52" s="327">
        <v>829094220.49000001</v>
      </c>
      <c r="K52" s="339">
        <f t="shared" si="9"/>
        <v>1.0190473211751662E-3</v>
      </c>
      <c r="L52" s="316">
        <v>1</v>
      </c>
      <c r="M52" s="316">
        <v>1</v>
      </c>
      <c r="N52" s="340">
        <v>9.6600000000000005E-2</v>
      </c>
      <c r="O52" s="340">
        <v>9.6600000000000005E-2</v>
      </c>
      <c r="P52" s="335">
        <f t="shared" si="10"/>
        <v>2.4853530656235554E-2</v>
      </c>
      <c r="Q52" s="335">
        <f t="shared" si="11"/>
        <v>0</v>
      </c>
      <c r="R52" s="335">
        <f t="shared" si="12"/>
        <v>-2.6999999999999941E-3</v>
      </c>
      <c r="S52" s="376">
        <f t="shared" si="13"/>
        <v>-2.6999999999999941E-3</v>
      </c>
      <c r="U52" s="126"/>
    </row>
    <row r="53" spans="1:23" s="116" customFormat="1" ht="12.95" customHeight="1">
      <c r="A53" s="397">
        <v>45</v>
      </c>
      <c r="B53" s="380" t="s">
        <v>115</v>
      </c>
      <c r="C53" s="381" t="s">
        <v>12</v>
      </c>
      <c r="D53" s="327">
        <v>20411464492.68</v>
      </c>
      <c r="E53" s="198">
        <v>5.9200000000000003E-2</v>
      </c>
      <c r="F53" s="316">
        <v>1</v>
      </c>
      <c r="G53" s="316">
        <v>1</v>
      </c>
      <c r="H53" s="340">
        <v>9.8100000000000007E-2</v>
      </c>
      <c r="I53" s="340">
        <v>9.8100000000000007E-2</v>
      </c>
      <c r="J53" s="327">
        <v>20789967665.41</v>
      </c>
      <c r="K53" s="339">
        <f t="shared" si="9"/>
        <v>2.5553140201886041E-2</v>
      </c>
      <c r="L53" s="316">
        <v>1</v>
      </c>
      <c r="M53" s="316">
        <v>1</v>
      </c>
      <c r="N53" s="340">
        <v>9.8199999999999996E-2</v>
      </c>
      <c r="O53" s="340">
        <v>9.8199999999999996E-2</v>
      </c>
      <c r="P53" s="335">
        <f t="shared" si="10"/>
        <v>1.8543655839380811E-2</v>
      </c>
      <c r="Q53" s="335">
        <f t="shared" si="11"/>
        <v>0</v>
      </c>
      <c r="R53" s="335">
        <f t="shared" si="12"/>
        <v>9.9999999999988987E-5</v>
      </c>
      <c r="S53" s="376">
        <f t="shared" si="13"/>
        <v>9.9999999999988987E-5</v>
      </c>
      <c r="T53" s="166"/>
      <c r="U53" s="126"/>
    </row>
    <row r="54" spans="1:23" s="116" customFormat="1" ht="12.95" customHeight="1">
      <c r="A54" s="220"/>
      <c r="C54" s="250" t="s">
        <v>42</v>
      </c>
      <c r="D54" s="77">
        <f>SUM(D25:D53)</f>
        <v>809389465815.42651</v>
      </c>
      <c r="E54" s="268">
        <f>(D54/$D$167)</f>
        <v>0.5105249173091555</v>
      </c>
      <c r="F54" s="270"/>
      <c r="G54" s="74"/>
      <c r="H54" s="286"/>
      <c r="I54" s="286"/>
      <c r="J54" s="77">
        <f>SUM(J25:J53)</f>
        <v>813597370074.91248</v>
      </c>
      <c r="K54" s="268">
        <f>(J54/$J$167)</f>
        <v>0.51173698123717837</v>
      </c>
      <c r="L54" s="270"/>
      <c r="M54" s="74"/>
      <c r="N54" s="286"/>
      <c r="O54" s="286"/>
      <c r="P54" s="272">
        <f t="shared" ref="P54" si="14">((J54-D54)/D54)</f>
        <v>5.1988621512965598E-3</v>
      </c>
      <c r="Q54" s="272"/>
      <c r="R54" s="272">
        <f t="shared" ref="R54:S54" si="15">N54-H54</f>
        <v>0</v>
      </c>
      <c r="S54" s="376">
        <f t="shared" si="15"/>
        <v>0</v>
      </c>
    </row>
    <row r="55" spans="1:23" s="116" customFormat="1" ht="4.5" customHeight="1">
      <c r="A55" s="411"/>
      <c r="B55" s="412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4"/>
    </row>
    <row r="56" spans="1:23" s="116" customFormat="1" ht="12.95" customHeight="1">
      <c r="A56" s="407" t="s">
        <v>286</v>
      </c>
      <c r="B56" s="408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10"/>
      <c r="V56" s="128"/>
      <c r="W56" s="129"/>
    </row>
    <row r="57" spans="1:23" s="116" customFormat="1" ht="12.95" customHeight="1">
      <c r="A57" s="397">
        <v>46</v>
      </c>
      <c r="B57" s="380" t="s">
        <v>143</v>
      </c>
      <c r="C57" s="381" t="s">
        <v>140</v>
      </c>
      <c r="D57" s="332">
        <v>434667650.29000002</v>
      </c>
      <c r="E57" s="339">
        <f>(D57/$D$87)</f>
        <v>1.338898791650217E-3</v>
      </c>
      <c r="F57" s="333">
        <v>1.2517</v>
      </c>
      <c r="G57" s="333">
        <v>1.2517</v>
      </c>
      <c r="H57" s="340">
        <v>-7.4400000000000004E-3</v>
      </c>
      <c r="I57" s="340">
        <v>1.67E-2</v>
      </c>
      <c r="J57" s="332">
        <v>435935264.88999999</v>
      </c>
      <c r="K57" s="339">
        <f t="shared" ref="K57:K76" si="16">(J57/$J$87)</f>
        <v>1.3399965131501651E-3</v>
      </c>
      <c r="L57" s="333">
        <v>1.2535000000000001</v>
      </c>
      <c r="M57" s="333">
        <v>1.2535000000000001</v>
      </c>
      <c r="N57" s="340">
        <v>2.6380000000000002E-3</v>
      </c>
      <c r="O57" s="340">
        <v>1.8100000000000002E-2</v>
      </c>
      <c r="P57" s="335">
        <v>-8.3999999999999995E-5</v>
      </c>
      <c r="Q57" s="335">
        <f t="shared" ref="Q57:Q67" si="17">((M57-G57)/G57)</f>
        <v>1.4380442598066819E-3</v>
      </c>
      <c r="R57" s="335">
        <f t="shared" ref="R57:R86" si="18">N57-H57</f>
        <v>1.0078E-2</v>
      </c>
      <c r="S57" s="376">
        <f t="shared" ref="S57:S86" si="19">O57-I57</f>
        <v>1.4000000000000019E-3</v>
      </c>
      <c r="T57" s="148"/>
    </row>
    <row r="58" spans="1:23" s="116" customFormat="1" ht="12.95" customHeight="1">
      <c r="A58" s="387">
        <v>47</v>
      </c>
      <c r="B58" s="380" t="s">
        <v>149</v>
      </c>
      <c r="C58" s="381" t="s">
        <v>6</v>
      </c>
      <c r="D58" s="332">
        <v>1013328826.91</v>
      </c>
      <c r="E58" s="339">
        <f>(D58/$D$87)</f>
        <v>3.1213382017017894E-3</v>
      </c>
      <c r="F58" s="333">
        <v>1.1265000000000001</v>
      </c>
      <c r="G58" s="333">
        <v>1.1265000000000001</v>
      </c>
      <c r="H58" s="340">
        <v>5.5599999999999997E-2</v>
      </c>
      <c r="I58" s="340">
        <v>6.9199999999999998E-2</v>
      </c>
      <c r="J58" s="332">
        <v>1014130867.0599999</v>
      </c>
      <c r="K58" s="339">
        <f t="shared" si="16"/>
        <v>3.1172789521427091E-3</v>
      </c>
      <c r="L58" s="333">
        <v>1.1286</v>
      </c>
      <c r="M58" s="333">
        <v>1.1286</v>
      </c>
      <c r="N58" s="340">
        <v>5.5500000000000001E-2</v>
      </c>
      <c r="O58" s="340">
        <v>6.6500000000000004E-2</v>
      </c>
      <c r="P58" s="335">
        <f t="shared" ref="P58:P67" si="20">((J58-D58)/D58)</f>
        <v>7.9149050999139325E-4</v>
      </c>
      <c r="Q58" s="335">
        <f t="shared" si="17"/>
        <v>1.8641810918774884E-3</v>
      </c>
      <c r="R58" s="335">
        <f t="shared" si="18"/>
        <v>-9.9999999999995925E-5</v>
      </c>
      <c r="S58" s="376">
        <f t="shared" si="19"/>
        <v>-2.6999999999999941E-3</v>
      </c>
      <c r="T58" s="148"/>
      <c r="U58" s="130"/>
    </row>
    <row r="59" spans="1:23" s="116" customFormat="1" ht="12.95" customHeight="1">
      <c r="A59" s="387">
        <v>48</v>
      </c>
      <c r="B59" s="380" t="s">
        <v>235</v>
      </c>
      <c r="C59" s="381" t="s">
        <v>6</v>
      </c>
      <c r="D59" s="332">
        <v>874467738.55999994</v>
      </c>
      <c r="E59" s="339">
        <f>(D59/$D$87)</f>
        <v>2.6936069378844635E-3</v>
      </c>
      <c r="F59" s="333">
        <v>1.0512999999999999</v>
      </c>
      <c r="G59" s="333">
        <v>1.0512999999999999</v>
      </c>
      <c r="H59" s="340">
        <v>5.96E-2</v>
      </c>
      <c r="I59" s="340">
        <v>6.2300000000000001E-2</v>
      </c>
      <c r="J59" s="332">
        <v>875379586.21000004</v>
      </c>
      <c r="K59" s="339">
        <f t="shared" si="16"/>
        <v>2.6907793144475708E-3</v>
      </c>
      <c r="L59" s="333">
        <v>1.0531999999999999</v>
      </c>
      <c r="M59" s="333">
        <v>1.0531999999999999</v>
      </c>
      <c r="N59" s="340">
        <v>5.45E-2</v>
      </c>
      <c r="O59" s="340">
        <v>6.0299999999999999E-2</v>
      </c>
      <c r="P59" s="335">
        <f t="shared" si="20"/>
        <v>1.0427459010685168E-3</v>
      </c>
      <c r="Q59" s="335">
        <f t="shared" si="17"/>
        <v>1.8072862170645991E-3</v>
      </c>
      <c r="R59" s="335">
        <f t="shared" si="18"/>
        <v>-5.1000000000000004E-3</v>
      </c>
      <c r="S59" s="376">
        <f t="shared" si="19"/>
        <v>-2.0000000000000018E-3</v>
      </c>
      <c r="T59" s="148"/>
      <c r="U59" s="131"/>
      <c r="V59" s="124"/>
    </row>
    <row r="60" spans="1:23" s="132" customFormat="1" ht="12.95" customHeight="1">
      <c r="A60" s="399">
        <v>49</v>
      </c>
      <c r="B60" s="380" t="s">
        <v>174</v>
      </c>
      <c r="C60" s="381" t="s">
        <v>152</v>
      </c>
      <c r="D60" s="332">
        <v>249028081.15000001</v>
      </c>
      <c r="E60" s="339">
        <f>(D60/$D$87)</f>
        <v>7.670766313440969E-4</v>
      </c>
      <c r="F60" s="75">
        <v>1128.8599999999999</v>
      </c>
      <c r="G60" s="75">
        <v>1128.8599999999999</v>
      </c>
      <c r="H60" s="340">
        <v>5.0000000000000001E-4</v>
      </c>
      <c r="I60" s="340">
        <v>0</v>
      </c>
      <c r="J60" s="332">
        <v>249853693.56</v>
      </c>
      <c r="K60" s="339">
        <f t="shared" si="16"/>
        <v>7.6801099872608628E-4</v>
      </c>
      <c r="L60" s="75">
        <v>1133.79</v>
      </c>
      <c r="M60" s="75">
        <v>1133.79</v>
      </c>
      <c r="N60" s="340">
        <v>1.8E-3</v>
      </c>
      <c r="O60" s="340">
        <v>0</v>
      </c>
      <c r="P60" s="335">
        <f t="shared" si="20"/>
        <v>3.3153386003191166E-3</v>
      </c>
      <c r="Q60" s="335">
        <f t="shared" si="17"/>
        <v>4.3672377442730403E-3</v>
      </c>
      <c r="R60" s="335">
        <f t="shared" si="18"/>
        <v>1.2999999999999999E-3</v>
      </c>
      <c r="S60" s="376">
        <f t="shared" si="19"/>
        <v>0</v>
      </c>
      <c r="T60" s="158"/>
      <c r="U60" s="167"/>
    </row>
    <row r="61" spans="1:23" s="116" customFormat="1" ht="12.95" customHeight="1">
      <c r="A61" s="397">
        <v>50</v>
      </c>
      <c r="B61" s="380" t="s">
        <v>183</v>
      </c>
      <c r="C61" s="381" t="s">
        <v>184</v>
      </c>
      <c r="D61" s="332">
        <v>1347752761.29</v>
      </c>
      <c r="E61" s="339">
        <f>(D61/$J$87)</f>
        <v>4.1427802386503707E-3</v>
      </c>
      <c r="F61" s="333">
        <v>1.0232000000000001</v>
      </c>
      <c r="G61" s="333">
        <v>1.0232000000000001</v>
      </c>
      <c r="H61" s="340">
        <v>1.6000000000000001E-3</v>
      </c>
      <c r="I61" s="340">
        <v>2.1299999999999999E-2</v>
      </c>
      <c r="J61" s="332">
        <v>1392069607.25</v>
      </c>
      <c r="K61" s="339">
        <f t="shared" si="16"/>
        <v>4.279003260376309E-3</v>
      </c>
      <c r="L61" s="333">
        <v>1.0262</v>
      </c>
      <c r="M61" s="333">
        <v>1.0262</v>
      </c>
      <c r="N61" s="340">
        <v>1.4E-3</v>
      </c>
      <c r="O61" s="340">
        <v>2.4E-2</v>
      </c>
      <c r="P61" s="335">
        <f t="shared" si="20"/>
        <v>3.288202942918271E-2</v>
      </c>
      <c r="Q61" s="335">
        <f t="shared" si="17"/>
        <v>2.9319781078966881E-3</v>
      </c>
      <c r="R61" s="335">
        <f t="shared" si="18"/>
        <v>-2.0000000000000009E-4</v>
      </c>
      <c r="S61" s="376">
        <f t="shared" si="19"/>
        <v>2.700000000000001E-3</v>
      </c>
      <c r="T61" s="148"/>
      <c r="U61" s="135"/>
      <c r="V61" s="135"/>
    </row>
    <row r="62" spans="1:23" s="116" customFormat="1" ht="12.95" customHeight="1">
      <c r="A62" s="387">
        <v>51</v>
      </c>
      <c r="B62" s="380" t="s">
        <v>108</v>
      </c>
      <c r="C62" s="381" t="s">
        <v>105</v>
      </c>
      <c r="D62" s="332">
        <v>420258971.32999998</v>
      </c>
      <c r="E62" s="339">
        <f t="shared" ref="E62:E86" si="21">(D62/$D$87)</f>
        <v>1.2945160020960624E-3</v>
      </c>
      <c r="F62" s="333">
        <v>2.161</v>
      </c>
      <c r="G62" s="333">
        <v>2.161</v>
      </c>
      <c r="H62" s="340">
        <v>9.4299999999999995E-2</v>
      </c>
      <c r="I62" s="340">
        <v>0.2387</v>
      </c>
      <c r="J62" s="332">
        <v>419942820.24000001</v>
      </c>
      <c r="K62" s="339">
        <f t="shared" si="16"/>
        <v>1.2908382509179174E-3</v>
      </c>
      <c r="L62" s="333">
        <v>2.1684999999999999</v>
      </c>
      <c r="M62" s="333">
        <v>2.1684999999999999</v>
      </c>
      <c r="N62" s="340">
        <v>7.5869555175759704E-2</v>
      </c>
      <c r="O62" s="340">
        <v>0.21917237974898052</v>
      </c>
      <c r="P62" s="113">
        <f t="shared" si="20"/>
        <v>-7.5227683777801479E-4</v>
      </c>
      <c r="Q62" s="113">
        <f t="shared" si="17"/>
        <v>3.4706154558074224E-3</v>
      </c>
      <c r="R62" s="335">
        <f t="shared" si="18"/>
        <v>-1.8430444824240291E-2</v>
      </c>
      <c r="S62" s="376">
        <f t="shared" si="19"/>
        <v>-1.9527620251019479E-2</v>
      </c>
      <c r="T62" s="148"/>
      <c r="U62" s="135"/>
      <c r="V62" s="135"/>
    </row>
    <row r="63" spans="1:23" s="116" customFormat="1" ht="12" customHeight="1">
      <c r="A63" s="387">
        <v>52</v>
      </c>
      <c r="B63" s="380" t="s">
        <v>18</v>
      </c>
      <c r="C63" s="381" t="s">
        <v>7</v>
      </c>
      <c r="D63" s="332">
        <v>3331413361.9047599</v>
      </c>
      <c r="E63" s="339">
        <f t="shared" si="21"/>
        <v>1.0261691482597748E-2</v>
      </c>
      <c r="F63" s="332">
        <v>3782.0763097295098</v>
      </c>
      <c r="G63" s="332">
        <v>3782.0763097295098</v>
      </c>
      <c r="H63" s="340">
        <v>6.7320758214806237E-2</v>
      </c>
      <c r="I63" s="340">
        <v>7.6441944562559011E-2</v>
      </c>
      <c r="J63" s="332">
        <v>3333864097.5748701</v>
      </c>
      <c r="K63" s="339">
        <f t="shared" si="16"/>
        <v>1.0247774442368417E-2</v>
      </c>
      <c r="L63" s="332">
        <v>3792.8899201300201</v>
      </c>
      <c r="M63" s="332">
        <v>3792.8899201300201</v>
      </c>
      <c r="N63" s="340">
        <v>7.5093512536579018E-2</v>
      </c>
      <c r="O63" s="340">
        <v>7.6375419383462484E-2</v>
      </c>
      <c r="P63" s="335">
        <f t="shared" si="20"/>
        <v>7.3564442591687266E-4</v>
      </c>
      <c r="Q63" s="335">
        <f t="shared" si="17"/>
        <v>2.8591729819654591E-3</v>
      </c>
      <c r="R63" s="335">
        <f t="shared" si="18"/>
        <v>7.7727543217727818E-3</v>
      </c>
      <c r="S63" s="376">
        <f t="shared" si="19"/>
        <v>-6.6525179096527109E-5</v>
      </c>
      <c r="T63" s="148"/>
      <c r="U63" s="169"/>
      <c r="V63" s="135"/>
    </row>
    <row r="64" spans="1:23" s="116" customFormat="1" ht="12.75" customHeight="1">
      <c r="A64" s="387">
        <v>53</v>
      </c>
      <c r="B64" s="380" t="s">
        <v>231</v>
      </c>
      <c r="C64" s="381" t="s">
        <v>90</v>
      </c>
      <c r="D64" s="332">
        <v>370987150.94</v>
      </c>
      <c r="E64" s="339">
        <f t="shared" si="21"/>
        <v>1.1427449173637067E-3</v>
      </c>
      <c r="F64" s="333">
        <v>107.89</v>
      </c>
      <c r="G64" s="333">
        <v>107.89</v>
      </c>
      <c r="H64" s="340">
        <v>1.2999999999999999E-3</v>
      </c>
      <c r="I64" s="340">
        <v>9.6799999999999997E-2</v>
      </c>
      <c r="J64" s="332">
        <v>371677224.97000003</v>
      </c>
      <c r="K64" s="339">
        <f t="shared" si="16"/>
        <v>1.142477394213111E-3</v>
      </c>
      <c r="L64" s="333">
        <v>108.33</v>
      </c>
      <c r="M64" s="333">
        <v>108.33</v>
      </c>
      <c r="N64" s="340">
        <v>1.6000000000000001E-3</v>
      </c>
      <c r="O64" s="340">
        <v>9.5500000000000002E-2</v>
      </c>
      <c r="P64" s="335">
        <f t="shared" si="20"/>
        <v>1.8601022387204917E-3</v>
      </c>
      <c r="Q64" s="335">
        <f t="shared" si="17"/>
        <v>4.0782278246361825E-3</v>
      </c>
      <c r="R64" s="335">
        <f t="shared" si="18"/>
        <v>3.0000000000000014E-4</v>
      </c>
      <c r="S64" s="376">
        <f t="shared" si="19"/>
        <v>-1.2999999999999956E-3</v>
      </c>
      <c r="T64" s="151"/>
      <c r="U64" s="189"/>
      <c r="V64" s="170"/>
    </row>
    <row r="65" spans="1:23" s="116" customFormat="1" ht="12" customHeight="1">
      <c r="A65" s="397">
        <v>54</v>
      </c>
      <c r="B65" s="380" t="s">
        <v>113</v>
      </c>
      <c r="C65" s="381" t="s">
        <v>110</v>
      </c>
      <c r="D65" s="332">
        <v>339064704.94999999</v>
      </c>
      <c r="E65" s="339">
        <f t="shared" si="21"/>
        <v>1.0444147924187871E-3</v>
      </c>
      <c r="F65" s="333">
        <v>1.3875999999999999</v>
      </c>
      <c r="G65" s="333">
        <v>1.3875999999999999</v>
      </c>
      <c r="H65" s="340">
        <v>-2.0999999999999999E-3</v>
      </c>
      <c r="I65" s="340">
        <v>3.5900000000000001E-2</v>
      </c>
      <c r="J65" s="332">
        <v>337462591.33999997</v>
      </c>
      <c r="K65" s="339">
        <f t="shared" si="16"/>
        <v>1.0373069860001411E-3</v>
      </c>
      <c r="L65" s="333">
        <v>1.377</v>
      </c>
      <c r="M65" s="333">
        <v>1.377</v>
      </c>
      <c r="N65" s="340">
        <v>-4.5999999999999999E-3</v>
      </c>
      <c r="O65" s="340">
        <v>2.8299999999999999E-2</v>
      </c>
      <c r="P65" s="335">
        <f t="shared" si="20"/>
        <v>-4.72509697002013E-3</v>
      </c>
      <c r="Q65" s="335">
        <f t="shared" si="17"/>
        <v>-7.639089074661245E-3</v>
      </c>
      <c r="R65" s="335">
        <f t="shared" si="18"/>
        <v>-2.5000000000000001E-3</v>
      </c>
      <c r="S65" s="376">
        <f t="shared" si="19"/>
        <v>-7.6000000000000026E-3</v>
      </c>
      <c r="T65" s="158"/>
      <c r="U65" s="191"/>
      <c r="V65" s="171"/>
      <c r="W65" s="189"/>
    </row>
    <row r="66" spans="1:23" s="116" customFormat="1" ht="12.95" customHeight="1">
      <c r="A66" s="387">
        <v>55</v>
      </c>
      <c r="B66" s="380" t="s">
        <v>247</v>
      </c>
      <c r="C66" s="381" t="s">
        <v>246</v>
      </c>
      <c r="D66" s="332">
        <v>503295743.56999999</v>
      </c>
      <c r="E66" s="339">
        <f t="shared" si="21"/>
        <v>1.5502926487834683E-3</v>
      </c>
      <c r="F66" s="75">
        <v>1000</v>
      </c>
      <c r="G66" s="75">
        <v>1000</v>
      </c>
      <c r="H66" s="340">
        <v>1.75E-3</v>
      </c>
      <c r="I66" s="340">
        <v>0.16120000000000001</v>
      </c>
      <c r="J66" s="332">
        <v>503470300.90999997</v>
      </c>
      <c r="K66" s="339">
        <f t="shared" si="16"/>
        <v>1.5475886032397473E-3</v>
      </c>
      <c r="L66" s="75">
        <v>1000</v>
      </c>
      <c r="M66" s="75">
        <v>1000</v>
      </c>
      <c r="N66" s="340">
        <v>2.9999999999999997E-4</v>
      </c>
      <c r="O66" s="340">
        <v>0.15890000000000001</v>
      </c>
      <c r="P66" s="335">
        <f t="shared" si="20"/>
        <v>3.4682856398068418E-4</v>
      </c>
      <c r="Q66" s="335">
        <f t="shared" si="17"/>
        <v>0</v>
      </c>
      <c r="R66" s="335">
        <f t="shared" si="18"/>
        <v>-1.4500000000000001E-3</v>
      </c>
      <c r="S66" s="376">
        <f t="shared" si="19"/>
        <v>-2.2999999999999965E-3</v>
      </c>
      <c r="T66" s="148"/>
      <c r="U66" s="135"/>
      <c r="V66" s="171"/>
      <c r="W66" s="189"/>
    </row>
    <row r="67" spans="1:23" s="116" customFormat="1" ht="12.95" customHeight="1">
      <c r="A67" s="387">
        <v>56</v>
      </c>
      <c r="B67" s="380" t="s">
        <v>104</v>
      </c>
      <c r="C67" s="381" t="s">
        <v>101</v>
      </c>
      <c r="D67" s="332">
        <v>366527868.69999999</v>
      </c>
      <c r="E67" s="339">
        <f t="shared" si="21"/>
        <v>1.1290090720603356E-3</v>
      </c>
      <c r="F67" s="75">
        <v>1131.3399999999999</v>
      </c>
      <c r="G67" s="75">
        <v>1138.07</v>
      </c>
      <c r="H67" s="340">
        <v>1E-3</v>
      </c>
      <c r="I67" s="340">
        <v>2.3199999999999998E-2</v>
      </c>
      <c r="J67" s="332">
        <v>367391132.01999998</v>
      </c>
      <c r="K67" s="339">
        <f t="shared" si="16"/>
        <v>1.1293026178859726E-3</v>
      </c>
      <c r="L67" s="75">
        <v>1133.9100000000001</v>
      </c>
      <c r="M67" s="75">
        <v>1141.69</v>
      </c>
      <c r="N67" s="340">
        <v>1.1000000000000001E-3</v>
      </c>
      <c r="O67" s="340">
        <v>2.5999999999999999E-2</v>
      </c>
      <c r="P67" s="335">
        <f t="shared" si="20"/>
        <v>2.3552460637217376E-3</v>
      </c>
      <c r="Q67" s="335">
        <f t="shared" si="17"/>
        <v>3.1808236751694695E-3</v>
      </c>
      <c r="R67" s="335">
        <f t="shared" si="18"/>
        <v>1.0000000000000005E-4</v>
      </c>
      <c r="S67" s="376">
        <f t="shared" si="19"/>
        <v>2.8000000000000004E-3</v>
      </c>
      <c r="T67" s="148"/>
      <c r="U67" s="172"/>
      <c r="V67" s="168"/>
    </row>
    <row r="68" spans="1:23" s="116" customFormat="1" ht="12.95" customHeight="1">
      <c r="A68" s="401">
        <v>57</v>
      </c>
      <c r="B68" s="380" t="s">
        <v>177</v>
      </c>
      <c r="C68" s="381" t="s">
        <v>175</v>
      </c>
      <c r="D68" s="332">
        <v>696719584.15999997</v>
      </c>
      <c r="E68" s="339">
        <f t="shared" si="21"/>
        <v>2.14609255767826E-3</v>
      </c>
      <c r="F68" s="317">
        <v>1.0945</v>
      </c>
      <c r="G68" s="317">
        <v>1.0945</v>
      </c>
      <c r="H68" s="340">
        <v>0.10502086030787236</v>
      </c>
      <c r="I68" s="340">
        <v>0.10374500249875146</v>
      </c>
      <c r="J68" s="332">
        <v>697726554.75</v>
      </c>
      <c r="K68" s="339">
        <f t="shared" si="16"/>
        <v>2.1447018073502151E-3</v>
      </c>
      <c r="L68" s="317">
        <v>1.099</v>
      </c>
      <c r="M68" s="317">
        <v>1.099</v>
      </c>
      <c r="N68" s="340">
        <v>0.10819500182414635</v>
      </c>
      <c r="O68" s="340">
        <v>0.10356242118537227</v>
      </c>
      <c r="P68" s="335">
        <f>(J68/D68)/D68</f>
        <v>1.4373721154330195E-9</v>
      </c>
      <c r="Q68" s="335">
        <f>(M68-G68)/G68</f>
        <v>4.1114664230241646E-3</v>
      </c>
      <c r="R68" s="335">
        <f t="shared" si="18"/>
        <v>3.1741415162739872E-3</v>
      </c>
      <c r="S68" s="376">
        <f t="shared" si="19"/>
        <v>-1.8258131337918482E-4</v>
      </c>
      <c r="T68" s="91"/>
      <c r="U68" s="171"/>
      <c r="V68" s="191"/>
    </row>
    <row r="69" spans="1:23" s="116" customFormat="1" ht="12" customHeight="1">
      <c r="A69" s="387">
        <v>58</v>
      </c>
      <c r="B69" s="380" t="s">
        <v>260</v>
      </c>
      <c r="C69" s="381" t="s">
        <v>192</v>
      </c>
      <c r="D69" s="332">
        <v>63676589046.669998</v>
      </c>
      <c r="E69" s="339">
        <f t="shared" si="21"/>
        <v>0.19614182945087533</v>
      </c>
      <c r="F69" s="317">
        <v>1513.38</v>
      </c>
      <c r="G69" s="332">
        <v>1513.38</v>
      </c>
      <c r="H69" s="340">
        <v>2E-3</v>
      </c>
      <c r="I69" s="340">
        <v>0.1197</v>
      </c>
      <c r="J69" s="332">
        <v>63774472441.470001</v>
      </c>
      <c r="K69" s="339">
        <f t="shared" si="16"/>
        <v>0.19603270848281729</v>
      </c>
      <c r="L69" s="317">
        <v>1520.03</v>
      </c>
      <c r="M69" s="332">
        <v>1520.03</v>
      </c>
      <c r="N69" s="340">
        <v>2.2000000000000001E-3</v>
      </c>
      <c r="O69" s="340">
        <v>0.11899999999999999</v>
      </c>
      <c r="P69" s="335">
        <f t="shared" ref="P69:P86" si="22">((J69-D69)/D69)</f>
        <v>1.5371959501201001E-3</v>
      </c>
      <c r="Q69" s="335">
        <f t="shared" ref="Q69:Q86" si="23">((M69-G69)/G69)</f>
        <v>4.3941376257118922E-3</v>
      </c>
      <c r="R69" s="335">
        <f t="shared" si="18"/>
        <v>2.0000000000000009E-4</v>
      </c>
      <c r="S69" s="376">
        <f t="shared" si="19"/>
        <v>-7.0000000000000617E-4</v>
      </c>
      <c r="U69" s="171"/>
      <c r="V69" s="191"/>
    </row>
    <row r="70" spans="1:23" s="116" customFormat="1" ht="12.95" customHeight="1">
      <c r="A70" s="399">
        <v>59</v>
      </c>
      <c r="B70" s="380" t="s">
        <v>181</v>
      </c>
      <c r="C70" s="381" t="s">
        <v>182</v>
      </c>
      <c r="D70" s="332">
        <v>21373812.640000001</v>
      </c>
      <c r="E70" s="339">
        <f t="shared" si="21"/>
        <v>6.5837363092379432E-5</v>
      </c>
      <c r="F70" s="332">
        <v>0.63629999999999998</v>
      </c>
      <c r="G70" s="332">
        <v>0.63629999999999998</v>
      </c>
      <c r="H70" s="340">
        <v>2.3999999999999998E-3</v>
      </c>
      <c r="I70" s="340">
        <v>-6.88E-2</v>
      </c>
      <c r="J70" s="332">
        <v>21421835.140000001</v>
      </c>
      <c r="K70" s="339">
        <f t="shared" si="16"/>
        <v>6.5847355570375547E-5</v>
      </c>
      <c r="L70" s="332">
        <v>0.6391</v>
      </c>
      <c r="M70" s="332">
        <v>0.6391</v>
      </c>
      <c r="N70" s="340">
        <v>2.3999999999999998E-3</v>
      </c>
      <c r="O70" s="340">
        <v>-6.4699999999999994E-2</v>
      </c>
      <c r="P70" s="113">
        <f t="shared" si="22"/>
        <v>2.2467914736993781E-3</v>
      </c>
      <c r="Q70" s="113">
        <f t="shared" si="23"/>
        <v>4.4004400440044392E-3</v>
      </c>
      <c r="R70" s="335">
        <f t="shared" si="18"/>
        <v>0</v>
      </c>
      <c r="S70" s="376">
        <f t="shared" si="19"/>
        <v>4.1000000000000064E-3</v>
      </c>
      <c r="U70" s="431"/>
      <c r="V70" s="431"/>
    </row>
    <row r="71" spans="1:23" s="132" customFormat="1" ht="12.95" customHeight="1">
      <c r="A71" s="401">
        <v>60</v>
      </c>
      <c r="B71" s="380" t="s">
        <v>107</v>
      </c>
      <c r="C71" s="381" t="s">
        <v>106</v>
      </c>
      <c r="D71" s="332">
        <v>789656823.55999994</v>
      </c>
      <c r="E71" s="339">
        <f t="shared" si="21"/>
        <v>2.4323654317901194E-3</v>
      </c>
      <c r="F71" s="333">
        <v>200.65491</v>
      </c>
      <c r="G71" s="333">
        <v>201.56763100000001</v>
      </c>
      <c r="H71" s="340">
        <v>0.1169</v>
      </c>
      <c r="I71" s="340">
        <v>0</v>
      </c>
      <c r="J71" s="332">
        <v>790952271.98000002</v>
      </c>
      <c r="K71" s="339">
        <f t="shared" si="16"/>
        <v>2.4312630151379013E-3</v>
      </c>
      <c r="L71" s="333">
        <v>199.707168</v>
      </c>
      <c r="M71" s="333">
        <v>200.87907000000001</v>
      </c>
      <c r="N71" s="340">
        <v>1.6000000000000001E-3</v>
      </c>
      <c r="O71" s="340">
        <v>7.3000000000000001E-3</v>
      </c>
      <c r="P71" s="335">
        <f t="shared" si="22"/>
        <v>1.6405207697184486E-3</v>
      </c>
      <c r="Q71" s="335">
        <f t="shared" si="23"/>
        <v>-3.4160296302732894E-3</v>
      </c>
      <c r="R71" s="335">
        <f t="shared" si="18"/>
        <v>-0.1153</v>
      </c>
      <c r="S71" s="376">
        <f t="shared" si="19"/>
        <v>7.3000000000000001E-3</v>
      </c>
      <c r="T71" s="173"/>
      <c r="U71" s="174"/>
      <c r="V71" s="447"/>
      <c r="W71" s="133"/>
    </row>
    <row r="72" spans="1:23" s="116" customFormat="1" ht="12.95" customHeight="1">
      <c r="A72" s="387">
        <v>61</v>
      </c>
      <c r="B72" s="380" t="s">
        <v>114</v>
      </c>
      <c r="C72" s="381" t="s">
        <v>137</v>
      </c>
      <c r="D72" s="332">
        <v>1412833667.97</v>
      </c>
      <c r="E72" s="339">
        <f t="shared" si="21"/>
        <v>4.3519256369451888E-3</v>
      </c>
      <c r="F72" s="333">
        <v>3.53</v>
      </c>
      <c r="G72" s="333">
        <v>3.53</v>
      </c>
      <c r="H72" s="326">
        <v>8.9999999999999998E-4</v>
      </c>
      <c r="I72" s="326">
        <v>-4.5100000000000001E-2</v>
      </c>
      <c r="J72" s="332">
        <v>1414466170.78</v>
      </c>
      <c r="K72" s="339">
        <f t="shared" si="16"/>
        <v>4.3478467778749882E-3</v>
      </c>
      <c r="L72" s="333">
        <v>3.54</v>
      </c>
      <c r="M72" s="333">
        <v>3.54</v>
      </c>
      <c r="N72" s="326">
        <v>1E-3</v>
      </c>
      <c r="O72" s="326">
        <v>-3.2099999999999997E-2</v>
      </c>
      <c r="P72" s="335">
        <f t="shared" si="22"/>
        <v>1.1554812480832012E-3</v>
      </c>
      <c r="Q72" s="335">
        <f t="shared" si="23"/>
        <v>2.8328611898017653E-3</v>
      </c>
      <c r="R72" s="335">
        <f t="shared" si="18"/>
        <v>1.0000000000000005E-4</v>
      </c>
      <c r="S72" s="376">
        <f t="shared" si="19"/>
        <v>1.3000000000000005E-2</v>
      </c>
      <c r="U72" s="175"/>
      <c r="V72" s="447"/>
    </row>
    <row r="73" spans="1:23" s="116" customFormat="1" ht="12.95" customHeight="1">
      <c r="A73" s="387">
        <v>62</v>
      </c>
      <c r="B73" s="380" t="s">
        <v>87</v>
      </c>
      <c r="C73" s="381" t="s">
        <v>23</v>
      </c>
      <c r="D73" s="332">
        <v>15651466057.75</v>
      </c>
      <c r="E73" s="339">
        <f t="shared" si="21"/>
        <v>4.8210923859400838E-2</v>
      </c>
      <c r="F73" s="332">
        <v>1184.77</v>
      </c>
      <c r="G73" s="332">
        <v>1184.77</v>
      </c>
      <c r="H73" s="340">
        <v>1.6000000000000001E-3</v>
      </c>
      <c r="I73" s="340">
        <v>2.0899999999999998E-2</v>
      </c>
      <c r="J73" s="332">
        <v>15818105182.459999</v>
      </c>
      <c r="K73" s="339">
        <f t="shared" si="16"/>
        <v>4.8622370100036331E-2</v>
      </c>
      <c r="L73" s="332">
        <v>1169.45</v>
      </c>
      <c r="M73" s="332">
        <v>1169.45</v>
      </c>
      <c r="N73" s="340">
        <v>-1.5599999999999999E-2</v>
      </c>
      <c r="O73" s="340">
        <v>2.5700000000000001E-2</v>
      </c>
      <c r="P73" s="335">
        <f t="shared" si="22"/>
        <v>1.0646870018127525E-2</v>
      </c>
      <c r="Q73" s="335">
        <f t="shared" si="23"/>
        <v>-1.2930779813803469E-2</v>
      </c>
      <c r="R73" s="335">
        <f t="shared" si="18"/>
        <v>-1.72E-2</v>
      </c>
      <c r="S73" s="376">
        <f t="shared" si="19"/>
        <v>4.8000000000000022E-3</v>
      </c>
      <c r="T73" s="176"/>
      <c r="U73" s="134"/>
      <c r="V73" s="447"/>
    </row>
    <row r="74" spans="1:23" s="116" customFormat="1" ht="12.95" customHeight="1">
      <c r="A74" s="397">
        <v>63</v>
      </c>
      <c r="B74" s="381" t="s">
        <v>241</v>
      </c>
      <c r="C74" s="400" t="s">
        <v>9</v>
      </c>
      <c r="D74" s="332">
        <v>2004548680.4000001</v>
      </c>
      <c r="E74" s="339">
        <f t="shared" si="21"/>
        <v>6.174574538042963E-3</v>
      </c>
      <c r="F74" s="333">
        <v>102.27</v>
      </c>
      <c r="G74" s="333">
        <v>102.27</v>
      </c>
      <c r="H74" s="340">
        <v>1.6999999999999999E-3</v>
      </c>
      <c r="I74" s="340">
        <v>9.9900000000000003E-2</v>
      </c>
      <c r="J74" s="332">
        <v>1991555396.0899999</v>
      </c>
      <c r="K74" s="339">
        <f t="shared" si="16"/>
        <v>6.1217283882261421E-3</v>
      </c>
      <c r="L74" s="333">
        <v>102.56</v>
      </c>
      <c r="M74" s="333">
        <v>102.56</v>
      </c>
      <c r="N74" s="340">
        <v>1.6999999999999999E-3</v>
      </c>
      <c r="O74" s="340">
        <v>0.1026</v>
      </c>
      <c r="P74" s="335">
        <f t="shared" si="22"/>
        <v>-6.4819001090097852E-3</v>
      </c>
      <c r="Q74" s="335">
        <f t="shared" si="23"/>
        <v>2.8356311723868803E-3</v>
      </c>
      <c r="R74" s="335">
        <f t="shared" si="18"/>
        <v>0</v>
      </c>
      <c r="S74" s="376">
        <f t="shared" si="19"/>
        <v>2.6999999999999941E-3</v>
      </c>
      <c r="T74" s="127"/>
      <c r="U74" s="134"/>
      <c r="V74" s="447"/>
    </row>
    <row r="75" spans="1:23" s="116" customFormat="1" ht="12.95" customHeight="1">
      <c r="A75" s="387">
        <v>64</v>
      </c>
      <c r="B75" s="380" t="s">
        <v>17</v>
      </c>
      <c r="C75" s="381" t="s">
        <v>58</v>
      </c>
      <c r="D75" s="332">
        <v>1540008604.6199999</v>
      </c>
      <c r="E75" s="339">
        <f t="shared" si="21"/>
        <v>4.7436602619978577E-3</v>
      </c>
      <c r="F75" s="333">
        <v>331.91590000000002</v>
      </c>
      <c r="G75" s="333">
        <v>331.91590000000002</v>
      </c>
      <c r="H75" s="340">
        <v>2E-3</v>
      </c>
      <c r="I75" s="340">
        <v>7.2700000000000001E-2</v>
      </c>
      <c r="J75" s="332">
        <v>1543143523.01</v>
      </c>
      <c r="K75" s="339">
        <f t="shared" si="16"/>
        <v>4.7433807417379585E-3</v>
      </c>
      <c r="L75" s="333">
        <v>333.25060000000002</v>
      </c>
      <c r="M75" s="333">
        <v>333.25060000000002</v>
      </c>
      <c r="N75" s="340">
        <v>2E-3</v>
      </c>
      <c r="O75" s="340">
        <v>7.6899999999999996E-2</v>
      </c>
      <c r="P75" s="113">
        <f t="shared" si="22"/>
        <v>2.0356499181857831E-3</v>
      </c>
      <c r="Q75" s="113">
        <f t="shared" si="23"/>
        <v>4.0211993459788997E-3</v>
      </c>
      <c r="R75" s="335">
        <f t="shared" si="18"/>
        <v>0</v>
      </c>
      <c r="S75" s="376">
        <f t="shared" si="19"/>
        <v>4.1999999999999954E-3</v>
      </c>
      <c r="T75" s="148"/>
      <c r="U75" s="177"/>
      <c r="V75" s="447"/>
    </row>
    <row r="76" spans="1:23" s="116" customFormat="1" ht="12.95" customHeight="1">
      <c r="A76" s="397">
        <v>65</v>
      </c>
      <c r="B76" s="380" t="s">
        <v>93</v>
      </c>
      <c r="C76" s="381" t="s">
        <v>92</v>
      </c>
      <c r="D76" s="332">
        <v>53001570.979999997</v>
      </c>
      <c r="E76" s="339">
        <f t="shared" si="21"/>
        <v>1.6325976707339473E-4</v>
      </c>
      <c r="F76" s="317">
        <v>11.609358</v>
      </c>
      <c r="G76" s="332">
        <v>11.741146000000001</v>
      </c>
      <c r="H76" s="340">
        <v>0.65463013698630135</v>
      </c>
      <c r="I76" s="340">
        <v>2.3894000000000002</v>
      </c>
      <c r="J76" s="332">
        <v>53078036.479999997</v>
      </c>
      <c r="K76" s="339">
        <f t="shared" si="16"/>
        <v>1.6315354488700095E-4</v>
      </c>
      <c r="L76" s="317">
        <v>11.643991</v>
      </c>
      <c r="M76" s="332">
        <v>11.789804999999999</v>
      </c>
      <c r="N76" s="340">
        <v>2.0383561643835618E-2</v>
      </c>
      <c r="O76" s="340">
        <v>2.8899999999999999E-2</v>
      </c>
      <c r="P76" s="335">
        <f t="shared" si="22"/>
        <v>1.4427025196829366E-3</v>
      </c>
      <c r="Q76" s="335">
        <f t="shared" si="23"/>
        <v>4.1443143624991033E-3</v>
      </c>
      <c r="R76" s="335">
        <f t="shared" si="18"/>
        <v>-0.63424657534246576</v>
      </c>
      <c r="S76" s="376">
        <f t="shared" si="19"/>
        <v>-2.3605</v>
      </c>
      <c r="T76" s="158"/>
      <c r="U76" s="177"/>
      <c r="V76" s="447"/>
    </row>
    <row r="77" spans="1:23" s="116" customFormat="1" ht="12.95" customHeight="1">
      <c r="A77" s="387">
        <v>66</v>
      </c>
      <c r="B77" s="380" t="s">
        <v>35</v>
      </c>
      <c r="C77" s="381" t="s">
        <v>20</v>
      </c>
      <c r="D77" s="332">
        <v>6663181285.5500002</v>
      </c>
      <c r="E77" s="339">
        <f t="shared" si="21"/>
        <v>2.0524475115222256E-2</v>
      </c>
      <c r="F77" s="333">
        <v>1.02</v>
      </c>
      <c r="G77" s="333">
        <v>1.02</v>
      </c>
      <c r="H77" s="340">
        <v>0.1105</v>
      </c>
      <c r="I77" s="340">
        <v>0</v>
      </c>
      <c r="J77" s="332">
        <v>6586060803.3999996</v>
      </c>
      <c r="K77" s="339">
        <f>(J77/$J$118)</f>
        <v>0.14144636500664123</v>
      </c>
      <c r="L77" s="333">
        <v>1.03</v>
      </c>
      <c r="M77" s="333">
        <v>1.03</v>
      </c>
      <c r="N77" s="340">
        <v>0.11020000000000001</v>
      </c>
      <c r="O77" s="340">
        <v>0</v>
      </c>
      <c r="P77" s="335">
        <f t="shared" si="22"/>
        <v>-1.1574123357148733E-2</v>
      </c>
      <c r="Q77" s="335">
        <f t="shared" si="23"/>
        <v>9.8039215686274595E-3</v>
      </c>
      <c r="R77" s="335">
        <f t="shared" si="18"/>
        <v>-2.9999999999999472E-4</v>
      </c>
      <c r="S77" s="376">
        <f t="shared" si="19"/>
        <v>0</v>
      </c>
      <c r="T77" s="148"/>
      <c r="U77" s="177"/>
      <c r="V77" s="447"/>
    </row>
    <row r="78" spans="1:23" s="116" customFormat="1" ht="12.95" customHeight="1">
      <c r="A78" s="399">
        <v>67</v>
      </c>
      <c r="B78" s="380" t="s">
        <v>69</v>
      </c>
      <c r="C78" s="381" t="s">
        <v>5</v>
      </c>
      <c r="D78" s="332">
        <v>32213780290.040001</v>
      </c>
      <c r="E78" s="339">
        <f t="shared" si="21"/>
        <v>9.9227516646440458E-2</v>
      </c>
      <c r="F78" s="332">
        <v>4669.12</v>
      </c>
      <c r="G78" s="332">
        <v>4669.12</v>
      </c>
      <c r="H78" s="340">
        <v>1.6000000000000001E-3</v>
      </c>
      <c r="I78" s="340">
        <v>2.1299999999999999E-2</v>
      </c>
      <c r="J78" s="332">
        <v>32321415970.709999</v>
      </c>
      <c r="K78" s="339">
        <f t="shared" ref="K78:K86" si="24">(J78/$J$87)</f>
        <v>9.9350954577524409E-2</v>
      </c>
      <c r="L78" s="332">
        <v>4686.95</v>
      </c>
      <c r="M78" s="332">
        <v>4686.95</v>
      </c>
      <c r="N78" s="340">
        <v>2.0999999999999999E-3</v>
      </c>
      <c r="O78" s="340">
        <v>2.52E-2</v>
      </c>
      <c r="P78" s="335">
        <f t="shared" si="22"/>
        <v>3.3412930646726192E-3</v>
      </c>
      <c r="Q78" s="335">
        <f t="shared" si="23"/>
        <v>3.8187067370296602E-3</v>
      </c>
      <c r="R78" s="335">
        <f t="shared" si="18"/>
        <v>4.9999999999999979E-4</v>
      </c>
      <c r="S78" s="376">
        <f t="shared" si="19"/>
        <v>3.9000000000000007E-3</v>
      </c>
      <c r="T78" s="148"/>
      <c r="U78" s="177"/>
      <c r="V78" s="447"/>
    </row>
    <row r="79" spans="1:23" s="116" customFormat="1" ht="12.95" customHeight="1">
      <c r="A79" s="399">
        <v>68</v>
      </c>
      <c r="B79" s="380" t="s">
        <v>16</v>
      </c>
      <c r="C79" s="381" t="s">
        <v>5</v>
      </c>
      <c r="D79" s="332">
        <v>41849252258.809998</v>
      </c>
      <c r="E79" s="339">
        <f t="shared" si="21"/>
        <v>0.12890748424319742</v>
      </c>
      <c r="F79" s="333">
        <v>247.56</v>
      </c>
      <c r="G79" s="333">
        <v>247.56</v>
      </c>
      <c r="H79" s="340">
        <v>1.1000000000000001E-3</v>
      </c>
      <c r="I79" s="340">
        <v>1.0200000000000001E-2</v>
      </c>
      <c r="J79" s="332">
        <v>41880981512.400002</v>
      </c>
      <c r="K79" s="339">
        <f t="shared" si="24"/>
        <v>0.12873555712012297</v>
      </c>
      <c r="L79" s="333">
        <v>248.13</v>
      </c>
      <c r="M79" s="333">
        <v>248.13</v>
      </c>
      <c r="N79" s="340">
        <v>1.2999999999999999E-3</v>
      </c>
      <c r="O79" s="340">
        <v>1.7399999999999999E-2</v>
      </c>
      <c r="P79" s="335">
        <f t="shared" si="22"/>
        <v>7.5817970160564597E-4</v>
      </c>
      <c r="Q79" s="335">
        <f t="shared" si="23"/>
        <v>2.3024721279689495E-3</v>
      </c>
      <c r="R79" s="335">
        <f t="shared" si="18"/>
        <v>1.9999999999999987E-4</v>
      </c>
      <c r="S79" s="376">
        <f t="shared" si="19"/>
        <v>7.1999999999999981E-3</v>
      </c>
      <c r="T79" s="148"/>
      <c r="U79" s="177"/>
      <c r="V79" s="447"/>
    </row>
    <row r="80" spans="1:23" s="116" customFormat="1" ht="12.95" customHeight="1">
      <c r="A80" s="399">
        <v>69</v>
      </c>
      <c r="B80" s="380" t="s">
        <v>70</v>
      </c>
      <c r="C80" s="381" t="s">
        <v>5</v>
      </c>
      <c r="D80" s="332">
        <v>248407157.61000001</v>
      </c>
      <c r="E80" s="339">
        <f t="shared" si="21"/>
        <v>7.6516401195119181E-4</v>
      </c>
      <c r="F80" s="332">
        <v>4398.2700000000004</v>
      </c>
      <c r="G80" s="332">
        <v>4414.7</v>
      </c>
      <c r="H80" s="340">
        <v>2.8E-3</v>
      </c>
      <c r="I80" s="340">
        <v>3.6600000000000001E-2</v>
      </c>
      <c r="J80" s="332">
        <v>247897615.19999999</v>
      </c>
      <c r="K80" s="339">
        <f t="shared" si="24"/>
        <v>7.619983211728952E-4</v>
      </c>
      <c r="L80" s="332">
        <v>4382.28</v>
      </c>
      <c r="M80" s="332">
        <v>4398.22</v>
      </c>
      <c r="N80" s="340">
        <v>-2.0999999999999999E-3</v>
      </c>
      <c r="O80" s="340">
        <v>3.27E-2</v>
      </c>
      <c r="P80" s="335">
        <f t="shared" si="22"/>
        <v>-2.0512388407100948E-3</v>
      </c>
      <c r="Q80" s="335">
        <f t="shared" si="23"/>
        <v>-3.7329829886514516E-3</v>
      </c>
      <c r="R80" s="335">
        <f t="shared" si="18"/>
        <v>-4.8999999999999998E-3</v>
      </c>
      <c r="S80" s="376">
        <f t="shared" si="19"/>
        <v>-3.9000000000000007E-3</v>
      </c>
      <c r="T80" s="148"/>
      <c r="U80" s="177"/>
      <c r="V80" s="447"/>
    </row>
    <row r="81" spans="1:22" s="116" customFormat="1" ht="12.95" customHeight="1">
      <c r="A81" s="399">
        <v>70</v>
      </c>
      <c r="B81" s="380" t="s">
        <v>171</v>
      </c>
      <c r="C81" s="381" t="s">
        <v>5</v>
      </c>
      <c r="D81" s="332">
        <v>19464382442.799999</v>
      </c>
      <c r="E81" s="339">
        <f t="shared" si="21"/>
        <v>5.9955780273722788E-2</v>
      </c>
      <c r="F81" s="333">
        <v>117.48</v>
      </c>
      <c r="G81" s="333">
        <v>117.48</v>
      </c>
      <c r="H81" s="340">
        <v>1.8E-3</v>
      </c>
      <c r="I81" s="340">
        <v>2.1600000000000001E-2</v>
      </c>
      <c r="J81" s="332">
        <v>19575287918.790001</v>
      </c>
      <c r="K81" s="339">
        <f t="shared" si="24"/>
        <v>6.0171359529053017E-2</v>
      </c>
      <c r="L81" s="333">
        <v>117.9</v>
      </c>
      <c r="M81" s="333">
        <v>117.9</v>
      </c>
      <c r="N81" s="340">
        <v>2E-3</v>
      </c>
      <c r="O81" s="340">
        <v>2.52E-2</v>
      </c>
      <c r="P81" s="335">
        <f t="shared" si="22"/>
        <v>5.6978676983931919E-3</v>
      </c>
      <c r="Q81" s="335">
        <f t="shared" si="23"/>
        <v>3.5750766087844885E-3</v>
      </c>
      <c r="R81" s="335">
        <f t="shared" si="18"/>
        <v>2.0000000000000009E-4</v>
      </c>
      <c r="S81" s="376">
        <f t="shared" si="19"/>
        <v>3.599999999999999E-3</v>
      </c>
      <c r="T81" s="148"/>
      <c r="U81" s="177"/>
      <c r="V81" s="447"/>
    </row>
    <row r="82" spans="1:22" s="116" customFormat="1" ht="12.95" customHeight="1">
      <c r="A82" s="399">
        <v>71</v>
      </c>
      <c r="B82" s="380" t="s">
        <v>64</v>
      </c>
      <c r="C82" s="381" t="s">
        <v>5</v>
      </c>
      <c r="D82" s="332">
        <v>14889598657.879999</v>
      </c>
      <c r="E82" s="339">
        <f t="shared" si="21"/>
        <v>4.5864157679762034E-2</v>
      </c>
      <c r="F82" s="333">
        <v>337.54</v>
      </c>
      <c r="G82" s="333">
        <v>337.54</v>
      </c>
      <c r="H82" s="340">
        <v>1.1999999999999999E-3</v>
      </c>
      <c r="I82" s="340">
        <v>1.5100000000000001E-2</v>
      </c>
      <c r="J82" s="332">
        <v>14919937285.01</v>
      </c>
      <c r="K82" s="339">
        <f t="shared" si="24"/>
        <v>4.5861543097178228E-2</v>
      </c>
      <c r="L82" s="333">
        <v>338.34</v>
      </c>
      <c r="M82" s="333">
        <v>338.34</v>
      </c>
      <c r="N82" s="340">
        <v>1.2999999999999999E-3</v>
      </c>
      <c r="O82" s="340">
        <v>1.7500000000000002E-2</v>
      </c>
      <c r="P82" s="335">
        <f t="shared" si="22"/>
        <v>2.0375718531503201E-3</v>
      </c>
      <c r="Q82" s="335">
        <f t="shared" si="23"/>
        <v>2.3700894708773906E-3</v>
      </c>
      <c r="R82" s="335">
        <f t="shared" si="18"/>
        <v>1.0000000000000005E-4</v>
      </c>
      <c r="S82" s="376">
        <f t="shared" si="19"/>
        <v>2.4000000000000011E-3</v>
      </c>
      <c r="T82" s="148"/>
      <c r="U82" s="177"/>
      <c r="V82" s="447"/>
    </row>
    <row r="83" spans="1:22" s="116" customFormat="1" ht="12.95" customHeight="1">
      <c r="A83" s="387">
        <v>72</v>
      </c>
      <c r="B83" s="380" t="s">
        <v>256</v>
      </c>
      <c r="C83" s="381" t="s">
        <v>255</v>
      </c>
      <c r="D83" s="332">
        <v>56941662.649999999</v>
      </c>
      <c r="E83" s="339">
        <f t="shared" si="21"/>
        <v>1.7539635918563146E-4</v>
      </c>
      <c r="F83" s="75">
        <v>104.18989999999999</v>
      </c>
      <c r="G83" s="75">
        <v>104.18989999999999</v>
      </c>
      <c r="H83" s="340">
        <v>0</v>
      </c>
      <c r="I83" s="340">
        <v>8.9549999999999994E-3</v>
      </c>
      <c r="J83" s="332">
        <v>57077825.68</v>
      </c>
      <c r="K83" s="339">
        <f t="shared" si="24"/>
        <v>1.7544826846869628E-4</v>
      </c>
      <c r="L83" s="75">
        <v>104.5492</v>
      </c>
      <c r="M83" s="75">
        <v>104.5492</v>
      </c>
      <c r="N83" s="340">
        <v>2.5654E-2</v>
      </c>
      <c r="O83" s="340">
        <v>9.8549999999999992E-3</v>
      </c>
      <c r="P83" s="335">
        <f t="shared" si="22"/>
        <v>2.3912724648900148E-3</v>
      </c>
      <c r="Q83" s="335">
        <f t="shared" si="23"/>
        <v>3.4485108441413672E-3</v>
      </c>
      <c r="R83" s="335">
        <f t="shared" si="18"/>
        <v>2.5654E-2</v>
      </c>
      <c r="S83" s="376">
        <f t="shared" si="19"/>
        <v>8.9999999999999976E-4</v>
      </c>
      <c r="T83" s="148"/>
      <c r="U83" s="177"/>
      <c r="V83" s="447"/>
    </row>
    <row r="84" spans="1:22" s="336" customFormat="1" ht="12.95" customHeight="1">
      <c r="A84" s="387">
        <v>73</v>
      </c>
      <c r="B84" s="380" t="s">
        <v>162</v>
      </c>
      <c r="C84" s="381" t="s">
        <v>41</v>
      </c>
      <c r="D84" s="332">
        <v>100984005975.89</v>
      </c>
      <c r="E84" s="339">
        <f t="shared" si="21"/>
        <v>0.31105918162281054</v>
      </c>
      <c r="F84" s="332">
        <v>1.9861</v>
      </c>
      <c r="G84" s="332">
        <v>1.9861</v>
      </c>
      <c r="H84" s="340">
        <v>7.3499999999999996E-2</v>
      </c>
      <c r="I84" s="340">
        <v>7.2599999999999998E-2</v>
      </c>
      <c r="J84" s="332">
        <v>101141179358.55</v>
      </c>
      <c r="K84" s="339">
        <f t="shared" si="24"/>
        <v>0.31089209474840396</v>
      </c>
      <c r="L84" s="332">
        <v>1.9916</v>
      </c>
      <c r="M84" s="332">
        <v>1.9916</v>
      </c>
      <c r="N84" s="340">
        <v>7.0499999999999993E-2</v>
      </c>
      <c r="O84" s="340">
        <v>7.2900000000000006E-2</v>
      </c>
      <c r="P84" s="113">
        <f t="shared" si="22"/>
        <v>1.5564185748140049E-3</v>
      </c>
      <c r="Q84" s="113">
        <f t="shared" si="23"/>
        <v>2.7692462615175775E-3</v>
      </c>
      <c r="R84" s="335">
        <f t="shared" si="18"/>
        <v>-3.0000000000000027E-3</v>
      </c>
      <c r="S84" s="376">
        <f t="shared" si="19"/>
        <v>3.0000000000000859E-4</v>
      </c>
      <c r="T84" s="148"/>
      <c r="U84" s="177"/>
      <c r="V84" s="344"/>
    </row>
    <row r="85" spans="1:22" s="336" customFormat="1" ht="12.95" customHeight="1">
      <c r="A85" s="387">
        <v>74</v>
      </c>
      <c r="B85" s="380" t="s">
        <v>49</v>
      </c>
      <c r="C85" s="381" t="s">
        <v>252</v>
      </c>
      <c r="D85" s="332">
        <v>9857997468.7700005</v>
      </c>
      <c r="E85" s="339">
        <f t="shared" si="21"/>
        <v>3.0365408813425802E-2</v>
      </c>
      <c r="F85" s="333">
        <v>1</v>
      </c>
      <c r="G85" s="333">
        <v>1</v>
      </c>
      <c r="H85" s="340">
        <v>0.06</v>
      </c>
      <c r="I85" s="340">
        <v>0.06</v>
      </c>
      <c r="J85" s="332">
        <v>9863356245.0499992</v>
      </c>
      <c r="K85" s="339">
        <f t="shared" si="24"/>
        <v>3.0318407435241401E-2</v>
      </c>
      <c r="L85" s="333">
        <v>1</v>
      </c>
      <c r="M85" s="333">
        <v>1</v>
      </c>
      <c r="N85" s="340">
        <v>0.06</v>
      </c>
      <c r="O85" s="340">
        <v>0.06</v>
      </c>
      <c r="P85" s="335">
        <f t="shared" si="22"/>
        <v>5.4359684073518062E-4</v>
      </c>
      <c r="Q85" s="335">
        <f t="shared" si="23"/>
        <v>0</v>
      </c>
      <c r="R85" s="335">
        <f t="shared" si="18"/>
        <v>0</v>
      </c>
      <c r="S85" s="376">
        <f t="shared" si="19"/>
        <v>0</v>
      </c>
      <c r="T85" s="148"/>
      <c r="U85" s="177"/>
      <c r="V85" s="345"/>
    </row>
    <row r="86" spans="1:22" s="116" customFormat="1" ht="12.95" customHeight="1">
      <c r="A86" s="397">
        <v>75</v>
      </c>
      <c r="B86" s="380" t="s">
        <v>19</v>
      </c>
      <c r="C86" s="381" t="s">
        <v>12</v>
      </c>
      <c r="D86" s="332">
        <v>3321098491.3000002</v>
      </c>
      <c r="E86" s="339">
        <f t="shared" si="21"/>
        <v>1.0229918775842306E-2</v>
      </c>
      <c r="F86" s="333">
        <v>23.953099999999999</v>
      </c>
      <c r="G86" s="333">
        <v>23.953099999999999</v>
      </c>
      <c r="H86" s="340">
        <v>8.0000000000000004E-4</v>
      </c>
      <c r="I86" s="340">
        <v>1.6799999999999999E-2</v>
      </c>
      <c r="J86" s="332">
        <v>3326377950.4299998</v>
      </c>
      <c r="K86" s="339">
        <f t="shared" si="24"/>
        <v>1.0224763202216542E-2</v>
      </c>
      <c r="L86" s="333">
        <v>24.0075</v>
      </c>
      <c r="M86" s="333">
        <v>24.0075</v>
      </c>
      <c r="N86" s="340">
        <v>8.0000000000000004E-4</v>
      </c>
      <c r="O86" s="340">
        <v>1.9099999999999999E-2</v>
      </c>
      <c r="P86" s="335">
        <f t="shared" si="22"/>
        <v>1.589672556784988E-3</v>
      </c>
      <c r="Q86" s="335">
        <f t="shared" si="23"/>
        <v>2.2711047839319804E-3</v>
      </c>
      <c r="R86" s="335">
        <f t="shared" si="18"/>
        <v>0</v>
      </c>
      <c r="S86" s="376">
        <f t="shared" si="19"/>
        <v>2.3E-3</v>
      </c>
      <c r="T86" s="148"/>
      <c r="U86" s="177"/>
      <c r="V86" s="297"/>
    </row>
    <row r="87" spans="1:22" s="116" customFormat="1" ht="12.95" customHeight="1">
      <c r="A87" s="220"/>
      <c r="C87" s="250" t="s">
        <v>42</v>
      </c>
      <c r="D87" s="77">
        <f>SUM(D57:D86)</f>
        <v>324645636399.64471</v>
      </c>
      <c r="E87" s="268">
        <f>(D87/$D$167)</f>
        <v>0.20477124261894225</v>
      </c>
      <c r="F87" s="333"/>
      <c r="G87" s="333"/>
      <c r="H87" s="340"/>
      <c r="I87" s="340"/>
      <c r="J87" s="77">
        <f>SUM(J57:J86)</f>
        <v>325325671083.40485</v>
      </c>
      <c r="K87" s="268">
        <f>(J87/$J$167)</f>
        <v>0.20462354349037773</v>
      </c>
      <c r="L87" s="270"/>
      <c r="M87" s="74"/>
      <c r="N87" s="285"/>
      <c r="O87" s="285"/>
      <c r="P87" s="272">
        <f t="shared" ref="P87" si="25">((J87-D87)/D87)</f>
        <v>2.0946983649673847E-3</v>
      </c>
      <c r="Q87" s="272"/>
      <c r="R87" s="272">
        <f t="shared" ref="R87:S87" si="26">N87-H87</f>
        <v>0</v>
      </c>
      <c r="S87" s="376">
        <f t="shared" si="26"/>
        <v>0</v>
      </c>
      <c r="T87" s="91"/>
      <c r="U87" s="178"/>
      <c r="V87" s="190"/>
    </row>
    <row r="88" spans="1:22" s="116" customFormat="1" ht="5.25" customHeight="1">
      <c r="A88" s="411"/>
      <c r="B88" s="412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14"/>
      <c r="T88" s="91"/>
      <c r="U88" s="178"/>
      <c r="V88" s="190"/>
    </row>
    <row r="89" spans="1:22" s="116" customFormat="1" ht="12" customHeight="1">
      <c r="A89" s="407" t="s">
        <v>202</v>
      </c>
      <c r="B89" s="408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  <c r="S89" s="410"/>
      <c r="T89" s="91"/>
      <c r="U89" s="178"/>
      <c r="V89" s="190"/>
    </row>
    <row r="90" spans="1:22" s="116" customFormat="1" ht="12.95" customHeight="1">
      <c r="A90" s="419" t="s">
        <v>203</v>
      </c>
      <c r="B90" s="420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R90" s="421"/>
      <c r="S90" s="422"/>
      <c r="T90" s="91"/>
      <c r="U90" s="178"/>
      <c r="V90" s="190"/>
    </row>
    <row r="91" spans="1:22" s="116" customFormat="1" ht="12.95" customHeight="1">
      <c r="A91" s="387">
        <v>76</v>
      </c>
      <c r="B91" s="380" t="s">
        <v>150</v>
      </c>
      <c r="C91" s="381" t="s">
        <v>58</v>
      </c>
      <c r="D91" s="332">
        <v>796712638.04999995</v>
      </c>
      <c r="E91" s="339">
        <f t="shared" ref="E91:E99" si="27">(D91/$D$111)</f>
        <v>2.4262722360184077E-3</v>
      </c>
      <c r="F91" s="332">
        <f>107.4297*460.36</f>
        <v>49456.336691999997</v>
      </c>
      <c r="G91" s="332">
        <f>107.4297*460.36</f>
        <v>49456.336691999997</v>
      </c>
      <c r="H91" s="340">
        <v>1.1000000000000001E-3</v>
      </c>
      <c r="I91" s="340">
        <v>8.48E-2</v>
      </c>
      <c r="J91" s="332">
        <v>793224099.02999997</v>
      </c>
      <c r="K91" s="339">
        <f t="shared" ref="K91:K99" si="28">(J91/$J$111)</f>
        <v>2.4089035857771095E-3</v>
      </c>
      <c r="L91" s="332">
        <f>107.551*460.36</f>
        <v>49512.178360000005</v>
      </c>
      <c r="M91" s="332">
        <f>107.551*460.36</f>
        <v>49512.178360000005</v>
      </c>
      <c r="N91" s="340">
        <v>1.1000000000000001E-3</v>
      </c>
      <c r="O91" s="340">
        <v>8.48E-2</v>
      </c>
      <c r="P91" s="335">
        <f t="shared" ref="P91:P99" si="29">((J91-D91)/D91)</f>
        <v>-4.3786666024758702E-3</v>
      </c>
      <c r="Q91" s="335">
        <f t="shared" ref="Q91:Q99" si="30">((M91-G91)/G91)</f>
        <v>1.1291104787597643E-3</v>
      </c>
      <c r="R91" s="335">
        <f t="shared" ref="R91:R99" si="31">N91-H91</f>
        <v>0</v>
      </c>
      <c r="S91" s="376">
        <f t="shared" ref="S91:S99" si="32">O91-I91</f>
        <v>0</v>
      </c>
      <c r="T91" s="91"/>
      <c r="U91" s="178"/>
      <c r="V91" s="190"/>
    </row>
    <row r="92" spans="1:22" s="116" customFormat="1" ht="12.95" customHeight="1">
      <c r="A92" s="387">
        <v>77</v>
      </c>
      <c r="B92" s="380" t="s">
        <v>151</v>
      </c>
      <c r="C92" s="381" t="s">
        <v>6</v>
      </c>
      <c r="D92" s="332">
        <f>11646169.51*460.36</f>
        <v>5361430595.6236</v>
      </c>
      <c r="E92" s="339">
        <f t="shared" si="27"/>
        <v>1.6327455569601249E-2</v>
      </c>
      <c r="F92" s="332">
        <f>1.1412*460.36</f>
        <v>525.36283200000003</v>
      </c>
      <c r="G92" s="332">
        <f>1.1412*460.36</f>
        <v>525.36283200000003</v>
      </c>
      <c r="H92" s="340">
        <v>5.0299999999999997E-2</v>
      </c>
      <c r="I92" s="340">
        <v>5.3199999999999997E-2</v>
      </c>
      <c r="J92" s="332">
        <f>11671298.13*460.43</f>
        <v>5373815797.9959002</v>
      </c>
      <c r="K92" s="339">
        <f t="shared" si="28"/>
        <v>1.6319479149622281E-2</v>
      </c>
      <c r="L92" s="332">
        <f>1.1424*460.43</f>
        <v>525.9952320000001</v>
      </c>
      <c r="M92" s="332">
        <f>1.1424*460.43</f>
        <v>525.9952320000001</v>
      </c>
      <c r="N92" s="340">
        <v>5.4800000000000001E-2</v>
      </c>
      <c r="O92" s="340">
        <v>5.33E-2</v>
      </c>
      <c r="P92" s="335">
        <f t="shared" si="29"/>
        <v>2.3100555255550401E-3</v>
      </c>
      <c r="Q92" s="335">
        <f t="shared" si="30"/>
        <v>1.2037395138757648E-3</v>
      </c>
      <c r="R92" s="335">
        <f t="shared" si="31"/>
        <v>4.500000000000004E-3</v>
      </c>
      <c r="S92" s="376">
        <f t="shared" si="32"/>
        <v>1.0000000000000286E-4</v>
      </c>
      <c r="U92" s="169"/>
      <c r="V92" s="168"/>
    </row>
    <row r="93" spans="1:22" s="116" customFormat="1" ht="12.95" customHeight="1">
      <c r="A93" s="401">
        <v>78</v>
      </c>
      <c r="B93" s="380" t="s">
        <v>178</v>
      </c>
      <c r="C93" s="381" t="s">
        <v>175</v>
      </c>
      <c r="D93" s="332">
        <v>1008850362.1182001</v>
      </c>
      <c r="E93" s="339">
        <f t="shared" si="27"/>
        <v>3.072306760308841E-3</v>
      </c>
      <c r="F93" s="332">
        <v>48972.274008</v>
      </c>
      <c r="G93" s="332">
        <v>48972.274008</v>
      </c>
      <c r="H93" s="340">
        <v>5.4032818899518352E-2</v>
      </c>
      <c r="I93" s="340">
        <v>4.682974397104931E-2</v>
      </c>
      <c r="J93" s="332">
        <v>1017893723.7982001</v>
      </c>
      <c r="K93" s="339">
        <f t="shared" si="28"/>
        <v>3.0911918135063665E-3</v>
      </c>
      <c r="L93" s="332">
        <v>49037.328653999997</v>
      </c>
      <c r="M93" s="332">
        <v>49037.328653999997</v>
      </c>
      <c r="N93" s="340">
        <v>5.3670004931173493E-2</v>
      </c>
      <c r="O93" s="340">
        <v>4.7017119955754964E-2</v>
      </c>
      <c r="P93" s="335">
        <f t="shared" si="29"/>
        <v>8.9640267968110407E-3</v>
      </c>
      <c r="Q93" s="335">
        <f t="shared" si="30"/>
        <v>1.3283974926173467E-3</v>
      </c>
      <c r="R93" s="335">
        <f t="shared" si="31"/>
        <v>-3.6281396834485918E-4</v>
      </c>
      <c r="S93" s="376">
        <f t="shared" si="32"/>
        <v>1.8737598470565386E-4</v>
      </c>
      <c r="T93" s="384" t="s">
        <v>284</v>
      </c>
      <c r="U93" s="179"/>
      <c r="V93" s="168"/>
    </row>
    <row r="94" spans="1:22" s="116" customFormat="1" ht="12.95" customHeight="1">
      <c r="A94" s="387">
        <v>79</v>
      </c>
      <c r="B94" s="380" t="s">
        <v>248</v>
      </c>
      <c r="C94" s="381" t="s">
        <v>192</v>
      </c>
      <c r="D94" s="332">
        <v>13421788517.82</v>
      </c>
      <c r="E94" s="339">
        <f t="shared" si="27"/>
        <v>4.0874101003596251E-2</v>
      </c>
      <c r="F94" s="332">
        <v>56715.7</v>
      </c>
      <c r="G94" s="332">
        <v>56715.7</v>
      </c>
      <c r="H94" s="340">
        <v>8.9999999999999998E-4</v>
      </c>
      <c r="I94" s="340">
        <v>6.9699999999999998E-2</v>
      </c>
      <c r="J94" s="332">
        <v>13234964096.879999</v>
      </c>
      <c r="K94" s="339">
        <f t="shared" si="28"/>
        <v>4.0192617079577359E-2</v>
      </c>
      <c r="L94" s="332">
        <v>56895.68</v>
      </c>
      <c r="M94" s="332">
        <v>56895.68</v>
      </c>
      <c r="N94" s="340">
        <v>1.4E-3</v>
      </c>
      <c r="O94" s="340">
        <v>7.0000000000000007E-2</v>
      </c>
      <c r="P94" s="335">
        <f t="shared" si="29"/>
        <v>-1.3919487756192497E-2</v>
      </c>
      <c r="Q94" s="335">
        <f t="shared" si="30"/>
        <v>3.1733717471529614E-3</v>
      </c>
      <c r="R94" s="335">
        <f t="shared" si="31"/>
        <v>5.0000000000000001E-4</v>
      </c>
      <c r="S94" s="376">
        <f t="shared" si="32"/>
        <v>3.0000000000000859E-4</v>
      </c>
      <c r="U94" s="179"/>
      <c r="V94" s="168"/>
    </row>
    <row r="95" spans="1:22" s="116" customFormat="1" ht="12.95" customHeight="1">
      <c r="A95" s="397">
        <v>80</v>
      </c>
      <c r="B95" s="380" t="s">
        <v>245</v>
      </c>
      <c r="C95" s="381" t="s">
        <v>227</v>
      </c>
      <c r="D95" s="332">
        <f>80176.31*460.86</f>
        <v>36950054.226599999</v>
      </c>
      <c r="E95" s="339">
        <f t="shared" si="27"/>
        <v>1.1252600549779142E-4</v>
      </c>
      <c r="F95" s="332">
        <f>101.46*460.86</f>
        <v>46758.855599999995</v>
      </c>
      <c r="G95" s="332">
        <f>101.46*460.86</f>
        <v>46758.855599999995</v>
      </c>
      <c r="H95" s="340">
        <v>1E-3</v>
      </c>
      <c r="I95" s="340">
        <v>3.4000000000000002E-2</v>
      </c>
      <c r="J95" s="332">
        <f>80229.23*460.93</f>
        <v>36980058.983899996</v>
      </c>
      <c r="K95" s="339">
        <f t="shared" si="28"/>
        <v>1.1230293784253349E-4</v>
      </c>
      <c r="L95" s="332">
        <f>101.52*460.93</f>
        <v>46793.613599999997</v>
      </c>
      <c r="M95" s="332">
        <f>101.52*460.93</f>
        <v>46793.613599999997</v>
      </c>
      <c r="N95" s="340">
        <v>1E-3</v>
      </c>
      <c r="O95" s="340">
        <v>3.4000000000000002E-2</v>
      </c>
      <c r="P95" s="335">
        <f t="shared" si="29"/>
        <v>8.120355417069122E-4</v>
      </c>
      <c r="Q95" s="335">
        <f t="shared" si="30"/>
        <v>7.4334582303168324E-4</v>
      </c>
      <c r="R95" s="335">
        <f t="shared" si="31"/>
        <v>0</v>
      </c>
      <c r="S95" s="376">
        <f t="shared" si="32"/>
        <v>0</v>
      </c>
      <c r="T95" s="128"/>
      <c r="U95" s="179"/>
      <c r="V95" s="135"/>
    </row>
    <row r="96" spans="1:22" s="116" customFormat="1" ht="12.95" customHeight="1">
      <c r="A96" s="387">
        <v>81</v>
      </c>
      <c r="B96" s="380" t="s">
        <v>124</v>
      </c>
      <c r="C96" s="381" t="s">
        <v>137</v>
      </c>
      <c r="D96" s="332">
        <v>5830206478.21</v>
      </c>
      <c r="E96" s="339">
        <f t="shared" si="27"/>
        <v>1.7755044206350133E-2</v>
      </c>
      <c r="F96" s="332">
        <v>460.36</v>
      </c>
      <c r="G96" s="332">
        <v>460.36</v>
      </c>
      <c r="H96" s="326">
        <v>8.9999999999999998E-4</v>
      </c>
      <c r="I96" s="326">
        <v>6.1899999999999997E-2</v>
      </c>
      <c r="J96" s="332">
        <v>5829468228.9700003</v>
      </c>
      <c r="K96" s="339">
        <f t="shared" si="28"/>
        <v>1.7703227797934661E-2</v>
      </c>
      <c r="L96" s="332">
        <v>460.43</v>
      </c>
      <c r="M96" s="332">
        <v>460.43</v>
      </c>
      <c r="N96" s="326">
        <v>8.9999999999999998E-4</v>
      </c>
      <c r="O96" s="326">
        <v>6.1100000000000002E-2</v>
      </c>
      <c r="P96" s="335">
        <f t="shared" si="29"/>
        <v>-1.2662488760199615E-4</v>
      </c>
      <c r="Q96" s="335">
        <f t="shared" si="30"/>
        <v>1.5205491354590577E-4</v>
      </c>
      <c r="R96" s="335">
        <f t="shared" si="31"/>
        <v>0</v>
      </c>
      <c r="S96" s="376">
        <f t="shared" si="32"/>
        <v>-7.9999999999999516E-4</v>
      </c>
      <c r="U96" s="179"/>
      <c r="V96" s="135"/>
    </row>
    <row r="97" spans="1:43" s="336" customFormat="1" ht="12.95" customHeight="1">
      <c r="A97" s="387">
        <v>82</v>
      </c>
      <c r="B97" s="380" t="s">
        <v>259</v>
      </c>
      <c r="C97" s="381" t="s">
        <v>179</v>
      </c>
      <c r="D97" s="332">
        <f>1261205.8*460.86</f>
        <v>581239304.98800004</v>
      </c>
      <c r="E97" s="339">
        <f t="shared" si="27"/>
        <v>1.7700796006282458E-3</v>
      </c>
      <c r="F97" s="332">
        <f>100.48*460.86</f>
        <v>46307.212800000001</v>
      </c>
      <c r="G97" s="332">
        <f>100.48*460.86</f>
        <v>46307.212800000001</v>
      </c>
      <c r="H97" s="340">
        <v>1.15E-2</v>
      </c>
      <c r="I97" s="340">
        <v>2.87E-2</v>
      </c>
      <c r="J97" s="332">
        <f>1522270.9*460.93</f>
        <v>701660325.93699992</v>
      </c>
      <c r="K97" s="339">
        <f t="shared" si="28"/>
        <v>2.1308380282622371E-3</v>
      </c>
      <c r="L97" s="332">
        <f>100.68*460.93</f>
        <v>46406.432400000005</v>
      </c>
      <c r="M97" s="332">
        <f>100.68*460.93</f>
        <v>46406.432400000005</v>
      </c>
      <c r="N97" s="340">
        <v>2E-3</v>
      </c>
      <c r="O97" s="340">
        <v>3.0700000000000002E-2</v>
      </c>
      <c r="P97" s="335">
        <f t="shared" si="29"/>
        <v>0.20717976213168521</v>
      </c>
      <c r="Q97" s="335">
        <f t="shared" si="30"/>
        <v>2.1426381334703E-3</v>
      </c>
      <c r="R97" s="335">
        <f t="shared" si="31"/>
        <v>-9.4999999999999998E-3</v>
      </c>
      <c r="S97" s="376">
        <f t="shared" si="32"/>
        <v>2.0000000000000018E-3</v>
      </c>
      <c r="U97" s="338"/>
      <c r="V97" s="337"/>
    </row>
    <row r="98" spans="1:43" s="336" customFormat="1" ht="12.95" customHeight="1">
      <c r="A98" s="387">
        <v>83</v>
      </c>
      <c r="B98" s="380" t="s">
        <v>132</v>
      </c>
      <c r="C98" s="381" t="s">
        <v>92</v>
      </c>
      <c r="D98" s="332">
        <f>1692043.14*460.86</f>
        <v>779795001.50039995</v>
      </c>
      <c r="E98" s="339">
        <f t="shared" si="27"/>
        <v>2.3747520392761933E-3</v>
      </c>
      <c r="F98" s="332">
        <f>123.59*460.86</f>
        <v>56957.687400000003</v>
      </c>
      <c r="G98" s="332">
        <f>127.81*460.86</f>
        <v>58902.516600000003</v>
      </c>
      <c r="H98" s="340">
        <v>1.6799999999999999E-2</v>
      </c>
      <c r="I98" s="340">
        <v>6.13E-2</v>
      </c>
      <c r="J98" s="332">
        <f>1711379.01*460.93</f>
        <v>788825927.07930005</v>
      </c>
      <c r="K98" s="339">
        <f t="shared" si="28"/>
        <v>2.3955469918513056E-3</v>
      </c>
      <c r="L98" s="332">
        <f>125.01*460.93</f>
        <v>57620.859300000004</v>
      </c>
      <c r="M98" s="332">
        <f>128.27*460.93</f>
        <v>59123.491100000007</v>
      </c>
      <c r="N98" s="340">
        <v>1.6794520547945207E-2</v>
      </c>
      <c r="O98" s="340">
        <v>0.8</v>
      </c>
      <c r="P98" s="335">
        <f t="shared" si="29"/>
        <v>1.1581153458952336E-2</v>
      </c>
      <c r="Q98" s="335">
        <f t="shared" si="30"/>
        <v>3.7515290136177965E-3</v>
      </c>
      <c r="R98" s="335">
        <f t="shared" si="31"/>
        <v>-5.4794520547921111E-6</v>
      </c>
      <c r="S98" s="376">
        <f t="shared" si="32"/>
        <v>0.73870000000000002</v>
      </c>
      <c r="U98" s="338"/>
      <c r="V98" s="337"/>
    </row>
    <row r="99" spans="1:43" s="336" customFormat="1" ht="12.95" customHeight="1">
      <c r="A99" s="387">
        <v>84</v>
      </c>
      <c r="B99" s="380" t="s">
        <v>261</v>
      </c>
      <c r="C99" s="381" t="s">
        <v>41</v>
      </c>
      <c r="D99" s="332">
        <v>69523723907.869995</v>
      </c>
      <c r="E99" s="339">
        <f t="shared" si="27"/>
        <v>0.21172436962357807</v>
      </c>
      <c r="F99" s="332">
        <v>58980.76</v>
      </c>
      <c r="G99" s="332">
        <v>58980.76</v>
      </c>
      <c r="H99" s="340">
        <v>6.3E-2</v>
      </c>
      <c r="I99" s="340">
        <v>6.0499999999999998E-2</v>
      </c>
      <c r="J99" s="332">
        <v>69539948270.880005</v>
      </c>
      <c r="K99" s="339">
        <f t="shared" si="28"/>
        <v>0.21118247787645961</v>
      </c>
      <c r="L99" s="332">
        <v>59155.22</v>
      </c>
      <c r="M99" s="332">
        <v>59155.22</v>
      </c>
      <c r="N99" s="340">
        <v>6.2799999999999995E-2</v>
      </c>
      <c r="O99" s="340">
        <v>6.0699999999999997E-2</v>
      </c>
      <c r="P99" s="335">
        <f t="shared" si="29"/>
        <v>2.3336441286588201E-4</v>
      </c>
      <c r="Q99" s="335">
        <f t="shared" si="30"/>
        <v>2.9579137332241753E-3</v>
      </c>
      <c r="R99" s="335">
        <f t="shared" si="31"/>
        <v>-2.0000000000000573E-4</v>
      </c>
      <c r="S99" s="376">
        <f t="shared" si="32"/>
        <v>1.9999999999999879E-4</v>
      </c>
      <c r="U99" s="338"/>
      <c r="V99" s="337"/>
    </row>
    <row r="100" spans="1:43" s="116" customFormat="1" ht="4.5" customHeight="1">
      <c r="A100" s="411"/>
      <c r="B100" s="412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3"/>
      <c r="S100" s="414"/>
      <c r="U100" s="180"/>
      <c r="V100" s="135"/>
    </row>
    <row r="101" spans="1:43" s="116" customFormat="1" ht="12.95" customHeight="1">
      <c r="A101" s="419" t="s">
        <v>204</v>
      </c>
      <c r="B101" s="420"/>
      <c r="C101" s="421"/>
      <c r="D101" s="421"/>
      <c r="E101" s="421"/>
      <c r="F101" s="421"/>
      <c r="G101" s="421"/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R101" s="421"/>
      <c r="S101" s="422"/>
      <c r="T101" s="181"/>
      <c r="U101" s="180"/>
      <c r="V101" s="135"/>
      <c r="AG101" s="116">
        <v>136.96</v>
      </c>
      <c r="AQ101" s="125">
        <v>185280902</v>
      </c>
    </row>
    <row r="102" spans="1:43" s="116" customFormat="1" ht="12.95" customHeight="1">
      <c r="A102" s="387">
        <v>85</v>
      </c>
      <c r="B102" s="380" t="s">
        <v>153</v>
      </c>
      <c r="C102" s="381" t="s">
        <v>152</v>
      </c>
      <c r="D102" s="331">
        <v>385055080.33999997</v>
      </c>
      <c r="E102" s="339">
        <f>(D102/$D$111)</f>
        <v>1.1726291339540017E-3</v>
      </c>
      <c r="F102" s="332">
        <v>44746.02</v>
      </c>
      <c r="G102" s="332">
        <v>44746.02</v>
      </c>
      <c r="H102" s="340">
        <v>7.4999999999999997E-3</v>
      </c>
      <c r="I102" s="340">
        <v>0</v>
      </c>
      <c r="J102" s="331">
        <v>378013764.69</v>
      </c>
      <c r="K102" s="339">
        <f t="shared" ref="K102:K110" si="33">(J102/$J$111)</f>
        <v>1.1479715686252825E-3</v>
      </c>
      <c r="L102" s="332">
        <v>43931.199999999997</v>
      </c>
      <c r="M102" s="332">
        <v>43931.199999999997</v>
      </c>
      <c r="N102" s="340">
        <v>-1.8200000000000001E-2</v>
      </c>
      <c r="O102" s="340">
        <v>0</v>
      </c>
      <c r="P102" s="335">
        <f t="shared" ref="P102:P110" si="34">((J102-D102)/D102)</f>
        <v>-1.8286515383156513E-2</v>
      </c>
      <c r="Q102" s="335">
        <f t="shared" ref="Q102:Q110" si="35">((M102-G102)/G102)</f>
        <v>-1.8209887717388046E-2</v>
      </c>
      <c r="R102" s="335">
        <f t="shared" ref="R102:R110" si="36">N102-H102</f>
        <v>-2.5700000000000001E-2</v>
      </c>
      <c r="S102" s="376">
        <f t="shared" ref="S102:S110" si="37">O102-I102</f>
        <v>0</v>
      </c>
      <c r="T102"/>
      <c r="U102" s="453"/>
      <c r="V102" s="135"/>
    </row>
    <row r="103" spans="1:43" s="116" customFormat="1" ht="12.95" customHeight="1">
      <c r="A103" s="387">
        <v>86</v>
      </c>
      <c r="B103" s="381" t="s">
        <v>236</v>
      </c>
      <c r="C103" s="381" t="s">
        <v>82</v>
      </c>
      <c r="D103" s="332">
        <f>6457425.33*460.86</f>
        <v>2975969037.5838003</v>
      </c>
      <c r="E103" s="339">
        <f>(D103/$J$111)</f>
        <v>9.0375752508827182E-3</v>
      </c>
      <c r="F103" s="331">
        <f>125.5*460.86</f>
        <v>57837.93</v>
      </c>
      <c r="G103" s="331">
        <f>126.38*460.86</f>
        <v>58243.486799999999</v>
      </c>
      <c r="H103" s="340">
        <v>1.1999999999999999E-3</v>
      </c>
      <c r="I103" s="340">
        <v>1.2999999999999999E-2</v>
      </c>
      <c r="J103" s="332">
        <f>6457425.33*460.93</f>
        <v>2976421057.3569002</v>
      </c>
      <c r="K103" s="339">
        <f t="shared" si="33"/>
        <v>9.0389479676894757E-3</v>
      </c>
      <c r="L103" s="331">
        <f>125.5*460.93</f>
        <v>57846.715000000004</v>
      </c>
      <c r="M103" s="331">
        <f>126.38*460.93</f>
        <v>58252.333399999996</v>
      </c>
      <c r="N103" s="340">
        <v>8.0000000000000004E-4</v>
      </c>
      <c r="O103" s="340">
        <v>1.2999999999999999E-2</v>
      </c>
      <c r="P103" s="335">
        <f t="shared" si="34"/>
        <v>1.5188994488561471E-4</v>
      </c>
      <c r="Q103" s="335">
        <f t="shared" si="35"/>
        <v>1.518899448855992E-4</v>
      </c>
      <c r="R103" s="335">
        <f t="shared" si="36"/>
        <v>-3.9999999999999986E-4</v>
      </c>
      <c r="S103" s="376">
        <f t="shared" si="37"/>
        <v>0</v>
      </c>
      <c r="U103" s="453"/>
      <c r="V103" s="136"/>
    </row>
    <row r="104" spans="1:43" s="116" customFormat="1" ht="12.75" customHeight="1">
      <c r="A104" s="386">
        <v>87</v>
      </c>
      <c r="B104" s="380" t="s">
        <v>147</v>
      </c>
      <c r="C104" s="381" t="s">
        <v>90</v>
      </c>
      <c r="D104" s="331">
        <v>6093639047.3699999</v>
      </c>
      <c r="E104" s="339">
        <f t="shared" ref="E104:E110" si="38">(D104/$D$111)</f>
        <v>1.8557289706283817E-2</v>
      </c>
      <c r="F104" s="331">
        <v>52881.51</v>
      </c>
      <c r="G104" s="331">
        <v>52881.51</v>
      </c>
      <c r="H104" s="340">
        <v>1E-3</v>
      </c>
      <c r="I104" s="340">
        <v>6.0499999999999998E-2</v>
      </c>
      <c r="J104" s="331">
        <v>5711117250.6899996</v>
      </c>
      <c r="K104" s="339">
        <f t="shared" si="33"/>
        <v>1.7343813483231472E-2</v>
      </c>
      <c r="L104" s="331" t="s">
        <v>282</v>
      </c>
      <c r="M104" s="331" t="s">
        <v>283</v>
      </c>
      <c r="N104" s="340">
        <v>1E-3</v>
      </c>
      <c r="O104" s="340">
        <v>5.9700000000000003E-2</v>
      </c>
      <c r="P104" s="335">
        <f t="shared" si="34"/>
        <v>-6.2773950623986469E-2</v>
      </c>
      <c r="Q104" s="335" t="e">
        <f t="shared" si="35"/>
        <v>#VALUE!</v>
      </c>
      <c r="R104" s="335">
        <f t="shared" si="36"/>
        <v>0</v>
      </c>
      <c r="S104" s="376">
        <f t="shared" si="37"/>
        <v>-7.9999999999999516E-4</v>
      </c>
      <c r="T104" s="182"/>
      <c r="U104" s="183"/>
      <c r="V104" s="184"/>
      <c r="W104" s="191"/>
      <c r="X104" s="189"/>
      <c r="Y104" s="146"/>
    </row>
    <row r="105" spans="1:43" s="116" customFormat="1" ht="12.95" customHeight="1" thickBot="1">
      <c r="A105" s="387">
        <v>88</v>
      </c>
      <c r="B105" s="380" t="s">
        <v>158</v>
      </c>
      <c r="C105" s="381" t="s">
        <v>7</v>
      </c>
      <c r="D105" s="331">
        <v>1713920200.681679</v>
      </c>
      <c r="E105" s="339">
        <f t="shared" si="38"/>
        <v>5.2194942053926359E-3</v>
      </c>
      <c r="F105" s="331">
        <v>530.83310788384358</v>
      </c>
      <c r="G105" s="331">
        <v>530.83310788384358</v>
      </c>
      <c r="H105" s="340">
        <v>5.4814187085321542E-2</v>
      </c>
      <c r="I105" s="340">
        <v>5.5759457733551884E-2</v>
      </c>
      <c r="J105" s="331">
        <v>1712416040.9213228</v>
      </c>
      <c r="K105" s="339">
        <f t="shared" si="33"/>
        <v>5.2003527708776864E-3</v>
      </c>
      <c r="L105" s="331">
        <v>531.52645097944651</v>
      </c>
      <c r="M105" s="331">
        <v>531.52645097944651</v>
      </c>
      <c r="N105" s="340">
        <v>5.4561658659483363E-2</v>
      </c>
      <c r="O105" s="340">
        <v>5.5733255531686281E-2</v>
      </c>
      <c r="P105" s="335">
        <f t="shared" si="34"/>
        <v>-8.7761364838219252E-4</v>
      </c>
      <c r="Q105" s="335">
        <f t="shared" si="35"/>
        <v>1.3061413941698671E-3</v>
      </c>
      <c r="R105" s="335">
        <f t="shared" si="36"/>
        <v>-2.5252842583817908E-4</v>
      </c>
      <c r="S105" s="376">
        <f t="shared" si="37"/>
        <v>-2.6202201865603569E-5</v>
      </c>
      <c r="T105" s="171"/>
      <c r="U105" s="165"/>
      <c r="V105" s="184"/>
      <c r="W105" s="191"/>
      <c r="X105" s="189"/>
      <c r="Y105" s="147"/>
    </row>
    <row r="106" spans="1:43" s="116" customFormat="1" ht="12.75" customHeight="1">
      <c r="A106" s="397">
        <v>89</v>
      </c>
      <c r="B106" s="381" t="s">
        <v>199</v>
      </c>
      <c r="C106" s="400" t="s">
        <v>9</v>
      </c>
      <c r="D106" s="332">
        <v>4813307316.1499996</v>
      </c>
      <c r="E106" s="339">
        <f t="shared" si="38"/>
        <v>1.4658225998752276E-2</v>
      </c>
      <c r="F106" s="331">
        <f>1.0014*460.86</f>
        <v>461.50520400000005</v>
      </c>
      <c r="G106" s="331">
        <f>1.0014*460.86</f>
        <v>461.50520400000005</v>
      </c>
      <c r="H106" s="340">
        <v>1.6000000000000001E-3</v>
      </c>
      <c r="I106" s="340">
        <v>8.9499999999999996E-2</v>
      </c>
      <c r="J106" s="332">
        <v>4824854087.9499998</v>
      </c>
      <c r="K106" s="339">
        <f t="shared" si="33"/>
        <v>1.4652364101805397E-2</v>
      </c>
      <c r="L106" s="331">
        <f>1.0035*460.93</f>
        <v>462.54325500000004</v>
      </c>
      <c r="M106" s="331">
        <f>1.0035*460.93</f>
        <v>462.54325500000004</v>
      </c>
      <c r="N106" s="340">
        <v>1.6000000000000001E-3</v>
      </c>
      <c r="O106" s="340">
        <v>9.2200000000000004E-2</v>
      </c>
      <c r="P106" s="335">
        <f t="shared" si="34"/>
        <v>2.3989267756200656E-3</v>
      </c>
      <c r="Q106" s="335">
        <f t="shared" si="35"/>
        <v>2.2492725780834224E-3</v>
      </c>
      <c r="R106" s="335">
        <f t="shared" si="36"/>
        <v>0</v>
      </c>
      <c r="S106" s="376">
        <f t="shared" si="37"/>
        <v>2.7000000000000079E-3</v>
      </c>
      <c r="U106" s="189"/>
      <c r="V106" s="189"/>
      <c r="W106" s="189"/>
      <c r="X106" s="191"/>
    </row>
    <row r="107" spans="1:43" s="116" customFormat="1" ht="12.75" customHeight="1">
      <c r="A107" s="387">
        <v>90</v>
      </c>
      <c r="B107" s="380" t="s">
        <v>166</v>
      </c>
      <c r="C107" s="381" t="s">
        <v>165</v>
      </c>
      <c r="D107" s="331">
        <v>101996792.39</v>
      </c>
      <c r="E107" s="339">
        <f t="shared" si="38"/>
        <v>3.1061636745777319E-4</v>
      </c>
      <c r="F107" s="331">
        <v>397.72</v>
      </c>
      <c r="G107" s="331">
        <v>397.72</v>
      </c>
      <c r="H107" s="340">
        <v>-5.2880000000000002E-3</v>
      </c>
      <c r="I107" s="340">
        <v>0</v>
      </c>
      <c r="J107" s="331">
        <v>100947126.48</v>
      </c>
      <c r="K107" s="339">
        <f t="shared" si="33"/>
        <v>3.0656140584852629E-4</v>
      </c>
      <c r="L107" s="331">
        <v>393.19</v>
      </c>
      <c r="M107" s="331">
        <v>393.19</v>
      </c>
      <c r="N107" s="340">
        <v>-5.2880000000000002E-3</v>
      </c>
      <c r="O107" s="340">
        <v>0</v>
      </c>
      <c r="P107" s="335">
        <f t="shared" si="34"/>
        <v>-1.0291165882809743E-2</v>
      </c>
      <c r="Q107" s="335">
        <f t="shared" si="35"/>
        <v>-1.1389922558584002E-2</v>
      </c>
      <c r="R107" s="335">
        <f t="shared" si="36"/>
        <v>0</v>
      </c>
      <c r="S107" s="376">
        <f t="shared" si="37"/>
        <v>0</v>
      </c>
      <c r="U107" s="189"/>
      <c r="V107" s="189"/>
      <c r="W107" s="189"/>
      <c r="X107" s="191"/>
    </row>
    <row r="108" spans="1:43" s="116" customFormat="1" ht="12.75" customHeight="1">
      <c r="A108" s="399">
        <v>91</v>
      </c>
      <c r="B108" s="380" t="s">
        <v>95</v>
      </c>
      <c r="C108" s="381" t="s">
        <v>5</v>
      </c>
      <c r="D108" s="332">
        <v>206919631467.92999</v>
      </c>
      <c r="E108" s="339">
        <f t="shared" si="38"/>
        <v>0.63014358369735346</v>
      </c>
      <c r="F108" s="331">
        <v>643.59</v>
      </c>
      <c r="G108" s="331">
        <v>643.59</v>
      </c>
      <c r="H108" s="340">
        <v>1.1000000000000001E-3</v>
      </c>
      <c r="I108" s="340">
        <v>1.7999999999999999E-2</v>
      </c>
      <c r="J108" s="332">
        <v>207429439723.20001</v>
      </c>
      <c r="K108" s="339">
        <f t="shared" si="33"/>
        <v>0.62993235046185281</v>
      </c>
      <c r="L108" s="331">
        <v>645.66</v>
      </c>
      <c r="M108" s="331">
        <v>645.66</v>
      </c>
      <c r="N108" s="340">
        <v>1.6000000000000001E-3</v>
      </c>
      <c r="O108" s="340">
        <v>1.9599999999999999E-2</v>
      </c>
      <c r="P108" s="335">
        <f t="shared" si="34"/>
        <v>2.4637983919328292E-3</v>
      </c>
      <c r="Q108" s="335">
        <f t="shared" si="35"/>
        <v>3.2163333799467616E-3</v>
      </c>
      <c r="R108" s="335">
        <f t="shared" si="36"/>
        <v>5.0000000000000001E-4</v>
      </c>
      <c r="S108" s="376">
        <f t="shared" si="37"/>
        <v>1.6000000000000007E-3</v>
      </c>
      <c r="T108"/>
      <c r="U108" s="298"/>
      <c r="V108" s="298"/>
      <c r="W108" s="298"/>
      <c r="X108" s="299"/>
    </row>
    <row r="109" spans="1:43" s="336" customFormat="1" ht="12.75" customHeight="1">
      <c r="A109" s="387">
        <v>92</v>
      </c>
      <c r="B109" s="380" t="s">
        <v>262</v>
      </c>
      <c r="C109" s="381" t="s">
        <v>41</v>
      </c>
      <c r="D109" s="332">
        <v>2903795821.2199998</v>
      </c>
      <c r="E109" s="339">
        <f t="shared" si="38"/>
        <v>8.8430870098111878E-3</v>
      </c>
      <c r="F109" s="332">
        <v>471.03</v>
      </c>
      <c r="G109" s="332">
        <v>471.03</v>
      </c>
      <c r="H109" s="340">
        <v>0.16850000000000001</v>
      </c>
      <c r="I109" s="340">
        <v>6.83E-2</v>
      </c>
      <c r="J109" s="332">
        <v>3614743948.1599998</v>
      </c>
      <c r="K109" s="339">
        <f t="shared" si="33"/>
        <v>1.097743962776326E-2</v>
      </c>
      <c r="L109" s="332">
        <v>473.28</v>
      </c>
      <c r="M109" s="332">
        <v>467.93</v>
      </c>
      <c r="N109" s="340">
        <v>0.15409999999999999</v>
      </c>
      <c r="O109" s="340">
        <v>7.4999999999999997E-2</v>
      </c>
      <c r="P109" s="335">
        <f t="shared" si="34"/>
        <v>0.24483406227966212</v>
      </c>
      <c r="Q109" s="335">
        <f t="shared" si="35"/>
        <v>-6.5813217841750333E-3</v>
      </c>
      <c r="R109" s="335">
        <f t="shared" si="36"/>
        <v>-1.4400000000000024E-2</v>
      </c>
      <c r="S109" s="376">
        <f t="shared" si="37"/>
        <v>6.6999999999999976E-3</v>
      </c>
      <c r="T109" s="362"/>
      <c r="U109" s="361"/>
      <c r="V109" s="361"/>
      <c r="W109" s="361"/>
      <c r="X109" s="360"/>
    </row>
    <row r="110" spans="1:43" s="116" customFormat="1" ht="12.95" customHeight="1">
      <c r="A110" s="387">
        <v>93</v>
      </c>
      <c r="B110" s="380" t="s">
        <v>128</v>
      </c>
      <c r="C110" s="381" t="s">
        <v>252</v>
      </c>
      <c r="D110" s="331">
        <v>5121009058.2200003</v>
      </c>
      <c r="E110" s="339">
        <f t="shared" si="38"/>
        <v>1.5595286813535142E-2</v>
      </c>
      <c r="F110" s="331">
        <v>460.36</v>
      </c>
      <c r="G110" s="331">
        <v>460.36</v>
      </c>
      <c r="H110" s="340">
        <v>1E-3</v>
      </c>
      <c r="I110" s="340">
        <v>2E-3</v>
      </c>
      <c r="J110" s="331">
        <v>5223704461.3900003</v>
      </c>
      <c r="K110" s="339">
        <f t="shared" si="33"/>
        <v>1.5863613351472759E-2</v>
      </c>
      <c r="L110" s="331">
        <v>464</v>
      </c>
      <c r="M110" s="331">
        <v>464</v>
      </c>
      <c r="N110" s="340">
        <v>1.4E-3</v>
      </c>
      <c r="O110" s="340">
        <v>3.3999999999999998E-3</v>
      </c>
      <c r="P110" s="335">
        <f t="shared" si="34"/>
        <v>2.0053743706068689E-2</v>
      </c>
      <c r="Q110" s="335">
        <f t="shared" si="35"/>
        <v>7.9068555043878413E-3</v>
      </c>
      <c r="R110" s="335">
        <f t="shared" si="36"/>
        <v>3.9999999999999996E-4</v>
      </c>
      <c r="S110" s="376">
        <f t="shared" si="37"/>
        <v>1.3999999999999998E-3</v>
      </c>
      <c r="U110" s="189"/>
      <c r="V110" s="189"/>
      <c r="W110" s="189"/>
      <c r="X110" s="191"/>
    </row>
    <row r="111" spans="1:43" s="116" customFormat="1" ht="13.5" customHeight="1">
      <c r="A111" s="220"/>
      <c r="C111" s="292" t="s">
        <v>42</v>
      </c>
      <c r="D111" s="77">
        <f>SUM(D91:D110)</f>
        <v>328369020682.29224</v>
      </c>
      <c r="E111" s="268">
        <f>(D111/$D$167)</f>
        <v>0.20711977880985225</v>
      </c>
      <c r="F111" s="270"/>
      <c r="G111" s="74"/>
      <c r="H111" s="282"/>
      <c r="I111" s="282"/>
      <c r="J111" s="77">
        <f>SUM(J91:J110)</f>
        <v>329288437990.39252</v>
      </c>
      <c r="K111" s="268">
        <f>(J111/$J$167)</f>
        <v>0.20711604709095077</v>
      </c>
      <c r="L111" s="270"/>
      <c r="M111" s="74"/>
      <c r="N111" s="284"/>
      <c r="O111" s="284"/>
      <c r="P111" s="272">
        <f t="shared" ref="P111" si="39">((J111-D111)/D111)</f>
        <v>2.7999514271775565E-3</v>
      </c>
      <c r="Q111" s="272"/>
      <c r="R111" s="272">
        <f t="shared" ref="R111:S111" si="40">N111-H111</f>
        <v>0</v>
      </c>
      <c r="S111" s="376">
        <f t="shared" si="40"/>
        <v>0</v>
      </c>
      <c r="U111" s="189"/>
      <c r="V111" s="189"/>
      <c r="W111" s="189"/>
      <c r="X111" s="189"/>
    </row>
    <row r="112" spans="1:43" s="116" customFormat="1" ht="4.5" customHeight="1">
      <c r="A112" s="411"/>
      <c r="B112" s="412"/>
      <c r="C112" s="413"/>
      <c r="D112" s="413"/>
      <c r="E112" s="413"/>
      <c r="F112" s="413"/>
      <c r="G112" s="413"/>
      <c r="H112" s="413"/>
      <c r="I112" s="413"/>
      <c r="J112" s="413"/>
      <c r="K112" s="413"/>
      <c r="L112" s="413"/>
      <c r="M112" s="413"/>
      <c r="N112" s="413"/>
      <c r="O112" s="413"/>
      <c r="P112" s="413"/>
      <c r="Q112" s="413"/>
      <c r="R112" s="413"/>
      <c r="S112" s="414"/>
      <c r="T112" s="122"/>
      <c r="U112" s="137"/>
    </row>
    <row r="113" spans="1:23" s="116" customFormat="1" ht="12.95" customHeight="1">
      <c r="A113" s="449" t="s">
        <v>220</v>
      </c>
      <c r="B113" s="450"/>
      <c r="C113" s="451"/>
      <c r="D113" s="451"/>
      <c r="E113" s="451"/>
      <c r="F113" s="451"/>
      <c r="G113" s="451"/>
      <c r="H113" s="451"/>
      <c r="I113" s="451"/>
      <c r="J113" s="451"/>
      <c r="K113" s="451"/>
      <c r="L113" s="451"/>
      <c r="M113" s="451"/>
      <c r="N113" s="451"/>
      <c r="O113" s="451"/>
      <c r="P113" s="451"/>
      <c r="Q113" s="451"/>
      <c r="R113" s="451"/>
      <c r="S113" s="452"/>
    </row>
    <row r="114" spans="1:23" s="116" customFormat="1" ht="12.95" customHeight="1">
      <c r="A114" s="397">
        <v>94</v>
      </c>
      <c r="B114" s="380" t="s">
        <v>233</v>
      </c>
      <c r="C114" s="381" t="s">
        <v>9</v>
      </c>
      <c r="D114" s="332">
        <v>7511812185.1700001</v>
      </c>
      <c r="E114" s="339">
        <f>(D114/$D$118)</f>
        <v>0.16137930180484467</v>
      </c>
      <c r="F114" s="333">
        <v>101.31</v>
      </c>
      <c r="G114" s="333">
        <v>101.31</v>
      </c>
      <c r="H114" s="340">
        <v>7.6999999999999999E-2</v>
      </c>
      <c r="I114" s="340">
        <v>7.6999999999999999E-2</v>
      </c>
      <c r="J114" s="332">
        <v>7511812185.1700001</v>
      </c>
      <c r="K114" s="339">
        <f>(J114/$J$118)</f>
        <v>0.16132838124670437</v>
      </c>
      <c r="L114" s="333">
        <v>101.31</v>
      </c>
      <c r="M114" s="333">
        <v>101.31</v>
      </c>
      <c r="N114" s="340">
        <v>0</v>
      </c>
      <c r="O114" s="340">
        <v>7.6999999999999999E-2</v>
      </c>
      <c r="P114" s="335">
        <f>((J114-D114)/D114)</f>
        <v>0</v>
      </c>
      <c r="Q114" s="335">
        <f>((M114-G114)/G114)</f>
        <v>0</v>
      </c>
      <c r="R114" s="335">
        <f t="shared" ref="R114:S117" si="41">N114-H114</f>
        <v>-7.6999999999999999E-2</v>
      </c>
      <c r="S114" s="376">
        <f t="shared" si="41"/>
        <v>0</v>
      </c>
    </row>
    <row r="115" spans="1:23" s="116" customFormat="1" ht="12.95" customHeight="1">
      <c r="A115" s="387">
        <v>95</v>
      </c>
      <c r="B115" s="380" t="s">
        <v>145</v>
      </c>
      <c r="C115" s="381" t="s">
        <v>20</v>
      </c>
      <c r="D115" s="332">
        <v>2341177154.25</v>
      </c>
      <c r="E115" s="339">
        <f>(D115/$D$118)</f>
        <v>5.0296456466285805E-2</v>
      </c>
      <c r="F115" s="333">
        <v>77</v>
      </c>
      <c r="G115" s="333">
        <v>77</v>
      </c>
      <c r="H115" s="340">
        <v>1.78E-2</v>
      </c>
      <c r="I115" s="340">
        <v>0.14149999999999999</v>
      </c>
      <c r="J115" s="332">
        <v>2344656416.2600002</v>
      </c>
      <c r="K115" s="339">
        <f>(J115/$J$118)</f>
        <v>5.0355309063995782E-2</v>
      </c>
      <c r="L115" s="333">
        <v>77</v>
      </c>
      <c r="M115" s="333">
        <v>77</v>
      </c>
      <c r="N115" s="340">
        <v>7.5700000000000003E-2</v>
      </c>
      <c r="O115" s="340">
        <v>0.13739999999999999</v>
      </c>
      <c r="P115" s="335">
        <f>((J115-D115)/D115)</f>
        <v>1.4861165049745312E-3</v>
      </c>
      <c r="Q115" s="335">
        <f>((M115-G115)/G115)</f>
        <v>0</v>
      </c>
      <c r="R115" s="335">
        <f t="shared" si="41"/>
        <v>5.7900000000000007E-2</v>
      </c>
      <c r="S115" s="376">
        <f t="shared" si="41"/>
        <v>-4.0999999999999925E-3</v>
      </c>
      <c r="T115" s="138"/>
      <c r="U115" s="170"/>
    </row>
    <row r="116" spans="1:23" s="116" customFormat="1" ht="12.95" customHeight="1">
      <c r="A116" s="387">
        <v>96</v>
      </c>
      <c r="B116" s="380" t="s">
        <v>21</v>
      </c>
      <c r="C116" s="381" t="s">
        <v>20</v>
      </c>
      <c r="D116" s="332">
        <v>10148918090.66</v>
      </c>
      <c r="E116" s="339">
        <f>(D116/$D$118)</f>
        <v>0.21803331542003968</v>
      </c>
      <c r="F116" s="333">
        <v>36.6</v>
      </c>
      <c r="G116" s="333">
        <v>36.6</v>
      </c>
      <c r="H116" s="340">
        <v>7.7399999999999997E-2</v>
      </c>
      <c r="I116" s="340">
        <v>0.1822</v>
      </c>
      <c r="J116" s="332">
        <v>10154946927.15</v>
      </c>
      <c r="K116" s="339">
        <f>(J116/$J$118)</f>
        <v>0.21809399769574087</v>
      </c>
      <c r="L116" s="333">
        <v>36.6</v>
      </c>
      <c r="M116" s="333">
        <v>36.6</v>
      </c>
      <c r="N116" s="340">
        <v>2.9000000000000001E-2</v>
      </c>
      <c r="O116" s="340">
        <v>0.1736</v>
      </c>
      <c r="P116" s="335">
        <f>((J116-D116)/D116)</f>
        <v>5.9403735808529975E-4</v>
      </c>
      <c r="Q116" s="335">
        <f>((M116-G116)/G116)</f>
        <v>0</v>
      </c>
      <c r="R116" s="335">
        <f t="shared" si="41"/>
        <v>-4.8399999999999999E-2</v>
      </c>
      <c r="S116" s="376">
        <f t="shared" si="41"/>
        <v>-8.5999999999999965E-3</v>
      </c>
      <c r="T116" s="139"/>
      <c r="U116" s="117"/>
    </row>
    <row r="117" spans="1:23" s="140" customFormat="1" ht="12.95" customHeight="1">
      <c r="A117" s="399">
        <v>97</v>
      </c>
      <c r="B117" s="380" t="s">
        <v>189</v>
      </c>
      <c r="C117" s="381" t="s">
        <v>5</v>
      </c>
      <c r="D117" s="332">
        <v>26545649172.029999</v>
      </c>
      <c r="E117" s="339">
        <f>(D117/$D$118)</f>
        <v>0.57029092630882983</v>
      </c>
      <c r="F117" s="333">
        <v>3.2</v>
      </c>
      <c r="G117" s="333">
        <v>3.2</v>
      </c>
      <c r="H117" s="340">
        <v>1.5900000000000001E-2</v>
      </c>
      <c r="I117" s="340">
        <v>6.6699999999999995E-2</v>
      </c>
      <c r="J117" s="332">
        <v>26550833017.650002</v>
      </c>
      <c r="K117" s="339">
        <f>(J117/$J$118)</f>
        <v>0.57022231199355899</v>
      </c>
      <c r="L117" s="333">
        <v>3.3</v>
      </c>
      <c r="M117" s="333">
        <v>3.3</v>
      </c>
      <c r="N117" s="340">
        <v>3.1199999999999999E-2</v>
      </c>
      <c r="O117" s="340">
        <v>0.1</v>
      </c>
      <c r="P117" s="335">
        <f>((J117-D117)/D117)</f>
        <v>1.9528042378653675E-4</v>
      </c>
      <c r="Q117" s="335">
        <f>((M117-G117)/G117)</f>
        <v>3.1249999999999889E-2</v>
      </c>
      <c r="R117" s="335">
        <f t="shared" si="41"/>
        <v>1.5299999999999998E-2</v>
      </c>
      <c r="S117" s="376">
        <f t="shared" si="41"/>
        <v>3.330000000000001E-2</v>
      </c>
      <c r="T117" s="139"/>
      <c r="U117" s="165"/>
    </row>
    <row r="118" spans="1:23" s="116" customFormat="1" ht="12.75" customHeight="1">
      <c r="A118" s="220"/>
      <c r="C118" s="250" t="s">
        <v>42</v>
      </c>
      <c r="D118" s="71">
        <f>SUM(D114:D117)</f>
        <v>46547556602.110001</v>
      </c>
      <c r="E118" s="268">
        <f>(D118/$D$167)</f>
        <v>2.936001577595837E-2</v>
      </c>
      <c r="F118" s="73"/>
      <c r="G118" s="73"/>
      <c r="H118" s="251"/>
      <c r="I118" s="251"/>
      <c r="J118" s="71">
        <f>SUM(J114:J117)</f>
        <v>46562248546.230003</v>
      </c>
      <c r="K118" s="268">
        <f>(J118/$J$167)</f>
        <v>2.9286752129580994E-2</v>
      </c>
      <c r="L118" s="270"/>
      <c r="M118" s="73"/>
      <c r="N118" s="271"/>
      <c r="O118" s="271"/>
      <c r="P118" s="272">
        <f>((J118-D118)/D118)</f>
        <v>3.1563298253418443E-4</v>
      </c>
      <c r="Q118" s="272"/>
      <c r="R118" s="272">
        <f>N118-H118</f>
        <v>0</v>
      </c>
      <c r="S118" s="376">
        <f t="shared" ref="S118" si="42">O118-I118</f>
        <v>0</v>
      </c>
      <c r="T118" s="165"/>
      <c r="U118" s="165"/>
      <c r="V118" s="185"/>
      <c r="W118" s="446"/>
    </row>
    <row r="119" spans="1:23" s="116" customFormat="1" ht="5.25" customHeight="1">
      <c r="A119" s="411"/>
      <c r="B119" s="412"/>
      <c r="C119" s="413"/>
      <c r="D119" s="413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4"/>
      <c r="T119" s="165"/>
      <c r="U119" s="165"/>
      <c r="V119" s="185"/>
      <c r="W119" s="446"/>
    </row>
    <row r="120" spans="1:23" s="116" customFormat="1" ht="12" customHeight="1">
      <c r="A120" s="407" t="s">
        <v>230</v>
      </c>
      <c r="B120" s="408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09"/>
      <c r="O120" s="409"/>
      <c r="P120" s="409"/>
      <c r="Q120" s="409"/>
      <c r="R120" s="409"/>
      <c r="S120" s="410"/>
      <c r="T120" s="189"/>
      <c r="U120" s="191"/>
      <c r="V120" s="185"/>
      <c r="W120" s="446"/>
    </row>
    <row r="121" spans="1:23" s="116" customFormat="1" ht="12" customHeight="1">
      <c r="A121" s="397">
        <v>98</v>
      </c>
      <c r="B121" s="380" t="s">
        <v>119</v>
      </c>
      <c r="C121" s="381" t="s">
        <v>36</v>
      </c>
      <c r="D121" s="331">
        <v>171101927.94999999</v>
      </c>
      <c r="E121" s="339">
        <f t="shared" ref="E121:E144" si="43">(D121/$D$145)</f>
        <v>5.4815669165227173E-3</v>
      </c>
      <c r="F121" s="331">
        <v>3.84</v>
      </c>
      <c r="G121" s="331">
        <v>3.9</v>
      </c>
      <c r="H121" s="340">
        <v>-1.5997999999999998E-2</v>
      </c>
      <c r="I121" s="340">
        <v>2.3185000000000001E-2</v>
      </c>
      <c r="J121" s="331">
        <v>170294462.5</v>
      </c>
      <c r="K121" s="320">
        <f t="shared" ref="K121:K133" si="44">(J121/$J$145)</f>
        <v>5.4861668396054665E-3</v>
      </c>
      <c r="L121" s="331">
        <v>3.83</v>
      </c>
      <c r="M121" s="331">
        <v>3.88</v>
      </c>
      <c r="N121" s="340">
        <v>-4.712E-3</v>
      </c>
      <c r="O121" s="340">
        <v>1.8474000000000001E-2</v>
      </c>
      <c r="P121" s="335">
        <f t="shared" ref="P121:P144" si="45">((J121-D121)/D121)</f>
        <v>-4.7192071981558767E-3</v>
      </c>
      <c r="Q121" s="335">
        <f t="shared" ref="Q121:Q144" si="46">((M121-G121)/G121)</f>
        <v>-5.1282051282051325E-3</v>
      </c>
      <c r="R121" s="335">
        <f t="shared" ref="R121:R144" si="47">N121-H121</f>
        <v>1.1285999999999997E-2</v>
      </c>
      <c r="S121" s="376">
        <f t="shared" ref="S121:S144" si="48">O121-I121</f>
        <v>-4.7109999999999999E-3</v>
      </c>
      <c r="T121" s="448"/>
      <c r="U121" s="171"/>
      <c r="V121" s="189"/>
    </row>
    <row r="122" spans="1:23" s="116" customFormat="1" ht="12" customHeight="1">
      <c r="A122" s="387">
        <v>99</v>
      </c>
      <c r="B122" s="380" t="s">
        <v>160</v>
      </c>
      <c r="C122" s="381" t="s">
        <v>6</v>
      </c>
      <c r="D122" s="331">
        <v>4918914713.4399996</v>
      </c>
      <c r="E122" s="339">
        <f t="shared" si="43"/>
        <v>0.15758653617432561</v>
      </c>
      <c r="F122" s="331">
        <v>540.83550000000002</v>
      </c>
      <c r="G122" s="331">
        <v>557.14210000000003</v>
      </c>
      <c r="H122" s="321">
        <v>-0.61299999999999999</v>
      </c>
      <c r="I122" s="321">
        <v>0.10290000000000001</v>
      </c>
      <c r="J122" s="331">
        <v>4869590487.46</v>
      </c>
      <c r="K122" s="320">
        <f t="shared" si="44"/>
        <v>0.15687759579828539</v>
      </c>
      <c r="L122" s="331">
        <v>536.08090000000004</v>
      </c>
      <c r="M122" s="331">
        <v>552.24419999999998</v>
      </c>
      <c r="N122" s="321">
        <v>-0.45839999999999997</v>
      </c>
      <c r="O122" s="321">
        <v>6.4199999999999993E-2</v>
      </c>
      <c r="P122" s="335">
        <f t="shared" si="45"/>
        <v>-1.002746110747366E-2</v>
      </c>
      <c r="Q122" s="335">
        <f t="shared" si="46"/>
        <v>-8.7911145110018598E-3</v>
      </c>
      <c r="R122" s="335">
        <f t="shared" si="47"/>
        <v>0.15460000000000002</v>
      </c>
      <c r="S122" s="376">
        <f t="shared" si="48"/>
        <v>-3.8700000000000012E-2</v>
      </c>
      <c r="T122" s="448"/>
      <c r="W122" s="192"/>
    </row>
    <row r="123" spans="1:23" s="116" customFormat="1" ht="12" customHeight="1">
      <c r="A123" s="397">
        <v>100</v>
      </c>
      <c r="B123" s="380" t="s">
        <v>250</v>
      </c>
      <c r="C123" s="381" t="s">
        <v>12</v>
      </c>
      <c r="D123" s="331">
        <v>2653239570.73</v>
      </c>
      <c r="E123" s="339">
        <f t="shared" si="43"/>
        <v>8.5001439941533433E-2</v>
      </c>
      <c r="F123" s="331">
        <v>14.574199999999999</v>
      </c>
      <c r="G123" s="331">
        <v>14.7095</v>
      </c>
      <c r="H123" s="340">
        <v>7.0000000000000001E-3</v>
      </c>
      <c r="I123" s="340">
        <v>5.0799999999999998E-2</v>
      </c>
      <c r="J123" s="331">
        <v>2650665377.96</v>
      </c>
      <c r="K123" s="320">
        <f t="shared" si="44"/>
        <v>8.5393219990664362E-2</v>
      </c>
      <c r="L123" s="331">
        <v>14.559699999999999</v>
      </c>
      <c r="M123" s="331">
        <v>14.694599999999999</v>
      </c>
      <c r="N123" s="340">
        <v>5.4000000000000003E-3</v>
      </c>
      <c r="O123" s="340">
        <v>4.9700000000000001E-2</v>
      </c>
      <c r="P123" s="335">
        <f t="shared" si="45"/>
        <v>-9.7020743938766509E-4</v>
      </c>
      <c r="Q123" s="335">
        <f t="shared" si="46"/>
        <v>-1.0129508140997859E-3</v>
      </c>
      <c r="R123" s="335">
        <f t="shared" si="47"/>
        <v>-1.5999999999999999E-3</v>
      </c>
      <c r="S123" s="376">
        <f t="shared" si="48"/>
        <v>-1.0999999999999968E-3</v>
      </c>
      <c r="T123" s="191"/>
      <c r="U123" s="117"/>
      <c r="W123" s="192"/>
    </row>
    <row r="124" spans="1:23" s="116" customFormat="1" ht="12" customHeight="1">
      <c r="A124" s="387">
        <v>101</v>
      </c>
      <c r="B124" s="380" t="s">
        <v>148</v>
      </c>
      <c r="C124" s="381" t="s">
        <v>105</v>
      </c>
      <c r="D124" s="332">
        <v>1013844367.62</v>
      </c>
      <c r="E124" s="339">
        <f t="shared" si="43"/>
        <v>3.2480380616591926E-2</v>
      </c>
      <c r="F124" s="331">
        <v>2.3624999999999998</v>
      </c>
      <c r="G124" s="331">
        <v>2.4114</v>
      </c>
      <c r="H124" s="340">
        <v>-1.0267857142857115</v>
      </c>
      <c r="I124" s="340">
        <v>0.17363692524462968</v>
      </c>
      <c r="J124" s="332">
        <v>1008347071.5599999</v>
      </c>
      <c r="K124" s="320">
        <f t="shared" si="44"/>
        <v>3.2484674989392281E-2</v>
      </c>
      <c r="L124" s="331">
        <v>2.3498999999999999</v>
      </c>
      <c r="M124" s="331">
        <v>2.3980999999999999</v>
      </c>
      <c r="N124" s="340">
        <v>-0.2516432362942706</v>
      </c>
      <c r="O124" s="340">
        <v>0.14045021845905492</v>
      </c>
      <c r="P124" s="335">
        <f t="shared" si="45"/>
        <v>-5.4222287321129634E-3</v>
      </c>
      <c r="Q124" s="335">
        <f t="shared" si="46"/>
        <v>-5.5154681927511362E-3</v>
      </c>
      <c r="R124" s="335">
        <f t="shared" si="47"/>
        <v>0.77514247799144087</v>
      </c>
      <c r="S124" s="376">
        <f t="shared" si="48"/>
        <v>-3.3186706785574754E-2</v>
      </c>
      <c r="T124" s="191"/>
      <c r="U124" s="117"/>
      <c r="W124" s="192"/>
    </row>
    <row r="125" spans="1:23" s="116" customFormat="1" ht="12" customHeight="1">
      <c r="A125" s="387">
        <v>102</v>
      </c>
      <c r="B125" s="380" t="s">
        <v>173</v>
      </c>
      <c r="C125" s="381" t="s">
        <v>7</v>
      </c>
      <c r="D125" s="332">
        <v>2348018832.5989199</v>
      </c>
      <c r="E125" s="339">
        <f t="shared" si="43"/>
        <v>7.5223128730073044E-2</v>
      </c>
      <c r="F125" s="331">
        <v>4402.45983839766</v>
      </c>
      <c r="G125" s="331">
        <v>4430.2352936403504</v>
      </c>
      <c r="H125" s="340">
        <v>-0.1453362349293682</v>
      </c>
      <c r="I125" s="340">
        <v>0.17394853024611945</v>
      </c>
      <c r="J125" s="332">
        <v>2336337596.4126301</v>
      </c>
      <c r="K125" s="320">
        <f t="shared" si="44"/>
        <v>7.5266909207705512E-2</v>
      </c>
      <c r="L125" s="331">
        <v>4380.6170395757999</v>
      </c>
      <c r="M125" s="331">
        <v>4408.0639662127296</v>
      </c>
      <c r="N125" s="340">
        <v>-0.25870671860187855</v>
      </c>
      <c r="O125" s="340">
        <v>0.14402254806725295</v>
      </c>
      <c r="P125" s="335">
        <f t="shared" si="45"/>
        <v>-4.9749329196650165E-3</v>
      </c>
      <c r="Q125" s="335">
        <f t="shared" si="46"/>
        <v>-5.0045485077164992E-3</v>
      </c>
      <c r="R125" s="335">
        <f t="shared" si="47"/>
        <v>-0.11337048367251035</v>
      </c>
      <c r="S125" s="376">
        <f t="shared" si="48"/>
        <v>-2.9925982178866495E-2</v>
      </c>
      <c r="T125" s="191"/>
      <c r="U125" s="117"/>
      <c r="W125" s="192"/>
    </row>
    <row r="126" spans="1:23" s="116" customFormat="1" ht="12" customHeight="1">
      <c r="A126" s="387">
        <v>103</v>
      </c>
      <c r="B126" s="380" t="s">
        <v>161</v>
      </c>
      <c r="C126" s="381" t="s">
        <v>90</v>
      </c>
      <c r="D126" s="331">
        <v>359233882.88999999</v>
      </c>
      <c r="E126" s="339">
        <f t="shared" si="43"/>
        <v>1.1508722264773407E-2</v>
      </c>
      <c r="F126" s="331">
        <v>142.9</v>
      </c>
      <c r="G126" s="331">
        <v>143.82</v>
      </c>
      <c r="H126" s="340">
        <v>-5.0000000000000001E-3</v>
      </c>
      <c r="I126" s="340">
        <v>3.7900000000000003E-2</v>
      </c>
      <c r="J126" s="331">
        <v>358699743.48000002</v>
      </c>
      <c r="K126" s="320">
        <f t="shared" si="44"/>
        <v>1.1555787599699333E-2</v>
      </c>
      <c r="L126" s="331">
        <v>142.59</v>
      </c>
      <c r="M126" s="331">
        <v>143.5</v>
      </c>
      <c r="N126" s="340">
        <v>-2.2000000000000001E-3</v>
      </c>
      <c r="O126" s="340">
        <v>3.56E-2</v>
      </c>
      <c r="P126" s="335">
        <f t="shared" si="45"/>
        <v>-1.486884827519246E-3</v>
      </c>
      <c r="Q126" s="335">
        <f t="shared" si="46"/>
        <v>-2.2250034765678847E-3</v>
      </c>
      <c r="R126" s="335">
        <f t="shared" si="47"/>
        <v>2.8E-3</v>
      </c>
      <c r="S126" s="376">
        <f t="shared" si="48"/>
        <v>-2.3000000000000034E-3</v>
      </c>
      <c r="U126" s="117"/>
      <c r="W126" s="192"/>
    </row>
    <row r="127" spans="1:23" s="116" customFormat="1" ht="12" customHeight="1">
      <c r="A127" s="402">
        <v>104</v>
      </c>
      <c r="B127" s="380" t="s">
        <v>187</v>
      </c>
      <c r="C127" s="381" t="s">
        <v>185</v>
      </c>
      <c r="D127" s="331">
        <v>3734808.11</v>
      </c>
      <c r="E127" s="339">
        <f t="shared" si="43"/>
        <v>1.1965148973259562E-4</v>
      </c>
      <c r="F127" s="331">
        <v>102.747</v>
      </c>
      <c r="G127" s="331">
        <v>102.99</v>
      </c>
      <c r="H127" s="340">
        <v>1.9754000000000001E-2</v>
      </c>
      <c r="I127" s="340">
        <v>2.0251999999999999E-2</v>
      </c>
      <c r="J127" s="331">
        <v>3734808.11</v>
      </c>
      <c r="K127" s="320">
        <f t="shared" si="44"/>
        <v>1.2031971036857153E-4</v>
      </c>
      <c r="L127" s="331">
        <v>102.747</v>
      </c>
      <c r="M127" s="331">
        <v>102.99</v>
      </c>
      <c r="N127" s="340">
        <v>0</v>
      </c>
      <c r="O127" s="340">
        <v>0</v>
      </c>
      <c r="P127" s="335">
        <f t="shared" si="45"/>
        <v>0</v>
      </c>
      <c r="Q127" s="335">
        <f t="shared" si="46"/>
        <v>0</v>
      </c>
      <c r="R127" s="335">
        <f t="shared" si="47"/>
        <v>-1.9754000000000001E-2</v>
      </c>
      <c r="S127" s="376">
        <f t="shared" si="48"/>
        <v>-2.0251999999999999E-2</v>
      </c>
      <c r="U127" s="117"/>
    </row>
    <row r="128" spans="1:23" s="116" customFormat="1" ht="12" customHeight="1">
      <c r="A128" s="397">
        <v>105</v>
      </c>
      <c r="B128" s="380" t="s">
        <v>112</v>
      </c>
      <c r="C128" s="381" t="s">
        <v>110</v>
      </c>
      <c r="D128" s="331">
        <v>125796723.95999999</v>
      </c>
      <c r="E128" s="339">
        <f t="shared" si="43"/>
        <v>4.0301308613400503E-3</v>
      </c>
      <c r="F128" s="331">
        <v>1.2272000000000001</v>
      </c>
      <c r="G128" s="331">
        <v>1.2375</v>
      </c>
      <c r="H128" s="340">
        <v>-8.0999999999999996E-3</v>
      </c>
      <c r="I128" s="340">
        <v>2.1600000000000001E-2</v>
      </c>
      <c r="J128" s="331">
        <v>125151874.13</v>
      </c>
      <c r="K128" s="320">
        <f t="shared" si="44"/>
        <v>4.0318637005973294E-3</v>
      </c>
      <c r="L128" s="331">
        <v>1.157</v>
      </c>
      <c r="M128" s="331">
        <v>1.1667000000000001</v>
      </c>
      <c r="N128" s="340">
        <v>-5.7200000000000001E-2</v>
      </c>
      <c r="O128" s="340">
        <v>-3.6799999999999999E-2</v>
      </c>
      <c r="P128" s="335">
        <f t="shared" si="45"/>
        <v>-5.1261257821391543E-3</v>
      </c>
      <c r="Q128" s="335">
        <f t="shared" si="46"/>
        <v>-5.7212121212121186E-2</v>
      </c>
      <c r="R128" s="335">
        <f t="shared" si="47"/>
        <v>-4.9100000000000005E-2</v>
      </c>
      <c r="S128" s="376">
        <f t="shared" si="48"/>
        <v>-5.8400000000000001E-2</v>
      </c>
      <c r="U128" s="115"/>
    </row>
    <row r="129" spans="1:22" s="116" customFormat="1" ht="11.25" customHeight="1">
      <c r="A129" s="387">
        <v>106</v>
      </c>
      <c r="B129" s="380" t="s">
        <v>243</v>
      </c>
      <c r="C129" s="381" t="s">
        <v>101</v>
      </c>
      <c r="D129" s="327">
        <v>166962610.19</v>
      </c>
      <c r="E129" s="339">
        <f t="shared" si="43"/>
        <v>5.3489562115350952E-3</v>
      </c>
      <c r="F129" s="331">
        <v>105.71</v>
      </c>
      <c r="G129" s="331">
        <v>107.64</v>
      </c>
      <c r="H129" s="340">
        <v>1.1999999999999999E-3</v>
      </c>
      <c r="I129" s="340">
        <v>2.5999999999999999E-2</v>
      </c>
      <c r="J129" s="327">
        <v>167061363.49000001</v>
      </c>
      <c r="K129" s="320">
        <f t="shared" si="44"/>
        <v>5.3820100730410624E-3</v>
      </c>
      <c r="L129" s="331">
        <v>105.77</v>
      </c>
      <c r="M129" s="331">
        <v>107.72</v>
      </c>
      <c r="N129" s="340">
        <v>5.9999999999999995E-4</v>
      </c>
      <c r="O129" s="340">
        <v>2.6599999999999999E-2</v>
      </c>
      <c r="P129" s="335">
        <f t="shared" si="45"/>
        <v>5.9146955050374877E-4</v>
      </c>
      <c r="Q129" s="335">
        <f t="shared" si="46"/>
        <v>7.4321813452246654E-4</v>
      </c>
      <c r="R129" s="335">
        <f t="shared" si="47"/>
        <v>-5.9999999999999995E-4</v>
      </c>
      <c r="S129" s="376">
        <f t="shared" si="48"/>
        <v>5.9999999999999984E-4</v>
      </c>
    </row>
    <row r="130" spans="1:22" s="116" customFormat="1" ht="12" customHeight="1">
      <c r="A130" s="401">
        <v>107</v>
      </c>
      <c r="B130" s="380" t="s">
        <v>218</v>
      </c>
      <c r="C130" s="381" t="s">
        <v>175</v>
      </c>
      <c r="D130" s="332">
        <v>231726744.71000001</v>
      </c>
      <c r="E130" s="339">
        <f t="shared" si="43"/>
        <v>7.4237951184689841E-3</v>
      </c>
      <c r="F130" s="331">
        <v>1.1309</v>
      </c>
      <c r="G130" s="331">
        <v>1.1309</v>
      </c>
      <c r="H130" s="340">
        <v>-0.43261633011413669</v>
      </c>
      <c r="I130" s="340">
        <v>0.18991002073468885</v>
      </c>
      <c r="J130" s="332">
        <v>231187305</v>
      </c>
      <c r="K130" s="320">
        <f t="shared" si="44"/>
        <v>7.4478765064292978E-3</v>
      </c>
      <c r="L130" s="331">
        <v>1.1258999999999999</v>
      </c>
      <c r="M130" s="331">
        <v>1.1258999999999999</v>
      </c>
      <c r="N130" s="340">
        <v>-0.20171986913078666</v>
      </c>
      <c r="O130" s="340">
        <v>0.15900959128143224</v>
      </c>
      <c r="P130" s="335">
        <f t="shared" si="45"/>
        <v>-2.3279130368620295E-3</v>
      </c>
      <c r="Q130" s="335">
        <f t="shared" si="46"/>
        <v>-4.4212574056062565E-3</v>
      </c>
      <c r="R130" s="335">
        <f t="shared" si="47"/>
        <v>0.23089646098335004</v>
      </c>
      <c r="S130" s="376">
        <f t="shared" si="48"/>
        <v>-3.0900429453256606E-2</v>
      </c>
    </row>
    <row r="131" spans="1:22" s="116" customFormat="1" ht="12" customHeight="1">
      <c r="A131" s="387">
        <v>108</v>
      </c>
      <c r="B131" s="380" t="s">
        <v>198</v>
      </c>
      <c r="C131" s="381" t="s">
        <v>192</v>
      </c>
      <c r="D131" s="331">
        <v>5100262401.0699997</v>
      </c>
      <c r="E131" s="339">
        <f t="shared" si="43"/>
        <v>0.1633963449638034</v>
      </c>
      <c r="F131" s="331">
        <v>209.19</v>
      </c>
      <c r="G131" s="331">
        <v>210.71</v>
      </c>
      <c r="H131" s="340">
        <v>-5.3E-3</v>
      </c>
      <c r="I131" s="340">
        <v>4.7500000000000001E-2</v>
      </c>
      <c r="J131" s="331">
        <v>5077741522.0200005</v>
      </c>
      <c r="K131" s="320">
        <f t="shared" si="44"/>
        <v>0.16358334116820691</v>
      </c>
      <c r="L131" s="331">
        <v>208.33</v>
      </c>
      <c r="M131" s="331">
        <v>209.72</v>
      </c>
      <c r="N131" s="340">
        <v>-4.5999999999999999E-3</v>
      </c>
      <c r="O131" s="340">
        <v>4.3299999999999998E-2</v>
      </c>
      <c r="P131" s="335">
        <f t="shared" si="45"/>
        <v>-4.4156314477612982E-3</v>
      </c>
      <c r="Q131" s="335">
        <f t="shared" si="46"/>
        <v>-4.6984006454368994E-3</v>
      </c>
      <c r="R131" s="335">
        <f t="shared" si="47"/>
        <v>7.000000000000001E-4</v>
      </c>
      <c r="S131" s="376">
        <f t="shared" si="48"/>
        <v>-4.2000000000000023E-3</v>
      </c>
    </row>
    <row r="132" spans="1:22" s="116" customFormat="1" ht="12" customHeight="1">
      <c r="A132" s="399">
        <v>109</v>
      </c>
      <c r="B132" s="380" t="s">
        <v>188</v>
      </c>
      <c r="C132" s="381" t="s">
        <v>182</v>
      </c>
      <c r="D132" s="331">
        <v>1921703235.22</v>
      </c>
      <c r="E132" s="339">
        <f t="shared" si="43"/>
        <v>6.1565319594966181E-2</v>
      </c>
      <c r="F132" s="331">
        <v>1.3234999999999999</v>
      </c>
      <c r="G132" s="331">
        <v>1.3478000000000001</v>
      </c>
      <c r="H132" s="340">
        <v>-4.0000000000000002E-4</v>
      </c>
      <c r="I132" s="340">
        <v>2.92E-2</v>
      </c>
      <c r="J132" s="331">
        <v>1918209376.6500001</v>
      </c>
      <c r="K132" s="320">
        <f t="shared" si="44"/>
        <v>6.1796587623026811E-2</v>
      </c>
      <c r="L132" s="331">
        <v>1.3211999999999999</v>
      </c>
      <c r="M132" s="331">
        <v>1.3452999999999999</v>
      </c>
      <c r="N132" s="340">
        <v>-1.8E-3</v>
      </c>
      <c r="O132" s="340">
        <v>2.92E-2</v>
      </c>
      <c r="P132" s="335">
        <f t="shared" si="45"/>
        <v>-1.8181051610707988E-3</v>
      </c>
      <c r="Q132" s="335">
        <f t="shared" si="46"/>
        <v>-1.8548746104764568E-3</v>
      </c>
      <c r="R132" s="335">
        <f t="shared" si="47"/>
        <v>-1.4E-3</v>
      </c>
      <c r="S132" s="376">
        <f t="shared" si="48"/>
        <v>0</v>
      </c>
    </row>
    <row r="133" spans="1:22" s="116" customFormat="1" ht="12" customHeight="1">
      <c r="A133" s="399">
        <v>110</v>
      </c>
      <c r="B133" s="380" t="s">
        <v>270</v>
      </c>
      <c r="C133" s="381" t="s">
        <v>89</v>
      </c>
      <c r="D133" s="331">
        <v>134609616.28622717</v>
      </c>
      <c r="E133" s="339">
        <f t="shared" si="43"/>
        <v>4.3124681768403209E-3</v>
      </c>
      <c r="F133" s="331">
        <v>87.93</v>
      </c>
      <c r="G133" s="331">
        <v>92</v>
      </c>
      <c r="H133" s="340">
        <v>1.03E-2</v>
      </c>
      <c r="I133" s="340">
        <v>6.1999999999999998E-3</v>
      </c>
      <c r="J133" s="331">
        <v>133761340.7388152</v>
      </c>
      <c r="K133" s="320">
        <f t="shared" si="44"/>
        <v>4.3092242766405615E-3</v>
      </c>
      <c r="L133" s="331">
        <v>87.38</v>
      </c>
      <c r="M133" s="331">
        <v>91.49</v>
      </c>
      <c r="N133" s="340">
        <v>6.1999999999999998E-3</v>
      </c>
      <c r="O133" s="340">
        <v>8.2000000000000007E-3</v>
      </c>
      <c r="P133" s="335">
        <f t="shared" si="45"/>
        <v>-6.3017455276615049E-3</v>
      </c>
      <c r="Q133" s="335">
        <f t="shared" si="46"/>
        <v>-5.5434782608696212E-3</v>
      </c>
      <c r="R133" s="335">
        <f t="shared" si="47"/>
        <v>-4.1000000000000003E-3</v>
      </c>
      <c r="S133" s="376">
        <f t="shared" si="48"/>
        <v>2.0000000000000009E-3</v>
      </c>
    </row>
    <row r="134" spans="1:22" s="116" customFormat="1" ht="12" customHeight="1">
      <c r="A134" s="401">
        <v>111</v>
      </c>
      <c r="B134" s="380" t="s">
        <v>134</v>
      </c>
      <c r="C134" s="381" t="s">
        <v>106</v>
      </c>
      <c r="D134" s="332">
        <v>162044198.03999999</v>
      </c>
      <c r="E134" s="339">
        <f t="shared" si="43"/>
        <v>5.1913857759106532E-3</v>
      </c>
      <c r="F134" s="331">
        <v>146.51938100000001</v>
      </c>
      <c r="G134" s="331">
        <v>150.74810199999999</v>
      </c>
      <c r="H134" s="340">
        <v>-1E-4</v>
      </c>
      <c r="I134" s="340">
        <v>1E-3</v>
      </c>
      <c r="J134" s="332">
        <v>162487765.78999999</v>
      </c>
      <c r="K134" s="320">
        <v>1.4052378000000001</v>
      </c>
      <c r="L134" s="331">
        <v>146.85577499999999</v>
      </c>
      <c r="M134" s="331">
        <v>151.22424000000001</v>
      </c>
      <c r="N134" s="340">
        <v>2.5000000000000001E-3</v>
      </c>
      <c r="O134" s="340">
        <v>4.3E-3</v>
      </c>
      <c r="P134" s="335">
        <f t="shared" si="45"/>
        <v>2.7373257133865847E-3</v>
      </c>
      <c r="Q134" s="335">
        <f t="shared" si="46"/>
        <v>3.1585007949222485E-3</v>
      </c>
      <c r="R134" s="335">
        <f t="shared" si="47"/>
        <v>2.5999999999999999E-3</v>
      </c>
      <c r="S134" s="376">
        <f t="shared" si="48"/>
        <v>3.3E-3</v>
      </c>
    </row>
    <row r="135" spans="1:22" s="116" customFormat="1" ht="12" customHeight="1">
      <c r="A135" s="397">
        <v>112</v>
      </c>
      <c r="B135" s="380" t="s">
        <v>27</v>
      </c>
      <c r="C135" s="381" t="s">
        <v>57</v>
      </c>
      <c r="D135" s="332">
        <v>1202332925</v>
      </c>
      <c r="E135" s="339">
        <f t="shared" si="43"/>
        <v>3.8518960383964455E-2</v>
      </c>
      <c r="F135" s="331">
        <v>552.20000000000005</v>
      </c>
      <c r="G135" s="331">
        <v>552.20000000000005</v>
      </c>
      <c r="H135" s="340">
        <v>-4.5999999999999999E-3</v>
      </c>
      <c r="I135" s="340">
        <v>4.4699999999999997E-2</v>
      </c>
      <c r="J135" s="332">
        <v>1202730006</v>
      </c>
      <c r="K135" s="320">
        <f t="shared" ref="K135:K144" si="49">(J135/$J$145)</f>
        <v>3.874687044457293E-2</v>
      </c>
      <c r="L135" s="331">
        <v>552.20000000000005</v>
      </c>
      <c r="M135" s="331">
        <v>552.20000000000005</v>
      </c>
      <c r="N135" s="340">
        <v>2.9999999999999997E-4</v>
      </c>
      <c r="O135" s="340">
        <v>4.4999999999999998E-2</v>
      </c>
      <c r="P135" s="335">
        <f t="shared" si="45"/>
        <v>3.3025877587108412E-4</v>
      </c>
      <c r="Q135" s="335">
        <f t="shared" si="46"/>
        <v>0</v>
      </c>
      <c r="R135" s="335">
        <f t="shared" si="47"/>
        <v>4.8999999999999998E-3</v>
      </c>
      <c r="S135" s="376">
        <f t="shared" si="48"/>
        <v>3.0000000000000165E-4</v>
      </c>
      <c r="T135" s="230"/>
      <c r="U135" s="230"/>
      <c r="V135" s="115"/>
    </row>
    <row r="136" spans="1:22" s="116" customFormat="1" ht="12" customHeight="1">
      <c r="A136" s="387">
        <v>113</v>
      </c>
      <c r="B136" s="380" t="s">
        <v>194</v>
      </c>
      <c r="C136" s="381" t="s">
        <v>165</v>
      </c>
      <c r="D136" s="332">
        <v>20020697.940000001</v>
      </c>
      <c r="E136" s="339">
        <f t="shared" si="43"/>
        <v>6.4140011038138945E-4</v>
      </c>
      <c r="F136" s="331">
        <v>1.25</v>
      </c>
      <c r="G136" s="331">
        <v>1.25</v>
      </c>
      <c r="H136" s="340">
        <v>-5.2310000000000004E-3</v>
      </c>
      <c r="I136" s="340">
        <v>0</v>
      </c>
      <c r="J136" s="332">
        <v>19897445.559999999</v>
      </c>
      <c r="K136" s="320">
        <f t="shared" si="49"/>
        <v>6.4101148341289731E-4</v>
      </c>
      <c r="L136" s="331">
        <v>1.25</v>
      </c>
      <c r="M136" s="331">
        <v>1.25</v>
      </c>
      <c r="N136" s="340">
        <v>-4.1359999999999999E-3</v>
      </c>
      <c r="O136" s="340">
        <v>0</v>
      </c>
      <c r="P136" s="335">
        <f t="shared" si="45"/>
        <v>-6.1562479174990577E-3</v>
      </c>
      <c r="Q136" s="335">
        <f t="shared" si="46"/>
        <v>0</v>
      </c>
      <c r="R136" s="335">
        <f t="shared" si="47"/>
        <v>1.0950000000000005E-3</v>
      </c>
      <c r="S136" s="376">
        <f t="shared" si="48"/>
        <v>0</v>
      </c>
      <c r="U136" s="225"/>
      <c r="V136" s="115"/>
    </row>
    <row r="137" spans="1:22" s="116" customFormat="1" ht="12" customHeight="1">
      <c r="A137" s="386">
        <v>114</v>
      </c>
      <c r="B137" s="380" t="s">
        <v>48</v>
      </c>
      <c r="C137" s="381" t="s">
        <v>92</v>
      </c>
      <c r="D137" s="331">
        <v>164694177.12</v>
      </c>
      <c r="E137" s="339">
        <f t="shared" si="43"/>
        <v>5.2762827599975312E-3</v>
      </c>
      <c r="F137" s="331">
        <v>1.670207</v>
      </c>
      <c r="G137" s="331">
        <v>1.7176720000000001</v>
      </c>
      <c r="H137" s="340">
        <v>0.01</v>
      </c>
      <c r="I137" s="340">
        <v>3.6600000000000001E-2</v>
      </c>
      <c r="J137" s="331">
        <v>164482079.80000001</v>
      </c>
      <c r="K137" s="320">
        <f t="shared" si="49"/>
        <v>5.2989164689257011E-3</v>
      </c>
      <c r="L137" s="331">
        <v>1.667027</v>
      </c>
      <c r="M137" s="331">
        <v>1.715206</v>
      </c>
      <c r="N137" s="340">
        <v>1.0027397260273973E-2</v>
      </c>
      <c r="O137" s="340">
        <v>0.23499999999999999</v>
      </c>
      <c r="P137" s="335">
        <f t="shared" si="45"/>
        <v>-1.2878252510740184E-3</v>
      </c>
      <c r="Q137" s="335">
        <f t="shared" si="46"/>
        <v>-1.4356640848777176E-3</v>
      </c>
      <c r="R137" s="335">
        <f t="shared" si="47"/>
        <v>2.7397260273972698E-5</v>
      </c>
      <c r="S137" s="376">
        <f t="shared" si="48"/>
        <v>0.19839999999999999</v>
      </c>
    </row>
    <row r="138" spans="1:22" s="116" customFormat="1" ht="12" customHeight="1">
      <c r="A138" s="399">
        <v>115</v>
      </c>
      <c r="B138" s="380" t="s">
        <v>22</v>
      </c>
      <c r="C138" s="381" t="s">
        <v>5</v>
      </c>
      <c r="D138" s="332">
        <v>1682686027.4200001</v>
      </c>
      <c r="E138" s="339">
        <f t="shared" si="43"/>
        <v>5.3907960999106393E-2</v>
      </c>
      <c r="F138" s="331">
        <v>3831.5</v>
      </c>
      <c r="G138" s="331">
        <v>3857.35</v>
      </c>
      <c r="H138" s="340">
        <v>1.6999999999999999E-3</v>
      </c>
      <c r="I138" s="340">
        <v>4.9000000000000002E-2</v>
      </c>
      <c r="J138" s="332">
        <v>1678010875.3800001</v>
      </c>
      <c r="K138" s="339">
        <f t="shared" si="49"/>
        <v>5.4058408511122889E-2</v>
      </c>
      <c r="L138" s="331">
        <v>3816.31</v>
      </c>
      <c r="M138" s="331">
        <v>3842.68</v>
      </c>
      <c r="N138" s="340">
        <v>-3.8E-3</v>
      </c>
      <c r="O138" s="340">
        <v>4.4999999999999998E-2</v>
      </c>
      <c r="P138" s="335">
        <f t="shared" si="45"/>
        <v>-2.7783864391910345E-3</v>
      </c>
      <c r="Q138" s="335">
        <f t="shared" si="46"/>
        <v>-3.8031290912154906E-3</v>
      </c>
      <c r="R138" s="335">
        <f t="shared" si="47"/>
        <v>-5.4999999999999997E-3</v>
      </c>
      <c r="S138" s="376">
        <f t="shared" si="48"/>
        <v>-4.0000000000000036E-3</v>
      </c>
      <c r="T138" s="115"/>
      <c r="V138" s="143"/>
    </row>
    <row r="139" spans="1:22" s="116" customFormat="1" ht="12" customHeight="1">
      <c r="A139" s="387">
        <v>116</v>
      </c>
      <c r="B139" s="380" t="s">
        <v>257</v>
      </c>
      <c r="C139" s="381" t="s">
        <v>255</v>
      </c>
      <c r="D139" s="327">
        <v>57662394.420000002</v>
      </c>
      <c r="E139" s="339">
        <f t="shared" si="43"/>
        <v>1.8473215197932912E-3</v>
      </c>
      <c r="F139" s="331">
        <v>106.75</v>
      </c>
      <c r="G139" s="331">
        <v>107.0796</v>
      </c>
      <c r="H139" s="340">
        <v>3.0575999999999999E-2</v>
      </c>
      <c r="I139" s="340">
        <v>1.8078E-2</v>
      </c>
      <c r="J139" s="327">
        <v>57617404.770000003</v>
      </c>
      <c r="K139" s="320">
        <f t="shared" si="49"/>
        <v>1.8561889258924074E-3</v>
      </c>
      <c r="L139" s="331">
        <v>106.66719999999999</v>
      </c>
      <c r="M139" s="331">
        <v>106.9949</v>
      </c>
      <c r="N139" s="340">
        <v>2.9776E-2</v>
      </c>
      <c r="O139" s="340">
        <v>1.7718000000000001E-2</v>
      </c>
      <c r="P139" s="335">
        <f t="shared" si="45"/>
        <v>-7.8022514417809205E-4</v>
      </c>
      <c r="Q139" s="335">
        <f t="shared" si="46"/>
        <v>-7.9100033993401175E-4</v>
      </c>
      <c r="R139" s="335">
        <f t="shared" si="47"/>
        <v>-7.9999999999999863E-4</v>
      </c>
      <c r="S139" s="376">
        <f t="shared" si="48"/>
        <v>-3.5999999999999921E-4</v>
      </c>
      <c r="T139" s="122"/>
      <c r="V139" s="143"/>
    </row>
    <row r="140" spans="1:22" s="116" customFormat="1" ht="12" customHeight="1">
      <c r="A140" s="387">
        <v>117</v>
      </c>
      <c r="B140" s="380" t="s">
        <v>76</v>
      </c>
      <c r="C140" s="381" t="s">
        <v>41</v>
      </c>
      <c r="D140" s="331">
        <v>1229899208.8599999</v>
      </c>
      <c r="E140" s="339">
        <f t="shared" si="43"/>
        <v>3.9402097303746011E-2</v>
      </c>
      <c r="F140" s="331">
        <v>1.569</v>
      </c>
      <c r="G140" s="331">
        <v>1.5959000000000001</v>
      </c>
      <c r="H140" s="340">
        <v>-1E-3</v>
      </c>
      <c r="I140" s="340">
        <v>0.14530000000000001</v>
      </c>
      <c r="J140" s="331">
        <v>1220075404.24</v>
      </c>
      <c r="K140" s="320">
        <f t="shared" si="49"/>
        <v>3.9305665764438599E-2</v>
      </c>
      <c r="L140" s="331">
        <v>1.5573999999999999</v>
      </c>
      <c r="M140" s="331">
        <v>1.5828</v>
      </c>
      <c r="N140" s="340">
        <v>-7.4999999999999997E-3</v>
      </c>
      <c r="O140" s="340">
        <v>0.13689999999999999</v>
      </c>
      <c r="P140" s="335">
        <f t="shared" si="45"/>
        <v>-7.9874875511999257E-3</v>
      </c>
      <c r="Q140" s="335">
        <f t="shared" si="46"/>
        <v>-8.2085343693214553E-3</v>
      </c>
      <c r="R140" s="335">
        <f t="shared" si="47"/>
        <v>-6.4999999999999997E-3</v>
      </c>
      <c r="S140" s="376">
        <f t="shared" si="48"/>
        <v>-8.4000000000000186E-3</v>
      </c>
      <c r="T140" s="115"/>
      <c r="V140" s="143"/>
    </row>
    <row r="141" spans="1:22" s="116" customFormat="1" ht="12" customHeight="1">
      <c r="A141" s="387">
        <v>118</v>
      </c>
      <c r="B141" s="380" t="s">
        <v>249</v>
      </c>
      <c r="C141" s="381" t="s">
        <v>41</v>
      </c>
      <c r="D141" s="331">
        <v>704662425.39999998</v>
      </c>
      <c r="E141" s="339">
        <f t="shared" si="43"/>
        <v>2.257516490122809E-2</v>
      </c>
      <c r="F141" s="331">
        <v>1.2687999999999999</v>
      </c>
      <c r="G141" s="331">
        <v>1.2907999999999999</v>
      </c>
      <c r="H141" s="340">
        <v>2.0000000000000001E-4</v>
      </c>
      <c r="I141" s="340">
        <v>9.1800000000000007E-2</v>
      </c>
      <c r="J141" s="331">
        <v>702600576.89999998</v>
      </c>
      <c r="K141" s="320">
        <f t="shared" si="49"/>
        <v>2.2634816951117541E-2</v>
      </c>
      <c r="L141" s="331">
        <v>1.2664</v>
      </c>
      <c r="M141" s="331">
        <v>1.2889999999999999</v>
      </c>
      <c r="N141" s="340">
        <v>-2E-3</v>
      </c>
      <c r="O141" s="340">
        <v>8.9800000000000005E-2</v>
      </c>
      <c r="P141" s="335">
        <f t="shared" si="45"/>
        <v>-2.9260088599581515E-3</v>
      </c>
      <c r="Q141" s="335">
        <f t="shared" si="46"/>
        <v>-1.3944840409048837E-3</v>
      </c>
      <c r="R141" s="335">
        <f t="shared" si="47"/>
        <v>-2.2000000000000001E-3</v>
      </c>
      <c r="S141" s="376">
        <f t="shared" si="48"/>
        <v>-2.0000000000000018E-3</v>
      </c>
      <c r="T141" s="115"/>
      <c r="U141" s="144"/>
      <c r="V141" s="143"/>
    </row>
    <row r="142" spans="1:22" s="318" customFormat="1" ht="12" customHeight="1">
      <c r="A142" s="399">
        <v>119</v>
      </c>
      <c r="B142" s="380" t="s">
        <v>163</v>
      </c>
      <c r="C142" s="381" t="s">
        <v>109</v>
      </c>
      <c r="D142" s="331">
        <v>4375790008.4200001</v>
      </c>
      <c r="E142" s="339">
        <f t="shared" si="43"/>
        <v>0.1401865310998428</v>
      </c>
      <c r="F142" s="331">
        <v>193.28</v>
      </c>
      <c r="G142" s="331">
        <v>197.85</v>
      </c>
      <c r="H142" s="340">
        <v>-6.0790000000000002E-3</v>
      </c>
      <c r="I142" s="340">
        <v>5.3699999999999998E-2</v>
      </c>
      <c r="J142" s="331">
        <v>4339064727.4099998</v>
      </c>
      <c r="K142" s="320">
        <f t="shared" si="49"/>
        <v>0.13978630116888546</v>
      </c>
      <c r="L142" s="331">
        <v>191.67</v>
      </c>
      <c r="M142" s="331">
        <v>196.19</v>
      </c>
      <c r="N142" s="340">
        <v>-8.3999999999999995E-3</v>
      </c>
      <c r="O142" s="340">
        <v>4.5400000000000003E-2</v>
      </c>
      <c r="P142" s="335">
        <f t="shared" si="45"/>
        <v>-8.3928344228887952E-3</v>
      </c>
      <c r="Q142" s="335">
        <f t="shared" si="46"/>
        <v>-8.3901945918625053E-3</v>
      </c>
      <c r="R142" s="335">
        <f t="shared" si="47"/>
        <v>-2.3209999999999993E-3</v>
      </c>
      <c r="S142" s="376">
        <f t="shared" si="48"/>
        <v>-8.2999999999999949E-3</v>
      </c>
      <c r="T142" s="115"/>
      <c r="U142" s="319"/>
      <c r="V142" s="143"/>
    </row>
    <row r="143" spans="1:22" s="336" customFormat="1" ht="12" customHeight="1">
      <c r="A143" s="387">
        <v>120</v>
      </c>
      <c r="B143" s="380" t="s">
        <v>52</v>
      </c>
      <c r="C143" s="381" t="s">
        <v>252</v>
      </c>
      <c r="D143" s="332">
        <v>2262318178.27</v>
      </c>
      <c r="E143" s="339">
        <f t="shared" si="43"/>
        <v>7.2477549664295149E-2</v>
      </c>
      <c r="F143" s="331">
        <v>3.19</v>
      </c>
      <c r="G143" s="331">
        <v>3.25</v>
      </c>
      <c r="H143" s="340">
        <v>-3.8999999999999998E-3</v>
      </c>
      <c r="I143" s="340">
        <v>3.3099999999999997E-2</v>
      </c>
      <c r="J143" s="332">
        <v>2255379209.2399998</v>
      </c>
      <c r="K143" s="320">
        <f t="shared" si="49"/>
        <v>7.2658772615510528E-2</v>
      </c>
      <c r="L143" s="331">
        <v>3.18</v>
      </c>
      <c r="M143" s="331">
        <v>3.24</v>
      </c>
      <c r="N143" s="340">
        <v>-3.0999999999999999E-3</v>
      </c>
      <c r="O143" s="340">
        <v>2.98E-2</v>
      </c>
      <c r="P143" s="335">
        <f t="shared" si="45"/>
        <v>-3.067194127090671E-3</v>
      </c>
      <c r="Q143" s="335">
        <f t="shared" si="46"/>
        <v>-3.0769230769230114E-3</v>
      </c>
      <c r="R143" s="335">
        <f t="shared" si="47"/>
        <v>7.9999999999999993E-4</v>
      </c>
      <c r="S143" s="376">
        <f t="shared" si="48"/>
        <v>-3.2999999999999974E-3</v>
      </c>
      <c r="T143" s="115"/>
      <c r="U143" s="319"/>
      <c r="V143" s="143"/>
    </row>
    <row r="144" spans="1:22" s="116" customFormat="1" ht="12" customHeight="1">
      <c r="A144" s="399">
        <v>121</v>
      </c>
      <c r="B144" s="380" t="s">
        <v>242</v>
      </c>
      <c r="C144" s="381" t="s">
        <v>9</v>
      </c>
      <c r="D144" s="332">
        <v>202794728.06</v>
      </c>
      <c r="E144" s="339">
        <f t="shared" si="43"/>
        <v>6.4969044212275767E-3</v>
      </c>
      <c r="F144" s="331">
        <v>152.99</v>
      </c>
      <c r="G144" s="331">
        <v>155.21</v>
      </c>
      <c r="H144" s="340">
        <v>-1.7999999999999999E-2</v>
      </c>
      <c r="I144" s="340">
        <v>2.86E-2</v>
      </c>
      <c r="J144" s="332">
        <v>187572810.06</v>
      </c>
      <c r="K144" s="320">
        <f t="shared" si="49"/>
        <v>6.0428020703420507E-3</v>
      </c>
      <c r="L144" s="331">
        <v>152.99</v>
      </c>
      <c r="M144" s="331">
        <v>155.21</v>
      </c>
      <c r="N144" s="340">
        <v>-2.9600000000000001E-2</v>
      </c>
      <c r="O144" s="340">
        <v>1.34E-2</v>
      </c>
      <c r="P144" s="335">
        <f t="shared" si="45"/>
        <v>-7.5060718518759312E-2</v>
      </c>
      <c r="Q144" s="335">
        <f t="shared" si="46"/>
        <v>0</v>
      </c>
      <c r="R144" s="335">
        <f t="shared" si="47"/>
        <v>-1.1600000000000003E-2</v>
      </c>
      <c r="S144" s="376">
        <f t="shared" si="48"/>
        <v>-1.52E-2</v>
      </c>
      <c r="T144" s="115"/>
      <c r="U144" s="144"/>
      <c r="V144" s="143"/>
    </row>
    <row r="145" spans="1:25" s="116" customFormat="1" ht="12" customHeight="1">
      <c r="A145" s="296"/>
      <c r="C145" s="250" t="s">
        <v>42</v>
      </c>
      <c r="D145" s="222">
        <f>SUM(D121:D144)</f>
        <v>31214054403.725143</v>
      </c>
      <c r="E145" s="268">
        <f>(D145/$D$167)</f>
        <v>1.9688361680480788E-2</v>
      </c>
      <c r="F145" s="270"/>
      <c r="G145" s="188"/>
      <c r="H145" s="283"/>
      <c r="I145" s="283"/>
      <c r="J145" s="222">
        <f>SUM(J121:J144)</f>
        <v>31040700634.661449</v>
      </c>
      <c r="K145" s="268">
        <f>(J145/$J$167)</f>
        <v>1.9523999244006929E-2</v>
      </c>
      <c r="L145" s="270"/>
      <c r="M145" s="188"/>
      <c r="N145" s="283"/>
      <c r="O145" s="283"/>
      <c r="P145" s="272">
        <f t="shared" ref="P145" si="50">((J145-D145)/D145)</f>
        <v>-5.5537088140336435E-3</v>
      </c>
      <c r="Q145" s="272"/>
      <c r="R145" s="272">
        <f t="shared" ref="R145:S145" si="51">N145-H145</f>
        <v>0</v>
      </c>
      <c r="S145" s="376">
        <f t="shared" si="51"/>
        <v>0</v>
      </c>
      <c r="T145" s="115"/>
      <c r="U145" s="144"/>
      <c r="V145" s="143"/>
    </row>
    <row r="146" spans="1:25" s="116" customFormat="1" ht="5.25" customHeight="1">
      <c r="A146" s="411"/>
      <c r="B146" s="412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3"/>
      <c r="N146" s="413"/>
      <c r="O146" s="413"/>
      <c r="P146" s="413"/>
      <c r="Q146" s="413"/>
      <c r="R146" s="413"/>
      <c r="S146" s="414"/>
      <c r="T146" s="115"/>
      <c r="U146" s="144"/>
      <c r="V146" s="143"/>
    </row>
    <row r="147" spans="1:25" s="116" customFormat="1" ht="12" customHeight="1">
      <c r="A147" s="407" t="s">
        <v>67</v>
      </c>
      <c r="B147" s="408"/>
      <c r="C147" s="409"/>
      <c r="D147" s="409"/>
      <c r="E147" s="409"/>
      <c r="F147" s="409"/>
      <c r="G147" s="409"/>
      <c r="H147" s="409"/>
      <c r="I147" s="409"/>
      <c r="J147" s="409"/>
      <c r="K147" s="409"/>
      <c r="L147" s="409"/>
      <c r="M147" s="409"/>
      <c r="N147" s="409"/>
      <c r="O147" s="409"/>
      <c r="P147" s="409"/>
      <c r="Q147" s="409"/>
      <c r="R147" s="409"/>
      <c r="S147" s="410"/>
      <c r="U147" s="145"/>
      <c r="V147" s="143"/>
    </row>
    <row r="148" spans="1:25" s="116" customFormat="1" ht="12" customHeight="1">
      <c r="A148" s="387">
        <v>122</v>
      </c>
      <c r="B148" s="380" t="s">
        <v>26</v>
      </c>
      <c r="C148" s="381" t="s">
        <v>6</v>
      </c>
      <c r="D148" s="328">
        <v>535695586.55000001</v>
      </c>
      <c r="E148" s="339">
        <f>(D148/$D$151)</f>
        <v>0.17592785790887511</v>
      </c>
      <c r="F148" s="328">
        <v>46.177199999999999</v>
      </c>
      <c r="G148" s="328">
        <v>47.569400000000002</v>
      </c>
      <c r="H148" s="321">
        <v>-1.3047</v>
      </c>
      <c r="I148" s="321">
        <v>5.0500000000000003E-2</v>
      </c>
      <c r="J148" s="328">
        <v>529813279.63999999</v>
      </c>
      <c r="K148" s="320">
        <f>(J148/$J$151)</f>
        <v>0.22097555617004536</v>
      </c>
      <c r="L148" s="328">
        <v>45.688000000000002</v>
      </c>
      <c r="M148" s="328">
        <v>47.0655</v>
      </c>
      <c r="N148" s="321">
        <v>-0.55230000000000001</v>
      </c>
      <c r="O148" s="321">
        <v>9.4000000000000004E-3</v>
      </c>
      <c r="P148" s="335">
        <f>((J148-D148)/D148)</f>
        <v>-1.0980689514138813E-2</v>
      </c>
      <c r="Q148" s="335">
        <f>((M148-G148)/G148)</f>
        <v>-1.0592944203626734E-2</v>
      </c>
      <c r="R148" s="335">
        <f t="shared" ref="R148:S150" si="52">N148-H148</f>
        <v>0.75239999999999996</v>
      </c>
      <c r="S148" s="376">
        <f t="shared" si="52"/>
        <v>-4.1100000000000005E-2</v>
      </c>
      <c r="U148" s="117"/>
      <c r="V148" s="143"/>
    </row>
    <row r="149" spans="1:25" s="116" customFormat="1" ht="11.25" customHeight="1">
      <c r="A149" s="397">
        <v>123</v>
      </c>
      <c r="B149" s="380" t="s">
        <v>251</v>
      </c>
      <c r="C149" s="381" t="s">
        <v>197</v>
      </c>
      <c r="D149" s="327">
        <v>606641779.87</v>
      </c>
      <c r="E149" s="339">
        <f>(D149/$D$151)</f>
        <v>0.19922730657142551</v>
      </c>
      <c r="F149" s="328">
        <v>16.5684</v>
      </c>
      <c r="G149" s="328">
        <v>16.731100000000001</v>
      </c>
      <c r="H149" s="340">
        <v>9.4999999999999998E-3</v>
      </c>
      <c r="I149" s="340">
        <v>4.8099999999999997E-2</v>
      </c>
      <c r="J149" s="327">
        <v>607464513.48000002</v>
      </c>
      <c r="K149" s="320">
        <f t="shared" ref="K149:K150" si="53">(J149/$J$151)</f>
        <v>0.25336248425297969</v>
      </c>
      <c r="L149" s="328">
        <v>16.5306</v>
      </c>
      <c r="M149" s="328">
        <v>16.692299999999999</v>
      </c>
      <c r="N149" s="340">
        <v>6.1999999999999998E-3</v>
      </c>
      <c r="O149" s="340">
        <v>4.5699999999999998E-2</v>
      </c>
      <c r="P149" s="335">
        <f>((J149-D149)/D149)</f>
        <v>1.3562099369026669E-3</v>
      </c>
      <c r="Q149" s="113">
        <f>((M149-G149)/G149)</f>
        <v>-2.3190346121893923E-3</v>
      </c>
      <c r="R149" s="335">
        <f t="shared" si="52"/>
        <v>-3.3E-3</v>
      </c>
      <c r="S149" s="376">
        <f t="shared" si="52"/>
        <v>-2.3999999999999994E-3</v>
      </c>
    </row>
    <row r="150" spans="1:25" s="116" customFormat="1" ht="12" customHeight="1">
      <c r="A150" s="399">
        <v>124</v>
      </c>
      <c r="B150" s="380" t="s">
        <v>25</v>
      </c>
      <c r="C150" s="381" t="s">
        <v>5</v>
      </c>
      <c r="D150" s="327">
        <v>1902635686.27</v>
      </c>
      <c r="E150" s="339">
        <f>(D150/$D$151)</f>
        <v>0.62484483551969938</v>
      </c>
      <c r="F150" s="328">
        <v>1.5</v>
      </c>
      <c r="G150" s="328">
        <v>1.52</v>
      </c>
      <c r="H150" s="340">
        <v>0</v>
      </c>
      <c r="I150" s="340">
        <v>5.5599999999999997E-2</v>
      </c>
      <c r="J150" s="327">
        <v>1260332552.6700001</v>
      </c>
      <c r="K150" s="320">
        <f t="shared" si="53"/>
        <v>0.52566195957697504</v>
      </c>
      <c r="L150" s="328">
        <v>1.5</v>
      </c>
      <c r="M150" s="328">
        <v>1.52</v>
      </c>
      <c r="N150" s="340">
        <v>0</v>
      </c>
      <c r="O150" s="340">
        <v>5.5599999999999997E-2</v>
      </c>
      <c r="P150" s="335">
        <f>((J150-D150)/D150)</f>
        <v>-0.33758598045598293</v>
      </c>
      <c r="Q150" s="335">
        <f>((M150-G150)/G150)</f>
        <v>0</v>
      </c>
      <c r="R150" s="335">
        <f t="shared" si="52"/>
        <v>0</v>
      </c>
      <c r="S150" s="376">
        <f t="shared" si="52"/>
        <v>0</v>
      </c>
      <c r="W150" s="186"/>
      <c r="X150" s="187"/>
      <c r="Y150" s="114"/>
    </row>
    <row r="151" spans="1:25" s="116" customFormat="1" ht="12.75" customHeight="1">
      <c r="A151" s="220"/>
      <c r="C151" s="292" t="s">
        <v>42</v>
      </c>
      <c r="D151" s="222">
        <f>SUM(D148:D150)</f>
        <v>3044973052.6900001</v>
      </c>
      <c r="E151" s="268">
        <f>(D151/$D$167)</f>
        <v>1.92062620232775E-3</v>
      </c>
      <c r="F151" s="12"/>
      <c r="G151" s="12"/>
      <c r="H151" s="282"/>
      <c r="I151" s="282"/>
      <c r="J151" s="222">
        <f>SUM(J148:J150)</f>
        <v>2397610345.79</v>
      </c>
      <c r="K151" s="268">
        <f>(J151/$J$167)</f>
        <v>1.5080504505866706E-3</v>
      </c>
      <c r="L151" s="270"/>
      <c r="M151" s="188"/>
      <c r="N151" s="283"/>
      <c r="O151" s="283"/>
      <c r="P151" s="272">
        <f>((J151-D151)/D151)</f>
        <v>-0.21260047156348552</v>
      </c>
      <c r="Q151" s="272"/>
      <c r="R151" s="272">
        <f>N151-H151</f>
        <v>0</v>
      </c>
      <c r="S151" s="376">
        <f t="shared" ref="S151" si="54">O151-I151</f>
        <v>0</v>
      </c>
      <c r="V151" s="115"/>
    </row>
    <row r="152" spans="1:25" s="116" customFormat="1" ht="4.5" customHeight="1">
      <c r="A152" s="411"/>
      <c r="B152" s="412"/>
      <c r="C152" s="413"/>
      <c r="D152" s="413"/>
      <c r="E152" s="413"/>
      <c r="F152" s="413"/>
      <c r="G152" s="413"/>
      <c r="H152" s="413"/>
      <c r="I152" s="413"/>
      <c r="J152" s="413"/>
      <c r="K152" s="413"/>
      <c r="L152" s="413"/>
      <c r="M152" s="413"/>
      <c r="N152" s="413"/>
      <c r="O152" s="413"/>
      <c r="P152" s="413"/>
      <c r="Q152" s="413"/>
      <c r="R152" s="413"/>
      <c r="S152" s="414"/>
      <c r="V152" s="115"/>
    </row>
    <row r="153" spans="1:25" s="116" customFormat="1" ht="12.75" customHeight="1">
      <c r="A153" s="407" t="s">
        <v>205</v>
      </c>
      <c r="B153" s="408"/>
      <c r="C153" s="409"/>
      <c r="D153" s="409"/>
      <c r="E153" s="409"/>
      <c r="F153" s="409"/>
      <c r="G153" s="409"/>
      <c r="H153" s="409"/>
      <c r="I153" s="409"/>
      <c r="J153" s="409"/>
      <c r="K153" s="409"/>
      <c r="L153" s="409"/>
      <c r="M153" s="409"/>
      <c r="N153" s="409"/>
      <c r="O153" s="409"/>
      <c r="P153" s="409"/>
      <c r="Q153" s="409"/>
      <c r="R153" s="409"/>
      <c r="S153" s="410"/>
      <c r="V153" s="115"/>
    </row>
    <row r="154" spans="1:25" s="116" customFormat="1" ht="12.75" customHeight="1">
      <c r="A154" s="419" t="s">
        <v>206</v>
      </c>
      <c r="B154" s="420"/>
      <c r="C154" s="421"/>
      <c r="D154" s="421"/>
      <c r="E154" s="421"/>
      <c r="F154" s="421"/>
      <c r="G154" s="421"/>
      <c r="H154" s="421"/>
      <c r="I154" s="421"/>
      <c r="J154" s="421"/>
      <c r="K154" s="421"/>
      <c r="L154" s="421"/>
      <c r="M154" s="421"/>
      <c r="N154" s="421"/>
      <c r="O154" s="421"/>
      <c r="P154" s="421"/>
      <c r="Q154" s="421"/>
      <c r="R154" s="421"/>
      <c r="S154" s="422"/>
      <c r="V154" s="115"/>
    </row>
    <row r="155" spans="1:25" s="116" customFormat="1" ht="12" customHeight="1">
      <c r="A155" s="387">
        <v>125</v>
      </c>
      <c r="B155" s="380" t="s">
        <v>133</v>
      </c>
      <c r="C155" s="381" t="s">
        <v>23</v>
      </c>
      <c r="D155" s="322">
        <v>3701217416.4699998</v>
      </c>
      <c r="E155" s="339">
        <f>(D155/$D$166)</f>
        <v>0.14624397817098272</v>
      </c>
      <c r="F155" s="323">
        <v>1.82</v>
      </c>
      <c r="G155" s="323">
        <v>1.84</v>
      </c>
      <c r="H155" s="326">
        <v>-6.4999999999999997E-3</v>
      </c>
      <c r="I155" s="326">
        <v>3.49E-2</v>
      </c>
      <c r="J155" s="322">
        <v>3475846099.6700001</v>
      </c>
      <c r="K155" s="339">
        <f>(J155/$J$166)</f>
        <v>0.13839636686405787</v>
      </c>
      <c r="L155" s="323">
        <v>1.71</v>
      </c>
      <c r="M155" s="323">
        <v>1.73</v>
      </c>
      <c r="N155" s="326">
        <v>-1.44E-2</v>
      </c>
      <c r="O155" s="326">
        <v>-2.8400000000000002E-2</v>
      </c>
      <c r="P155" s="113">
        <f>((J155-D155)/D155)</f>
        <v>-6.089113160365095E-2</v>
      </c>
      <c r="Q155" s="113">
        <f>((M155-G155)/G155)</f>
        <v>-5.9782608695652224E-2</v>
      </c>
      <c r="R155" s="335">
        <f>N155-H155</f>
        <v>-7.9000000000000008E-3</v>
      </c>
      <c r="S155" s="376">
        <f t="shared" ref="S155:S156" si="55">O155-I155</f>
        <v>-6.3299999999999995E-2</v>
      </c>
      <c r="V155" s="115"/>
    </row>
    <row r="156" spans="1:25" s="116" customFormat="1" ht="12.75" customHeight="1">
      <c r="A156" s="399">
        <v>126</v>
      </c>
      <c r="B156" s="380" t="s">
        <v>66</v>
      </c>
      <c r="C156" s="381" t="s">
        <v>5</v>
      </c>
      <c r="D156" s="322">
        <v>313334241.54000002</v>
      </c>
      <c r="E156" s="339">
        <f>(D156/$D$166)</f>
        <v>1.2380587472675592E-2</v>
      </c>
      <c r="F156" s="323">
        <v>277.8</v>
      </c>
      <c r="G156" s="323">
        <v>290.57</v>
      </c>
      <c r="H156" s="326">
        <v>8.0000000000000002E-3</v>
      </c>
      <c r="I156" s="326">
        <v>5.6800000000000003E-2</v>
      </c>
      <c r="J156" s="322">
        <v>314258086.06999999</v>
      </c>
      <c r="K156" s="339">
        <f>(J156/$J$166)</f>
        <v>1.2512687881626744E-2</v>
      </c>
      <c r="L156" s="323">
        <v>275.77999999999997</v>
      </c>
      <c r="M156" s="323">
        <v>278.49</v>
      </c>
      <c r="N156" s="326">
        <v>-7.4000000000000003E-3</v>
      </c>
      <c r="O156" s="326">
        <v>4.9000000000000002E-2</v>
      </c>
      <c r="P156" s="335">
        <f>((J156-D156)/D156)</f>
        <v>2.9484314432389734E-3</v>
      </c>
      <c r="Q156" s="335">
        <f>((M156-G156)/G156)</f>
        <v>-4.1573459063220512E-2</v>
      </c>
      <c r="R156" s="335">
        <f>N156-H156</f>
        <v>-1.54E-2</v>
      </c>
      <c r="S156" s="376">
        <f t="shared" si="55"/>
        <v>-7.8000000000000014E-3</v>
      </c>
      <c r="T156" s="193"/>
    </row>
    <row r="157" spans="1:25" s="116" customFormat="1" ht="6" customHeight="1">
      <c r="A157" s="411"/>
      <c r="B157" s="412"/>
      <c r="C157" s="413"/>
      <c r="D157" s="413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4"/>
      <c r="T157" s="193"/>
    </row>
    <row r="158" spans="1:25" s="116" customFormat="1" ht="12" customHeight="1">
      <c r="A158" s="419" t="s">
        <v>207</v>
      </c>
      <c r="B158" s="420"/>
      <c r="C158" s="421"/>
      <c r="D158" s="421"/>
      <c r="E158" s="421"/>
      <c r="F158" s="421"/>
      <c r="G158" s="421"/>
      <c r="H158" s="421"/>
      <c r="I158" s="421"/>
      <c r="J158" s="421"/>
      <c r="K158" s="421"/>
      <c r="L158" s="421"/>
      <c r="M158" s="421"/>
      <c r="N158" s="421"/>
      <c r="O158" s="421"/>
      <c r="P158" s="421"/>
      <c r="Q158" s="421"/>
      <c r="R158" s="421"/>
      <c r="S158" s="422"/>
      <c r="T158" s="193"/>
    </row>
    <row r="159" spans="1:25" s="116" customFormat="1" ht="12" customHeight="1">
      <c r="A159" s="397">
        <v>127</v>
      </c>
      <c r="B159" s="380" t="s">
        <v>237</v>
      </c>
      <c r="C159" s="381" t="s">
        <v>238</v>
      </c>
      <c r="D159" s="332">
        <v>505216746.68000001</v>
      </c>
      <c r="E159" s="339">
        <f t="shared" ref="E159:E165" si="56">(D159/$D$166)</f>
        <v>1.9962325516005987E-2</v>
      </c>
      <c r="F159" s="332">
        <v>1059.8399999999999</v>
      </c>
      <c r="G159" s="332">
        <v>1059.8399999999999</v>
      </c>
      <c r="H159" s="340">
        <v>5.9799999999999999E-2</v>
      </c>
      <c r="I159" s="340">
        <v>2.3E-3</v>
      </c>
      <c r="J159" s="332">
        <v>506151844.31</v>
      </c>
      <c r="K159" s="339">
        <f t="shared" ref="K159:K165" si="57">(J159/$J$166)</f>
        <v>2.015324451237839E-2</v>
      </c>
      <c r="L159" s="332">
        <v>1061.8</v>
      </c>
      <c r="M159" s="332">
        <v>1061.8</v>
      </c>
      <c r="N159" s="340">
        <v>2E-3</v>
      </c>
      <c r="O159" s="340">
        <v>6.1800000000000001E-2</v>
      </c>
      <c r="P159" s="335">
        <f t="shared" ref="P159:P165" si="58">((J159-D159)/D159)</f>
        <v>1.8508840733109707E-3</v>
      </c>
      <c r="Q159" s="335">
        <f t="shared" ref="Q159:Q165" si="59">((M159-G159)/G159)</f>
        <v>1.849335748792305E-3</v>
      </c>
      <c r="R159" s="335">
        <f t="shared" ref="R159:S165" si="60">N159-H159</f>
        <v>-5.7799999999999997E-2</v>
      </c>
      <c r="S159" s="376">
        <f t="shared" si="60"/>
        <v>5.9499999999999997E-2</v>
      </c>
      <c r="T159" s="193"/>
    </row>
    <row r="160" spans="1:25" s="116" customFormat="1" ht="12" customHeight="1">
      <c r="A160" s="387">
        <v>128</v>
      </c>
      <c r="B160" s="380" t="s">
        <v>240</v>
      </c>
      <c r="C160" s="381" t="s">
        <v>90</v>
      </c>
      <c r="D160" s="332">
        <v>60554726.810000002</v>
      </c>
      <c r="E160" s="339">
        <f t="shared" si="56"/>
        <v>2.3926625078398022E-3</v>
      </c>
      <c r="F160" s="332">
        <v>104.91</v>
      </c>
      <c r="G160" s="332">
        <v>104.91</v>
      </c>
      <c r="H160" s="340">
        <v>1.5E-3</v>
      </c>
      <c r="I160" s="340">
        <v>6.2799999999999995E-2</v>
      </c>
      <c r="J160" s="332">
        <v>60658610.350000001</v>
      </c>
      <c r="K160" s="339">
        <f t="shared" si="57"/>
        <v>2.4152195036079302E-3</v>
      </c>
      <c r="L160" s="332">
        <v>105.01</v>
      </c>
      <c r="M160" s="332">
        <v>105.01</v>
      </c>
      <c r="N160" s="340">
        <v>1E-3</v>
      </c>
      <c r="O160" s="340">
        <v>6.2799999999999995E-2</v>
      </c>
      <c r="P160" s="335">
        <f t="shared" si="58"/>
        <v>1.7155314782601543E-3</v>
      </c>
      <c r="Q160" s="335">
        <f t="shared" si="59"/>
        <v>9.5319797922036541E-4</v>
      </c>
      <c r="R160" s="335">
        <f t="shared" si="60"/>
        <v>-5.0000000000000001E-4</v>
      </c>
      <c r="S160" s="376">
        <f t="shared" si="60"/>
        <v>0</v>
      </c>
      <c r="T160" s="193"/>
    </row>
    <row r="161" spans="1:20" s="116" customFormat="1" ht="12" customHeight="1">
      <c r="A161" s="387">
        <v>129</v>
      </c>
      <c r="B161" s="398" t="s">
        <v>244</v>
      </c>
      <c r="C161" s="381" t="s">
        <v>101</v>
      </c>
      <c r="D161" s="327">
        <v>51756086.100000001</v>
      </c>
      <c r="E161" s="339">
        <f t="shared" si="56"/>
        <v>2.045007108240288E-3</v>
      </c>
      <c r="F161" s="328">
        <v>99.49</v>
      </c>
      <c r="G161" s="328">
        <v>102.87</v>
      </c>
      <c r="H161" s="340">
        <v>1.9E-3</v>
      </c>
      <c r="I161" s="340">
        <v>2.06E-2</v>
      </c>
      <c r="J161" s="327">
        <v>51822704.93</v>
      </c>
      <c r="K161" s="339">
        <f t="shared" si="57"/>
        <v>2.0634038095245421E-3</v>
      </c>
      <c r="L161" s="328">
        <v>99.61</v>
      </c>
      <c r="M161" s="328">
        <v>103.04</v>
      </c>
      <c r="N161" s="340">
        <v>1.6000000000000001E-3</v>
      </c>
      <c r="O161" s="340">
        <v>2.2200000000000001E-2</v>
      </c>
      <c r="P161" s="335">
        <f t="shared" si="58"/>
        <v>1.2871690079362128E-3</v>
      </c>
      <c r="Q161" s="335">
        <f t="shared" si="59"/>
        <v>1.6525712063769971E-3</v>
      </c>
      <c r="R161" s="335">
        <f t="shared" si="60"/>
        <v>-2.9999999999999992E-4</v>
      </c>
      <c r="S161" s="376">
        <f t="shared" si="60"/>
        <v>1.6000000000000007E-3</v>
      </c>
      <c r="T161" s="193"/>
    </row>
    <row r="162" spans="1:20" s="116" customFormat="1" ht="12" customHeight="1">
      <c r="A162" s="387">
        <v>130</v>
      </c>
      <c r="B162" s="380" t="s">
        <v>193</v>
      </c>
      <c r="C162" s="381" t="s">
        <v>192</v>
      </c>
      <c r="D162" s="332">
        <v>9723574730.7199993</v>
      </c>
      <c r="E162" s="339">
        <f t="shared" si="56"/>
        <v>0.38420176138141249</v>
      </c>
      <c r="F162" s="332">
        <v>126.82</v>
      </c>
      <c r="G162" s="332">
        <v>126.82</v>
      </c>
      <c r="H162" s="340">
        <v>2.0999999999999999E-3</v>
      </c>
      <c r="I162" s="340">
        <v>0.12529999999999999</v>
      </c>
      <c r="J162" s="332">
        <v>9747458900.7199993</v>
      </c>
      <c r="K162" s="339">
        <f t="shared" si="57"/>
        <v>0.3881106525816686</v>
      </c>
      <c r="L162" s="332">
        <v>127.17</v>
      </c>
      <c r="M162" s="332">
        <v>127.17</v>
      </c>
      <c r="N162" s="340">
        <v>2.3999999999999998E-3</v>
      </c>
      <c r="O162" s="340">
        <v>0.12529999999999999</v>
      </c>
      <c r="P162" s="335">
        <f t="shared" si="58"/>
        <v>2.4563157749528043E-3</v>
      </c>
      <c r="Q162" s="335">
        <f t="shared" si="59"/>
        <v>2.7598170635547118E-3</v>
      </c>
      <c r="R162" s="335">
        <f t="shared" si="60"/>
        <v>2.9999999999999992E-4</v>
      </c>
      <c r="S162" s="376">
        <f t="shared" si="60"/>
        <v>0</v>
      </c>
      <c r="T162" s="193"/>
    </row>
    <row r="163" spans="1:20" s="116" customFormat="1" ht="12" customHeight="1">
      <c r="A163" s="387">
        <v>131</v>
      </c>
      <c r="B163" s="380" t="s">
        <v>180</v>
      </c>
      <c r="C163" s="381" t="s">
        <v>179</v>
      </c>
      <c r="D163" s="332">
        <v>409662429.07999998</v>
      </c>
      <c r="E163" s="339">
        <f t="shared" si="56"/>
        <v>1.6186745223139714E-2</v>
      </c>
      <c r="F163" s="333">
        <v>101.31</v>
      </c>
      <c r="G163" s="333">
        <v>101.31</v>
      </c>
      <c r="H163" s="340">
        <v>5.1999999999999998E-3</v>
      </c>
      <c r="I163" s="340">
        <v>2.6200000000000001E-2</v>
      </c>
      <c r="J163" s="332">
        <v>373877591.92000002</v>
      </c>
      <c r="K163" s="339">
        <f t="shared" si="57"/>
        <v>1.4886533779077098E-2</v>
      </c>
      <c r="L163" s="333">
        <v>101.49</v>
      </c>
      <c r="M163" s="333">
        <v>101.49</v>
      </c>
      <c r="N163" s="340">
        <v>1.8E-3</v>
      </c>
      <c r="O163" s="340">
        <v>2.7900000000000001E-2</v>
      </c>
      <c r="P163" s="335">
        <f t="shared" si="58"/>
        <v>-8.7352011363023493E-2</v>
      </c>
      <c r="Q163" s="335">
        <f t="shared" si="59"/>
        <v>1.7767249037606615E-3</v>
      </c>
      <c r="R163" s="335">
        <f t="shared" si="60"/>
        <v>-3.3999999999999998E-3</v>
      </c>
      <c r="S163" s="376">
        <f t="shared" si="60"/>
        <v>1.7000000000000001E-3</v>
      </c>
      <c r="T163" s="193"/>
    </row>
    <row r="164" spans="1:20" s="324" customFormat="1" ht="12" customHeight="1">
      <c r="A164" s="399">
        <v>132</v>
      </c>
      <c r="B164" s="380" t="s">
        <v>135</v>
      </c>
      <c r="C164" s="381" t="s">
        <v>5</v>
      </c>
      <c r="D164" s="332">
        <v>8237761894.7299995</v>
      </c>
      <c r="E164" s="339">
        <f t="shared" si="56"/>
        <v>0.32549373223787548</v>
      </c>
      <c r="F164" s="333">
        <v>122.96</v>
      </c>
      <c r="G164" s="333">
        <v>122.96</v>
      </c>
      <c r="H164" s="340">
        <v>1E-3</v>
      </c>
      <c r="I164" s="340">
        <v>1.6E-2</v>
      </c>
      <c r="J164" s="332">
        <v>8245991798.1499996</v>
      </c>
      <c r="K164" s="339">
        <f t="shared" si="57"/>
        <v>0.32832734054684626</v>
      </c>
      <c r="L164" s="333">
        <v>123.12</v>
      </c>
      <c r="M164" s="333">
        <v>123.12</v>
      </c>
      <c r="N164" s="340">
        <v>1.2999999999999999E-3</v>
      </c>
      <c r="O164" s="340">
        <v>1.7399999999999999E-2</v>
      </c>
      <c r="P164" s="335">
        <f t="shared" si="58"/>
        <v>9.9904604250154998E-4</v>
      </c>
      <c r="Q164" s="335">
        <f t="shared" si="59"/>
        <v>1.3012361743657353E-3</v>
      </c>
      <c r="R164" s="335">
        <f t="shared" si="60"/>
        <v>2.9999999999999992E-4</v>
      </c>
      <c r="S164" s="376">
        <f t="shared" si="60"/>
        <v>1.3999999999999985E-3</v>
      </c>
      <c r="T164" s="325"/>
    </row>
    <row r="165" spans="1:20" s="116" customFormat="1" ht="12" customHeight="1">
      <c r="A165" s="387">
        <v>133</v>
      </c>
      <c r="B165" s="380" t="s">
        <v>169</v>
      </c>
      <c r="C165" s="381" t="s">
        <v>41</v>
      </c>
      <c r="D165" s="332">
        <v>2305433317.6100001</v>
      </c>
      <c r="E165" s="339">
        <f t="shared" si="56"/>
        <v>9.109320038182793E-2</v>
      </c>
      <c r="F165" s="333">
        <v>1.1335999999999999</v>
      </c>
      <c r="G165" s="333">
        <v>1.1335999999999999</v>
      </c>
      <c r="H165" s="340">
        <v>0.2135</v>
      </c>
      <c r="I165" s="340">
        <v>0.1062</v>
      </c>
      <c r="J165" s="332">
        <v>2339088601.1599998</v>
      </c>
      <c r="K165" s="339">
        <f t="shared" si="57"/>
        <v>9.313455052121257E-2</v>
      </c>
      <c r="L165" s="333">
        <v>1.1384000000000001</v>
      </c>
      <c r="M165" s="333">
        <v>1.1384000000000001</v>
      </c>
      <c r="N165" s="340">
        <v>0.21260000000000001</v>
      </c>
      <c r="O165" s="340">
        <v>0.114</v>
      </c>
      <c r="P165" s="335">
        <f t="shared" si="58"/>
        <v>1.4598246365628792E-2</v>
      </c>
      <c r="Q165" s="335">
        <f t="shared" si="59"/>
        <v>4.2342978122795853E-3</v>
      </c>
      <c r="R165" s="335">
        <f t="shared" si="60"/>
        <v>-8.9999999999998415E-4</v>
      </c>
      <c r="S165" s="376">
        <f t="shared" si="60"/>
        <v>7.8000000000000014E-3</v>
      </c>
      <c r="T165" s="193"/>
    </row>
    <row r="166" spans="1:20" s="116" customFormat="1" ht="12" customHeight="1">
      <c r="A166" s="267"/>
      <c r="C166" s="292" t="s">
        <v>42</v>
      </c>
      <c r="D166" s="77">
        <f>SUM(D155:D165)</f>
        <v>25308511589.739998</v>
      </c>
      <c r="E166" s="268">
        <f>(D166/$D$167)</f>
        <v>1.5963422224123978E-2</v>
      </c>
      <c r="F166" s="269"/>
      <c r="G166" s="73"/>
      <c r="H166" s="251"/>
      <c r="I166" s="251"/>
      <c r="J166" s="77">
        <f>SUM(J155:J165)</f>
        <v>25115154237.279999</v>
      </c>
      <c r="K166" s="268">
        <f>(J166/$J$167)</f>
        <v>1.57969453754606E-2</v>
      </c>
      <c r="L166" s="270"/>
      <c r="M166" s="73"/>
      <c r="N166" s="271"/>
      <c r="O166" s="271"/>
      <c r="P166" s="272">
        <f t="shared" ref="P166:P167" si="61">((J166-D166)/D166)</f>
        <v>-7.6400127986343391E-3</v>
      </c>
      <c r="Q166" s="272"/>
      <c r="R166" s="272">
        <f t="shared" ref="R166:S166" si="62">N166-H166</f>
        <v>0</v>
      </c>
      <c r="S166" s="376">
        <f t="shared" si="62"/>
        <v>0</v>
      </c>
      <c r="T166" s="141" t="s">
        <v>279</v>
      </c>
    </row>
    <row r="167" spans="1:20" s="116" customFormat="1" ht="12" customHeight="1">
      <c r="A167" s="273"/>
      <c r="B167" s="274"/>
      <c r="C167" s="274" t="s">
        <v>28</v>
      </c>
      <c r="D167" s="275">
        <f>SUM(D22,D54,D87,D111,D118,D145,D151,D166)</f>
        <v>1585406389332.5886</v>
      </c>
      <c r="E167" s="276"/>
      <c r="F167" s="276"/>
      <c r="G167" s="277"/>
      <c r="H167" s="278"/>
      <c r="I167" s="278"/>
      <c r="J167" s="275">
        <f>SUM(J22,J54,J87,J111,J118,J145,J151,J166)</f>
        <v>1589874095297.8513</v>
      </c>
      <c r="K167" s="276"/>
      <c r="L167" s="276"/>
      <c r="M167" s="277"/>
      <c r="N167" s="279"/>
      <c r="O167" s="279"/>
      <c r="P167" s="280">
        <f t="shared" si="61"/>
        <v>2.8180194020433294E-3</v>
      </c>
      <c r="Q167" s="280"/>
      <c r="R167" s="280"/>
      <c r="S167" s="281"/>
      <c r="T167" s="142">
        <f>((J167-D167)/D167)</f>
        <v>2.8180194020433294E-3</v>
      </c>
    </row>
    <row r="168" spans="1:20" s="116" customFormat="1" ht="6.75" customHeight="1">
      <c r="A168" s="411"/>
      <c r="B168" s="412"/>
      <c r="C168" s="413"/>
      <c r="D168" s="413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377"/>
      <c r="T168" s="193"/>
    </row>
    <row r="169" spans="1:20" s="116" customFormat="1" ht="12" customHeight="1">
      <c r="A169" s="415" t="s">
        <v>208</v>
      </c>
      <c r="B169" s="416"/>
      <c r="C169" s="417"/>
      <c r="D169" s="417"/>
      <c r="E169" s="417"/>
      <c r="F169" s="417"/>
      <c r="G169" s="417"/>
      <c r="H169" s="417"/>
      <c r="I169" s="417"/>
      <c r="J169" s="417"/>
      <c r="K169" s="417"/>
      <c r="L169" s="417"/>
      <c r="M169" s="417"/>
      <c r="N169" s="417"/>
      <c r="O169" s="417"/>
      <c r="P169" s="417"/>
      <c r="Q169" s="417"/>
      <c r="R169" s="417"/>
      <c r="S169" s="418"/>
      <c r="T169" s="193"/>
    </row>
    <row r="170" spans="1:20" s="116" customFormat="1" ht="25.5" customHeight="1">
      <c r="A170" s="248"/>
      <c r="B170" s="249"/>
      <c r="C170" s="249"/>
      <c r="D170" s="263" t="s">
        <v>212</v>
      </c>
      <c r="E170" s="264"/>
      <c r="F170" s="264"/>
      <c r="G170" s="374" t="s">
        <v>213</v>
      </c>
      <c r="H170" s="265"/>
      <c r="I170" s="265"/>
      <c r="J170" s="266" t="s">
        <v>212</v>
      </c>
      <c r="K170" s="264"/>
      <c r="L170" s="262" t="s">
        <v>222</v>
      </c>
      <c r="M170" s="262" t="s">
        <v>223</v>
      </c>
      <c r="N170" s="374"/>
      <c r="O170" s="374"/>
      <c r="P170" s="433" t="s">
        <v>63</v>
      </c>
      <c r="Q170" s="433"/>
      <c r="R170" s="433"/>
      <c r="S170" s="375"/>
      <c r="T170" s="193"/>
    </row>
    <row r="171" spans="1:20" s="116" customFormat="1" ht="12" customHeight="1">
      <c r="A171" s="288" t="s">
        <v>1</v>
      </c>
      <c r="B171" s="290" t="s">
        <v>2</v>
      </c>
      <c r="C171" s="289" t="s">
        <v>201</v>
      </c>
      <c r="D171" s="204"/>
      <c r="E171" s="204"/>
      <c r="F171" s="204"/>
      <c r="G171" s="204"/>
      <c r="H171" s="204"/>
      <c r="I171" s="204"/>
      <c r="J171" s="231"/>
      <c r="K171" s="232"/>
      <c r="L171" s="232"/>
      <c r="M171" s="233"/>
      <c r="N171" s="233"/>
      <c r="O171" s="233"/>
      <c r="P171" s="305" t="s">
        <v>211</v>
      </c>
      <c r="Q171" s="303" t="s">
        <v>214</v>
      </c>
      <c r="R171" s="303" t="s">
        <v>224</v>
      </c>
      <c r="S171" s="378"/>
      <c r="T171" s="193"/>
    </row>
    <row r="172" spans="1:20" s="116" customFormat="1" ht="12" customHeight="1">
      <c r="A172" s="397">
        <v>1</v>
      </c>
      <c r="B172" s="380" t="s">
        <v>228</v>
      </c>
      <c r="C172" s="381" t="s">
        <v>120</v>
      </c>
      <c r="D172" s="332">
        <v>91117290437</v>
      </c>
      <c r="E172" s="339">
        <f>(D172/$D$174)</f>
        <v>0.97632024482381641</v>
      </c>
      <c r="F172" s="333">
        <v>107.59</v>
      </c>
      <c r="G172" s="333">
        <v>107.59</v>
      </c>
      <c r="H172" s="329">
        <v>0</v>
      </c>
      <c r="I172" s="329">
        <v>0.13800000000000001</v>
      </c>
      <c r="J172" s="332">
        <v>91117290437</v>
      </c>
      <c r="K172" s="339">
        <f>(J172/$J$174)</f>
        <v>0.97626687046970673</v>
      </c>
      <c r="L172" s="333">
        <v>107.59</v>
      </c>
      <c r="M172" s="333">
        <v>107.59</v>
      </c>
      <c r="N172" s="329">
        <v>0</v>
      </c>
      <c r="O172" s="329">
        <v>0.13800000000000001</v>
      </c>
      <c r="P172" s="335">
        <f>((J172-D172)/D172)</f>
        <v>0</v>
      </c>
      <c r="Q172" s="335">
        <f>((M172-G172)/G172)</f>
        <v>0</v>
      </c>
      <c r="R172" s="335">
        <f>N172-H172</f>
        <v>0</v>
      </c>
      <c r="S172" s="376">
        <f t="shared" ref="S172:S174" si="63">O172-I172</f>
        <v>0</v>
      </c>
      <c r="T172" s="193"/>
    </row>
    <row r="173" spans="1:20" s="116" customFormat="1" ht="12" customHeight="1">
      <c r="A173" s="387">
        <v>2</v>
      </c>
      <c r="B173" s="380" t="s">
        <v>253</v>
      </c>
      <c r="C173" s="381" t="s">
        <v>41</v>
      </c>
      <c r="D173" s="332">
        <v>2209966597.8499999</v>
      </c>
      <c r="E173" s="339">
        <f>(D173/$D$174)</f>
        <v>2.3679755176183526E-2</v>
      </c>
      <c r="F173" s="334">
        <v>1000000</v>
      </c>
      <c r="G173" s="334">
        <v>1000000</v>
      </c>
      <c r="H173" s="329">
        <v>3.0999999999999999E-3</v>
      </c>
      <c r="I173" s="329">
        <v>0.16750000000000001</v>
      </c>
      <c r="J173" s="332">
        <v>2215068975.3000002</v>
      </c>
      <c r="K173" s="339">
        <f>(J173/$J$174)</f>
        <v>2.3733129530293249E-2</v>
      </c>
      <c r="L173" s="334">
        <v>1000000</v>
      </c>
      <c r="M173" s="334">
        <v>1000000</v>
      </c>
      <c r="N173" s="329">
        <v>2.3E-3</v>
      </c>
      <c r="O173" s="329">
        <v>0.1663</v>
      </c>
      <c r="P173" s="335">
        <f>((J173-D173)/D173)</f>
        <v>2.3088029723907196E-3</v>
      </c>
      <c r="Q173" s="335">
        <f>((M173-G173)/G173)</f>
        <v>0</v>
      </c>
      <c r="R173" s="335">
        <f>N173-H173</f>
        <v>-7.9999999999999993E-4</v>
      </c>
      <c r="S173" s="376">
        <f t="shared" si="63"/>
        <v>-1.2000000000000066E-3</v>
      </c>
      <c r="T173" s="141" t="s">
        <v>216</v>
      </c>
    </row>
    <row r="174" spans="1:20" s="116" customFormat="1" ht="12" customHeight="1">
      <c r="A174" s="274"/>
      <c r="B174" s="274"/>
      <c r="C174" s="274" t="s">
        <v>209</v>
      </c>
      <c r="D174" s="388">
        <f>SUM(D172:D173)</f>
        <v>93327257034.850006</v>
      </c>
      <c r="E174" s="388"/>
      <c r="F174" s="389"/>
      <c r="G174" s="389"/>
      <c r="H174" s="390"/>
      <c r="I174" s="390"/>
      <c r="J174" s="388">
        <f>SUM(J172:J173)</f>
        <v>93332359412.300003</v>
      </c>
      <c r="K174" s="391"/>
      <c r="L174" s="389"/>
      <c r="M174" s="389"/>
      <c r="N174" s="390"/>
      <c r="O174" s="390"/>
      <c r="P174" s="392">
        <f>((J174-D174)/D174)</f>
        <v>5.4671889136221293E-5</v>
      </c>
      <c r="Q174" s="393"/>
      <c r="R174" s="392">
        <f>N174-H174</f>
        <v>0</v>
      </c>
      <c r="S174" s="394">
        <f t="shared" si="63"/>
        <v>0</v>
      </c>
      <c r="T174" s="142">
        <f>((J174-D174)/D174)</f>
        <v>5.4671889136221293E-5</v>
      </c>
    </row>
    <row r="175" spans="1:20" s="116" customFormat="1" ht="7.5" customHeight="1">
      <c r="A175" s="423"/>
      <c r="B175" s="424"/>
      <c r="C175" s="425"/>
      <c r="D175" s="425"/>
      <c r="E175" s="425"/>
      <c r="F175" s="425"/>
      <c r="G175" s="425"/>
      <c r="H175" s="425"/>
      <c r="I175" s="425"/>
      <c r="J175" s="425"/>
      <c r="K175" s="425"/>
      <c r="L175" s="425"/>
      <c r="M175" s="425"/>
      <c r="N175" s="425"/>
      <c r="O175" s="425"/>
      <c r="P175" s="425"/>
      <c r="Q175" s="425"/>
      <c r="R175" s="425"/>
      <c r="S175" s="426"/>
      <c r="T175" s="193"/>
    </row>
    <row r="176" spans="1:20" s="116" customFormat="1" ht="12" customHeight="1">
      <c r="A176" s="415" t="s">
        <v>46</v>
      </c>
      <c r="B176" s="416"/>
      <c r="C176" s="417"/>
      <c r="D176" s="417"/>
      <c r="E176" s="417"/>
      <c r="F176" s="417"/>
      <c r="G176" s="417"/>
      <c r="H176" s="417"/>
      <c r="I176" s="417"/>
      <c r="J176" s="417"/>
      <c r="K176" s="417"/>
      <c r="L176" s="417"/>
      <c r="M176" s="417"/>
      <c r="N176" s="417"/>
      <c r="O176" s="417"/>
      <c r="P176" s="417"/>
      <c r="Q176" s="417"/>
      <c r="R176" s="417"/>
      <c r="S176" s="418"/>
      <c r="T176" s="193"/>
    </row>
    <row r="177" spans="1:20" s="116" customFormat="1" ht="25.5" customHeight="1">
      <c r="A177" s="257"/>
      <c r="B177" s="259" t="s">
        <v>46</v>
      </c>
      <c r="C177" s="258" t="s">
        <v>201</v>
      </c>
      <c r="D177" s="259" t="s">
        <v>74</v>
      </c>
      <c r="E177" s="260" t="s">
        <v>62</v>
      </c>
      <c r="F177" s="260"/>
      <c r="G177" s="260" t="s">
        <v>75</v>
      </c>
      <c r="H177" s="261"/>
      <c r="I177" s="261"/>
      <c r="J177" s="262" t="s">
        <v>74</v>
      </c>
      <c r="K177" s="260" t="s">
        <v>62</v>
      </c>
      <c r="L177" s="262" t="s">
        <v>222</v>
      </c>
      <c r="M177" s="262" t="s">
        <v>223</v>
      </c>
      <c r="N177" s="260"/>
      <c r="O177" s="260"/>
      <c r="P177" s="433" t="s">
        <v>63</v>
      </c>
      <c r="Q177" s="433"/>
      <c r="R177" s="433"/>
      <c r="S177" s="379"/>
      <c r="T177" s="193"/>
    </row>
    <row r="178" spans="1:20" s="116" customFormat="1" ht="12" customHeight="1">
      <c r="A178" s="194"/>
      <c r="B178" s="69"/>
      <c r="C178" s="69"/>
      <c r="D178" s="204"/>
      <c r="E178" s="204"/>
      <c r="F178" s="204"/>
      <c r="G178" s="204"/>
      <c r="H178" s="227"/>
      <c r="I178" s="227"/>
      <c r="J178" s="223"/>
      <c r="K178" s="204"/>
      <c r="L178" s="204"/>
      <c r="M178" s="204"/>
      <c r="N178" s="226"/>
      <c r="O178" s="226"/>
      <c r="P178" s="303" t="s">
        <v>123</v>
      </c>
      <c r="Q178" s="306" t="s">
        <v>122</v>
      </c>
      <c r="R178" s="303" t="s">
        <v>224</v>
      </c>
      <c r="S178" s="376">
        <f t="shared" ref="S178:S191" si="64">O178-I178</f>
        <v>0</v>
      </c>
      <c r="T178" s="193"/>
    </row>
    <row r="179" spans="1:20" s="116" customFormat="1" ht="12" customHeight="1">
      <c r="A179" s="399">
        <v>1</v>
      </c>
      <c r="B179" s="380" t="s">
        <v>232</v>
      </c>
      <c r="C179" s="381" t="s">
        <v>89</v>
      </c>
      <c r="D179" s="330">
        <v>522593453.18064034</v>
      </c>
      <c r="E179" s="198">
        <f t="shared" ref="E179:E190" si="65">(D179/$D$191)</f>
        <v>7.0552420280191333E-2</v>
      </c>
      <c r="F179" s="334">
        <v>120.32</v>
      </c>
      <c r="G179" s="334">
        <v>123.28</v>
      </c>
      <c r="H179" s="341">
        <v>3.6499999999999998E-2</v>
      </c>
      <c r="I179" s="341">
        <v>2.01E-2</v>
      </c>
      <c r="J179" s="330">
        <v>513771136.80759794</v>
      </c>
      <c r="K179" s="198">
        <f t="shared" ref="K179:K189" si="66">(J179/$J$191)</f>
        <v>7.0493293080440694E-2</v>
      </c>
      <c r="L179" s="334">
        <v>118.29</v>
      </c>
      <c r="M179" s="334">
        <v>121.25</v>
      </c>
      <c r="N179" s="341">
        <v>2.6100000000000002E-2</v>
      </c>
      <c r="O179" s="341">
        <v>2.2100000000000002E-2</v>
      </c>
      <c r="P179" s="335">
        <f t="shared" ref="P179:P190" si="67">((J179-D179)/D179)</f>
        <v>-1.6881796584606028E-2</v>
      </c>
      <c r="Q179" s="335">
        <f t="shared" ref="Q179:Q190" si="68">((M179-G179)/G179)</f>
        <v>-1.6466580142764448E-2</v>
      </c>
      <c r="R179" s="335">
        <f t="shared" ref="R179:R190" si="69">N179-H179</f>
        <v>-1.0399999999999996E-2</v>
      </c>
      <c r="S179" s="376">
        <f t="shared" si="64"/>
        <v>2.0000000000000018E-3</v>
      </c>
      <c r="T179" s="193"/>
    </row>
    <row r="180" spans="1:20" s="116" customFormat="1" ht="12" customHeight="1">
      <c r="A180" s="387">
        <v>2</v>
      </c>
      <c r="B180" s="380" t="s">
        <v>98</v>
      </c>
      <c r="C180" s="381" t="s">
        <v>23</v>
      </c>
      <c r="D180" s="330">
        <v>568512701.44000006</v>
      </c>
      <c r="E180" s="198">
        <f t="shared" si="65"/>
        <v>7.6751721251964014E-2</v>
      </c>
      <c r="F180" s="334">
        <v>17.02</v>
      </c>
      <c r="G180" s="334">
        <v>17.02</v>
      </c>
      <c r="H180" s="341">
        <v>-6.6E-3</v>
      </c>
      <c r="I180" s="341">
        <v>9.6500000000000002E-2</v>
      </c>
      <c r="J180" s="330">
        <v>553524771.50999999</v>
      </c>
      <c r="K180" s="198">
        <f t="shared" si="66"/>
        <v>7.594779299552383E-2</v>
      </c>
      <c r="L180" s="334">
        <v>16.57</v>
      </c>
      <c r="M180" s="334">
        <v>16.57</v>
      </c>
      <c r="N180" s="341">
        <v>-1.43E-2</v>
      </c>
      <c r="O180" s="341">
        <v>6.7599999999999993E-2</v>
      </c>
      <c r="P180" s="335">
        <f t="shared" si="67"/>
        <v>-2.6363403829038057E-2</v>
      </c>
      <c r="Q180" s="335">
        <f t="shared" si="68"/>
        <v>-2.643948296122205E-2</v>
      </c>
      <c r="R180" s="335">
        <f t="shared" si="69"/>
        <v>-7.7000000000000002E-3</v>
      </c>
      <c r="S180" s="376">
        <f t="shared" si="64"/>
        <v>-2.8900000000000009E-2</v>
      </c>
      <c r="T180" s="193"/>
    </row>
    <row r="181" spans="1:20" s="116" customFormat="1" ht="12" customHeight="1">
      <c r="A181" s="387">
        <v>3</v>
      </c>
      <c r="B181" s="380" t="s">
        <v>191</v>
      </c>
      <c r="C181" s="381" t="s">
        <v>55</v>
      </c>
      <c r="D181" s="330">
        <v>183188777.75999999</v>
      </c>
      <c r="E181" s="198">
        <f t="shared" si="65"/>
        <v>2.473129267210819E-2</v>
      </c>
      <c r="F181" s="334">
        <v>17.399999999999999</v>
      </c>
      <c r="G181" s="334">
        <v>17.5</v>
      </c>
      <c r="H181" s="341">
        <v>7.9970330087153485E-4</v>
      </c>
      <c r="I181" s="341">
        <v>-3.4605357607423226E-2</v>
      </c>
      <c r="J181" s="330">
        <v>181486603.66</v>
      </c>
      <c r="K181" s="198">
        <f t="shared" si="66"/>
        <v>2.4901337240299724E-2</v>
      </c>
      <c r="L181" s="334">
        <v>17.399999999999999</v>
      </c>
      <c r="M181" s="334">
        <v>17.5</v>
      </c>
      <c r="N181" s="341">
        <v>-9.2919125331468733E-3</v>
      </c>
      <c r="O181" s="341">
        <v>-4.3575720184503619E-2</v>
      </c>
      <c r="P181" s="335">
        <f t="shared" si="67"/>
        <v>-9.2919125331468351E-3</v>
      </c>
      <c r="Q181" s="335">
        <f t="shared" si="68"/>
        <v>0</v>
      </c>
      <c r="R181" s="335">
        <f t="shared" si="69"/>
        <v>-1.0091615834018408E-2</v>
      </c>
      <c r="S181" s="376">
        <f t="shared" si="64"/>
        <v>-8.970362577080393E-3</v>
      </c>
      <c r="T181" s="193"/>
    </row>
    <row r="182" spans="1:20" s="116" customFormat="1" ht="12" customHeight="1">
      <c r="A182" s="387">
        <v>4</v>
      </c>
      <c r="B182" s="380" t="s">
        <v>190</v>
      </c>
      <c r="C182" s="381" t="s">
        <v>55</v>
      </c>
      <c r="D182" s="330">
        <v>240333063.61000001</v>
      </c>
      <c r="E182" s="198">
        <f t="shared" si="65"/>
        <v>3.2446023209513147E-2</v>
      </c>
      <c r="F182" s="334">
        <v>16.399999999999999</v>
      </c>
      <c r="G182" s="334">
        <v>16.5</v>
      </c>
      <c r="H182" s="341">
        <v>-8.6085332242801238E-3</v>
      </c>
      <c r="I182" s="341">
        <v>3.4193954560979511E-2</v>
      </c>
      <c r="J182" s="330">
        <v>235456652.36000001</v>
      </c>
      <c r="K182" s="198">
        <f t="shared" si="66"/>
        <v>3.2306436880997359E-2</v>
      </c>
      <c r="L182" s="334">
        <v>16.399999999999999</v>
      </c>
      <c r="M182" s="334">
        <v>16.5</v>
      </c>
      <c r="N182" s="341">
        <v>-2.0290222147349546E-2</v>
      </c>
      <c r="O182" s="341">
        <v>1.3209929479491178E-2</v>
      </c>
      <c r="P182" s="335">
        <f t="shared" si="67"/>
        <v>-2.0290222147349591E-2</v>
      </c>
      <c r="Q182" s="335">
        <f t="shared" si="68"/>
        <v>0</v>
      </c>
      <c r="R182" s="335">
        <f t="shared" si="69"/>
        <v>-1.1681688923069422E-2</v>
      </c>
      <c r="S182" s="376">
        <f t="shared" si="64"/>
        <v>-2.0984025081488333E-2</v>
      </c>
      <c r="T182" s="193"/>
    </row>
    <row r="183" spans="1:20" s="116" customFormat="1" ht="12" customHeight="1">
      <c r="A183" s="387">
        <v>5</v>
      </c>
      <c r="B183" s="380" t="s">
        <v>32</v>
      </c>
      <c r="C183" s="381" t="s">
        <v>31</v>
      </c>
      <c r="D183" s="330">
        <v>661601220</v>
      </c>
      <c r="E183" s="198">
        <f t="shared" si="65"/>
        <v>8.9319081682396606E-2</v>
      </c>
      <c r="F183" s="334">
        <v>12390</v>
      </c>
      <c r="G183" s="334">
        <v>12390</v>
      </c>
      <c r="H183" s="341">
        <v>0</v>
      </c>
      <c r="I183" s="341">
        <v>0</v>
      </c>
      <c r="J183" s="330">
        <v>640776000</v>
      </c>
      <c r="K183" s="198">
        <f t="shared" si="66"/>
        <v>8.7919322692174381E-2</v>
      </c>
      <c r="L183" s="334">
        <v>12000</v>
      </c>
      <c r="M183" s="334">
        <v>12000</v>
      </c>
      <c r="N183" s="341">
        <v>0</v>
      </c>
      <c r="O183" s="341">
        <v>0</v>
      </c>
      <c r="P183" s="335">
        <f t="shared" si="67"/>
        <v>-3.1476997578692496E-2</v>
      </c>
      <c r="Q183" s="335">
        <f t="shared" si="68"/>
        <v>-3.1476997578692496E-2</v>
      </c>
      <c r="R183" s="335">
        <f t="shared" si="69"/>
        <v>0</v>
      </c>
      <c r="S183" s="376">
        <f t="shared" si="64"/>
        <v>0</v>
      </c>
      <c r="T183" s="193"/>
    </row>
    <row r="184" spans="1:20" s="116" customFormat="1" ht="12" customHeight="1">
      <c r="A184" s="399">
        <v>6</v>
      </c>
      <c r="B184" s="380" t="s">
        <v>96</v>
      </c>
      <c r="C184" s="381" t="s">
        <v>39</v>
      </c>
      <c r="D184" s="330">
        <v>638580769.52999997</v>
      </c>
      <c r="E184" s="198">
        <f t="shared" si="65"/>
        <v>8.6211219372385309E-2</v>
      </c>
      <c r="F184" s="334">
        <v>73</v>
      </c>
      <c r="G184" s="334">
        <v>73</v>
      </c>
      <c r="H184" s="341">
        <v>-1.2800000000000001E-2</v>
      </c>
      <c r="I184" s="341">
        <v>4.1000000000000002E-2</v>
      </c>
      <c r="J184" s="330">
        <v>628465614.61000001</v>
      </c>
      <c r="K184" s="198">
        <f t="shared" si="66"/>
        <v>8.623024453448988E-2</v>
      </c>
      <c r="L184" s="334">
        <v>73</v>
      </c>
      <c r="M184" s="334">
        <v>73</v>
      </c>
      <c r="N184" s="341">
        <v>-2.0500000000000001E-2</v>
      </c>
      <c r="O184" s="341">
        <v>1.9599999999999999E-2</v>
      </c>
      <c r="P184" s="335">
        <f t="shared" si="67"/>
        <v>-1.584005564001682E-2</v>
      </c>
      <c r="Q184" s="335">
        <f t="shared" si="68"/>
        <v>0</v>
      </c>
      <c r="R184" s="335">
        <f t="shared" si="69"/>
        <v>-7.7000000000000002E-3</v>
      </c>
      <c r="S184" s="376">
        <f t="shared" si="64"/>
        <v>-2.1400000000000002E-2</v>
      </c>
      <c r="T184" s="193"/>
    </row>
    <row r="185" spans="1:20" s="116" customFormat="1" ht="12" customHeight="1">
      <c r="A185" s="399">
        <v>7</v>
      </c>
      <c r="B185" s="380" t="s">
        <v>40</v>
      </c>
      <c r="C185" s="381" t="s">
        <v>39</v>
      </c>
      <c r="D185" s="330">
        <v>474765369.13</v>
      </c>
      <c r="E185" s="198">
        <f t="shared" si="65"/>
        <v>6.4095418060588896E-2</v>
      </c>
      <c r="F185" s="334">
        <v>286.11</v>
      </c>
      <c r="G185" s="334">
        <v>286.11</v>
      </c>
      <c r="H185" s="341">
        <v>-7.9000000000000008E-3</v>
      </c>
      <c r="I185" s="341">
        <v>6.2199999999999998E-2</v>
      </c>
      <c r="J185" s="330">
        <v>468384420.36000001</v>
      </c>
      <c r="K185" s="198">
        <f t="shared" si="66"/>
        <v>6.4265891665133981E-2</v>
      </c>
      <c r="L185" s="334">
        <v>285</v>
      </c>
      <c r="M185" s="334">
        <v>285</v>
      </c>
      <c r="N185" s="341">
        <v>-1.4500000000000001E-2</v>
      </c>
      <c r="O185" s="341">
        <v>4.6899999999999997E-2</v>
      </c>
      <c r="P185" s="335">
        <f t="shared" si="67"/>
        <v>-1.3440215282957493E-2</v>
      </c>
      <c r="Q185" s="335">
        <f t="shared" si="68"/>
        <v>-3.8796267169970066E-3</v>
      </c>
      <c r="R185" s="335">
        <f t="shared" si="69"/>
        <v>-6.6E-3</v>
      </c>
      <c r="S185" s="376">
        <f t="shared" si="64"/>
        <v>-1.5300000000000001E-2</v>
      </c>
      <c r="T185" s="193"/>
    </row>
    <row r="186" spans="1:20" s="116" customFormat="1" ht="12" customHeight="1">
      <c r="A186" s="387">
        <v>8</v>
      </c>
      <c r="B186" s="380" t="s">
        <v>50</v>
      </c>
      <c r="C186" s="381" t="s">
        <v>29</v>
      </c>
      <c r="D186" s="330">
        <v>154984118.11000001</v>
      </c>
      <c r="E186" s="198">
        <f t="shared" si="65"/>
        <v>2.0923539265754822E-2</v>
      </c>
      <c r="F186" s="334">
        <v>6.93</v>
      </c>
      <c r="G186" s="334">
        <v>7.03</v>
      </c>
      <c r="H186" s="341">
        <v>0</v>
      </c>
      <c r="I186" s="341">
        <v>0</v>
      </c>
      <c r="J186" s="330">
        <v>154928813.90000001</v>
      </c>
      <c r="K186" s="198">
        <f t="shared" si="66"/>
        <v>2.1257407243077037E-2</v>
      </c>
      <c r="L186" s="334">
        <v>6.94</v>
      </c>
      <c r="M186" s="334">
        <v>7.04</v>
      </c>
      <c r="N186" s="341">
        <v>0</v>
      </c>
      <c r="O186" s="341">
        <v>0</v>
      </c>
      <c r="P186" s="335">
        <f t="shared" si="67"/>
        <v>-3.5683791781010855E-4</v>
      </c>
      <c r="Q186" s="335">
        <f t="shared" si="68"/>
        <v>1.4224751066856027E-3</v>
      </c>
      <c r="R186" s="335">
        <f t="shared" si="69"/>
        <v>0</v>
      </c>
      <c r="S186" s="376">
        <f t="shared" si="64"/>
        <v>0</v>
      </c>
      <c r="T186" s="193"/>
    </row>
    <row r="187" spans="1:20" s="116" customFormat="1" ht="12" customHeight="1">
      <c r="A187" s="387">
        <v>9</v>
      </c>
      <c r="B187" s="380" t="s">
        <v>60</v>
      </c>
      <c r="C187" s="381" t="s">
        <v>29</v>
      </c>
      <c r="D187" s="76">
        <v>349202483.66000003</v>
      </c>
      <c r="E187" s="198">
        <f t="shared" si="65"/>
        <v>4.7143874918675797E-2</v>
      </c>
      <c r="F187" s="334">
        <v>4.43</v>
      </c>
      <c r="G187" s="334">
        <v>4.53</v>
      </c>
      <c r="H187" s="341">
        <v>0</v>
      </c>
      <c r="I187" s="341">
        <v>0</v>
      </c>
      <c r="J187" s="76">
        <v>343445367.83999997</v>
      </c>
      <c r="K187" s="198">
        <f t="shared" si="66"/>
        <v>4.7123306931373031E-2</v>
      </c>
      <c r="L187" s="334">
        <v>4.37</v>
      </c>
      <c r="M187" s="334">
        <v>4.47</v>
      </c>
      <c r="N187" s="341">
        <v>0</v>
      </c>
      <c r="O187" s="341">
        <v>0</v>
      </c>
      <c r="P187" s="335">
        <f t="shared" si="67"/>
        <v>-1.6486468709098447E-2</v>
      </c>
      <c r="Q187" s="335">
        <f t="shared" si="68"/>
        <v>-1.3245033112582891E-2</v>
      </c>
      <c r="R187" s="335">
        <f t="shared" si="69"/>
        <v>0</v>
      </c>
      <c r="S187" s="376">
        <f t="shared" si="64"/>
        <v>0</v>
      </c>
      <c r="T187" s="193"/>
    </row>
    <row r="188" spans="1:20" s="116" customFormat="1" ht="12" customHeight="1">
      <c r="A188" s="387">
        <v>10</v>
      </c>
      <c r="B188" s="380" t="s">
        <v>94</v>
      </c>
      <c r="C188" s="381" t="s">
        <v>29</v>
      </c>
      <c r="D188" s="330">
        <v>502329033.66000003</v>
      </c>
      <c r="E188" s="198">
        <f t="shared" si="65"/>
        <v>6.7816634299611628E-2</v>
      </c>
      <c r="F188" s="334">
        <v>141.69</v>
      </c>
      <c r="G188" s="334">
        <v>143.69</v>
      </c>
      <c r="H188" s="341">
        <v>0</v>
      </c>
      <c r="I188" s="341">
        <v>0</v>
      </c>
      <c r="J188" s="330">
        <v>502786320.23000002</v>
      </c>
      <c r="K188" s="198">
        <f t="shared" si="66"/>
        <v>6.8986093008340341E-2</v>
      </c>
      <c r="L188" s="334">
        <v>141.82</v>
      </c>
      <c r="M188" s="334">
        <v>143.82</v>
      </c>
      <c r="N188" s="341">
        <v>0</v>
      </c>
      <c r="O188" s="341">
        <v>0</v>
      </c>
      <c r="P188" s="335">
        <f t="shared" si="67"/>
        <v>9.1033274877260221E-4</v>
      </c>
      <c r="Q188" s="335">
        <f t="shared" si="68"/>
        <v>9.04725450622837E-4</v>
      </c>
      <c r="R188" s="335">
        <f t="shared" si="69"/>
        <v>0</v>
      </c>
      <c r="S188" s="376">
        <f t="shared" si="64"/>
        <v>0</v>
      </c>
      <c r="T188" s="193"/>
    </row>
    <row r="189" spans="1:20" s="116" customFormat="1" ht="12" customHeight="1">
      <c r="A189" s="387">
        <v>11</v>
      </c>
      <c r="B189" s="380" t="s">
        <v>30</v>
      </c>
      <c r="C189" s="381" t="s">
        <v>29</v>
      </c>
      <c r="D189" s="330">
        <v>2851630995.5500002</v>
      </c>
      <c r="E189" s="198">
        <f t="shared" si="65"/>
        <v>0.38498275716538799</v>
      </c>
      <c r="F189" s="334">
        <v>19.149999999999999</v>
      </c>
      <c r="G189" s="334">
        <v>19.350000000000001</v>
      </c>
      <c r="H189" s="341">
        <v>0</v>
      </c>
      <c r="I189" s="341">
        <v>0</v>
      </c>
      <c r="J189" s="330">
        <v>2806952224.9899998</v>
      </c>
      <c r="K189" s="198">
        <f t="shared" si="66"/>
        <v>0.38513511500183001</v>
      </c>
      <c r="L189" s="334">
        <v>18.84</v>
      </c>
      <c r="M189" s="334">
        <v>19.04</v>
      </c>
      <c r="N189" s="341">
        <v>0</v>
      </c>
      <c r="O189" s="341">
        <v>0</v>
      </c>
      <c r="P189" s="335">
        <f t="shared" si="67"/>
        <v>-1.5667795247604654E-2</v>
      </c>
      <c r="Q189" s="335">
        <f t="shared" si="68"/>
        <v>-1.6020671834625438E-2</v>
      </c>
      <c r="R189" s="335">
        <f t="shared" si="69"/>
        <v>0</v>
      </c>
      <c r="S189" s="376">
        <f t="shared" si="64"/>
        <v>0</v>
      </c>
      <c r="T189" s="193"/>
    </row>
    <row r="190" spans="1:20" s="116" customFormat="1" ht="12" customHeight="1">
      <c r="A190" s="387">
        <v>12</v>
      </c>
      <c r="B190" s="380" t="s">
        <v>51</v>
      </c>
      <c r="C190" s="381" t="s">
        <v>29</v>
      </c>
      <c r="D190" s="76">
        <v>259443510.68000001</v>
      </c>
      <c r="E190" s="198">
        <f t="shared" si="65"/>
        <v>3.502601782142218E-2</v>
      </c>
      <c r="F190" s="334">
        <v>24.45</v>
      </c>
      <c r="G190" s="334">
        <v>24.65</v>
      </c>
      <c r="H190" s="341">
        <v>0</v>
      </c>
      <c r="I190" s="341">
        <v>0</v>
      </c>
      <c r="J190" s="76">
        <v>258249284.53</v>
      </c>
      <c r="K190" s="198">
        <v>0.24610000000000001</v>
      </c>
      <c r="L190" s="334">
        <v>24.36</v>
      </c>
      <c r="M190" s="334">
        <v>24.56</v>
      </c>
      <c r="N190" s="341">
        <v>0</v>
      </c>
      <c r="O190" s="341">
        <v>0</v>
      </c>
      <c r="P190" s="335">
        <f t="shared" si="67"/>
        <v>-4.6030295645859316E-3</v>
      </c>
      <c r="Q190" s="335">
        <f t="shared" si="68"/>
        <v>-3.6511156186612519E-3</v>
      </c>
      <c r="R190" s="335">
        <f t="shared" si="69"/>
        <v>0</v>
      </c>
      <c r="S190" s="376">
        <f t="shared" si="64"/>
        <v>0</v>
      </c>
      <c r="T190" s="195"/>
    </row>
    <row r="191" spans="1:20" s="116" customFormat="1" ht="12" customHeight="1">
      <c r="A191" s="395"/>
      <c r="B191" s="396"/>
      <c r="C191" s="396" t="s">
        <v>33</v>
      </c>
      <c r="D191" s="388">
        <f>SUM(D179:D190)</f>
        <v>7407165496.3106413</v>
      </c>
      <c r="E191" s="388"/>
      <c r="F191" s="391"/>
      <c r="G191" s="389"/>
      <c r="H191" s="390"/>
      <c r="I191" s="390"/>
      <c r="J191" s="388">
        <f>SUM(J179:J190)</f>
        <v>7288227210.7975979</v>
      </c>
      <c r="K191" s="391"/>
      <c r="L191" s="391"/>
      <c r="M191" s="389"/>
      <c r="N191" s="390"/>
      <c r="O191" s="390"/>
      <c r="P191" s="392">
        <f t="shared" ref="P191" si="70">((J191-D191)/D191)</f>
        <v>-1.60571929400368E-2</v>
      </c>
      <c r="Q191" s="393"/>
      <c r="R191" s="392">
        <f t="shared" ref="R191" si="71">N191-H191</f>
        <v>0</v>
      </c>
      <c r="S191" s="394">
        <f t="shared" si="64"/>
        <v>0</v>
      </c>
      <c r="T191" s="141" t="s">
        <v>278</v>
      </c>
    </row>
    <row r="192" spans="1:20" s="116" customFormat="1" ht="12" customHeight="1" thickBot="1">
      <c r="A192" s="252"/>
      <c r="B192" s="253"/>
      <c r="C192" s="253" t="s">
        <v>43</v>
      </c>
      <c r="D192" s="254">
        <f>SUM(D167,D174,D191)</f>
        <v>1686140811863.7493</v>
      </c>
      <c r="E192" s="254"/>
      <c r="F192" s="254"/>
      <c r="G192" s="255"/>
      <c r="H192" s="256"/>
      <c r="I192" s="256"/>
      <c r="J192" s="254">
        <f>SUM(J167,J174,J191)</f>
        <v>1690494681920.949</v>
      </c>
      <c r="K192" s="234"/>
      <c r="L192" s="234"/>
      <c r="M192" s="235"/>
      <c r="N192" s="236"/>
      <c r="O192" s="236"/>
      <c r="P192" s="217"/>
      <c r="Q192" s="221"/>
      <c r="R192" s="221"/>
      <c r="S192" s="218"/>
      <c r="T192" s="142">
        <f>((J191-D191)/D191)</f>
        <v>-1.60571929400368E-2</v>
      </c>
    </row>
    <row r="193" spans="1:15" ht="12" customHeight="1">
      <c r="A193" s="237"/>
      <c r="B193" s="95"/>
      <c r="C193" s="238"/>
      <c r="D193" s="67"/>
      <c r="E193" s="67"/>
      <c r="F193" s="67"/>
      <c r="G193" s="239"/>
      <c r="H193" s="240"/>
      <c r="I193" s="240"/>
      <c r="J193" s="7"/>
      <c r="K193" s="67"/>
      <c r="L193" s="67"/>
      <c r="M193" s="241"/>
      <c r="N193" s="242"/>
      <c r="O193" s="242"/>
    </row>
    <row r="194" spans="1:15" ht="12" customHeight="1">
      <c r="A194" s="242"/>
      <c r="B194" s="241"/>
      <c r="C194" s="244"/>
      <c r="D194" s="241"/>
      <c r="E194" s="241"/>
      <c r="F194" s="241"/>
      <c r="G194" s="241"/>
      <c r="H194" s="243"/>
      <c r="I194" s="243"/>
      <c r="J194" s="245"/>
      <c r="K194" s="241"/>
      <c r="L194" s="241"/>
      <c r="M194" s="241"/>
      <c r="N194" s="242"/>
      <c r="O194" s="242"/>
    </row>
    <row r="195" spans="1:15" ht="12" customHeight="1">
      <c r="A195" s="242"/>
      <c r="B195" s="244"/>
      <c r="C195" s="241"/>
      <c r="D195" s="241"/>
      <c r="E195" s="241"/>
      <c r="F195" s="241"/>
      <c r="G195" s="241"/>
      <c r="H195" s="243"/>
      <c r="I195" s="243"/>
      <c r="J195" s="245"/>
      <c r="K195" s="241"/>
      <c r="L195" s="241"/>
      <c r="M195" s="241"/>
      <c r="N195" s="242"/>
      <c r="O195" s="242"/>
    </row>
    <row r="196" spans="1:15" ht="12" customHeight="1">
      <c r="A196" s="242"/>
      <c r="B196" s="247"/>
      <c r="C196" s="246"/>
      <c r="D196" s="241"/>
      <c r="E196" s="241"/>
      <c r="F196" s="241"/>
      <c r="G196" s="241"/>
      <c r="H196" s="243"/>
      <c r="I196" s="243"/>
      <c r="J196" s="245"/>
      <c r="K196" s="241"/>
      <c r="L196" s="241"/>
      <c r="M196" s="241"/>
      <c r="N196" s="242"/>
      <c r="O196" s="242"/>
    </row>
    <row r="197" spans="1:15" ht="12" customHeight="1">
      <c r="A197" s="242"/>
      <c r="B197" s="246"/>
      <c r="C197" s="246"/>
      <c r="D197" s="241"/>
      <c r="E197" s="241"/>
      <c r="F197" s="241"/>
      <c r="G197" s="241"/>
      <c r="H197" s="243"/>
      <c r="I197" s="243"/>
      <c r="J197" s="245"/>
      <c r="K197" s="241"/>
      <c r="L197" s="241"/>
      <c r="M197" s="241"/>
      <c r="N197" s="242"/>
      <c r="O197" s="242"/>
    </row>
    <row r="198" spans="1:15" ht="12" customHeight="1">
      <c r="A198" s="242"/>
      <c r="B198" s="246"/>
      <c r="C198" s="246"/>
      <c r="D198" s="241"/>
      <c r="E198" s="241"/>
      <c r="F198" s="241"/>
      <c r="G198" s="241"/>
      <c r="H198" s="243"/>
      <c r="I198" s="243"/>
      <c r="J198" s="245"/>
      <c r="K198" s="241"/>
      <c r="L198" s="241"/>
      <c r="M198" s="241"/>
      <c r="N198" s="242"/>
      <c r="O198" s="242"/>
    </row>
    <row r="199" spans="1:15" ht="12" customHeight="1">
      <c r="A199" s="242"/>
      <c r="B199" s="246"/>
      <c r="C199" s="246"/>
      <c r="D199" s="241"/>
      <c r="E199" s="241"/>
      <c r="F199" s="241"/>
      <c r="G199" s="241"/>
      <c r="H199" s="243"/>
      <c r="I199" s="243"/>
      <c r="J199" s="245"/>
      <c r="K199" s="241"/>
      <c r="L199" s="241"/>
      <c r="M199" s="241"/>
      <c r="N199" s="242"/>
      <c r="O199" s="242"/>
    </row>
    <row r="200" spans="1:15" ht="12" customHeight="1">
      <c r="A200" s="242"/>
      <c r="B200" s="247"/>
      <c r="C200" s="246"/>
      <c r="D200" s="241"/>
      <c r="E200" s="241"/>
      <c r="F200" s="241"/>
      <c r="G200" s="241"/>
      <c r="H200" s="243"/>
      <c r="I200" s="243"/>
      <c r="J200" s="245"/>
      <c r="K200" s="241"/>
      <c r="L200" s="241"/>
      <c r="M200" s="241"/>
      <c r="N200" s="242"/>
      <c r="O200" s="242"/>
    </row>
    <row r="201" spans="1:15" ht="12" customHeight="1">
      <c r="B201" s="246"/>
      <c r="C201" s="246"/>
      <c r="D201" s="241"/>
      <c r="E201" s="241"/>
      <c r="F201" s="241"/>
      <c r="G201" s="241"/>
      <c r="H201" s="243"/>
      <c r="I201" s="243"/>
      <c r="J201" s="245"/>
      <c r="K201" s="241"/>
      <c r="L201" s="241"/>
      <c r="M201" s="241"/>
      <c r="N201" s="242"/>
      <c r="O201" s="242"/>
    </row>
    <row r="202" spans="1:15" ht="12" customHeight="1">
      <c r="B202" s="4"/>
      <c r="C202" s="4"/>
    </row>
    <row r="203" spans="1:15" ht="12" customHeight="1">
      <c r="B203" s="4"/>
      <c r="C203" s="4"/>
    </row>
    <row r="204" spans="1:15" ht="12" customHeight="1">
      <c r="B204" s="6"/>
      <c r="C204" s="4"/>
    </row>
    <row r="205" spans="1:15" ht="12" customHeight="1">
      <c r="B205" s="4"/>
      <c r="C205" s="4"/>
    </row>
    <row r="206" spans="1:15" ht="12" customHeight="1">
      <c r="B206" s="4"/>
      <c r="C206" s="4"/>
    </row>
    <row r="207" spans="1:15" ht="12" customHeight="1">
      <c r="B207" s="4"/>
      <c r="C207" s="4"/>
    </row>
    <row r="208" spans="1:15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L76 F76" name="BidOffer Prices_2_1_1_1_1_1_1_1_2"/>
    <protectedRange password="CADF" sqref="M76 G76" name="BidOffer Prices_2_1_1_1_1_1_1_1_1_1"/>
    <protectedRange password="CADF" sqref="J142:J144 D142:D144" name="Fund Name_1_1_1_2"/>
    <protectedRange password="CADF" sqref="N142:O144 H142:I144" name="Yield_1_1_2_2"/>
    <protectedRange password="CADF" sqref="L142:M144 F142:G144" name="Fund Name_1_1_1_1_2"/>
    <protectedRange password="CADF" sqref="N47:O47 H47:I47" name="Yield_1_1_2_1_1_1_1_1"/>
    <protectedRange password="CADF" sqref="J94 D94" name="Yield_2_1_2_6_3"/>
  </protectedRanges>
  <mergeCells count="43">
    <mergeCell ref="W118:W120"/>
    <mergeCell ref="V71:V83"/>
    <mergeCell ref="T121:T122"/>
    <mergeCell ref="P177:R177"/>
    <mergeCell ref="P170:R170"/>
    <mergeCell ref="A168:R168"/>
    <mergeCell ref="A113:S113"/>
    <mergeCell ref="A153:S153"/>
    <mergeCell ref="A154:S154"/>
    <mergeCell ref="A152:S152"/>
    <mergeCell ref="U102:U103"/>
    <mergeCell ref="A101:S101"/>
    <mergeCell ref="A100:S100"/>
    <mergeCell ref="A112:S112"/>
    <mergeCell ref="A120:S120"/>
    <mergeCell ref="A119:S119"/>
    <mergeCell ref="U70:V70"/>
    <mergeCell ref="V30:W30"/>
    <mergeCell ref="D2:H2"/>
    <mergeCell ref="J2:N2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A147:S147"/>
    <mergeCell ref="A146:S146"/>
    <mergeCell ref="A176:S176"/>
    <mergeCell ref="A158:S158"/>
    <mergeCell ref="A157:S157"/>
    <mergeCell ref="A169:S169"/>
    <mergeCell ref="A175:S17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5"/>
      <c r="F3" s="105"/>
      <c r="G3" s="105"/>
    </row>
    <row r="4" spans="1:7">
      <c r="E4" s="105"/>
      <c r="F4" s="105"/>
      <c r="G4" s="105"/>
    </row>
    <row r="5" spans="1:7">
      <c r="E5" s="105"/>
      <c r="F5" s="105"/>
      <c r="G5" s="105"/>
    </row>
    <row r="6" spans="1:7">
      <c r="E6" s="102" t="s">
        <v>65</v>
      </c>
      <c r="F6" s="103" t="s">
        <v>157</v>
      </c>
      <c r="G6" s="105"/>
    </row>
    <row r="7" spans="1:7">
      <c r="E7" s="199" t="s">
        <v>0</v>
      </c>
      <c r="F7" s="104">
        <f>'NAV Trend'!J2</f>
        <v>16887170786.960003</v>
      </c>
      <c r="G7" s="105"/>
    </row>
    <row r="8" spans="1:7">
      <c r="E8" s="199" t="s">
        <v>44</v>
      </c>
      <c r="F8" s="104">
        <f>'NAV Trend'!J3</f>
        <v>809389465815.42651</v>
      </c>
      <c r="G8" s="105"/>
    </row>
    <row r="9" spans="1:7">
      <c r="A9" s="105"/>
      <c r="B9" s="105"/>
      <c r="E9" s="199" t="s">
        <v>200</v>
      </c>
      <c r="F9" s="104">
        <f>'NAV Trend'!J4</f>
        <v>324645636399.64471</v>
      </c>
      <c r="G9" s="105"/>
    </row>
    <row r="10" spans="1:7">
      <c r="A10" s="454"/>
      <c r="B10" s="454"/>
      <c r="E10" s="199" t="s">
        <v>202</v>
      </c>
      <c r="F10" s="104">
        <f>'NAV Trend'!J5</f>
        <v>328369020682.2923</v>
      </c>
      <c r="G10" s="105"/>
    </row>
    <row r="11" spans="1:7">
      <c r="A11" s="98"/>
      <c r="B11" s="98"/>
      <c r="E11" s="199" t="s">
        <v>220</v>
      </c>
      <c r="F11" s="104">
        <f>'NAV Trend'!J6</f>
        <v>46547556602.110001</v>
      </c>
      <c r="G11" s="105"/>
    </row>
    <row r="12" spans="1:7">
      <c r="A12" s="99"/>
      <c r="B12" s="100"/>
      <c r="E12" s="199" t="s">
        <v>61</v>
      </c>
      <c r="F12" s="104">
        <f>'NAV Trend'!J7</f>
        <v>31214054403.725143</v>
      </c>
      <c r="G12" s="105"/>
    </row>
    <row r="13" spans="1:7">
      <c r="A13" s="99"/>
      <c r="B13" s="100"/>
      <c r="E13" s="199" t="s">
        <v>67</v>
      </c>
      <c r="F13" s="104">
        <f>'NAV Trend'!J8</f>
        <v>3044973052.6900001</v>
      </c>
      <c r="G13" s="105"/>
    </row>
    <row r="14" spans="1:7">
      <c r="A14" s="99"/>
      <c r="B14" s="100"/>
      <c r="E14" s="199" t="s">
        <v>215</v>
      </c>
      <c r="F14" s="200">
        <f>'NAV Trend'!J9</f>
        <v>25308511589.740002</v>
      </c>
      <c r="G14" s="105"/>
    </row>
    <row r="15" spans="1:7">
      <c r="A15" s="99"/>
      <c r="B15" s="100"/>
      <c r="E15" s="105"/>
      <c r="F15" s="105"/>
      <c r="G15" s="105"/>
    </row>
    <row r="16" spans="1:7">
      <c r="A16" s="99"/>
      <c r="B16" s="100"/>
      <c r="E16" s="105"/>
      <c r="F16" s="105"/>
      <c r="G16" s="105"/>
    </row>
    <row r="17" spans="1:13">
      <c r="A17" s="99"/>
      <c r="B17" s="100"/>
      <c r="E17" s="105"/>
      <c r="F17" s="105"/>
      <c r="G17" s="105"/>
    </row>
    <row r="18" spans="1:13">
      <c r="A18" s="99"/>
      <c r="B18" s="100"/>
      <c r="E18" s="105"/>
      <c r="F18" s="105"/>
      <c r="G18" s="105"/>
    </row>
    <row r="19" spans="1:13">
      <c r="A19" s="99"/>
      <c r="B19" s="100"/>
      <c r="E19" s="105"/>
      <c r="F19" s="105"/>
      <c r="G19" s="105"/>
    </row>
    <row r="24" spans="1:13" s="96" customFormat="1" ht="21.75" customHeight="1"/>
    <row r="25" spans="1:13" ht="30.75" customHeight="1">
      <c r="B25" s="106" t="s">
        <v>159</v>
      </c>
      <c r="M25" s="97"/>
    </row>
    <row r="26" spans="1:13" ht="54" customHeight="1">
      <c r="B26" s="455" t="s">
        <v>291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10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52" t="s">
        <v>65</v>
      </c>
      <c r="C1" s="346">
        <v>44974</v>
      </c>
      <c r="D1" s="346">
        <v>44981</v>
      </c>
      <c r="E1" s="346">
        <v>44988</v>
      </c>
      <c r="F1" s="346">
        <v>44995</v>
      </c>
      <c r="G1" s="346">
        <v>45002</v>
      </c>
      <c r="H1" s="346">
        <v>45009</v>
      </c>
      <c r="I1" s="346">
        <v>45016</v>
      </c>
      <c r="J1" s="346">
        <v>45022</v>
      </c>
      <c r="K1" s="346">
        <v>45030</v>
      </c>
      <c r="L1" s="310"/>
    </row>
    <row r="2" spans="2:24" s="112" customFormat="1" ht="16.5">
      <c r="B2" s="353" t="s">
        <v>0</v>
      </c>
      <c r="C2" s="347">
        <v>17010664326.750002</v>
      </c>
      <c r="D2" s="347">
        <v>17138775616.899998</v>
      </c>
      <c r="E2" s="347">
        <v>17291112299.790001</v>
      </c>
      <c r="F2" s="347">
        <v>17294675587.010002</v>
      </c>
      <c r="G2" s="347">
        <v>17018697028.65</v>
      </c>
      <c r="H2" s="347">
        <v>17022340090.360001</v>
      </c>
      <c r="I2" s="347">
        <v>16999391000.99</v>
      </c>
      <c r="J2" s="347">
        <v>16887170786.960003</v>
      </c>
      <c r="K2" s="347">
        <v>16546902385.180002</v>
      </c>
    </row>
    <row r="3" spans="2:24" s="112" customFormat="1" ht="16.5">
      <c r="B3" s="353" t="s">
        <v>44</v>
      </c>
      <c r="C3" s="348">
        <v>748848468799.76001</v>
      </c>
      <c r="D3" s="348">
        <v>773728453122.66284</v>
      </c>
      <c r="E3" s="348">
        <v>796016399970.13013</v>
      </c>
      <c r="F3" s="348">
        <v>809621970053.67017</v>
      </c>
      <c r="G3" s="348">
        <v>808804557491.32593</v>
      </c>
      <c r="H3" s="348">
        <v>808555564328.63843</v>
      </c>
      <c r="I3" s="348">
        <v>806141589764.57471</v>
      </c>
      <c r="J3" s="348">
        <v>809389465815.42651</v>
      </c>
      <c r="K3" s="348">
        <v>813597370074.91248</v>
      </c>
    </row>
    <row r="4" spans="2:24" s="112" customFormat="1" ht="16.5">
      <c r="B4" s="353" t="s">
        <v>200</v>
      </c>
      <c r="C4" s="347">
        <v>337557374886.08539</v>
      </c>
      <c r="D4" s="347">
        <v>335945984770.62183</v>
      </c>
      <c r="E4" s="347">
        <v>337420772556.3739</v>
      </c>
      <c r="F4" s="347">
        <v>337681545776.1922</v>
      </c>
      <c r="G4" s="347">
        <v>338781243498.64948</v>
      </c>
      <c r="H4" s="347">
        <v>329560582532.39893</v>
      </c>
      <c r="I4" s="347">
        <v>325274738811.00598</v>
      </c>
      <c r="J4" s="347">
        <v>324645636399.64471</v>
      </c>
      <c r="K4" s="347">
        <v>325325671083.40485</v>
      </c>
    </row>
    <row r="5" spans="2:24" s="112" customFormat="1" ht="16.5">
      <c r="B5" s="353" t="s">
        <v>202</v>
      </c>
      <c r="C5" s="348">
        <v>315347453563.14014</v>
      </c>
      <c r="D5" s="348">
        <v>315837517726.25104</v>
      </c>
      <c r="E5" s="348">
        <v>318565990487.86023</v>
      </c>
      <c r="F5" s="348">
        <v>319613321483.23999</v>
      </c>
      <c r="G5" s="348">
        <v>317395334099.62982</v>
      </c>
      <c r="H5" s="348">
        <v>313889534077.08875</v>
      </c>
      <c r="I5" s="348">
        <v>315799107802.45465</v>
      </c>
      <c r="J5" s="348">
        <v>328369020682.2923</v>
      </c>
      <c r="K5" s="348">
        <v>329288437990.39252</v>
      </c>
    </row>
    <row r="6" spans="2:24" s="112" customFormat="1" ht="16.5">
      <c r="B6" s="353" t="s">
        <v>221</v>
      </c>
      <c r="C6" s="347">
        <v>46362288631.089996</v>
      </c>
      <c r="D6" s="347">
        <v>46378152063.179993</v>
      </c>
      <c r="E6" s="347">
        <v>46384295590.5</v>
      </c>
      <c r="F6" s="347">
        <v>46432760216.860001</v>
      </c>
      <c r="G6" s="347">
        <v>46442483642.769997</v>
      </c>
      <c r="H6" s="347">
        <v>46448137747.110001</v>
      </c>
      <c r="I6" s="347">
        <v>46504435280.830002</v>
      </c>
      <c r="J6" s="347">
        <v>46547556602.110001</v>
      </c>
      <c r="K6" s="347">
        <v>46562248546.230003</v>
      </c>
    </row>
    <row r="7" spans="2:24" s="112" customFormat="1" ht="16.5">
      <c r="B7" s="353" t="s">
        <v>230</v>
      </c>
      <c r="C7" s="349">
        <v>31120048445.681793</v>
      </c>
      <c r="D7" s="349">
        <v>31292470255.431282</v>
      </c>
      <c r="E7" s="349">
        <v>31275370993.764259</v>
      </c>
      <c r="F7" s="349">
        <v>31644276857.633732</v>
      </c>
      <c r="G7" s="349">
        <v>31193956823.055714</v>
      </c>
      <c r="H7" s="349">
        <v>31270923143.617718</v>
      </c>
      <c r="I7" s="349">
        <v>31357580652.94627</v>
      </c>
      <c r="J7" s="349">
        <v>31214054403.725143</v>
      </c>
      <c r="K7" s="349">
        <v>31040700634.661449</v>
      </c>
    </row>
    <row r="8" spans="2:24" s="291" customFormat="1" ht="16.5">
      <c r="B8" s="353" t="s">
        <v>67</v>
      </c>
      <c r="C8" s="347">
        <v>3061691984.0600004</v>
      </c>
      <c r="D8" s="347">
        <v>3158407721.2199998</v>
      </c>
      <c r="E8" s="347">
        <v>3177550412.0600004</v>
      </c>
      <c r="F8" s="347">
        <v>3184420481.5599999</v>
      </c>
      <c r="G8" s="347">
        <v>3138053697.2600002</v>
      </c>
      <c r="H8" s="347">
        <v>3062737011.3699999</v>
      </c>
      <c r="I8" s="347">
        <v>3065619906.6200004</v>
      </c>
      <c r="J8" s="347">
        <v>3044973052.6900001</v>
      </c>
      <c r="K8" s="347">
        <v>2397610345.79</v>
      </c>
    </row>
    <row r="9" spans="2:24" ht="16.5">
      <c r="B9" s="353" t="s">
        <v>215</v>
      </c>
      <c r="C9" s="347">
        <v>23850690692.210003</v>
      </c>
      <c r="D9" s="347">
        <v>23767011958.820007</v>
      </c>
      <c r="E9" s="347">
        <v>23646207806.779999</v>
      </c>
      <c r="F9" s="347">
        <v>25118658682.680004</v>
      </c>
      <c r="G9" s="347">
        <v>25167427500.150002</v>
      </c>
      <c r="H9" s="347">
        <v>25123628784.880001</v>
      </c>
      <c r="I9" s="347">
        <v>25237093944.099998</v>
      </c>
      <c r="J9" s="347">
        <v>25308511589.740002</v>
      </c>
      <c r="K9" s="347">
        <v>25115154237.279999</v>
      </c>
    </row>
    <row r="10" spans="2:24" s="1" customFormat="1" ht="15.75">
      <c r="B10" s="354" t="s">
        <v>258</v>
      </c>
      <c r="C10" s="355">
        <f t="shared" ref="C10:E10" si="0">SUM(C2:C9)</f>
        <v>1523158681328.7776</v>
      </c>
      <c r="D10" s="355">
        <f t="shared" si="0"/>
        <v>1547246773235.0869</v>
      </c>
      <c r="E10" s="355">
        <f t="shared" si="0"/>
        <v>1573777700117.2585</v>
      </c>
      <c r="F10" s="355">
        <f t="shared" ref="F10:I10" si="1">SUM(F2:F9)</f>
        <v>1590591629138.8462</v>
      </c>
      <c r="G10" s="355">
        <f t="shared" si="1"/>
        <v>1587941753781.491</v>
      </c>
      <c r="H10" s="355">
        <f t="shared" si="1"/>
        <v>1574933447715.4641</v>
      </c>
      <c r="I10" s="355">
        <f t="shared" si="1"/>
        <v>1570379557163.522</v>
      </c>
      <c r="J10" s="355">
        <f t="shared" ref="J10:K10" si="2">SUM(J2:J9)</f>
        <v>1585406389332.5886</v>
      </c>
      <c r="K10" s="355">
        <f t="shared" si="2"/>
        <v>1589874095297.8513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2:24" ht="6.75" customHeight="1">
      <c r="B11" s="350"/>
      <c r="C11" s="351"/>
      <c r="D11" s="351"/>
      <c r="E11" s="351"/>
      <c r="F11" s="351"/>
      <c r="G11" s="351"/>
      <c r="H11" s="351"/>
      <c r="I11" s="351"/>
      <c r="J11" s="350"/>
      <c r="K11" s="350"/>
    </row>
    <row r="12" spans="2:24" ht="15.75">
      <c r="B12" s="356" t="s">
        <v>117</v>
      </c>
      <c r="C12" s="357" t="s">
        <v>116</v>
      </c>
      <c r="D12" s="358">
        <f>(C10+D10)/2</f>
        <v>1535202727281.9321</v>
      </c>
      <c r="E12" s="359">
        <f t="shared" ref="E12:K12" si="3">(D10+E10)/2</f>
        <v>1560512236676.1729</v>
      </c>
      <c r="F12" s="359">
        <f t="shared" si="3"/>
        <v>1582184664628.0522</v>
      </c>
      <c r="G12" s="359">
        <f t="shared" si="3"/>
        <v>1589266691460.1685</v>
      </c>
      <c r="H12" s="359">
        <f>(G10+H10)/2</f>
        <v>1581437600748.4775</v>
      </c>
      <c r="I12" s="359">
        <f t="shared" si="3"/>
        <v>1572656502439.4932</v>
      </c>
      <c r="J12" s="359">
        <f t="shared" si="3"/>
        <v>1577892973248.0552</v>
      </c>
      <c r="K12" s="359">
        <f t="shared" si="3"/>
        <v>1587640242315.22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293"/>
      <c r="I14" s="93"/>
      <c r="J14" s="92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3"/>
    </row>
    <row r="17" spans="2:10" ht="16.5">
      <c r="B17" s="363"/>
      <c r="C17" s="364"/>
      <c r="D17" s="11"/>
      <c r="E17" s="11"/>
      <c r="F17" s="11"/>
      <c r="G17" s="11"/>
      <c r="H17" s="364"/>
      <c r="I17" s="11"/>
    </row>
    <row r="18" spans="2:10" ht="16.5">
      <c r="B18" s="365"/>
      <c r="C18" s="366"/>
      <c r="D18" s="9"/>
      <c r="E18" s="9"/>
      <c r="F18" s="9"/>
      <c r="G18" s="9"/>
      <c r="H18" s="366"/>
      <c r="I18" s="9"/>
    </row>
    <row r="19" spans="2:10" ht="16.5">
      <c r="B19" s="365"/>
      <c r="C19" s="367"/>
      <c r="D19" s="10"/>
      <c r="E19" s="8"/>
      <c r="F19" s="8"/>
      <c r="G19" s="8"/>
      <c r="H19" s="367"/>
      <c r="I19" s="8"/>
    </row>
    <row r="20" spans="2:10" ht="16.5">
      <c r="B20" s="365"/>
      <c r="C20" s="366"/>
      <c r="D20" s="10"/>
      <c r="E20" s="8"/>
      <c r="F20" s="8"/>
      <c r="G20" s="8"/>
      <c r="H20" s="366"/>
      <c r="I20" s="8"/>
      <c r="J20" s="94"/>
    </row>
    <row r="21" spans="2:10" ht="16.5">
      <c r="B21" s="365"/>
      <c r="C21" s="367"/>
      <c r="D21" s="10"/>
      <c r="E21" s="8"/>
      <c r="F21" s="8"/>
      <c r="G21" s="8"/>
      <c r="H21" s="367"/>
      <c r="I21" s="8"/>
    </row>
    <row r="22" spans="2:10" ht="16.5">
      <c r="B22" s="365"/>
      <c r="C22" s="366"/>
      <c r="D22" s="10"/>
      <c r="E22" s="8"/>
      <c r="F22" s="8"/>
      <c r="G22" s="8"/>
      <c r="H22" s="366"/>
    </row>
    <row r="23" spans="2:10" ht="16.5">
      <c r="B23" s="365"/>
      <c r="C23" s="368"/>
      <c r="D23" s="10"/>
      <c r="E23" s="8"/>
      <c r="F23" s="8"/>
      <c r="G23" s="8"/>
      <c r="H23" s="368"/>
    </row>
    <row r="24" spans="2:10" ht="16.5">
      <c r="B24" s="365"/>
      <c r="C24" s="366"/>
      <c r="D24" s="8"/>
      <c r="E24" s="8"/>
      <c r="F24" s="8"/>
      <c r="G24" s="8"/>
      <c r="H24" s="366"/>
    </row>
    <row r="25" spans="2:10" ht="16.5">
      <c r="B25" s="365"/>
      <c r="C25" s="366"/>
      <c r="D25" s="8"/>
      <c r="E25" s="8"/>
      <c r="F25" s="8"/>
      <c r="G25" s="8"/>
      <c r="H25" s="366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7"/>
  <sheetViews>
    <sheetView zoomScale="110" zoomScaleNormal="11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7109375" style="362" customWidth="1"/>
    <col min="3" max="3" width="9.28515625" style="362" customWidth="1"/>
    <col min="4" max="4" width="19" style="362" customWidth="1"/>
    <col min="5" max="7" width="9.28515625" style="362" customWidth="1"/>
    <col min="8" max="8" width="20.140625" style="362" customWidth="1"/>
    <col min="9" max="11" width="9.28515625" style="362" customWidth="1"/>
    <col min="12" max="12" width="20.5703125" style="362" customWidth="1"/>
    <col min="13" max="15" width="9.28515625" style="362" customWidth="1"/>
    <col min="16" max="16" width="21.140625" style="362" customWidth="1"/>
    <col min="17" max="19" width="9.28515625" style="362" customWidth="1"/>
    <col min="20" max="20" width="18.85546875" style="362" customWidth="1"/>
    <col min="21" max="23" width="9.28515625" style="362" customWidth="1"/>
    <col min="24" max="24" width="18.5703125" style="382" customWidth="1"/>
    <col min="25" max="27" width="9.28515625" style="382" customWidth="1"/>
    <col min="28" max="28" width="17.28515625" style="382" customWidth="1"/>
    <col min="29" max="31" width="9.28515625" style="382" customWidth="1"/>
    <col min="32" max="32" width="19" style="382" customWidth="1"/>
    <col min="33" max="33" width="9.85546875" style="382" customWidth="1"/>
    <col min="34" max="35" width="9.28515625" style="38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12" customFormat="1" ht="51" customHeight="1" thickBot="1">
      <c r="A1" s="457" t="s">
        <v>72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9"/>
    </row>
    <row r="2" spans="1:49" ht="30.75" customHeight="1">
      <c r="A2" s="205"/>
      <c r="B2" s="456" t="s">
        <v>263</v>
      </c>
      <c r="C2" s="456"/>
      <c r="D2" s="456" t="s">
        <v>264</v>
      </c>
      <c r="E2" s="456"/>
      <c r="F2" s="456" t="s">
        <v>63</v>
      </c>
      <c r="G2" s="456"/>
      <c r="H2" s="456" t="s">
        <v>265</v>
      </c>
      <c r="I2" s="456"/>
      <c r="J2" s="456" t="s">
        <v>63</v>
      </c>
      <c r="K2" s="456"/>
      <c r="L2" s="456" t="s">
        <v>266</v>
      </c>
      <c r="M2" s="456"/>
      <c r="N2" s="456" t="s">
        <v>63</v>
      </c>
      <c r="O2" s="456"/>
      <c r="P2" s="456" t="s">
        <v>267</v>
      </c>
      <c r="Q2" s="456"/>
      <c r="R2" s="456" t="s">
        <v>63</v>
      </c>
      <c r="S2" s="456"/>
      <c r="T2" s="456" t="s">
        <v>271</v>
      </c>
      <c r="U2" s="456"/>
      <c r="V2" s="456" t="s">
        <v>63</v>
      </c>
      <c r="W2" s="456"/>
      <c r="X2" s="456" t="s">
        <v>275</v>
      </c>
      <c r="Y2" s="456"/>
      <c r="Z2" s="456" t="s">
        <v>63</v>
      </c>
      <c r="AA2" s="456"/>
      <c r="AB2" s="456" t="s">
        <v>277</v>
      </c>
      <c r="AC2" s="456"/>
      <c r="AD2" s="456" t="s">
        <v>63</v>
      </c>
      <c r="AE2" s="456"/>
      <c r="AF2" s="456" t="s">
        <v>287</v>
      </c>
      <c r="AG2" s="456"/>
      <c r="AH2" s="456" t="s">
        <v>63</v>
      </c>
      <c r="AI2" s="456"/>
      <c r="AJ2" s="456" t="s">
        <v>80</v>
      </c>
      <c r="AK2" s="456"/>
      <c r="AL2" s="456" t="s">
        <v>81</v>
      </c>
      <c r="AM2" s="456"/>
      <c r="AN2" s="456" t="s">
        <v>71</v>
      </c>
      <c r="AO2" s="460"/>
      <c r="AP2" s="15"/>
      <c r="AQ2" s="461" t="s">
        <v>85</v>
      </c>
      <c r="AR2" s="462"/>
      <c r="AS2" s="15"/>
      <c r="AT2" s="15"/>
    </row>
    <row r="3" spans="1:49" ht="14.25" customHeight="1">
      <c r="A3" s="206" t="s">
        <v>2</v>
      </c>
      <c r="B3" s="196" t="s">
        <v>59</v>
      </c>
      <c r="C3" s="197" t="s">
        <v>3</v>
      </c>
      <c r="D3" s="196" t="s">
        <v>59</v>
      </c>
      <c r="E3" s="197" t="s">
        <v>3</v>
      </c>
      <c r="F3" s="201" t="s">
        <v>59</v>
      </c>
      <c r="G3" s="202" t="s">
        <v>3</v>
      </c>
      <c r="H3" s="196" t="s">
        <v>59</v>
      </c>
      <c r="I3" s="197" t="s">
        <v>3</v>
      </c>
      <c r="J3" s="201" t="s">
        <v>59</v>
      </c>
      <c r="K3" s="202" t="s">
        <v>3</v>
      </c>
      <c r="L3" s="196" t="s">
        <v>59</v>
      </c>
      <c r="M3" s="197" t="s">
        <v>3</v>
      </c>
      <c r="N3" s="201" t="s">
        <v>59</v>
      </c>
      <c r="O3" s="202" t="s">
        <v>3</v>
      </c>
      <c r="P3" s="196" t="s">
        <v>59</v>
      </c>
      <c r="Q3" s="197" t="s">
        <v>3</v>
      </c>
      <c r="R3" s="201" t="s">
        <v>59</v>
      </c>
      <c r="S3" s="202" t="s">
        <v>3</v>
      </c>
      <c r="T3" s="196" t="s">
        <v>59</v>
      </c>
      <c r="U3" s="197" t="s">
        <v>3</v>
      </c>
      <c r="V3" s="201" t="s">
        <v>59</v>
      </c>
      <c r="W3" s="202" t="s">
        <v>3</v>
      </c>
      <c r="X3" s="196" t="s">
        <v>59</v>
      </c>
      <c r="Y3" s="197" t="s">
        <v>3</v>
      </c>
      <c r="Z3" s="201" t="s">
        <v>59</v>
      </c>
      <c r="AA3" s="202" t="s">
        <v>3</v>
      </c>
      <c r="AB3" s="196" t="s">
        <v>59</v>
      </c>
      <c r="AC3" s="197" t="s">
        <v>3</v>
      </c>
      <c r="AD3" s="201" t="s">
        <v>59</v>
      </c>
      <c r="AE3" s="202" t="s">
        <v>3</v>
      </c>
      <c r="AF3" s="196" t="s">
        <v>59</v>
      </c>
      <c r="AG3" s="197" t="s">
        <v>3</v>
      </c>
      <c r="AH3" s="201" t="s">
        <v>59</v>
      </c>
      <c r="AI3" s="202" t="s">
        <v>3</v>
      </c>
      <c r="AJ3" s="201" t="s">
        <v>59</v>
      </c>
      <c r="AK3" s="202" t="s">
        <v>3</v>
      </c>
      <c r="AL3" s="201" t="s">
        <v>59</v>
      </c>
      <c r="AM3" s="202" t="s">
        <v>3</v>
      </c>
      <c r="AN3" s="201" t="s">
        <v>59</v>
      </c>
      <c r="AO3" s="203" t="s">
        <v>3</v>
      </c>
      <c r="AP3" s="15"/>
      <c r="AQ3" s="18" t="s">
        <v>59</v>
      </c>
      <c r="AR3" s="19" t="s">
        <v>3</v>
      </c>
      <c r="AS3" s="15"/>
      <c r="AT3" s="15"/>
    </row>
    <row r="4" spans="1:49">
      <c r="A4" s="207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79</v>
      </c>
      <c r="G4" s="20" t="s">
        <v>79</v>
      </c>
      <c r="H4" s="68" t="s">
        <v>4</v>
      </c>
      <c r="I4" s="68" t="s">
        <v>4</v>
      </c>
      <c r="J4" s="20" t="s">
        <v>79</v>
      </c>
      <c r="K4" s="20" t="s">
        <v>79</v>
      </c>
      <c r="L4" s="68" t="s">
        <v>4</v>
      </c>
      <c r="M4" s="68" t="s">
        <v>4</v>
      </c>
      <c r="N4" s="20" t="s">
        <v>79</v>
      </c>
      <c r="O4" s="20" t="s">
        <v>79</v>
      </c>
      <c r="P4" s="68" t="s">
        <v>4</v>
      </c>
      <c r="Q4" s="68" t="s">
        <v>4</v>
      </c>
      <c r="R4" s="20" t="s">
        <v>79</v>
      </c>
      <c r="S4" s="20" t="s">
        <v>79</v>
      </c>
      <c r="T4" s="68" t="s">
        <v>4</v>
      </c>
      <c r="U4" s="68" t="s">
        <v>4</v>
      </c>
      <c r="V4" s="20" t="s">
        <v>79</v>
      </c>
      <c r="W4" s="20" t="s">
        <v>79</v>
      </c>
      <c r="X4" s="68" t="s">
        <v>4</v>
      </c>
      <c r="Y4" s="68" t="s">
        <v>4</v>
      </c>
      <c r="Z4" s="20" t="s">
        <v>79</v>
      </c>
      <c r="AA4" s="20" t="s">
        <v>79</v>
      </c>
      <c r="AB4" s="68" t="s">
        <v>4</v>
      </c>
      <c r="AC4" s="68" t="s">
        <v>4</v>
      </c>
      <c r="AD4" s="20" t="s">
        <v>79</v>
      </c>
      <c r="AE4" s="20" t="s">
        <v>79</v>
      </c>
      <c r="AF4" s="68" t="s">
        <v>4</v>
      </c>
      <c r="AG4" s="68" t="s">
        <v>4</v>
      </c>
      <c r="AH4" s="20" t="s">
        <v>79</v>
      </c>
      <c r="AI4" s="20" t="s">
        <v>79</v>
      </c>
      <c r="AJ4" s="21" t="s">
        <v>79</v>
      </c>
      <c r="AK4" s="21" t="s">
        <v>79</v>
      </c>
      <c r="AL4" s="22" t="s">
        <v>79</v>
      </c>
      <c r="AM4" s="22" t="s">
        <v>79</v>
      </c>
      <c r="AN4" s="16" t="s">
        <v>79</v>
      </c>
      <c r="AO4" s="17" t="s">
        <v>79</v>
      </c>
      <c r="AP4" s="15"/>
      <c r="AQ4" s="23" t="s">
        <v>4</v>
      </c>
      <c r="AR4" s="23" t="s">
        <v>4</v>
      </c>
      <c r="AS4" s="15"/>
      <c r="AT4" s="15"/>
    </row>
    <row r="5" spans="1:49">
      <c r="A5" s="208" t="s">
        <v>13</v>
      </c>
      <c r="B5" s="332">
        <v>426597175.04000002</v>
      </c>
      <c r="C5" s="331">
        <v>201.96209999999999</v>
      </c>
      <c r="D5" s="332">
        <v>431829876.14999998</v>
      </c>
      <c r="E5" s="331">
        <v>204.5016</v>
      </c>
      <c r="F5" s="24">
        <f t="shared" ref="F5:F20" si="0">((D5-B5)/B5)</f>
        <v>1.2266141025217312E-2</v>
      </c>
      <c r="G5" s="24">
        <f t="shared" ref="G5:G20" si="1">((E5-C5)/C5)</f>
        <v>1.2574141385933321E-2</v>
      </c>
      <c r="H5" s="332">
        <v>436816832.14999998</v>
      </c>
      <c r="I5" s="331">
        <v>206.71549999999999</v>
      </c>
      <c r="J5" s="24">
        <f t="shared" ref="J5:J20" si="2">((H5-D5)/D5)</f>
        <v>1.1548427460511639E-2</v>
      </c>
      <c r="K5" s="24">
        <f t="shared" ref="K5:K20" si="3">((I5-E5)/E5)</f>
        <v>1.0825832169528236E-2</v>
      </c>
      <c r="L5" s="332">
        <v>435912689.94999999</v>
      </c>
      <c r="M5" s="331">
        <v>206.36539999999999</v>
      </c>
      <c r="N5" s="24">
        <f t="shared" ref="N5:N20" si="4">((L5-H5)/H5)</f>
        <v>-2.069842857359287E-3</v>
      </c>
      <c r="O5" s="24">
        <f t="shared" ref="O5:O20" si="5">((M5-I5)/I5)</f>
        <v>-1.6936320691965413E-3</v>
      </c>
      <c r="P5" s="332">
        <v>429461307.76999998</v>
      </c>
      <c r="Q5" s="331">
        <v>203.44919999999999</v>
      </c>
      <c r="R5" s="24">
        <f t="shared" ref="R5:R20" si="6">((P5-L5)/L5)</f>
        <v>-1.4799711797194968E-2</v>
      </c>
      <c r="S5" s="24">
        <f t="shared" ref="S5:S20" si="7">((Q5-M5)/M5)</f>
        <v>-1.4131244869537256E-2</v>
      </c>
      <c r="T5" s="332">
        <v>428538467.31999999</v>
      </c>
      <c r="U5" s="331">
        <v>203.11279999999999</v>
      </c>
      <c r="V5" s="24">
        <f t="shared" ref="V5:V20" si="8">((T5-P5)/P5)</f>
        <v>-2.1488325800335419E-3</v>
      </c>
      <c r="W5" s="24">
        <f t="shared" ref="W5:W20" si="9">((U5-Q5)/Q5)</f>
        <v>-1.6534840146827691E-3</v>
      </c>
      <c r="X5" s="332">
        <v>426531501.76999998</v>
      </c>
      <c r="Y5" s="331">
        <v>202.834</v>
      </c>
      <c r="Z5" s="24">
        <f t="shared" ref="Z5:Z20" si="10">((X5-T5)/T5)</f>
        <v>-4.6832798057808017E-3</v>
      </c>
      <c r="AA5" s="24">
        <f t="shared" ref="AA5:AA20" si="11">((Y5-U5)/U5)</f>
        <v>-1.372636288801049E-3</v>
      </c>
      <c r="AB5" s="332">
        <v>419865459.12</v>
      </c>
      <c r="AC5" s="331">
        <v>199.80719999999999</v>
      </c>
      <c r="AD5" s="24">
        <f t="shared" ref="AD5:AD20" si="12">((AB5-X5)/X5)</f>
        <v>-1.5628488452406334E-2</v>
      </c>
      <c r="AE5" s="24">
        <f t="shared" ref="AE5:AE20" si="13">((AC5-Y5)/Y5)</f>
        <v>-1.4922547501898146E-2</v>
      </c>
      <c r="AF5" s="332">
        <v>413703612.5</v>
      </c>
      <c r="AG5" s="331">
        <v>196.5668</v>
      </c>
      <c r="AH5" s="24">
        <f t="shared" ref="AH5:AH20" si="14">((AF5-AB5)/AB5)</f>
        <v>-1.4675764548278578E-2</v>
      </c>
      <c r="AI5" s="24">
        <f t="shared" ref="AI5:AI20" si="15">((AG5-AC5)/AC5)</f>
        <v>-1.6217633798982188E-2</v>
      </c>
      <c r="AJ5" s="25">
        <f>AVERAGE(F5,J5,N5,R5,V5,Z5,AD5,AH5)</f>
        <v>-3.7739189444155699E-3</v>
      </c>
      <c r="AK5" s="25">
        <f>AVERAGE(G5,K5,O5,S5,W5,AA5,AE5,AI5)</f>
        <v>-3.3239006234545491E-3</v>
      </c>
      <c r="AL5" s="26">
        <f>((AF5-D5)/D5)</f>
        <v>-4.1975473794461725E-2</v>
      </c>
      <c r="AM5" s="26">
        <f t="shared" ref="AM5:AM69" si="16">((AG5-E5)/E5)</f>
        <v>-3.8800674420151213E-2</v>
      </c>
      <c r="AN5" s="27">
        <f t="shared" ref="AN5:AN69" si="17">STDEV(F5,J5,N5,R5,V5,Z5,AD5,AH5)</f>
        <v>1.1208279498293203E-2</v>
      </c>
      <c r="AO5" s="79">
        <f>STDEV(G5,K5,O5,S5,W5,AA5,AE5,AI5)</f>
        <v>1.1210924721770892E-2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08" t="s">
        <v>141</v>
      </c>
      <c r="B6" s="331">
        <v>461422365.12</v>
      </c>
      <c r="C6" s="331">
        <v>155.58160000000001</v>
      </c>
      <c r="D6" s="331">
        <v>465764172.81999999</v>
      </c>
      <c r="E6" s="331">
        <v>157.0453</v>
      </c>
      <c r="F6" s="24">
        <f t="shared" si="0"/>
        <v>9.4096169327874558E-3</v>
      </c>
      <c r="G6" s="24">
        <f t="shared" si="1"/>
        <v>9.4079248445830908E-3</v>
      </c>
      <c r="H6" s="331">
        <v>476783461.86000001</v>
      </c>
      <c r="I6" s="331">
        <v>160.76939999999999</v>
      </c>
      <c r="J6" s="24">
        <f t="shared" si="2"/>
        <v>2.3658515796273052E-2</v>
      </c>
      <c r="K6" s="24">
        <f t="shared" si="3"/>
        <v>2.3713539978592119E-2</v>
      </c>
      <c r="L6" s="331">
        <v>474727635.32999998</v>
      </c>
      <c r="M6" s="331">
        <v>160.06960000000001</v>
      </c>
      <c r="N6" s="24">
        <f t="shared" si="4"/>
        <v>-4.3118662756882545E-3</v>
      </c>
      <c r="O6" s="24">
        <f t="shared" si="5"/>
        <v>-4.352818384592976E-3</v>
      </c>
      <c r="P6" s="331">
        <v>461296914.10000002</v>
      </c>
      <c r="Q6" s="331">
        <v>155.51669999999999</v>
      </c>
      <c r="R6" s="24">
        <f t="shared" si="6"/>
        <v>-2.8291424872840591E-2</v>
      </c>
      <c r="S6" s="24">
        <f t="shared" si="7"/>
        <v>-2.8443252185299531E-2</v>
      </c>
      <c r="T6" s="331">
        <v>461966312.47000003</v>
      </c>
      <c r="U6" s="331">
        <v>156.00899999999999</v>
      </c>
      <c r="V6" s="24">
        <f t="shared" si="8"/>
        <v>1.4511225840433272E-3</v>
      </c>
      <c r="W6" s="24">
        <f t="shared" si="9"/>
        <v>3.1655764300554234E-3</v>
      </c>
      <c r="X6" s="331">
        <v>464674941.26999998</v>
      </c>
      <c r="Y6" s="331">
        <v>156.94110000000001</v>
      </c>
      <c r="Z6" s="24">
        <f t="shared" si="10"/>
        <v>5.8632604302198982E-3</v>
      </c>
      <c r="AA6" s="24">
        <f t="shared" si="11"/>
        <v>5.9746553083477221E-3</v>
      </c>
      <c r="AB6" s="331">
        <v>460001180.99000001</v>
      </c>
      <c r="AC6" s="331">
        <v>155.28960000000001</v>
      </c>
      <c r="AD6" s="24">
        <f t="shared" si="12"/>
        <v>-1.0058128521469542E-2</v>
      </c>
      <c r="AE6" s="24">
        <f t="shared" si="13"/>
        <v>-1.0523056101938872E-2</v>
      </c>
      <c r="AF6" s="331">
        <v>457015174.61000001</v>
      </c>
      <c r="AG6" s="331">
        <v>154.28749999999999</v>
      </c>
      <c r="AH6" s="24">
        <f t="shared" si="14"/>
        <v>-6.4913015518212507E-3</v>
      </c>
      <c r="AI6" s="24">
        <f t="shared" si="15"/>
        <v>-6.4531043933400102E-3</v>
      </c>
      <c r="AJ6" s="25">
        <f t="shared" ref="AJ6:AJ69" si="18">AVERAGE(F6,J6,N6,R6,V6,Z6,AD6,AH6)</f>
        <v>-1.0962756848119882E-3</v>
      </c>
      <c r="AK6" s="25">
        <f t="shared" ref="AK6:AK69" si="19">AVERAGE(G6,K6,O6,S6,W6,AA6,AE6,AI6)</f>
        <v>-9.38816812949129E-4</v>
      </c>
      <c r="AL6" s="26">
        <f t="shared" ref="AL6:AL69" si="20">((AF6-D6)/D6)</f>
        <v>-1.8784180322476481E-2</v>
      </c>
      <c r="AM6" s="26">
        <f t="shared" si="16"/>
        <v>-1.7560538265073856E-2</v>
      </c>
      <c r="AN6" s="27">
        <f t="shared" si="17"/>
        <v>1.5294420712048664E-2</v>
      </c>
      <c r="AO6" s="79">
        <f t="shared" ref="AO6:AO69" si="21">STDEV(G6,K6,O6,S6,W6,AA6,AE6,AI6)</f>
        <v>1.5445065236513881E-2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08" t="s">
        <v>11</v>
      </c>
      <c r="B7" s="331">
        <v>2451774803.8299999</v>
      </c>
      <c r="C7" s="331">
        <v>24.0976</v>
      </c>
      <c r="D7" s="331">
        <v>2470689490.6999998</v>
      </c>
      <c r="E7" s="331">
        <v>24.279900000000001</v>
      </c>
      <c r="F7" s="24">
        <f t="shared" si="0"/>
        <v>7.7146917573557806E-3</v>
      </c>
      <c r="G7" s="24">
        <f t="shared" si="1"/>
        <v>7.5650687205365457E-3</v>
      </c>
      <c r="H7" s="331">
        <v>2479233328.7800002</v>
      </c>
      <c r="I7" s="331">
        <v>24.3949</v>
      </c>
      <c r="J7" s="24">
        <f t="shared" si="2"/>
        <v>3.4580784482066769E-3</v>
      </c>
      <c r="K7" s="24">
        <f t="shared" si="3"/>
        <v>4.7364280742506534E-3</v>
      </c>
      <c r="L7" s="331">
        <v>2486012624.3099999</v>
      </c>
      <c r="M7" s="331">
        <v>24.469200000000001</v>
      </c>
      <c r="N7" s="24">
        <f t="shared" si="4"/>
        <v>2.734432234071224E-3</v>
      </c>
      <c r="O7" s="24">
        <f t="shared" si="5"/>
        <v>3.0457185723245812E-3</v>
      </c>
      <c r="P7" s="331">
        <v>2443908316.0900002</v>
      </c>
      <c r="Q7" s="331">
        <v>24.079799999999999</v>
      </c>
      <c r="R7" s="24">
        <f t="shared" si="6"/>
        <v>-1.6936482062992728E-2</v>
      </c>
      <c r="S7" s="24">
        <f t="shared" si="7"/>
        <v>-1.591388357608757E-2</v>
      </c>
      <c r="T7" s="331">
        <v>2440871964</v>
      </c>
      <c r="U7" s="331">
        <v>24.042300000000001</v>
      </c>
      <c r="V7" s="24">
        <f t="shared" si="8"/>
        <v>-1.2424165301168095E-3</v>
      </c>
      <c r="W7" s="24">
        <f t="shared" si="9"/>
        <v>-1.5573219046668939E-3</v>
      </c>
      <c r="X7" s="331">
        <v>2450114056.6500001</v>
      </c>
      <c r="Y7" s="331">
        <v>24.135400000000001</v>
      </c>
      <c r="Z7" s="24">
        <f t="shared" si="10"/>
        <v>3.7863897764037311E-3</v>
      </c>
      <c r="AA7" s="24">
        <f t="shared" si="11"/>
        <v>3.8723416644830043E-3</v>
      </c>
      <c r="AB7" s="331">
        <v>2407790657.52</v>
      </c>
      <c r="AC7" s="331">
        <v>23.709800000000001</v>
      </c>
      <c r="AD7" s="24">
        <f t="shared" si="12"/>
        <v>-1.7274052616092571E-2</v>
      </c>
      <c r="AE7" s="24">
        <f t="shared" si="13"/>
        <v>-1.763384903502736E-2</v>
      </c>
      <c r="AF7" s="331">
        <v>2380937587.1799998</v>
      </c>
      <c r="AG7" s="331">
        <v>23.444800000000001</v>
      </c>
      <c r="AH7" s="24">
        <f t="shared" si="14"/>
        <v>-1.1152576847215838E-2</v>
      </c>
      <c r="AI7" s="24">
        <f t="shared" si="15"/>
        <v>-1.1176812963415994E-2</v>
      </c>
      <c r="AJ7" s="25">
        <f t="shared" si="18"/>
        <v>-3.613991980047567E-3</v>
      </c>
      <c r="AK7" s="25">
        <f t="shared" si="19"/>
        <v>-3.3827888059503792E-3</v>
      </c>
      <c r="AL7" s="26">
        <f t="shared" si="20"/>
        <v>-3.6326662600799475E-2</v>
      </c>
      <c r="AM7" s="26">
        <f t="shared" si="16"/>
        <v>-3.4394705085276325E-2</v>
      </c>
      <c r="AN7" s="27">
        <f t="shared" si="17"/>
        <v>9.9997287535550788E-3</v>
      </c>
      <c r="AO7" s="79">
        <f t="shared" si="21"/>
        <v>1.0028103995338891E-2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08" t="s">
        <v>83</v>
      </c>
      <c r="B8" s="332">
        <v>276196031.75999999</v>
      </c>
      <c r="C8" s="331">
        <v>142.97</v>
      </c>
      <c r="D8" s="332">
        <v>272383303.36000001</v>
      </c>
      <c r="E8" s="331">
        <v>142.97</v>
      </c>
      <c r="F8" s="24">
        <f t="shared" si="0"/>
        <v>-1.3804428599875899E-2</v>
      </c>
      <c r="G8" s="24">
        <f t="shared" si="1"/>
        <v>0</v>
      </c>
      <c r="H8" s="332">
        <v>276231686.48000002</v>
      </c>
      <c r="I8" s="331">
        <v>142.97</v>
      </c>
      <c r="J8" s="24">
        <f t="shared" si="2"/>
        <v>1.4128557340072068E-2</v>
      </c>
      <c r="K8" s="24">
        <f t="shared" si="3"/>
        <v>0</v>
      </c>
      <c r="L8" s="332">
        <v>276411289.94999999</v>
      </c>
      <c r="M8" s="331">
        <v>142.72999999999999</v>
      </c>
      <c r="N8" s="24">
        <f t="shared" si="4"/>
        <v>6.5019141101675464E-4</v>
      </c>
      <c r="O8" s="24">
        <f t="shared" si="5"/>
        <v>-1.678673847660412E-3</v>
      </c>
      <c r="P8" s="332">
        <v>272102441.94</v>
      </c>
      <c r="Q8" s="331">
        <v>140.68</v>
      </c>
      <c r="R8" s="24">
        <f t="shared" si="6"/>
        <v>-1.5588538408758259E-2</v>
      </c>
      <c r="S8" s="24">
        <f t="shared" si="7"/>
        <v>-1.4362782876760198E-2</v>
      </c>
      <c r="T8" s="332">
        <v>270013216.83999997</v>
      </c>
      <c r="U8" s="331">
        <v>139.41999999999999</v>
      </c>
      <c r="V8" s="24">
        <f t="shared" si="8"/>
        <v>-7.6780828760835184E-3</v>
      </c>
      <c r="W8" s="24">
        <f t="shared" si="9"/>
        <v>-8.956497014501132E-3</v>
      </c>
      <c r="X8" s="332">
        <v>265055857.36000001</v>
      </c>
      <c r="Y8" s="331">
        <v>140.81</v>
      </c>
      <c r="Z8" s="24">
        <f t="shared" si="10"/>
        <v>-1.8359691936626607E-2</v>
      </c>
      <c r="AA8" s="24">
        <f t="shared" si="11"/>
        <v>9.969875197245839E-3</v>
      </c>
      <c r="AB8" s="332">
        <v>262752285.47999999</v>
      </c>
      <c r="AC8" s="331">
        <v>139.56</v>
      </c>
      <c r="AD8" s="24">
        <f t="shared" si="12"/>
        <v>-8.6908921875712541E-3</v>
      </c>
      <c r="AE8" s="24">
        <f t="shared" si="13"/>
        <v>-8.8772104253959233E-3</v>
      </c>
      <c r="AF8" s="332">
        <v>257911619.90000001</v>
      </c>
      <c r="AG8" s="331">
        <v>136.97</v>
      </c>
      <c r="AH8" s="24">
        <f t="shared" si="14"/>
        <v>-1.8422924737484126E-2</v>
      </c>
      <c r="AI8" s="24">
        <f t="shared" si="15"/>
        <v>-1.8558326167956458E-2</v>
      </c>
      <c r="AJ8" s="25">
        <f t="shared" si="18"/>
        <v>-8.4707262494138555E-3</v>
      </c>
      <c r="AK8" s="25">
        <f t="shared" si="19"/>
        <v>-5.3079518918785346E-3</v>
      </c>
      <c r="AL8" s="26">
        <f t="shared" si="20"/>
        <v>-5.3129847833856624E-2</v>
      </c>
      <c r="AM8" s="26">
        <f t="shared" si="16"/>
        <v>-4.1966846191508707E-2</v>
      </c>
      <c r="AN8" s="27">
        <f t="shared" si="17"/>
        <v>1.115184188561197E-2</v>
      </c>
      <c r="AO8" s="79">
        <f t="shared" si="21"/>
        <v>9.1538144810334246E-3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  <c r="AU8" s="94"/>
    </row>
    <row r="9" spans="1:49" s="89" customFormat="1">
      <c r="A9" s="208" t="s">
        <v>53</v>
      </c>
      <c r="B9" s="331">
        <v>380646987.55000001</v>
      </c>
      <c r="C9" s="331">
        <v>177.57</v>
      </c>
      <c r="D9" s="331">
        <v>377658784.81999999</v>
      </c>
      <c r="E9" s="331">
        <v>175.87</v>
      </c>
      <c r="F9" s="24">
        <f t="shared" si="0"/>
        <v>-7.8503254399392899E-3</v>
      </c>
      <c r="G9" s="24">
        <f t="shared" si="1"/>
        <v>-9.5736892493100672E-3</v>
      </c>
      <c r="H9" s="331">
        <v>388947805.66000003</v>
      </c>
      <c r="I9" s="331">
        <v>181.29</v>
      </c>
      <c r="J9" s="24">
        <f t="shared" si="2"/>
        <v>2.9892117683375522E-2</v>
      </c>
      <c r="K9" s="24">
        <f t="shared" si="3"/>
        <v>3.0818218001933174E-2</v>
      </c>
      <c r="L9" s="331">
        <v>388830642.97000003</v>
      </c>
      <c r="M9" s="331">
        <v>181.25</v>
      </c>
      <c r="N9" s="24">
        <f t="shared" si="4"/>
        <v>-3.0122985216791726E-4</v>
      </c>
      <c r="O9" s="24">
        <f t="shared" si="5"/>
        <v>-2.206409619945504E-4</v>
      </c>
      <c r="P9" s="331">
        <v>379955757.45999998</v>
      </c>
      <c r="Q9" s="331">
        <v>177.1</v>
      </c>
      <c r="R9" s="24">
        <f t="shared" si="6"/>
        <v>-2.2824552720976742E-2</v>
      </c>
      <c r="S9" s="24">
        <f t="shared" si="7"/>
        <v>-2.2896551724137962E-2</v>
      </c>
      <c r="T9" s="331">
        <v>379469811.12</v>
      </c>
      <c r="U9" s="331">
        <v>176.95</v>
      </c>
      <c r="V9" s="24">
        <f t="shared" si="8"/>
        <v>-1.2789550637382617E-3</v>
      </c>
      <c r="W9" s="24">
        <f t="shared" si="9"/>
        <v>-8.4697910784870521E-4</v>
      </c>
      <c r="X9" s="331">
        <v>382853259.39999998</v>
      </c>
      <c r="Y9" s="331">
        <v>178.5</v>
      </c>
      <c r="Z9" s="24">
        <f t="shared" si="10"/>
        <v>8.9162515194918125E-3</v>
      </c>
      <c r="AA9" s="24">
        <f t="shared" si="11"/>
        <v>8.7595365922577655E-3</v>
      </c>
      <c r="AB9" s="331">
        <v>380537889.02999997</v>
      </c>
      <c r="AC9" s="331">
        <v>178.5</v>
      </c>
      <c r="AD9" s="24">
        <f t="shared" si="12"/>
        <v>-6.0476705190615513E-3</v>
      </c>
      <c r="AE9" s="24">
        <f t="shared" si="13"/>
        <v>0</v>
      </c>
      <c r="AF9" s="331">
        <v>378423731.22000003</v>
      </c>
      <c r="AG9" s="331">
        <v>176.47</v>
      </c>
      <c r="AH9" s="24">
        <f t="shared" si="14"/>
        <v>-5.5557090921720849E-3</v>
      </c>
      <c r="AI9" s="24">
        <f t="shared" si="15"/>
        <v>-1.1372549019607849E-2</v>
      </c>
      <c r="AJ9" s="25">
        <f t="shared" si="18"/>
        <v>-6.3125918564856359E-4</v>
      </c>
      <c r="AK9" s="25">
        <f t="shared" si="19"/>
        <v>-6.6658193358852427E-4</v>
      </c>
      <c r="AL9" s="26">
        <f t="shared" si="20"/>
        <v>2.0254961111645397E-3</v>
      </c>
      <c r="AM9" s="26">
        <f t="shared" si="16"/>
        <v>3.4116108489224673E-3</v>
      </c>
      <c r="AN9" s="27">
        <f t="shared" si="17"/>
        <v>1.5220309925549007E-2</v>
      </c>
      <c r="AO9" s="79">
        <f t="shared" si="21"/>
        <v>1.5896746856229931E-2</v>
      </c>
      <c r="AP9" s="31"/>
      <c r="AQ9" s="34"/>
      <c r="AR9" s="35"/>
      <c r="AS9" s="30"/>
      <c r="AT9" s="30"/>
    </row>
    <row r="10" spans="1:49">
      <c r="A10" s="208" t="s">
        <v>8</v>
      </c>
      <c r="B10" s="332">
        <v>262521928.58000001</v>
      </c>
      <c r="C10" s="331">
        <v>135.05000000000001</v>
      </c>
      <c r="D10" s="332">
        <v>263867396.03999999</v>
      </c>
      <c r="E10" s="331">
        <v>135.75</v>
      </c>
      <c r="F10" s="24">
        <f t="shared" si="0"/>
        <v>5.1251621808422205E-3</v>
      </c>
      <c r="G10" s="24">
        <f t="shared" si="1"/>
        <v>5.1832654572379752E-3</v>
      </c>
      <c r="H10" s="332">
        <v>271480463</v>
      </c>
      <c r="I10" s="331">
        <v>139.72999999999999</v>
      </c>
      <c r="J10" s="24">
        <f t="shared" si="2"/>
        <v>2.8851866787080939E-2</v>
      </c>
      <c r="K10" s="24">
        <f t="shared" si="3"/>
        <v>2.9318600368324049E-2</v>
      </c>
      <c r="L10" s="332">
        <v>269099988.37</v>
      </c>
      <c r="M10" s="331">
        <v>138.47999999999999</v>
      </c>
      <c r="N10" s="24">
        <f t="shared" si="4"/>
        <v>-8.7684933335331582E-3</v>
      </c>
      <c r="O10" s="24">
        <f t="shared" si="5"/>
        <v>-8.9458240893151089E-3</v>
      </c>
      <c r="P10" s="332">
        <v>262294308.96000001</v>
      </c>
      <c r="Q10" s="331">
        <v>134.93</v>
      </c>
      <c r="R10" s="24">
        <f t="shared" si="6"/>
        <v>-2.5290522869300548E-2</v>
      </c>
      <c r="S10" s="24">
        <f t="shared" si="7"/>
        <v>-2.5635470826111954E-2</v>
      </c>
      <c r="T10" s="332">
        <v>261189734.56</v>
      </c>
      <c r="U10" s="331">
        <v>134.36000000000001</v>
      </c>
      <c r="V10" s="24">
        <f t="shared" si="8"/>
        <v>-4.2112023107922407E-3</v>
      </c>
      <c r="W10" s="24">
        <f t="shared" si="9"/>
        <v>-4.2244126584154241E-3</v>
      </c>
      <c r="X10" s="332">
        <v>263121268.24000001</v>
      </c>
      <c r="Y10" s="331">
        <v>135.38</v>
      </c>
      <c r="Z10" s="24">
        <f t="shared" si="10"/>
        <v>7.3951362723112648E-3</v>
      </c>
      <c r="AA10" s="24">
        <f t="shared" si="11"/>
        <v>7.5915451027090035E-3</v>
      </c>
      <c r="AB10" s="332">
        <v>260761523.71000001</v>
      </c>
      <c r="AC10" s="331">
        <v>134.13999999999999</v>
      </c>
      <c r="AD10" s="24">
        <f t="shared" si="12"/>
        <v>-8.968277425022193E-3</v>
      </c>
      <c r="AE10" s="24">
        <f t="shared" si="13"/>
        <v>-9.159403161471482E-3</v>
      </c>
      <c r="AF10" s="332">
        <v>261028734.77000001</v>
      </c>
      <c r="AG10" s="331">
        <v>134.28</v>
      </c>
      <c r="AH10" s="24">
        <f t="shared" si="14"/>
        <v>1.0247334660353307E-3</v>
      </c>
      <c r="AI10" s="24">
        <f t="shared" si="15"/>
        <v>1.0436857015059997E-3</v>
      </c>
      <c r="AJ10" s="25">
        <f t="shared" si="18"/>
        <v>-6.0519965404729826E-4</v>
      </c>
      <c r="AK10" s="25">
        <f t="shared" si="19"/>
        <v>-6.03501763192118E-4</v>
      </c>
      <c r="AL10" s="26">
        <f t="shared" si="20"/>
        <v>-1.0757908375954355E-2</v>
      </c>
      <c r="AM10" s="26">
        <f t="shared" si="16"/>
        <v>-1.0828729281767948E-2</v>
      </c>
      <c r="AN10" s="27">
        <f t="shared" si="17"/>
        <v>1.5703351498004715E-2</v>
      </c>
      <c r="AO10" s="79">
        <f t="shared" si="21"/>
        <v>1.5951709052721027E-2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08" t="s">
        <v>226</v>
      </c>
      <c r="B11" s="75">
        <v>26318530.52</v>
      </c>
      <c r="C11" s="331">
        <v>105.98</v>
      </c>
      <c r="D11" s="75">
        <v>26711927.949999999</v>
      </c>
      <c r="E11" s="331">
        <v>107.57</v>
      </c>
      <c r="F11" s="24">
        <f t="shared" si="0"/>
        <v>1.4947545407257779E-2</v>
      </c>
      <c r="G11" s="24">
        <f t="shared" si="1"/>
        <v>1.500283072277778E-2</v>
      </c>
      <c r="H11" s="75">
        <v>27196500.620000001</v>
      </c>
      <c r="I11" s="331">
        <v>109.53</v>
      </c>
      <c r="J11" s="24">
        <f t="shared" si="2"/>
        <v>1.8140684974406792E-2</v>
      </c>
      <c r="K11" s="24">
        <f t="shared" si="3"/>
        <v>1.8220693501905812E-2</v>
      </c>
      <c r="L11" s="75">
        <v>26679311.77</v>
      </c>
      <c r="M11" s="331">
        <v>107.44</v>
      </c>
      <c r="N11" s="24">
        <f t="shared" si="4"/>
        <v>-1.9016742529723352E-2</v>
      </c>
      <c r="O11" s="24">
        <f t="shared" si="5"/>
        <v>-1.9081530174381477E-2</v>
      </c>
      <c r="P11" s="75">
        <v>25526916.879999999</v>
      </c>
      <c r="Q11" s="331">
        <v>102.78</v>
      </c>
      <c r="R11" s="24">
        <f t="shared" si="6"/>
        <v>-4.3194325998162759E-2</v>
      </c>
      <c r="S11" s="24">
        <f t="shared" si="7"/>
        <v>-4.3373045420699897E-2</v>
      </c>
      <c r="T11" s="75">
        <v>25667814.68</v>
      </c>
      <c r="U11" s="331">
        <v>103.2</v>
      </c>
      <c r="V11" s="24">
        <f t="shared" si="8"/>
        <v>5.5195776545342344E-3</v>
      </c>
      <c r="W11" s="24">
        <f t="shared" si="9"/>
        <v>4.0863981319322991E-3</v>
      </c>
      <c r="X11" s="75">
        <v>26274947.98</v>
      </c>
      <c r="Y11" s="331">
        <v>105.74</v>
      </c>
      <c r="Z11" s="24">
        <f t="shared" si="10"/>
        <v>2.3653486187628994E-2</v>
      </c>
      <c r="AA11" s="24">
        <f t="shared" si="11"/>
        <v>2.4612403100775115E-2</v>
      </c>
      <c r="AB11" s="75">
        <v>26260978.399999999</v>
      </c>
      <c r="AC11" s="331">
        <v>105.68</v>
      </c>
      <c r="AD11" s="24">
        <f t="shared" si="12"/>
        <v>-5.3166917820866172E-4</v>
      </c>
      <c r="AE11" s="24">
        <f t="shared" si="13"/>
        <v>-5.6742954416482002E-4</v>
      </c>
      <c r="AF11" s="75">
        <v>26047390.780000001</v>
      </c>
      <c r="AG11" s="331">
        <v>104.81</v>
      </c>
      <c r="AH11" s="24">
        <f t="shared" si="14"/>
        <v>-8.1332697033099626E-3</v>
      </c>
      <c r="AI11" s="24">
        <f t="shared" si="15"/>
        <v>-8.2323996971991348E-3</v>
      </c>
      <c r="AJ11" s="25">
        <f t="shared" si="18"/>
        <v>-1.0768391481971171E-3</v>
      </c>
      <c r="AK11" s="25">
        <f t="shared" si="19"/>
        <v>-1.1665099223817899E-3</v>
      </c>
      <c r="AL11" s="26">
        <f t="shared" si="20"/>
        <v>-2.4877918630354726E-2</v>
      </c>
      <c r="AM11" s="26">
        <f t="shared" si="16"/>
        <v>-2.5657711257785546E-2</v>
      </c>
      <c r="AN11" s="27">
        <f t="shared" si="17"/>
        <v>2.2126290419208022E-2</v>
      </c>
      <c r="AO11" s="79">
        <f t="shared" si="21"/>
        <v>2.2303369118352189E-2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08" t="s">
        <v>45</v>
      </c>
      <c r="B12" s="332">
        <v>1043563024.4400001</v>
      </c>
      <c r="C12" s="331">
        <v>2.13</v>
      </c>
      <c r="D12" s="332">
        <v>1053849311.92</v>
      </c>
      <c r="E12" s="331">
        <v>2.15</v>
      </c>
      <c r="F12" s="24">
        <f t="shared" si="0"/>
        <v>9.8568914757398186E-3</v>
      </c>
      <c r="G12" s="24">
        <f t="shared" si="1"/>
        <v>9.3896713615023563E-3</v>
      </c>
      <c r="H12" s="332">
        <v>1065769272.53</v>
      </c>
      <c r="I12" s="331">
        <v>2.17</v>
      </c>
      <c r="J12" s="24">
        <f t="shared" si="2"/>
        <v>1.1310877632289886E-2</v>
      </c>
      <c r="K12" s="24">
        <f t="shared" si="3"/>
        <v>9.3023255813953574E-3</v>
      </c>
      <c r="L12" s="332">
        <v>1069902564.84</v>
      </c>
      <c r="M12" s="331">
        <v>2.1800000000000002</v>
      </c>
      <c r="N12" s="24">
        <f t="shared" si="4"/>
        <v>3.8782243179034002E-3</v>
      </c>
      <c r="O12" s="24">
        <f t="shared" si="5"/>
        <v>4.6082949308756827E-3</v>
      </c>
      <c r="P12" s="332">
        <v>1048171294.73</v>
      </c>
      <c r="Q12" s="331">
        <v>2.14</v>
      </c>
      <c r="R12" s="24">
        <f t="shared" si="6"/>
        <v>-2.0311447812306017E-2</v>
      </c>
      <c r="S12" s="24">
        <f t="shared" si="7"/>
        <v>-1.8348623853211024E-2</v>
      </c>
      <c r="T12" s="332">
        <v>1048349970.13</v>
      </c>
      <c r="U12" s="331">
        <v>2.14</v>
      </c>
      <c r="V12" s="24">
        <f t="shared" si="8"/>
        <v>1.7046393170498092E-4</v>
      </c>
      <c r="W12" s="24">
        <f t="shared" si="9"/>
        <v>0</v>
      </c>
      <c r="X12" s="332">
        <v>1039547469.9</v>
      </c>
      <c r="Y12" s="331">
        <v>2.12</v>
      </c>
      <c r="Z12" s="24">
        <f t="shared" si="10"/>
        <v>-8.396528335769848E-3</v>
      </c>
      <c r="AA12" s="24">
        <f t="shared" si="11"/>
        <v>-9.3457943925233725E-3</v>
      </c>
      <c r="AB12" s="332">
        <v>1064328708.47</v>
      </c>
      <c r="AC12" s="331">
        <v>2.17</v>
      </c>
      <c r="AD12" s="24">
        <f t="shared" si="12"/>
        <v>2.3838486733447489E-2</v>
      </c>
      <c r="AE12" s="24">
        <f t="shared" si="13"/>
        <v>2.3584905660377273E-2</v>
      </c>
      <c r="AF12" s="332">
        <v>1024827540.0700001</v>
      </c>
      <c r="AG12" s="331">
        <v>2.09</v>
      </c>
      <c r="AH12" s="24">
        <f t="shared" si="14"/>
        <v>-3.7113692495229153E-2</v>
      </c>
      <c r="AI12" s="24">
        <f t="shared" si="15"/>
        <v>-3.6866359447004643E-2</v>
      </c>
      <c r="AJ12" s="25">
        <f t="shared" si="18"/>
        <v>-2.0958405690274301E-3</v>
      </c>
      <c r="AK12" s="25">
        <f t="shared" si="19"/>
        <v>-2.2094475198235464E-3</v>
      </c>
      <c r="AL12" s="26">
        <f t="shared" si="20"/>
        <v>-2.7538825068951615E-2</v>
      </c>
      <c r="AM12" s="26">
        <f t="shared" si="16"/>
        <v>-2.7906976744186074E-2</v>
      </c>
      <c r="AN12" s="27">
        <f t="shared" si="17"/>
        <v>1.9397274415897735E-2</v>
      </c>
      <c r="AO12" s="79">
        <f t="shared" si="21"/>
        <v>1.888413698979342E-2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4"/>
      <c r="AV12" s="85"/>
      <c r="AW12" s="90"/>
    </row>
    <row r="13" spans="1:49" ht="12.75" customHeight="1">
      <c r="A13" s="208" t="s">
        <v>54</v>
      </c>
      <c r="B13" s="331">
        <v>309116527.25999999</v>
      </c>
      <c r="C13" s="331">
        <v>13.102399999999999</v>
      </c>
      <c r="D13" s="331">
        <v>312173840.70999998</v>
      </c>
      <c r="E13" s="331">
        <v>13.1815</v>
      </c>
      <c r="F13" s="24">
        <f t="shared" si="0"/>
        <v>9.8904884740389862E-3</v>
      </c>
      <c r="G13" s="24">
        <f t="shared" si="1"/>
        <v>6.037061912321437E-3</v>
      </c>
      <c r="H13" s="331">
        <v>321766156.55000001</v>
      </c>
      <c r="I13" s="331">
        <v>13.3912</v>
      </c>
      <c r="J13" s="24">
        <f t="shared" si="2"/>
        <v>3.0727481259107178E-2</v>
      </c>
      <c r="K13" s="24">
        <f t="shared" si="3"/>
        <v>1.5908659864203603E-2</v>
      </c>
      <c r="L13" s="331">
        <v>319008569.52999997</v>
      </c>
      <c r="M13" s="331">
        <v>13.0755</v>
      </c>
      <c r="N13" s="24">
        <f t="shared" si="4"/>
        <v>-8.5701586815937637E-3</v>
      </c>
      <c r="O13" s="24">
        <f t="shared" si="5"/>
        <v>-2.3575183702730127E-2</v>
      </c>
      <c r="P13" s="331">
        <v>312528895.77999997</v>
      </c>
      <c r="Q13" s="331">
        <v>12.9788</v>
      </c>
      <c r="R13" s="24">
        <f t="shared" si="6"/>
        <v>-2.0311911242844035E-2</v>
      </c>
      <c r="S13" s="24">
        <f t="shared" si="7"/>
        <v>-7.3955106879278216E-3</v>
      </c>
      <c r="T13" s="331">
        <v>313263269.95999998</v>
      </c>
      <c r="U13" s="331">
        <v>13.016299999999999</v>
      </c>
      <c r="V13" s="24">
        <f t="shared" si="8"/>
        <v>2.3497801000677992E-3</v>
      </c>
      <c r="W13" s="24">
        <f t="shared" si="9"/>
        <v>2.8893272105279108E-3</v>
      </c>
      <c r="X13" s="331">
        <v>314249687.81999999</v>
      </c>
      <c r="Y13" s="331">
        <v>13.0548</v>
      </c>
      <c r="Z13" s="24">
        <f t="shared" si="10"/>
        <v>3.1488462088963324E-3</v>
      </c>
      <c r="AA13" s="24">
        <f t="shared" si="11"/>
        <v>2.9578297980225464E-3</v>
      </c>
      <c r="AB13" s="331">
        <v>315086006.37</v>
      </c>
      <c r="AC13" s="331">
        <v>12.976599999999999</v>
      </c>
      <c r="AD13" s="24">
        <f t="shared" si="12"/>
        <v>2.6613186342417283E-3</v>
      </c>
      <c r="AE13" s="24">
        <f t="shared" si="13"/>
        <v>-5.9901338971106955E-3</v>
      </c>
      <c r="AF13" s="331">
        <v>303964969.38999999</v>
      </c>
      <c r="AG13" s="331">
        <v>12.6791</v>
      </c>
      <c r="AH13" s="24">
        <f t="shared" si="14"/>
        <v>-3.5295242426414769E-2</v>
      </c>
      <c r="AI13" s="24">
        <f t="shared" si="15"/>
        <v>-2.2925881972165239E-2</v>
      </c>
      <c r="AJ13" s="25">
        <f t="shared" si="18"/>
        <v>-1.9249247093125676E-3</v>
      </c>
      <c r="AK13" s="25">
        <f t="shared" si="19"/>
        <v>-4.0117289343572981E-3</v>
      </c>
      <c r="AL13" s="26">
        <f t="shared" si="20"/>
        <v>-2.6295833441168395E-2</v>
      </c>
      <c r="AM13" s="26">
        <f t="shared" si="16"/>
        <v>-3.811402344194513E-2</v>
      </c>
      <c r="AN13" s="27">
        <f t="shared" si="17"/>
        <v>1.9880543243637132E-2</v>
      </c>
      <c r="AO13" s="79">
        <f t="shared" si="21"/>
        <v>1.3886465275683308E-2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08" t="s">
        <v>130</v>
      </c>
      <c r="B14" s="331">
        <v>298632258.19999999</v>
      </c>
      <c r="C14" s="331">
        <v>1.5355380000000001</v>
      </c>
      <c r="D14" s="331">
        <v>301657213.99000001</v>
      </c>
      <c r="E14" s="331">
        <v>1.56</v>
      </c>
      <c r="F14" s="24">
        <f t="shared" si="0"/>
        <v>1.0129367162920986E-2</v>
      </c>
      <c r="G14" s="24">
        <f t="shared" si="1"/>
        <v>1.5930572867620327E-2</v>
      </c>
      <c r="H14" s="331">
        <v>309006424.43000001</v>
      </c>
      <c r="I14" s="331">
        <v>1.59</v>
      </c>
      <c r="J14" s="24">
        <f t="shared" si="2"/>
        <v>2.4362786962037065E-2</v>
      </c>
      <c r="K14" s="24">
        <f t="shared" si="3"/>
        <v>1.9230769230769246E-2</v>
      </c>
      <c r="L14" s="331">
        <v>306939721.04999995</v>
      </c>
      <c r="M14" s="331">
        <v>1.58</v>
      </c>
      <c r="N14" s="24">
        <f t="shared" si="4"/>
        <v>-6.6882213980254323E-3</v>
      </c>
      <c r="O14" s="24">
        <f t="shared" si="5"/>
        <v>-6.2893081761006345E-3</v>
      </c>
      <c r="P14" s="331">
        <v>297011968.00999999</v>
      </c>
      <c r="Q14" s="331">
        <v>1.53</v>
      </c>
      <c r="R14" s="24">
        <f t="shared" si="6"/>
        <v>-3.2344308537319441E-2</v>
      </c>
      <c r="S14" s="24">
        <f t="shared" si="7"/>
        <v>-3.1645569620253194E-2</v>
      </c>
      <c r="T14" s="331">
        <v>299478576.27999997</v>
      </c>
      <c r="U14" s="331">
        <v>1.54</v>
      </c>
      <c r="V14" s="24">
        <f t="shared" si="8"/>
        <v>8.3047436994758868E-3</v>
      </c>
      <c r="W14" s="24">
        <f t="shared" si="9"/>
        <v>6.5359477124183061E-3</v>
      </c>
      <c r="X14" s="331">
        <v>300929321.88999999</v>
      </c>
      <c r="Y14" s="331">
        <v>-80.06</v>
      </c>
      <c r="Z14" s="24">
        <f t="shared" si="10"/>
        <v>4.8442383693036786E-3</v>
      </c>
      <c r="AA14" s="24">
        <f t="shared" si="11"/>
        <v>-52.987012987012989</v>
      </c>
      <c r="AB14" s="331">
        <v>297835987.75999999</v>
      </c>
      <c r="AC14" s="331">
        <v>1.54</v>
      </c>
      <c r="AD14" s="24">
        <f t="shared" si="12"/>
        <v>-1.0279271260680657E-2</v>
      </c>
      <c r="AE14" s="24">
        <f t="shared" si="13"/>
        <v>-1.01923557332001</v>
      </c>
      <c r="AF14" s="331">
        <v>294779075.10000002</v>
      </c>
      <c r="AG14" s="331">
        <v>1.5246459999999999</v>
      </c>
      <c r="AH14" s="24">
        <f t="shared" si="14"/>
        <v>-1.0263745100082619E-2</v>
      </c>
      <c r="AI14" s="24">
        <f t="shared" si="15"/>
        <v>-9.9701298701299276E-3</v>
      </c>
      <c r="AJ14" s="25">
        <f t="shared" si="18"/>
        <v>-1.4918012627963162E-3</v>
      </c>
      <c r="AK14" s="25">
        <f t="shared" si="19"/>
        <v>-6.7515570347735849</v>
      </c>
      <c r="AL14" s="26">
        <f t="shared" si="20"/>
        <v>-2.2801174880001367E-2</v>
      </c>
      <c r="AM14" s="26">
        <f t="shared" si="16"/>
        <v>-2.2662820512820581E-2</v>
      </c>
      <c r="AN14" s="27">
        <f t="shared" si="17"/>
        <v>1.7207455171135578E-2</v>
      </c>
      <c r="AO14" s="79">
        <f t="shared" si="21"/>
        <v>18.685349547610105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89" customFormat="1" ht="12.75" customHeight="1">
      <c r="A15" s="208" t="s">
        <v>10</v>
      </c>
      <c r="B15" s="332">
        <v>765387225.60000002</v>
      </c>
      <c r="C15" s="331">
        <v>20.45</v>
      </c>
      <c r="D15" s="332">
        <v>766431120.25</v>
      </c>
      <c r="E15" s="331">
        <v>20.38</v>
      </c>
      <c r="F15" s="24">
        <f t="shared" si="0"/>
        <v>1.3638778060107411E-3</v>
      </c>
      <c r="G15" s="24">
        <f t="shared" si="1"/>
        <v>-3.4229828850855888E-3</v>
      </c>
      <c r="H15" s="332">
        <v>756391532.92999995</v>
      </c>
      <c r="I15" s="331">
        <v>20.54</v>
      </c>
      <c r="J15" s="24">
        <f t="shared" si="2"/>
        <v>-1.3099138402320182E-2</v>
      </c>
      <c r="K15" s="24">
        <f t="shared" si="3"/>
        <v>7.8508341511285655E-3</v>
      </c>
      <c r="L15" s="332">
        <v>762898115.92999995</v>
      </c>
      <c r="M15" s="331">
        <v>20.38</v>
      </c>
      <c r="N15" s="24">
        <f t="shared" si="4"/>
        <v>8.6021362174636476E-3</v>
      </c>
      <c r="O15" s="24">
        <f t="shared" si="5"/>
        <v>-7.7896786757546323E-3</v>
      </c>
      <c r="P15" s="332">
        <v>735184085.69000006</v>
      </c>
      <c r="Q15" s="331">
        <v>20.38</v>
      </c>
      <c r="R15" s="24">
        <f t="shared" si="6"/>
        <v>-3.6327301983457516E-2</v>
      </c>
      <c r="S15" s="24">
        <f t="shared" si="7"/>
        <v>0</v>
      </c>
      <c r="T15" s="332">
        <v>742740589.78999996</v>
      </c>
      <c r="U15" s="331">
        <v>20.38</v>
      </c>
      <c r="V15" s="24">
        <f t="shared" si="8"/>
        <v>1.0278383668911739E-2</v>
      </c>
      <c r="W15" s="24">
        <f t="shared" si="9"/>
        <v>0</v>
      </c>
      <c r="X15" s="332">
        <v>725060937.08000004</v>
      </c>
      <c r="Y15" s="331">
        <v>20.38</v>
      </c>
      <c r="Z15" s="24">
        <f t="shared" si="10"/>
        <v>-2.3803267187805916E-2</v>
      </c>
      <c r="AA15" s="24">
        <f t="shared" si="11"/>
        <v>0</v>
      </c>
      <c r="AB15" s="332">
        <v>749352694.53999996</v>
      </c>
      <c r="AC15" s="331">
        <v>20.38</v>
      </c>
      <c r="AD15" s="24">
        <f t="shared" si="12"/>
        <v>3.3503056388375911E-2</v>
      </c>
      <c r="AE15" s="24">
        <f t="shared" si="13"/>
        <v>0</v>
      </c>
      <c r="AF15" s="332">
        <v>661891481.22000003</v>
      </c>
      <c r="AG15" s="331">
        <v>20.38</v>
      </c>
      <c r="AH15" s="24">
        <f t="shared" si="14"/>
        <v>-0.11671568536053527</v>
      </c>
      <c r="AI15" s="24">
        <f t="shared" si="15"/>
        <v>0</v>
      </c>
      <c r="AJ15" s="25">
        <f t="shared" si="18"/>
        <v>-1.7024742356669606E-2</v>
      </c>
      <c r="AK15" s="25">
        <f t="shared" si="19"/>
        <v>-4.2022842621395695E-4</v>
      </c>
      <c r="AL15" s="26">
        <f t="shared" si="20"/>
        <v>-0.13639795706090391</v>
      </c>
      <c r="AM15" s="26">
        <f t="shared" si="16"/>
        <v>0</v>
      </c>
      <c r="AN15" s="27">
        <f t="shared" si="17"/>
        <v>4.5772151677267905E-2</v>
      </c>
      <c r="AO15" s="79">
        <f t="shared" si="21"/>
        <v>4.3526472590176297E-3</v>
      </c>
      <c r="AP15" s="31"/>
      <c r="AQ15" s="29"/>
      <c r="AR15" s="29"/>
      <c r="AS15" s="30"/>
      <c r="AT15" s="30"/>
    </row>
    <row r="16" spans="1:49" s="382" customFormat="1" ht="12.75" customHeight="1">
      <c r="A16" s="209" t="s">
        <v>68</v>
      </c>
      <c r="B16" s="332">
        <v>355419691.63</v>
      </c>
      <c r="C16" s="331">
        <v>3458.54</v>
      </c>
      <c r="D16" s="332">
        <v>350614679.02999997</v>
      </c>
      <c r="E16" s="331">
        <v>3481.09</v>
      </c>
      <c r="F16" s="24">
        <f>((D16-B16)/B16)</f>
        <v>-1.3519263881985896E-2</v>
      </c>
      <c r="G16" s="24">
        <f>((E16-C16)/C16)</f>
        <v>6.520092293279876E-3</v>
      </c>
      <c r="H16" s="332">
        <v>354841060.70999998</v>
      </c>
      <c r="I16" s="331">
        <v>3523</v>
      </c>
      <c r="J16" s="24">
        <f>((H16-D16)/D16)</f>
        <v>1.2054206320432982E-2</v>
      </c>
      <c r="K16" s="24">
        <f>((I16-E16)/E16)</f>
        <v>1.2039332507921326E-2</v>
      </c>
      <c r="L16" s="332">
        <v>354805850.94</v>
      </c>
      <c r="M16" s="331">
        <v>3522.51</v>
      </c>
      <c r="N16" s="24">
        <f>((L16-H16)/H16)</f>
        <v>-9.9226876195020511E-5</v>
      </c>
      <c r="O16" s="24">
        <f>((M16-I16)/I16)</f>
        <v>-1.3908600624461587E-4</v>
      </c>
      <c r="P16" s="332">
        <v>348904658.19999999</v>
      </c>
      <c r="Q16" s="331">
        <v>3463.63</v>
      </c>
      <c r="R16" s="24">
        <f>((P16-L16)/L16)</f>
        <v>-1.6632174256331358E-2</v>
      </c>
      <c r="S16" s="24">
        <f>((Q16-M16)/M16)</f>
        <v>-1.6715353540515173E-2</v>
      </c>
      <c r="T16" s="332">
        <v>349493434.01999998</v>
      </c>
      <c r="U16" s="331">
        <v>3469.32</v>
      </c>
      <c r="V16" s="24">
        <f>((T16-P16)/P16)</f>
        <v>1.6874977337290042E-3</v>
      </c>
      <c r="W16" s="24">
        <f>((U16-Q16)/Q16)</f>
        <v>1.6427851704714576E-3</v>
      </c>
      <c r="X16" s="332">
        <v>352366013.08999997</v>
      </c>
      <c r="Y16" s="331">
        <v>3497.56</v>
      </c>
      <c r="Z16" s="24">
        <f>((X16-T16)/T16)</f>
        <v>8.2192647711819607E-3</v>
      </c>
      <c r="AA16" s="24">
        <f>((Y16-U16)/U16)</f>
        <v>8.1399236738034491E-3</v>
      </c>
      <c r="AB16" s="332">
        <v>348432570.62</v>
      </c>
      <c r="AC16" s="331">
        <v>3458.4</v>
      </c>
      <c r="AD16" s="24">
        <f>((AB16-X16)/X16)</f>
        <v>-1.1162945130565996E-2</v>
      </c>
      <c r="AE16" s="24">
        <f>((AC16-Y16)/Y16)</f>
        <v>-1.1196376902755023E-2</v>
      </c>
      <c r="AF16" s="332">
        <v>342252402.37</v>
      </c>
      <c r="AG16" s="331">
        <v>3416.91</v>
      </c>
      <c r="AH16" s="24">
        <f t="shared" si="14"/>
        <v>-1.7737056667816744E-2</v>
      </c>
      <c r="AI16" s="24">
        <f t="shared" si="15"/>
        <v>-1.1996877168632961E-2</v>
      </c>
      <c r="AJ16" s="25">
        <f>AVERAGE(F16,J16,N16,R16,V16,Z16,AD16,AH16)</f>
        <v>-4.6487122484438828E-3</v>
      </c>
      <c r="AK16" s="25">
        <f>AVERAGE(G16,K16,O16,S16,W16,AA16,AE16,AI16)</f>
        <v>-1.4631949965839583E-3</v>
      </c>
      <c r="AL16" s="26">
        <f t="shared" ref="AL16" si="22">((AF16-D16)/D16)</f>
        <v>-2.3850332459367615E-2</v>
      </c>
      <c r="AM16" s="26">
        <f t="shared" ref="AM16" si="23">((AG16-E16)/E16)</f>
        <v>-1.8436754005211095E-2</v>
      </c>
      <c r="AN16" s="27">
        <f>STDEV(F16,J16,N16,R16,V16,Z16,AD16,AH16)</f>
        <v>1.1597091587654401E-2</v>
      </c>
      <c r="AO16" s="79">
        <f>STDEV(G16,K16,O16,S16,W16,AA16,AE16,AI16)</f>
        <v>1.0609921374058865E-2</v>
      </c>
      <c r="AP16" s="31"/>
      <c r="AQ16" s="29"/>
      <c r="AR16" s="29"/>
      <c r="AS16" s="30"/>
      <c r="AT16" s="30"/>
    </row>
    <row r="17" spans="1:46" s="89" customFormat="1" ht="12.75" customHeight="1">
      <c r="A17" s="208" t="s">
        <v>234</v>
      </c>
      <c r="B17" s="332">
        <v>7561818233.3100004</v>
      </c>
      <c r="C17" s="331">
        <v>12931.66</v>
      </c>
      <c r="D17" s="332">
        <v>7620155386.3699999</v>
      </c>
      <c r="E17" s="331">
        <v>13029.31</v>
      </c>
      <c r="F17" s="24">
        <f t="shared" si="0"/>
        <v>7.7146991980080711E-3</v>
      </c>
      <c r="G17" s="24">
        <f t="shared" si="1"/>
        <v>7.5512347216057053E-3</v>
      </c>
      <c r="H17" s="332">
        <v>7632827109.0200005</v>
      </c>
      <c r="I17" s="331">
        <v>13165.81</v>
      </c>
      <c r="J17" s="24">
        <f t="shared" si="2"/>
        <v>1.6629218181910303E-3</v>
      </c>
      <c r="K17" s="24">
        <f t="shared" si="3"/>
        <v>1.0476379792943755E-2</v>
      </c>
      <c r="L17" s="332">
        <v>7620449943.2399998</v>
      </c>
      <c r="M17" s="331">
        <v>13070.04</v>
      </c>
      <c r="N17" s="24">
        <f t="shared" si="4"/>
        <v>-1.6215703045827047E-3</v>
      </c>
      <c r="O17" s="24">
        <f t="shared" si="5"/>
        <v>-7.2741441658354953E-3</v>
      </c>
      <c r="P17" s="332">
        <v>7537530831.6000004</v>
      </c>
      <c r="Q17" s="331">
        <v>13084.42</v>
      </c>
      <c r="R17" s="24">
        <f t="shared" si="6"/>
        <v>-1.0881130675696628E-2</v>
      </c>
      <c r="S17" s="24">
        <f t="shared" si="7"/>
        <v>1.1002261661019553E-3</v>
      </c>
      <c r="T17" s="332">
        <v>7532733781</v>
      </c>
      <c r="U17" s="331">
        <v>13075.22</v>
      </c>
      <c r="V17" s="24">
        <f t="shared" si="8"/>
        <v>-6.3642202031060963E-4</v>
      </c>
      <c r="W17" s="24">
        <f t="shared" si="9"/>
        <v>-7.0312631358522028E-4</v>
      </c>
      <c r="X17" s="332">
        <v>7558720483.8299999</v>
      </c>
      <c r="Y17" s="331">
        <v>13130.14</v>
      </c>
      <c r="Z17" s="24">
        <f t="shared" si="10"/>
        <v>3.4498368833300367E-3</v>
      </c>
      <c r="AA17" s="24">
        <f t="shared" si="11"/>
        <v>4.200311734716515E-3</v>
      </c>
      <c r="AB17" s="332">
        <v>7475572117.2399998</v>
      </c>
      <c r="AC17" s="331">
        <v>13003.9</v>
      </c>
      <c r="AD17" s="24">
        <f t="shared" si="12"/>
        <v>-1.100032297369315E-2</v>
      </c>
      <c r="AE17" s="24">
        <f t="shared" si="13"/>
        <v>-9.6145204849300767E-3</v>
      </c>
      <c r="AF17" s="332">
        <v>7333365642.3800001</v>
      </c>
      <c r="AG17" s="331">
        <v>12784.96</v>
      </c>
      <c r="AH17" s="24">
        <f t="shared" si="14"/>
        <v>-1.9022821615491639E-2</v>
      </c>
      <c r="AI17" s="24">
        <f t="shared" si="15"/>
        <v>-1.6836487515283917E-2</v>
      </c>
      <c r="AJ17" s="25">
        <f t="shared" si="18"/>
        <v>-3.7918512112806993E-3</v>
      </c>
      <c r="AK17" s="25">
        <f t="shared" si="19"/>
        <v>-1.3875157580333474E-3</v>
      </c>
      <c r="AL17" s="26">
        <f t="shared" si="20"/>
        <v>-3.763568187900395E-2</v>
      </c>
      <c r="AM17" s="26">
        <f t="shared" si="16"/>
        <v>-1.8753871079896046E-2</v>
      </c>
      <c r="AN17" s="27">
        <f t="shared" si="17"/>
        <v>8.971912983666808E-3</v>
      </c>
      <c r="AO17" s="79">
        <f t="shared" si="21"/>
        <v>9.2546596125372381E-3</v>
      </c>
      <c r="AP17" s="31"/>
      <c r="AQ17" s="29"/>
      <c r="AR17" s="29"/>
      <c r="AS17" s="30"/>
      <c r="AT17" s="30"/>
    </row>
    <row r="18" spans="1:46" s="112" customFormat="1" ht="12.75" customHeight="1">
      <c r="A18" s="208" t="s">
        <v>254</v>
      </c>
      <c r="B18" s="75">
        <v>57328459.93</v>
      </c>
      <c r="C18" s="331">
        <v>109.5461</v>
      </c>
      <c r="D18" s="75">
        <v>57412139.229999997</v>
      </c>
      <c r="E18" s="331">
        <v>110.3099</v>
      </c>
      <c r="F18" s="24">
        <f t="shared" si="0"/>
        <v>1.4596467461741043E-3</v>
      </c>
      <c r="G18" s="24">
        <f t="shared" si="1"/>
        <v>6.9724070505476996E-3</v>
      </c>
      <c r="H18" s="75">
        <v>58036852.490000002</v>
      </c>
      <c r="I18" s="331">
        <v>110.8841</v>
      </c>
      <c r="J18" s="24">
        <f t="shared" si="2"/>
        <v>1.0881205061830709E-2</v>
      </c>
      <c r="K18" s="24">
        <f t="shared" si="3"/>
        <v>5.2053351512421344E-3</v>
      </c>
      <c r="L18" s="75">
        <v>58175802.869999997</v>
      </c>
      <c r="M18" s="331">
        <v>111.00620000000001</v>
      </c>
      <c r="N18" s="24">
        <f t="shared" si="4"/>
        <v>2.3941749774238183E-3</v>
      </c>
      <c r="O18" s="24">
        <f t="shared" si="5"/>
        <v>1.1011497590727904E-3</v>
      </c>
      <c r="P18" s="75">
        <v>57452432.57</v>
      </c>
      <c r="Q18" s="331">
        <v>109.61199999999999</v>
      </c>
      <c r="R18" s="24">
        <f t="shared" si="6"/>
        <v>-1.2434212581757483E-2</v>
      </c>
      <c r="S18" s="24">
        <f t="shared" si="7"/>
        <v>-1.2559658829867268E-2</v>
      </c>
      <c r="T18" s="75">
        <v>57461236.189999998</v>
      </c>
      <c r="U18" s="331">
        <v>109.6285</v>
      </c>
      <c r="V18" s="24">
        <f t="shared" si="8"/>
        <v>1.532331984249926E-4</v>
      </c>
      <c r="W18" s="24">
        <f t="shared" si="9"/>
        <v>1.5053096376316217E-4</v>
      </c>
      <c r="X18" s="75">
        <v>57641691.409999996</v>
      </c>
      <c r="Y18" s="331">
        <v>109.7247</v>
      </c>
      <c r="Z18" s="24">
        <f t="shared" si="10"/>
        <v>3.1404688093258164E-3</v>
      </c>
      <c r="AA18" s="24">
        <f t="shared" si="11"/>
        <v>8.7750904190056478E-4</v>
      </c>
      <c r="AB18" s="75">
        <v>57428707.299999997</v>
      </c>
      <c r="AC18" s="331">
        <v>109.3078</v>
      </c>
      <c r="AD18" s="24">
        <f t="shared" si="12"/>
        <v>-3.6949663479696184E-3</v>
      </c>
      <c r="AE18" s="24">
        <f t="shared" si="13"/>
        <v>-3.7995091351354644E-3</v>
      </c>
      <c r="AF18" s="75">
        <v>57356204.850000001</v>
      </c>
      <c r="AG18" s="331">
        <v>109.1682</v>
      </c>
      <c r="AH18" s="24">
        <f t="shared" si="14"/>
        <v>-1.2624774857155027E-3</v>
      </c>
      <c r="AI18" s="24">
        <f t="shared" si="15"/>
        <v>-1.277127524293797E-3</v>
      </c>
      <c r="AJ18" s="25">
        <f t="shared" si="18"/>
        <v>7.9634047217104497E-5</v>
      </c>
      <c r="AK18" s="25">
        <f t="shared" si="19"/>
        <v>-4.1617044034627246E-4</v>
      </c>
      <c r="AL18" s="26">
        <f t="shared" si="20"/>
        <v>-9.7426050919153736E-4</v>
      </c>
      <c r="AM18" s="26">
        <f t="shared" si="16"/>
        <v>-1.0349932327016888E-2</v>
      </c>
      <c r="AN18" s="27">
        <f t="shared" si="17"/>
        <v>6.6111899338523045E-3</v>
      </c>
      <c r="AO18" s="79">
        <f t="shared" si="21"/>
        <v>5.9778395311046763E-3</v>
      </c>
      <c r="AP18" s="31"/>
      <c r="AQ18" s="29"/>
      <c r="AR18" s="29"/>
      <c r="AS18" s="30"/>
      <c r="AT18" s="30"/>
    </row>
    <row r="19" spans="1:46" s="308" customFormat="1" ht="12.75" customHeight="1">
      <c r="A19" s="208" t="s">
        <v>77</v>
      </c>
      <c r="B19" s="331">
        <v>1983978131.98</v>
      </c>
      <c r="C19" s="316">
        <v>1.0448</v>
      </c>
      <c r="D19" s="331">
        <v>2016337594.24</v>
      </c>
      <c r="E19" s="316">
        <v>1.0618000000000001</v>
      </c>
      <c r="F19" s="24">
        <f t="shared" si="0"/>
        <v>1.6310392608866818E-2</v>
      </c>
      <c r="G19" s="24">
        <f t="shared" si="1"/>
        <v>1.6271056661562144E-2</v>
      </c>
      <c r="H19" s="331">
        <v>2072646413.04</v>
      </c>
      <c r="I19" s="316">
        <v>1.0918000000000001</v>
      </c>
      <c r="J19" s="24">
        <f t="shared" si="2"/>
        <v>2.7926285241546531E-2</v>
      </c>
      <c r="K19" s="24">
        <f t="shared" si="3"/>
        <v>2.8253908457336621E-2</v>
      </c>
      <c r="L19" s="331">
        <v>2084138691.0699999</v>
      </c>
      <c r="M19" s="316">
        <v>1.0980000000000001</v>
      </c>
      <c r="N19" s="24">
        <f t="shared" si="4"/>
        <v>5.5447364093058078E-3</v>
      </c>
      <c r="O19" s="24">
        <f t="shared" si="5"/>
        <v>5.6786957318189987E-3</v>
      </c>
      <c r="P19" s="331">
        <v>2053266136.0699999</v>
      </c>
      <c r="Q19" s="316">
        <v>1.0818000000000001</v>
      </c>
      <c r="R19" s="24">
        <f t="shared" si="6"/>
        <v>-1.4813100074520465E-2</v>
      </c>
      <c r="S19" s="24">
        <f t="shared" si="7"/>
        <v>-1.4754098360655729E-2</v>
      </c>
      <c r="T19" s="331">
        <v>2057001149.2</v>
      </c>
      <c r="U19" s="316">
        <v>1.0833999999999999</v>
      </c>
      <c r="V19" s="24">
        <f t="shared" si="8"/>
        <v>1.8190594314037721E-3</v>
      </c>
      <c r="W19" s="24">
        <f t="shared" si="9"/>
        <v>1.4790164540578884E-3</v>
      </c>
      <c r="X19" s="331">
        <v>2017311576.4400001</v>
      </c>
      <c r="Y19" s="316">
        <v>1.0631999999999999</v>
      </c>
      <c r="Z19" s="24">
        <f t="shared" si="10"/>
        <v>-1.9294871456652266E-2</v>
      </c>
      <c r="AA19" s="24">
        <f t="shared" si="11"/>
        <v>-1.864500646114085E-2</v>
      </c>
      <c r="AB19" s="331">
        <v>2009640542.96</v>
      </c>
      <c r="AC19" s="316">
        <v>1.0593999999999999</v>
      </c>
      <c r="AD19" s="24">
        <f t="shared" si="12"/>
        <v>-3.8026022204945072E-3</v>
      </c>
      <c r="AE19" s="24">
        <f t="shared" si="13"/>
        <v>-3.574115876598971E-3</v>
      </c>
      <c r="AF19" s="331">
        <v>2003579694.8599999</v>
      </c>
      <c r="AG19" s="316">
        <v>1.0548</v>
      </c>
      <c r="AH19" s="24">
        <f t="shared" si="14"/>
        <v>-3.0158866575577333E-3</v>
      </c>
      <c r="AI19" s="24">
        <f t="shared" si="15"/>
        <v>-4.3420804228808171E-3</v>
      </c>
      <c r="AJ19" s="25">
        <f t="shared" si="18"/>
        <v>1.3342516602372445E-3</v>
      </c>
      <c r="AK19" s="25">
        <f t="shared" si="19"/>
        <v>1.2959220229374108E-3</v>
      </c>
      <c r="AL19" s="26">
        <f t="shared" si="20"/>
        <v>-6.3272635576726594E-3</v>
      </c>
      <c r="AM19" s="26">
        <f t="shared" si="16"/>
        <v>-6.5925786400453162E-3</v>
      </c>
      <c r="AN19" s="27">
        <f t="shared" si="17"/>
        <v>1.549651079572213E-2</v>
      </c>
      <c r="AO19" s="79">
        <f t="shared" si="21"/>
        <v>1.549644218540415E-2</v>
      </c>
      <c r="AP19" s="31"/>
      <c r="AQ19" s="29"/>
      <c r="AR19" s="29"/>
      <c r="AS19" s="30"/>
      <c r="AT19" s="30"/>
    </row>
    <row r="20" spans="1:46">
      <c r="A20" s="208" t="s">
        <v>127</v>
      </c>
      <c r="B20" s="332">
        <v>349942952</v>
      </c>
      <c r="C20" s="331">
        <v>1.36</v>
      </c>
      <c r="D20" s="332">
        <v>351239379.31999999</v>
      </c>
      <c r="E20" s="331">
        <v>1.33</v>
      </c>
      <c r="F20" s="24">
        <f t="shared" si="0"/>
        <v>3.7046818991227828E-3</v>
      </c>
      <c r="G20" s="24">
        <f t="shared" si="1"/>
        <v>-2.2058823529411783E-2</v>
      </c>
      <c r="H20" s="332">
        <v>363137399.54000002</v>
      </c>
      <c r="I20" s="331">
        <v>1.37</v>
      </c>
      <c r="J20" s="24">
        <f t="shared" si="2"/>
        <v>3.3874391427961795E-2</v>
      </c>
      <c r="K20" s="24">
        <f t="shared" si="3"/>
        <v>3.0075187969924838E-2</v>
      </c>
      <c r="L20" s="332">
        <v>360682144.88999999</v>
      </c>
      <c r="M20" s="331">
        <v>1.37</v>
      </c>
      <c r="N20" s="24">
        <f t="shared" si="4"/>
        <v>-6.7612277146617238E-3</v>
      </c>
      <c r="O20" s="24">
        <f t="shared" si="5"/>
        <v>0</v>
      </c>
      <c r="P20" s="332">
        <v>354100762.80000001</v>
      </c>
      <c r="Q20" s="331">
        <v>1.34</v>
      </c>
      <c r="R20" s="24">
        <f t="shared" si="6"/>
        <v>-1.8247041566216562E-2</v>
      </c>
      <c r="S20" s="24">
        <f t="shared" si="7"/>
        <v>-2.1897810218978121E-2</v>
      </c>
      <c r="T20" s="332">
        <v>354100762.80000001</v>
      </c>
      <c r="U20" s="331">
        <v>1.33</v>
      </c>
      <c r="V20" s="24">
        <f t="shared" si="8"/>
        <v>0</v>
      </c>
      <c r="W20" s="24">
        <f t="shared" si="9"/>
        <v>-7.462686567164185E-3</v>
      </c>
      <c r="X20" s="332">
        <v>354937986.86000001</v>
      </c>
      <c r="Y20" s="331">
        <v>1.34</v>
      </c>
      <c r="Z20" s="24">
        <f t="shared" si="10"/>
        <v>2.3643667225672588E-3</v>
      </c>
      <c r="AA20" s="24">
        <f t="shared" si="11"/>
        <v>7.5187969924812095E-3</v>
      </c>
      <c r="AB20" s="332">
        <v>351523477.44999999</v>
      </c>
      <c r="AC20" s="331">
        <v>1.33</v>
      </c>
      <c r="AD20" s="24">
        <f t="shared" si="12"/>
        <v>-9.6200168378901309E-3</v>
      </c>
      <c r="AE20" s="24">
        <f t="shared" si="13"/>
        <v>-7.462686567164185E-3</v>
      </c>
      <c r="AF20" s="332">
        <v>349817523.98000002</v>
      </c>
      <c r="AG20" s="331">
        <v>1.32</v>
      </c>
      <c r="AH20" s="24">
        <f t="shared" si="14"/>
        <v>-4.8530285441393331E-3</v>
      </c>
      <c r="AI20" s="24">
        <f t="shared" si="15"/>
        <v>-7.5187969924812095E-3</v>
      </c>
      <c r="AJ20" s="25">
        <f t="shared" si="18"/>
        <v>5.7765673343011109E-5</v>
      </c>
      <c r="AK20" s="25">
        <f t="shared" si="19"/>
        <v>-3.6008523640991795E-3</v>
      </c>
      <c r="AL20" s="26">
        <f t="shared" si="20"/>
        <v>-4.048109135008404E-3</v>
      </c>
      <c r="AM20" s="26">
        <f t="shared" si="16"/>
        <v>-7.5187969924812095E-3</v>
      </c>
      <c r="AN20" s="27">
        <f t="shared" si="17"/>
        <v>1.5406528920944866E-2</v>
      </c>
      <c r="AO20" s="79">
        <f t="shared" si="21"/>
        <v>1.6866457056019586E-2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0" t="s">
        <v>42</v>
      </c>
      <c r="B21" s="71">
        <f>SUM(B5:B20)</f>
        <v>17010664326.75</v>
      </c>
      <c r="C21" s="88"/>
      <c r="D21" s="71">
        <f>SUM(D5:D20)</f>
        <v>17138775616.9</v>
      </c>
      <c r="E21" s="88"/>
      <c r="F21" s="24">
        <f>((D21-B21)/B21)</f>
        <v>7.5312338007010766E-3</v>
      </c>
      <c r="G21" s="24"/>
      <c r="H21" s="71">
        <f>SUM(H5:H20)</f>
        <v>17291112299.790001</v>
      </c>
      <c r="I21" s="88"/>
      <c r="J21" s="24">
        <f>((H21-D21)/D21)</f>
        <v>8.8884227377238646E-3</v>
      </c>
      <c r="K21" s="24"/>
      <c r="L21" s="71">
        <f>SUM(L5:L20)</f>
        <v>17294675587.010002</v>
      </c>
      <c r="M21" s="88"/>
      <c r="N21" s="24">
        <f>((L21-H21)/H21)</f>
        <v>2.0607622911826768E-4</v>
      </c>
      <c r="O21" s="24"/>
      <c r="P21" s="71">
        <f>SUM(P5:P20)</f>
        <v>17018697028.649998</v>
      </c>
      <c r="Q21" s="88"/>
      <c r="R21" s="24">
        <f>((P21-L21)/L21)</f>
        <v>-1.5957429034823375E-2</v>
      </c>
      <c r="S21" s="24"/>
      <c r="T21" s="71">
        <f>SUM(T5:T20)</f>
        <v>17022340090.360001</v>
      </c>
      <c r="U21" s="88"/>
      <c r="V21" s="24">
        <f>((T21-P21)/P21)</f>
        <v>2.1406231651400893E-4</v>
      </c>
      <c r="W21" s="24"/>
      <c r="X21" s="71">
        <f>SUM(X5:X20)</f>
        <v>16999391000.990002</v>
      </c>
      <c r="Y21" s="88"/>
      <c r="Z21" s="24">
        <f>((X21-T21)/T21)</f>
        <v>-1.3481747661119364E-3</v>
      </c>
      <c r="AA21" s="24"/>
      <c r="AB21" s="71">
        <f>SUM(AB5:AB20)</f>
        <v>16887170786.959999</v>
      </c>
      <c r="AC21" s="88"/>
      <c r="AD21" s="24">
        <f>((AB21-X21)/X21)</f>
        <v>-6.6014255465661779E-3</v>
      </c>
      <c r="AE21" s="24"/>
      <c r="AF21" s="71">
        <f>SUM(AF5:AF20)</f>
        <v>16546902385.180002</v>
      </c>
      <c r="AG21" s="88"/>
      <c r="AH21" s="24">
        <f>((AF21-AB21)/AB21)</f>
        <v>-2.0149520963141241E-2</v>
      </c>
      <c r="AI21" s="24"/>
      <c r="AJ21" s="25">
        <f t="shared" si="18"/>
        <v>-3.4020944033231887E-3</v>
      </c>
      <c r="AK21" s="25"/>
      <c r="AL21" s="26">
        <f t="shared" si="20"/>
        <v>-3.453416072128105E-2</v>
      </c>
      <c r="AM21" s="26"/>
      <c r="AN21" s="27">
        <f t="shared" si="17"/>
        <v>1.034585487507101E-2</v>
      </c>
      <c r="AO21" s="79"/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2" customFormat="1" ht="6" customHeight="1">
      <c r="A22" s="210"/>
      <c r="B22" s="88"/>
      <c r="C22" s="88"/>
      <c r="D22" s="88"/>
      <c r="E22" s="88"/>
      <c r="F22" s="24"/>
      <c r="G22" s="24"/>
      <c r="H22" s="88"/>
      <c r="I22" s="88"/>
      <c r="J22" s="24"/>
      <c r="K22" s="24"/>
      <c r="L22" s="88"/>
      <c r="M22" s="88"/>
      <c r="N22" s="24"/>
      <c r="O22" s="24"/>
      <c r="P22" s="88"/>
      <c r="Q22" s="88"/>
      <c r="R22" s="24"/>
      <c r="S22" s="24"/>
      <c r="T22" s="88"/>
      <c r="U22" s="88"/>
      <c r="V22" s="24"/>
      <c r="W22" s="24"/>
      <c r="X22" s="88"/>
      <c r="Y22" s="88"/>
      <c r="Z22" s="24"/>
      <c r="AA22" s="24"/>
      <c r="AB22" s="88"/>
      <c r="AC22" s="88"/>
      <c r="AD22" s="24"/>
      <c r="AE22" s="24"/>
      <c r="AF22" s="88"/>
      <c r="AG22" s="88"/>
      <c r="AH22" s="24"/>
      <c r="AI22" s="24"/>
      <c r="AJ22" s="25"/>
      <c r="AK22" s="25"/>
      <c r="AL22" s="26"/>
      <c r="AM22" s="26"/>
      <c r="AN22" s="27"/>
      <c r="AO22" s="79"/>
      <c r="AP22" s="31"/>
      <c r="AQ22" s="41"/>
      <c r="AR22" s="42"/>
      <c r="AS22" s="30"/>
      <c r="AT22" s="30"/>
    </row>
    <row r="23" spans="1:46">
      <c r="A23" s="207" t="s">
        <v>44</v>
      </c>
      <c r="B23" s="88"/>
      <c r="C23" s="88"/>
      <c r="D23" s="88"/>
      <c r="E23" s="88"/>
      <c r="F23" s="24"/>
      <c r="G23" s="24"/>
      <c r="H23" s="88"/>
      <c r="I23" s="88"/>
      <c r="J23" s="24"/>
      <c r="K23" s="24"/>
      <c r="L23" s="88"/>
      <c r="M23" s="88"/>
      <c r="N23" s="24"/>
      <c r="O23" s="24"/>
      <c r="P23" s="88"/>
      <c r="Q23" s="88"/>
      <c r="R23" s="24"/>
      <c r="S23" s="24"/>
      <c r="T23" s="88"/>
      <c r="U23" s="88"/>
      <c r="V23" s="24"/>
      <c r="W23" s="24"/>
      <c r="X23" s="88"/>
      <c r="Y23" s="88"/>
      <c r="Z23" s="24"/>
      <c r="AA23" s="24"/>
      <c r="AB23" s="88"/>
      <c r="AC23" s="88"/>
      <c r="AD23" s="24"/>
      <c r="AE23" s="24"/>
      <c r="AF23" s="88"/>
      <c r="AG23" s="88"/>
      <c r="AH23" s="24"/>
      <c r="AI23" s="24"/>
      <c r="AJ23" s="25"/>
      <c r="AK23" s="25"/>
      <c r="AL23" s="26"/>
      <c r="AM23" s="26"/>
      <c r="AN23" s="27"/>
      <c r="AO23" s="79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08" t="s">
        <v>100</v>
      </c>
      <c r="B24" s="327">
        <v>18710694208</v>
      </c>
      <c r="C24" s="316">
        <v>100</v>
      </c>
      <c r="D24" s="327">
        <v>19165226888.130001</v>
      </c>
      <c r="E24" s="316">
        <v>100</v>
      </c>
      <c r="F24" s="24">
        <f t="shared" ref="F24:F52" si="24">((D24-B24)/B24)</f>
        <v>2.429266787630251E-2</v>
      </c>
      <c r="G24" s="24">
        <f t="shared" ref="G24:G52" si="25">((E24-C24)/C24)</f>
        <v>0</v>
      </c>
      <c r="H24" s="327">
        <v>18955982236.68</v>
      </c>
      <c r="I24" s="316">
        <v>100</v>
      </c>
      <c r="J24" s="24">
        <f t="shared" ref="J24:J52" si="26">((H24-D24)/D24)</f>
        <v>-1.091793239242039E-2</v>
      </c>
      <c r="K24" s="24">
        <f t="shared" ref="K24:K52" si="27">((I24-E24)/E24)</f>
        <v>0</v>
      </c>
      <c r="L24" s="327">
        <v>18992335336.509998</v>
      </c>
      <c r="M24" s="316">
        <v>100</v>
      </c>
      <c r="N24" s="24">
        <f t="shared" ref="N24:N52" si="28">((L24-H24)/H24)</f>
        <v>1.9177639742484266E-3</v>
      </c>
      <c r="O24" s="24">
        <f t="shared" ref="O24:O52" si="29">((M24-I24)/I24)</f>
        <v>0</v>
      </c>
      <c r="P24" s="327">
        <v>13980669762.65</v>
      </c>
      <c r="Q24" s="316">
        <v>100</v>
      </c>
      <c r="R24" s="24">
        <f t="shared" ref="R24:R52" si="30">((P24-L24)/L24)</f>
        <v>-0.26387832170516712</v>
      </c>
      <c r="S24" s="24">
        <f t="shared" ref="S24:S52" si="31">((Q24-M24)/M24)</f>
        <v>0</v>
      </c>
      <c r="T24" s="327">
        <v>15079766415.41</v>
      </c>
      <c r="U24" s="316">
        <v>100</v>
      </c>
      <c r="V24" s="24">
        <f t="shared" ref="V24:V52" si="32">((T24-P24)/P24)</f>
        <v>7.8615450577073739E-2</v>
      </c>
      <c r="W24" s="24">
        <f t="shared" ref="W24:W52" si="33">((U24-Q24)/Q24)</f>
        <v>0</v>
      </c>
      <c r="X24" s="327">
        <v>14948475440.860001</v>
      </c>
      <c r="Y24" s="316">
        <v>100</v>
      </c>
      <c r="Z24" s="24">
        <f t="shared" ref="Z24:Z52" si="34">((X24-T24)/T24)</f>
        <v>-8.7064329070663266E-3</v>
      </c>
      <c r="AA24" s="24">
        <f t="shared" ref="AA24:AA52" si="35">((Y24-U24)/U24)</f>
        <v>0</v>
      </c>
      <c r="AB24" s="327">
        <v>14917305381.5</v>
      </c>
      <c r="AC24" s="316">
        <v>100</v>
      </c>
      <c r="AD24" s="24">
        <f t="shared" ref="AD24:AD52" si="36">((AB24-X24)/X24)</f>
        <v>-2.0851664427798912E-3</v>
      </c>
      <c r="AE24" s="24">
        <f t="shared" ref="AE24:AE52" si="37">((AC24-Y24)/Y24)</f>
        <v>0</v>
      </c>
      <c r="AF24" s="327">
        <v>17371324724.130001</v>
      </c>
      <c r="AG24" s="316">
        <v>100</v>
      </c>
      <c r="AH24" s="24">
        <f t="shared" ref="AH24:AH52" si="38">((AF24-AB24)/AB24)</f>
        <v>0.16450821913677541</v>
      </c>
      <c r="AI24" s="24">
        <f t="shared" ref="AI24:AI52" si="39">((AG24-AC24)/AC24)</f>
        <v>0</v>
      </c>
      <c r="AJ24" s="25">
        <f t="shared" si="18"/>
        <v>-2.0317189853792036E-3</v>
      </c>
      <c r="AK24" s="25">
        <f t="shared" si="19"/>
        <v>0</v>
      </c>
      <c r="AL24" s="26">
        <f t="shared" si="20"/>
        <v>-9.3601926784965678E-2</v>
      </c>
      <c r="AM24" s="26">
        <f t="shared" si="16"/>
        <v>0</v>
      </c>
      <c r="AN24" s="27">
        <f t="shared" si="17"/>
        <v>0.12167594639312299</v>
      </c>
      <c r="AO24" s="79">
        <f t="shared" si="21"/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08" t="s">
        <v>118</v>
      </c>
      <c r="B25" s="327">
        <v>682759880.90999997</v>
      </c>
      <c r="C25" s="316">
        <v>100</v>
      </c>
      <c r="D25" s="327">
        <v>685469595</v>
      </c>
      <c r="E25" s="316">
        <v>100</v>
      </c>
      <c r="F25" s="24">
        <f t="shared" si="24"/>
        <v>3.9687658366634789E-3</v>
      </c>
      <c r="G25" s="24">
        <f t="shared" si="25"/>
        <v>0</v>
      </c>
      <c r="H25" s="327">
        <v>695183080.88999999</v>
      </c>
      <c r="I25" s="316">
        <v>100</v>
      </c>
      <c r="J25" s="24">
        <f t="shared" si="26"/>
        <v>1.4170556886626001E-2</v>
      </c>
      <c r="K25" s="24">
        <f t="shared" si="27"/>
        <v>0</v>
      </c>
      <c r="L25" s="327">
        <v>705897969.86000001</v>
      </c>
      <c r="M25" s="316">
        <v>100</v>
      </c>
      <c r="N25" s="24">
        <f t="shared" si="28"/>
        <v>1.5413046238528155E-2</v>
      </c>
      <c r="O25" s="24">
        <f t="shared" si="29"/>
        <v>0</v>
      </c>
      <c r="P25" s="327">
        <v>708856913.88</v>
      </c>
      <c r="Q25" s="316">
        <v>100</v>
      </c>
      <c r="R25" s="24">
        <f t="shared" si="30"/>
        <v>4.1917446236413251E-3</v>
      </c>
      <c r="S25" s="24">
        <f t="shared" si="31"/>
        <v>0</v>
      </c>
      <c r="T25" s="327">
        <v>724415910.40999997</v>
      </c>
      <c r="U25" s="316">
        <v>100</v>
      </c>
      <c r="V25" s="24">
        <f t="shared" si="32"/>
        <v>2.1949417753205271E-2</v>
      </c>
      <c r="W25" s="24">
        <f t="shared" si="33"/>
        <v>0</v>
      </c>
      <c r="X25" s="327">
        <v>749367264.89999998</v>
      </c>
      <c r="Y25" s="316">
        <v>100</v>
      </c>
      <c r="Z25" s="24">
        <f t="shared" si="34"/>
        <v>3.4443410382687778E-2</v>
      </c>
      <c r="AA25" s="24">
        <f t="shared" si="35"/>
        <v>0</v>
      </c>
      <c r="AB25" s="327">
        <v>758391576.14999998</v>
      </c>
      <c r="AC25" s="316">
        <v>100</v>
      </c>
      <c r="AD25" s="24">
        <f t="shared" si="36"/>
        <v>1.2042574679592199E-2</v>
      </c>
      <c r="AE25" s="24">
        <f t="shared" si="37"/>
        <v>0</v>
      </c>
      <c r="AF25" s="327">
        <v>766148632.13</v>
      </c>
      <c r="AG25" s="316">
        <v>100</v>
      </c>
      <c r="AH25" s="24">
        <f t="shared" si="38"/>
        <v>1.0228299237418975E-2</v>
      </c>
      <c r="AI25" s="24">
        <f t="shared" si="39"/>
        <v>0</v>
      </c>
      <c r="AJ25" s="25">
        <f t="shared" si="18"/>
        <v>1.4550976954795397E-2</v>
      </c>
      <c r="AK25" s="25">
        <f t="shared" si="19"/>
        <v>0</v>
      </c>
      <c r="AL25" s="26">
        <f t="shared" si="20"/>
        <v>0.11769892890726975</v>
      </c>
      <c r="AM25" s="26">
        <f t="shared" si="16"/>
        <v>0</v>
      </c>
      <c r="AN25" s="27">
        <f t="shared" si="17"/>
        <v>9.968580842333848E-3</v>
      </c>
      <c r="AO25" s="79">
        <f t="shared" si="21"/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08" t="s">
        <v>37</v>
      </c>
      <c r="B26" s="327">
        <v>1821844864.03</v>
      </c>
      <c r="C26" s="316">
        <v>100</v>
      </c>
      <c r="D26" s="327">
        <v>1971758446.0899999</v>
      </c>
      <c r="E26" s="316">
        <v>100</v>
      </c>
      <c r="F26" s="24">
        <f t="shared" si="24"/>
        <v>8.2286689179661865E-2</v>
      </c>
      <c r="G26" s="24">
        <f t="shared" si="25"/>
        <v>0</v>
      </c>
      <c r="H26" s="327">
        <v>1925583033.8399999</v>
      </c>
      <c r="I26" s="316">
        <v>100</v>
      </c>
      <c r="J26" s="24">
        <f t="shared" si="26"/>
        <v>-2.3418392015292701E-2</v>
      </c>
      <c r="K26" s="24">
        <f t="shared" si="27"/>
        <v>0</v>
      </c>
      <c r="L26" s="327">
        <v>1958119876.29</v>
      </c>
      <c r="M26" s="316">
        <v>100</v>
      </c>
      <c r="N26" s="24">
        <f t="shared" si="28"/>
        <v>1.6897138102175236E-2</v>
      </c>
      <c r="O26" s="24">
        <f t="shared" si="29"/>
        <v>0</v>
      </c>
      <c r="P26" s="327">
        <v>2272988259.2800002</v>
      </c>
      <c r="Q26" s="316">
        <v>100</v>
      </c>
      <c r="R26" s="24">
        <f t="shared" si="30"/>
        <v>0.16080138238858663</v>
      </c>
      <c r="S26" s="24">
        <f t="shared" si="31"/>
        <v>0</v>
      </c>
      <c r="T26" s="327">
        <v>2397783622.0599999</v>
      </c>
      <c r="U26" s="316">
        <v>100</v>
      </c>
      <c r="V26" s="24">
        <f t="shared" si="32"/>
        <v>5.4903654812335174E-2</v>
      </c>
      <c r="W26" s="24">
        <f t="shared" si="33"/>
        <v>0</v>
      </c>
      <c r="X26" s="327">
        <v>2449458946.7199998</v>
      </c>
      <c r="Y26" s="316">
        <v>100</v>
      </c>
      <c r="Z26" s="24">
        <f t="shared" si="34"/>
        <v>2.1551287691090406E-2</v>
      </c>
      <c r="AA26" s="24">
        <f t="shared" si="35"/>
        <v>0</v>
      </c>
      <c r="AB26" s="327">
        <v>2562208773.8000002</v>
      </c>
      <c r="AC26" s="316">
        <v>100</v>
      </c>
      <c r="AD26" s="24">
        <f t="shared" si="36"/>
        <v>4.6030502871248553E-2</v>
      </c>
      <c r="AE26" s="24">
        <f t="shared" si="37"/>
        <v>0</v>
      </c>
      <c r="AF26" s="327">
        <v>2611053785.0900002</v>
      </c>
      <c r="AG26" s="316">
        <v>100</v>
      </c>
      <c r="AH26" s="24">
        <f t="shared" si="38"/>
        <v>1.9063634388215036E-2</v>
      </c>
      <c r="AI26" s="24">
        <f t="shared" si="39"/>
        <v>0</v>
      </c>
      <c r="AJ26" s="25">
        <f t="shared" si="18"/>
        <v>4.7264487177252519E-2</v>
      </c>
      <c r="AK26" s="25">
        <f t="shared" si="19"/>
        <v>0</v>
      </c>
      <c r="AL26" s="26">
        <f t="shared" si="20"/>
        <v>0.32422599242200478</v>
      </c>
      <c r="AM26" s="26">
        <f t="shared" si="16"/>
        <v>0</v>
      </c>
      <c r="AN26" s="27">
        <f t="shared" si="17"/>
        <v>5.54871450149763E-2</v>
      </c>
      <c r="AO26" s="79">
        <f t="shared" si="21"/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08" t="s">
        <v>144</v>
      </c>
      <c r="B27" s="327">
        <v>441684363.88</v>
      </c>
      <c r="C27" s="316">
        <v>100</v>
      </c>
      <c r="D27" s="327">
        <v>436101731.13999999</v>
      </c>
      <c r="E27" s="316">
        <v>100</v>
      </c>
      <c r="F27" s="24">
        <f t="shared" si="24"/>
        <v>-1.263941673406564E-2</v>
      </c>
      <c r="G27" s="24">
        <f t="shared" si="25"/>
        <v>0</v>
      </c>
      <c r="H27" s="327">
        <v>418073477.68000001</v>
      </c>
      <c r="I27" s="316">
        <v>100</v>
      </c>
      <c r="J27" s="24">
        <f t="shared" si="26"/>
        <v>-4.1339559494232875E-2</v>
      </c>
      <c r="K27" s="24">
        <f t="shared" si="27"/>
        <v>0</v>
      </c>
      <c r="L27" s="327">
        <v>419286552.29000002</v>
      </c>
      <c r="M27" s="316">
        <v>100</v>
      </c>
      <c r="N27" s="24">
        <f t="shared" si="28"/>
        <v>2.9015823168972239E-3</v>
      </c>
      <c r="O27" s="24">
        <f t="shared" si="29"/>
        <v>0</v>
      </c>
      <c r="P27" s="327">
        <v>439076582.25</v>
      </c>
      <c r="Q27" s="316">
        <v>100</v>
      </c>
      <c r="R27" s="24">
        <f t="shared" si="30"/>
        <v>4.7199295689102333E-2</v>
      </c>
      <c r="S27" s="24">
        <f t="shared" si="31"/>
        <v>0</v>
      </c>
      <c r="T27" s="327">
        <v>425550249.77999997</v>
      </c>
      <c r="U27" s="316">
        <v>100</v>
      </c>
      <c r="V27" s="24">
        <f t="shared" si="32"/>
        <v>-3.0806317204816105E-2</v>
      </c>
      <c r="W27" s="24">
        <f t="shared" si="33"/>
        <v>0</v>
      </c>
      <c r="X27" s="327">
        <v>449598803.33999997</v>
      </c>
      <c r="Y27" s="316">
        <v>100</v>
      </c>
      <c r="Z27" s="24">
        <f t="shared" si="34"/>
        <v>5.6511665948809971E-2</v>
      </c>
      <c r="AA27" s="24">
        <f t="shared" si="35"/>
        <v>0</v>
      </c>
      <c r="AB27" s="327">
        <v>483121043.02999997</v>
      </c>
      <c r="AC27" s="316">
        <v>100</v>
      </c>
      <c r="AD27" s="24">
        <f t="shared" si="36"/>
        <v>7.4560340109823389E-2</v>
      </c>
      <c r="AE27" s="24">
        <f t="shared" si="37"/>
        <v>0</v>
      </c>
      <c r="AF27" s="327">
        <v>470428276.13</v>
      </c>
      <c r="AG27" s="316">
        <v>100</v>
      </c>
      <c r="AH27" s="24">
        <f t="shared" si="38"/>
        <v>-2.6272436448626816E-2</v>
      </c>
      <c r="AI27" s="24">
        <f t="shared" si="39"/>
        <v>0</v>
      </c>
      <c r="AJ27" s="25">
        <f t="shared" si="18"/>
        <v>8.7643942728614366E-3</v>
      </c>
      <c r="AK27" s="25">
        <f t="shared" si="19"/>
        <v>0</v>
      </c>
      <c r="AL27" s="26">
        <f t="shared" si="20"/>
        <v>7.8712241981402031E-2</v>
      </c>
      <c r="AM27" s="26">
        <f t="shared" si="16"/>
        <v>0</v>
      </c>
      <c r="AN27" s="27">
        <f t="shared" si="17"/>
        <v>4.4533250297719956E-2</v>
      </c>
      <c r="AO27" s="79">
        <f t="shared" si="21"/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08" t="s">
        <v>15</v>
      </c>
      <c r="B28" s="327">
        <v>73069609765.380005</v>
      </c>
      <c r="C28" s="316">
        <v>1</v>
      </c>
      <c r="D28" s="327">
        <v>73191782993.639999</v>
      </c>
      <c r="E28" s="316">
        <v>1</v>
      </c>
      <c r="F28" s="24">
        <f t="shared" si="24"/>
        <v>1.6720115059089796E-3</v>
      </c>
      <c r="G28" s="24">
        <f t="shared" si="25"/>
        <v>0</v>
      </c>
      <c r="H28" s="327">
        <v>73899653578.940002</v>
      </c>
      <c r="I28" s="316">
        <v>1</v>
      </c>
      <c r="J28" s="24">
        <f t="shared" si="26"/>
        <v>9.6714488477690659E-3</v>
      </c>
      <c r="K28" s="24">
        <f t="shared" si="27"/>
        <v>0</v>
      </c>
      <c r="L28" s="327">
        <v>74104348755.869995</v>
      </c>
      <c r="M28" s="316">
        <v>1</v>
      </c>
      <c r="N28" s="24">
        <f t="shared" si="28"/>
        <v>2.7699071242781427E-3</v>
      </c>
      <c r="O28" s="24">
        <f t="shared" si="29"/>
        <v>0</v>
      </c>
      <c r="P28" s="327">
        <v>74585025672.039993</v>
      </c>
      <c r="Q28" s="316">
        <v>1</v>
      </c>
      <c r="R28" s="24">
        <f t="shared" si="30"/>
        <v>6.4864872877237519E-3</v>
      </c>
      <c r="S28" s="24">
        <f t="shared" si="31"/>
        <v>0</v>
      </c>
      <c r="T28" s="327">
        <v>75352239204.960007</v>
      </c>
      <c r="U28" s="316">
        <v>1</v>
      </c>
      <c r="V28" s="24">
        <f t="shared" si="32"/>
        <v>1.0286428488924179E-2</v>
      </c>
      <c r="W28" s="24">
        <f t="shared" si="33"/>
        <v>0</v>
      </c>
      <c r="X28" s="327">
        <v>75871633613.800003</v>
      </c>
      <c r="Y28" s="316">
        <v>1</v>
      </c>
      <c r="Z28" s="24">
        <f t="shared" si="34"/>
        <v>6.8928861878574084E-3</v>
      </c>
      <c r="AA28" s="24">
        <f t="shared" si="35"/>
        <v>0</v>
      </c>
      <c r="AB28" s="327">
        <v>77644321729.720001</v>
      </c>
      <c r="AC28" s="316">
        <v>1</v>
      </c>
      <c r="AD28" s="24">
        <f t="shared" si="36"/>
        <v>2.3364306678083317E-2</v>
      </c>
      <c r="AE28" s="24">
        <f t="shared" si="37"/>
        <v>0</v>
      </c>
      <c r="AF28" s="327">
        <v>77373682481.070007</v>
      </c>
      <c r="AG28" s="316">
        <v>1</v>
      </c>
      <c r="AH28" s="24">
        <f t="shared" si="38"/>
        <v>-3.4856283450075015E-3</v>
      </c>
      <c r="AI28" s="24">
        <f t="shared" si="39"/>
        <v>0</v>
      </c>
      <c r="AJ28" s="25">
        <f t="shared" si="18"/>
        <v>7.2072309719421676E-3</v>
      </c>
      <c r="AK28" s="25">
        <f t="shared" si="19"/>
        <v>0</v>
      </c>
      <c r="AL28" s="26">
        <f t="shared" si="20"/>
        <v>5.7136188194696583E-2</v>
      </c>
      <c r="AM28" s="26">
        <f t="shared" si="16"/>
        <v>0</v>
      </c>
      <c r="AN28" s="27">
        <f t="shared" si="17"/>
        <v>7.9452496535621798E-3</v>
      </c>
      <c r="AO28" s="79">
        <f t="shared" si="21"/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08" t="s">
        <v>84</v>
      </c>
      <c r="B29" s="327">
        <v>35398254501.839996</v>
      </c>
      <c r="C29" s="316">
        <v>1</v>
      </c>
      <c r="D29" s="327">
        <v>35904539347.110001</v>
      </c>
      <c r="E29" s="316">
        <v>1</v>
      </c>
      <c r="F29" s="24">
        <f t="shared" si="24"/>
        <v>1.4302537014747088E-2</v>
      </c>
      <c r="G29" s="24">
        <f t="shared" si="25"/>
        <v>0</v>
      </c>
      <c r="H29" s="327">
        <v>36004949767.550003</v>
      </c>
      <c r="I29" s="316">
        <v>1</v>
      </c>
      <c r="J29" s="24">
        <f t="shared" si="26"/>
        <v>2.7965940314475749E-3</v>
      </c>
      <c r="K29" s="24">
        <f t="shared" si="27"/>
        <v>0</v>
      </c>
      <c r="L29" s="327">
        <v>36920276232.629997</v>
      </c>
      <c r="M29" s="316">
        <v>1</v>
      </c>
      <c r="N29" s="24">
        <f t="shared" si="28"/>
        <v>2.5422239747295683E-2</v>
      </c>
      <c r="O29" s="24">
        <f t="shared" si="29"/>
        <v>0</v>
      </c>
      <c r="P29" s="327">
        <v>35971838996.849998</v>
      </c>
      <c r="Q29" s="316">
        <v>1</v>
      </c>
      <c r="R29" s="24">
        <f t="shared" si="30"/>
        <v>-2.5688790349346673E-2</v>
      </c>
      <c r="S29" s="24">
        <f t="shared" si="31"/>
        <v>0</v>
      </c>
      <c r="T29" s="327">
        <v>35646070514.709999</v>
      </c>
      <c r="U29" s="316">
        <v>1</v>
      </c>
      <c r="V29" s="24">
        <f t="shared" si="32"/>
        <v>-9.0562087239556052E-3</v>
      </c>
      <c r="W29" s="24">
        <f t="shared" si="33"/>
        <v>0</v>
      </c>
      <c r="X29" s="327">
        <v>36418046507.919998</v>
      </c>
      <c r="Y29" s="316">
        <v>1</v>
      </c>
      <c r="Z29" s="24">
        <f t="shared" si="34"/>
        <v>2.1656692646989776E-2</v>
      </c>
      <c r="AA29" s="24">
        <f t="shared" si="35"/>
        <v>0</v>
      </c>
      <c r="AB29" s="327">
        <v>36637222597.720001</v>
      </c>
      <c r="AC29" s="316">
        <v>1</v>
      </c>
      <c r="AD29" s="24">
        <f t="shared" si="36"/>
        <v>6.0183373578903479E-3</v>
      </c>
      <c r="AE29" s="24">
        <f t="shared" si="37"/>
        <v>0</v>
      </c>
      <c r="AF29" s="327">
        <v>37901167101.580002</v>
      </c>
      <c r="AG29" s="316">
        <v>1</v>
      </c>
      <c r="AH29" s="24">
        <f t="shared" si="38"/>
        <v>3.449891706416245E-2</v>
      </c>
      <c r="AI29" s="24">
        <f t="shared" si="39"/>
        <v>0</v>
      </c>
      <c r="AJ29" s="25">
        <f t="shared" si="18"/>
        <v>8.7437898486538296E-3</v>
      </c>
      <c r="AK29" s="25">
        <f t="shared" si="19"/>
        <v>0</v>
      </c>
      <c r="AL29" s="26">
        <f t="shared" si="20"/>
        <v>5.5609340511723129E-2</v>
      </c>
      <c r="AM29" s="26">
        <f t="shared" si="16"/>
        <v>0</v>
      </c>
      <c r="AN29" s="27">
        <f t="shared" si="17"/>
        <v>1.9582717436149807E-2</v>
      </c>
      <c r="AO29" s="79">
        <f t="shared" si="21"/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08" t="s">
        <v>99</v>
      </c>
      <c r="B30" s="327">
        <v>4875192092.2600002</v>
      </c>
      <c r="C30" s="316">
        <v>100</v>
      </c>
      <c r="D30" s="327">
        <v>5373341156.46</v>
      </c>
      <c r="E30" s="316">
        <v>100</v>
      </c>
      <c r="F30" s="24">
        <f t="shared" si="24"/>
        <v>0.10218039715622201</v>
      </c>
      <c r="G30" s="24">
        <f t="shared" si="25"/>
        <v>0</v>
      </c>
      <c r="H30" s="327">
        <v>5638025890.2700005</v>
      </c>
      <c r="I30" s="316">
        <v>100</v>
      </c>
      <c r="J30" s="24">
        <f t="shared" si="26"/>
        <v>4.9258873781313529E-2</v>
      </c>
      <c r="K30" s="24">
        <f t="shared" si="27"/>
        <v>0</v>
      </c>
      <c r="L30" s="327">
        <v>5640578434.3100004</v>
      </c>
      <c r="M30" s="316">
        <v>100</v>
      </c>
      <c r="N30" s="24">
        <f t="shared" si="28"/>
        <v>4.5273719732381764E-4</v>
      </c>
      <c r="O30" s="24">
        <f t="shared" si="29"/>
        <v>0</v>
      </c>
      <c r="P30" s="327">
        <v>5621722089.6599998</v>
      </c>
      <c r="Q30" s="316">
        <v>100</v>
      </c>
      <c r="R30" s="24">
        <f t="shared" si="30"/>
        <v>-3.3429806658308134E-3</v>
      </c>
      <c r="S30" s="24">
        <f t="shared" si="31"/>
        <v>0</v>
      </c>
      <c r="T30" s="327">
        <v>5414533660.1499996</v>
      </c>
      <c r="U30" s="316">
        <v>100</v>
      </c>
      <c r="V30" s="24">
        <f t="shared" si="32"/>
        <v>-3.6854975433787573E-2</v>
      </c>
      <c r="W30" s="24">
        <f t="shared" si="33"/>
        <v>0</v>
      </c>
      <c r="X30" s="327">
        <v>5229773332.5</v>
      </c>
      <c r="Y30" s="316">
        <v>100</v>
      </c>
      <c r="Z30" s="24">
        <f t="shared" si="34"/>
        <v>-3.4123036118475468E-2</v>
      </c>
      <c r="AA30" s="24">
        <f t="shared" si="35"/>
        <v>0</v>
      </c>
      <c r="AB30" s="327">
        <v>5250605455.4700003</v>
      </c>
      <c r="AC30" s="316">
        <v>100</v>
      </c>
      <c r="AD30" s="24">
        <f t="shared" si="36"/>
        <v>3.9833701473332957E-3</v>
      </c>
      <c r="AE30" s="24">
        <f t="shared" si="37"/>
        <v>0</v>
      </c>
      <c r="AF30" s="327">
        <v>5879797445.79</v>
      </c>
      <c r="AG30" s="316">
        <v>100</v>
      </c>
      <c r="AH30" s="24">
        <f t="shared" si="38"/>
        <v>0.1198322737551185</v>
      </c>
      <c r="AI30" s="24">
        <f t="shared" si="39"/>
        <v>0</v>
      </c>
      <c r="AJ30" s="25">
        <f t="shared" si="18"/>
        <v>2.5173332477402159E-2</v>
      </c>
      <c r="AK30" s="25">
        <f t="shared" si="19"/>
        <v>0</v>
      </c>
      <c r="AL30" s="26">
        <f t="shared" si="20"/>
        <v>9.4253514635139479E-2</v>
      </c>
      <c r="AM30" s="26">
        <f t="shared" si="16"/>
        <v>0</v>
      </c>
      <c r="AN30" s="27">
        <f t="shared" si="17"/>
        <v>5.9410664308434141E-2</v>
      </c>
      <c r="AO30" s="79">
        <f t="shared" si="21"/>
        <v>0</v>
      </c>
      <c r="AP30" s="31"/>
      <c r="AQ30" s="39"/>
      <c r="AR30" s="36"/>
      <c r="AS30" s="30"/>
      <c r="AT30" s="30"/>
    </row>
    <row r="31" spans="1:46">
      <c r="A31" s="208" t="s">
        <v>172</v>
      </c>
      <c r="B31" s="327">
        <v>9916730673.4899998</v>
      </c>
      <c r="C31" s="316">
        <v>100</v>
      </c>
      <c r="D31" s="327">
        <v>10074632097.77</v>
      </c>
      <c r="E31" s="316">
        <v>100</v>
      </c>
      <c r="F31" s="24">
        <f t="shared" si="24"/>
        <v>1.5922729927728325E-2</v>
      </c>
      <c r="G31" s="24">
        <f t="shared" si="25"/>
        <v>0</v>
      </c>
      <c r="H31" s="327">
        <v>10250967948.57</v>
      </c>
      <c r="I31" s="316">
        <v>100</v>
      </c>
      <c r="J31" s="24">
        <f t="shared" si="26"/>
        <v>1.7502956841374963E-2</v>
      </c>
      <c r="K31" s="24">
        <f t="shared" si="27"/>
        <v>0</v>
      </c>
      <c r="L31" s="327">
        <v>10885735684.75</v>
      </c>
      <c r="M31" s="316">
        <v>100</v>
      </c>
      <c r="N31" s="24">
        <f t="shared" si="28"/>
        <v>6.1922712017507556E-2</v>
      </c>
      <c r="O31" s="24">
        <f t="shared" si="29"/>
        <v>0</v>
      </c>
      <c r="P31" s="327">
        <v>11051466997.779999</v>
      </c>
      <c r="Q31" s="316">
        <v>100</v>
      </c>
      <c r="R31" s="24">
        <f t="shared" si="30"/>
        <v>1.5224631373529895E-2</v>
      </c>
      <c r="S31" s="24">
        <f t="shared" si="31"/>
        <v>0</v>
      </c>
      <c r="T31" s="327">
        <v>11490691079.289999</v>
      </c>
      <c r="U31" s="316">
        <v>100</v>
      </c>
      <c r="V31" s="24">
        <f t="shared" si="32"/>
        <v>3.9743509309508943E-2</v>
      </c>
      <c r="W31" s="24">
        <f t="shared" si="33"/>
        <v>0</v>
      </c>
      <c r="X31" s="327">
        <v>11441647419.370001</v>
      </c>
      <c r="Y31" s="316">
        <v>100</v>
      </c>
      <c r="Z31" s="24">
        <f t="shared" si="34"/>
        <v>-4.2681210017377425E-3</v>
      </c>
      <c r="AA31" s="24">
        <f t="shared" si="35"/>
        <v>0</v>
      </c>
      <c r="AB31" s="327">
        <v>11863696748.280001</v>
      </c>
      <c r="AC31" s="316">
        <v>100</v>
      </c>
      <c r="AD31" s="24">
        <f t="shared" si="36"/>
        <v>3.6887111920220199E-2</v>
      </c>
      <c r="AE31" s="24">
        <f t="shared" si="37"/>
        <v>0</v>
      </c>
      <c r="AF31" s="327">
        <v>11980549973.41</v>
      </c>
      <c r="AG31" s="316">
        <v>100</v>
      </c>
      <c r="AH31" s="24">
        <f t="shared" si="38"/>
        <v>9.8496470037419438E-3</v>
      </c>
      <c r="AI31" s="24">
        <f t="shared" si="39"/>
        <v>0</v>
      </c>
      <c r="AJ31" s="25">
        <f t="shared" si="18"/>
        <v>2.4098147173984261E-2</v>
      </c>
      <c r="AK31" s="25">
        <f t="shared" si="19"/>
        <v>0</v>
      </c>
      <c r="AL31" s="26">
        <f t="shared" si="20"/>
        <v>0.1891798982974148</v>
      </c>
      <c r="AM31" s="26">
        <f t="shared" si="16"/>
        <v>0</v>
      </c>
      <c r="AN31" s="27">
        <f t="shared" si="17"/>
        <v>2.0825022290802964E-2</v>
      </c>
      <c r="AO31" s="79">
        <f t="shared" si="21"/>
        <v>0</v>
      </c>
      <c r="AP31" s="31"/>
      <c r="AQ31" s="39"/>
      <c r="AR31" s="36"/>
      <c r="AS31" s="30"/>
      <c r="AT31" s="30"/>
    </row>
    <row r="32" spans="1:46">
      <c r="A32" s="208" t="s">
        <v>91</v>
      </c>
      <c r="B32" s="327">
        <v>5316462812.9200001</v>
      </c>
      <c r="C32" s="316">
        <v>100</v>
      </c>
      <c r="D32" s="327">
        <v>5466857699.9700003</v>
      </c>
      <c r="E32" s="316">
        <v>100</v>
      </c>
      <c r="F32" s="24">
        <f t="shared" si="24"/>
        <v>2.8288524220373076E-2</v>
      </c>
      <c r="G32" s="24">
        <f t="shared" si="25"/>
        <v>0</v>
      </c>
      <c r="H32" s="327">
        <v>5983450993.5200005</v>
      </c>
      <c r="I32" s="316">
        <v>100</v>
      </c>
      <c r="J32" s="24">
        <f t="shared" si="26"/>
        <v>9.4495471055124597E-2</v>
      </c>
      <c r="K32" s="24">
        <f t="shared" si="27"/>
        <v>0</v>
      </c>
      <c r="L32" s="327">
        <v>6065778548.3100004</v>
      </c>
      <c r="M32" s="316">
        <v>100</v>
      </c>
      <c r="N32" s="24">
        <f t="shared" si="28"/>
        <v>1.3759209339085358E-2</v>
      </c>
      <c r="O32" s="24">
        <f t="shared" si="29"/>
        <v>0</v>
      </c>
      <c r="P32" s="327">
        <v>5680740532.8299999</v>
      </c>
      <c r="Q32" s="316">
        <v>100</v>
      </c>
      <c r="R32" s="24">
        <f t="shared" si="30"/>
        <v>-6.3477097360779305E-2</v>
      </c>
      <c r="S32" s="24">
        <f t="shared" si="31"/>
        <v>0</v>
      </c>
      <c r="T32" s="327">
        <v>5620145931.1400003</v>
      </c>
      <c r="U32" s="316">
        <v>100</v>
      </c>
      <c r="V32" s="24">
        <f t="shared" si="32"/>
        <v>-1.0666673005009243E-2</v>
      </c>
      <c r="W32" s="24">
        <f t="shared" si="33"/>
        <v>0</v>
      </c>
      <c r="X32" s="327">
        <v>5424353559.4499998</v>
      </c>
      <c r="Y32" s="316">
        <v>100</v>
      </c>
      <c r="Z32" s="24">
        <f t="shared" si="34"/>
        <v>-3.4837595693940578E-2</v>
      </c>
      <c r="AA32" s="24">
        <f t="shared" si="35"/>
        <v>0</v>
      </c>
      <c r="AB32" s="327">
        <v>5538913822.2399998</v>
      </c>
      <c r="AC32" s="316">
        <v>100</v>
      </c>
      <c r="AD32" s="24">
        <f t="shared" si="36"/>
        <v>2.1119615735670401E-2</v>
      </c>
      <c r="AE32" s="24">
        <f t="shared" si="37"/>
        <v>0</v>
      </c>
      <c r="AF32" s="327">
        <v>5759383477.2700005</v>
      </c>
      <c r="AG32" s="316">
        <v>100</v>
      </c>
      <c r="AH32" s="24">
        <f t="shared" si="38"/>
        <v>3.9803770577683452E-2</v>
      </c>
      <c r="AI32" s="24">
        <f t="shared" si="39"/>
        <v>0</v>
      </c>
      <c r="AJ32" s="25">
        <f t="shared" si="18"/>
        <v>1.106065310852597E-2</v>
      </c>
      <c r="AK32" s="25">
        <f t="shared" si="19"/>
        <v>0</v>
      </c>
      <c r="AL32" s="26">
        <f t="shared" si="20"/>
        <v>5.3508943044485217E-2</v>
      </c>
      <c r="AM32" s="26">
        <f t="shared" si="16"/>
        <v>0</v>
      </c>
      <c r="AN32" s="27">
        <f t="shared" si="17"/>
        <v>4.8295818088318232E-2</v>
      </c>
      <c r="AO32" s="79">
        <f t="shared" si="21"/>
        <v>0</v>
      </c>
      <c r="AP32" s="31"/>
      <c r="AQ32" s="39"/>
      <c r="AR32" s="36"/>
      <c r="AS32" s="30"/>
      <c r="AT32" s="30"/>
    </row>
    <row r="33" spans="1:47">
      <c r="A33" s="208" t="s">
        <v>186</v>
      </c>
      <c r="B33" s="327">
        <v>42423296.57</v>
      </c>
      <c r="C33" s="316">
        <v>100</v>
      </c>
      <c r="D33" s="327">
        <v>44693935.140000001</v>
      </c>
      <c r="E33" s="316">
        <v>100</v>
      </c>
      <c r="F33" s="24">
        <f t="shared" si="24"/>
        <v>5.3523388175488983E-2</v>
      </c>
      <c r="G33" s="24">
        <f t="shared" si="25"/>
        <v>0</v>
      </c>
      <c r="H33" s="327">
        <v>45250576.920000002</v>
      </c>
      <c r="I33" s="316">
        <v>100</v>
      </c>
      <c r="J33" s="24">
        <f t="shared" si="26"/>
        <v>1.2454526061676323E-2</v>
      </c>
      <c r="K33" s="24">
        <f t="shared" si="27"/>
        <v>0</v>
      </c>
      <c r="L33" s="327">
        <v>45471762.240000002</v>
      </c>
      <c r="M33" s="316">
        <v>100</v>
      </c>
      <c r="N33" s="24">
        <f t="shared" si="28"/>
        <v>4.8880110499152571E-3</v>
      </c>
      <c r="O33" s="24">
        <f t="shared" si="29"/>
        <v>0</v>
      </c>
      <c r="P33" s="327">
        <v>45471762.240000002</v>
      </c>
      <c r="Q33" s="316">
        <v>100</v>
      </c>
      <c r="R33" s="24">
        <f t="shared" si="30"/>
        <v>0</v>
      </c>
      <c r="S33" s="24">
        <f t="shared" si="31"/>
        <v>0</v>
      </c>
      <c r="T33" s="327">
        <v>45471762.240000002</v>
      </c>
      <c r="U33" s="316">
        <v>100</v>
      </c>
      <c r="V33" s="24">
        <f t="shared" si="32"/>
        <v>0</v>
      </c>
      <c r="W33" s="24">
        <f t="shared" si="33"/>
        <v>0</v>
      </c>
      <c r="X33" s="327">
        <v>44514190.369999997</v>
      </c>
      <c r="Y33" s="316">
        <v>100</v>
      </c>
      <c r="Z33" s="24">
        <f t="shared" si="34"/>
        <v>-2.1058604787426966E-2</v>
      </c>
      <c r="AA33" s="24">
        <f t="shared" si="35"/>
        <v>0</v>
      </c>
      <c r="AB33" s="327">
        <v>44514190.369999997</v>
      </c>
      <c r="AC33" s="316">
        <v>100</v>
      </c>
      <c r="AD33" s="24">
        <f t="shared" si="36"/>
        <v>0</v>
      </c>
      <c r="AE33" s="24">
        <f t="shared" si="37"/>
        <v>0</v>
      </c>
      <c r="AF33" s="327">
        <v>44514190.369999997</v>
      </c>
      <c r="AG33" s="316">
        <v>100</v>
      </c>
      <c r="AH33" s="24">
        <f t="shared" si="38"/>
        <v>0</v>
      </c>
      <c r="AI33" s="24">
        <f t="shared" si="39"/>
        <v>0</v>
      </c>
      <c r="AJ33" s="25">
        <f t="shared" si="18"/>
        <v>6.2259150624566981E-3</v>
      </c>
      <c r="AK33" s="25">
        <f t="shared" si="19"/>
        <v>0</v>
      </c>
      <c r="AL33" s="26">
        <f t="shared" si="20"/>
        <v>-4.0216814526840804E-3</v>
      </c>
      <c r="AM33" s="26">
        <f t="shared" si="16"/>
        <v>0</v>
      </c>
      <c r="AN33" s="27">
        <f t="shared" si="17"/>
        <v>2.1304357843618966E-2</v>
      </c>
      <c r="AO33" s="79">
        <f t="shared" si="21"/>
        <v>0</v>
      </c>
      <c r="AP33" s="31"/>
      <c r="AQ33" s="39"/>
      <c r="AR33" s="36"/>
      <c r="AS33" s="30"/>
      <c r="AT33" s="30"/>
    </row>
    <row r="34" spans="1:47">
      <c r="A34" s="208" t="s">
        <v>111</v>
      </c>
      <c r="B34" s="327">
        <v>4165432378.1999998</v>
      </c>
      <c r="C34" s="316">
        <v>1</v>
      </c>
      <c r="D34" s="327">
        <v>4249172604.6799998</v>
      </c>
      <c r="E34" s="316">
        <v>1</v>
      </c>
      <c r="F34" s="24">
        <f t="shared" si="24"/>
        <v>2.0103609632041733E-2</v>
      </c>
      <c r="G34" s="24">
        <f t="shared" si="25"/>
        <v>0</v>
      </c>
      <c r="H34" s="327">
        <v>4403602239.7700005</v>
      </c>
      <c r="I34" s="316">
        <v>1</v>
      </c>
      <c r="J34" s="24">
        <f t="shared" si="26"/>
        <v>3.6343460117368082E-2</v>
      </c>
      <c r="K34" s="24">
        <f t="shared" si="27"/>
        <v>0</v>
      </c>
      <c r="L34" s="327">
        <v>4405184484.8699999</v>
      </c>
      <c r="M34" s="316">
        <v>1</v>
      </c>
      <c r="N34" s="24">
        <f t="shared" si="28"/>
        <v>3.5930699773694096E-4</v>
      </c>
      <c r="O34" s="24">
        <f t="shared" si="29"/>
        <v>0</v>
      </c>
      <c r="P34" s="327">
        <v>4498390504.2799997</v>
      </c>
      <c r="Q34" s="316">
        <v>1</v>
      </c>
      <c r="R34" s="24">
        <f t="shared" si="30"/>
        <v>2.1158255625870894E-2</v>
      </c>
      <c r="S34" s="24">
        <f t="shared" si="31"/>
        <v>0</v>
      </c>
      <c r="T34" s="327">
        <v>4670253756.5299997</v>
      </c>
      <c r="U34" s="316">
        <v>1</v>
      </c>
      <c r="V34" s="24">
        <f t="shared" si="32"/>
        <v>3.8205498630339112E-2</v>
      </c>
      <c r="W34" s="24">
        <f t="shared" si="33"/>
        <v>0</v>
      </c>
      <c r="X34" s="327">
        <v>4719689364.1099997</v>
      </c>
      <c r="Y34" s="316">
        <v>1</v>
      </c>
      <c r="Z34" s="24">
        <f t="shared" si="34"/>
        <v>1.0585208033049279E-2</v>
      </c>
      <c r="AA34" s="24">
        <f t="shared" si="35"/>
        <v>0</v>
      </c>
      <c r="AB34" s="327">
        <v>4623949433.0600004</v>
      </c>
      <c r="AC34" s="316">
        <v>1</v>
      </c>
      <c r="AD34" s="24">
        <f t="shared" si="36"/>
        <v>-2.0285218721815833E-2</v>
      </c>
      <c r="AE34" s="24">
        <f t="shared" si="37"/>
        <v>0</v>
      </c>
      <c r="AF34" s="327">
        <v>4726651313.3299999</v>
      </c>
      <c r="AG34" s="316">
        <v>1</v>
      </c>
      <c r="AH34" s="24">
        <f t="shared" si="38"/>
        <v>2.2210857137776759E-2</v>
      </c>
      <c r="AI34" s="24">
        <f t="shared" si="39"/>
        <v>0</v>
      </c>
      <c r="AJ34" s="25">
        <f t="shared" si="18"/>
        <v>1.6085122181545869E-2</v>
      </c>
      <c r="AK34" s="25">
        <f t="shared" si="19"/>
        <v>0</v>
      </c>
      <c r="AL34" s="26">
        <f t="shared" si="20"/>
        <v>0.11236980774189061</v>
      </c>
      <c r="AM34" s="26">
        <f t="shared" si="16"/>
        <v>0</v>
      </c>
      <c r="AN34" s="27">
        <f t="shared" si="17"/>
        <v>1.9196252906339018E-2</v>
      </c>
      <c r="AO34" s="79">
        <f t="shared" si="21"/>
        <v>0</v>
      </c>
      <c r="AP34" s="31"/>
      <c r="AQ34" s="39"/>
      <c r="AR34" s="36"/>
      <c r="AS34" s="30"/>
      <c r="AT34" s="30"/>
    </row>
    <row r="35" spans="1:47">
      <c r="A35" s="208" t="s">
        <v>103</v>
      </c>
      <c r="B35" s="327">
        <v>11521458203.9</v>
      </c>
      <c r="C35" s="70">
        <v>100</v>
      </c>
      <c r="D35" s="327">
        <v>11576856609</v>
      </c>
      <c r="E35" s="70">
        <v>100</v>
      </c>
      <c r="F35" s="24">
        <f t="shared" si="24"/>
        <v>4.8082806984664573E-3</v>
      </c>
      <c r="G35" s="24">
        <f t="shared" si="25"/>
        <v>0</v>
      </c>
      <c r="H35" s="327">
        <v>11556679852.6</v>
      </c>
      <c r="I35" s="70">
        <v>100</v>
      </c>
      <c r="J35" s="24">
        <f t="shared" si="26"/>
        <v>-1.7428527519563423E-3</v>
      </c>
      <c r="K35" s="24">
        <f t="shared" si="27"/>
        <v>0</v>
      </c>
      <c r="L35" s="327">
        <v>12051645668.299999</v>
      </c>
      <c r="M35" s="70">
        <v>100</v>
      </c>
      <c r="N35" s="24">
        <f t="shared" si="28"/>
        <v>4.2829413119776123E-2</v>
      </c>
      <c r="O35" s="24">
        <f t="shared" si="29"/>
        <v>0</v>
      </c>
      <c r="P35" s="327">
        <v>12190329228</v>
      </c>
      <c r="Q35" s="70">
        <v>100</v>
      </c>
      <c r="R35" s="24">
        <f t="shared" si="30"/>
        <v>1.1507437533181591E-2</v>
      </c>
      <c r="S35" s="24">
        <f t="shared" si="31"/>
        <v>0</v>
      </c>
      <c r="T35" s="327">
        <v>12198025079.200001</v>
      </c>
      <c r="U35" s="70">
        <v>100</v>
      </c>
      <c r="V35" s="24">
        <f t="shared" si="32"/>
        <v>6.3130790449236935E-4</v>
      </c>
      <c r="W35" s="24">
        <f t="shared" si="33"/>
        <v>0</v>
      </c>
      <c r="X35" s="327">
        <v>12310082217</v>
      </c>
      <c r="Y35" s="70">
        <v>100</v>
      </c>
      <c r="Z35" s="24">
        <f t="shared" si="34"/>
        <v>9.1864983939964513E-3</v>
      </c>
      <c r="AA35" s="24">
        <f t="shared" si="35"/>
        <v>0</v>
      </c>
      <c r="AB35" s="327">
        <v>12179909900.700001</v>
      </c>
      <c r="AC35" s="70">
        <v>100</v>
      </c>
      <c r="AD35" s="24">
        <f t="shared" si="36"/>
        <v>-1.0574447351800268E-2</v>
      </c>
      <c r="AE35" s="24">
        <f t="shared" si="37"/>
        <v>0</v>
      </c>
      <c r="AF35" s="327">
        <v>12233470293.200001</v>
      </c>
      <c r="AG35" s="70">
        <v>100</v>
      </c>
      <c r="AH35" s="24">
        <f t="shared" si="38"/>
        <v>4.3974374963908222E-3</v>
      </c>
      <c r="AI35" s="24">
        <f t="shared" si="39"/>
        <v>0</v>
      </c>
      <c r="AJ35" s="25">
        <f t="shared" si="18"/>
        <v>7.6303843803184005E-3</v>
      </c>
      <c r="AK35" s="25">
        <f t="shared" si="19"/>
        <v>0</v>
      </c>
      <c r="AL35" s="26">
        <f t="shared" si="20"/>
        <v>5.6717786734055309E-2</v>
      </c>
      <c r="AM35" s="26">
        <f t="shared" si="16"/>
        <v>0</v>
      </c>
      <c r="AN35" s="27">
        <f t="shared" si="17"/>
        <v>1.5780192897460105E-2</v>
      </c>
      <c r="AO35" s="79">
        <f t="shared" si="21"/>
        <v>0</v>
      </c>
      <c r="AP35" s="31"/>
      <c r="AQ35" s="39"/>
      <c r="AR35" s="36"/>
      <c r="AS35" s="30"/>
      <c r="AT35" s="30"/>
    </row>
    <row r="36" spans="1:47">
      <c r="A36" s="208" t="s">
        <v>102</v>
      </c>
      <c r="B36" s="327">
        <v>430376811.49000001</v>
      </c>
      <c r="C36" s="70">
        <v>1000000</v>
      </c>
      <c r="D36" s="327">
        <v>431316081.94999999</v>
      </c>
      <c r="E36" s="70">
        <v>1000000</v>
      </c>
      <c r="F36" s="24">
        <f t="shared" si="24"/>
        <v>2.1824374244238361E-3</v>
      </c>
      <c r="G36" s="24">
        <f t="shared" si="25"/>
        <v>0</v>
      </c>
      <c r="H36" s="327">
        <v>432250747.45999998</v>
      </c>
      <c r="I36" s="70">
        <v>1000000</v>
      </c>
      <c r="J36" s="24">
        <f t="shared" si="26"/>
        <v>2.1670082547683464E-3</v>
      </c>
      <c r="K36" s="24">
        <f t="shared" si="27"/>
        <v>0</v>
      </c>
      <c r="L36" s="327">
        <v>433159382.01999998</v>
      </c>
      <c r="M36" s="70">
        <v>1000000</v>
      </c>
      <c r="N36" s="24">
        <f t="shared" si="28"/>
        <v>2.1021006102114061E-3</v>
      </c>
      <c r="O36" s="24">
        <f t="shared" si="29"/>
        <v>0</v>
      </c>
      <c r="P36" s="327">
        <v>434059949.23000002</v>
      </c>
      <c r="Q36" s="70">
        <v>1000000</v>
      </c>
      <c r="R36" s="24">
        <f t="shared" si="30"/>
        <v>2.0790666146957818E-3</v>
      </c>
      <c r="S36" s="24">
        <f t="shared" si="31"/>
        <v>0</v>
      </c>
      <c r="T36" s="327">
        <v>434960340.06999999</v>
      </c>
      <c r="U36" s="70">
        <v>1000000</v>
      </c>
      <c r="V36" s="24">
        <f t="shared" si="32"/>
        <v>2.0743467385028742E-3</v>
      </c>
      <c r="W36" s="24">
        <f t="shared" si="33"/>
        <v>0</v>
      </c>
      <c r="X36" s="327">
        <v>436108767.47000003</v>
      </c>
      <c r="Y36" s="70">
        <v>1000000</v>
      </c>
      <c r="Z36" s="24">
        <f t="shared" si="34"/>
        <v>2.6403037109434266E-3</v>
      </c>
      <c r="AA36" s="24">
        <f t="shared" si="35"/>
        <v>0</v>
      </c>
      <c r="AB36" s="327">
        <v>431349439.44</v>
      </c>
      <c r="AC36" s="70">
        <v>1000000</v>
      </c>
      <c r="AD36" s="24">
        <f t="shared" si="36"/>
        <v>-1.0913167505460494E-2</v>
      </c>
      <c r="AE36" s="24">
        <f t="shared" si="37"/>
        <v>0</v>
      </c>
      <c r="AF36" s="327">
        <v>421161670.00999999</v>
      </c>
      <c r="AG36" s="70">
        <v>1000000</v>
      </c>
      <c r="AH36" s="24">
        <f t="shared" si="38"/>
        <v>-2.3618367148514886E-2</v>
      </c>
      <c r="AI36" s="24">
        <f t="shared" si="39"/>
        <v>0</v>
      </c>
      <c r="AJ36" s="25">
        <f t="shared" si="18"/>
        <v>-2.6607839125537135E-3</v>
      </c>
      <c r="AK36" s="25">
        <f t="shared" si="19"/>
        <v>0</v>
      </c>
      <c r="AL36" s="26">
        <f t="shared" si="20"/>
        <v>-2.3542854915335944E-2</v>
      </c>
      <c r="AM36" s="26">
        <f t="shared" si="16"/>
        <v>0</v>
      </c>
      <c r="AN36" s="27">
        <f t="shared" si="17"/>
        <v>9.6344674733032012E-3</v>
      </c>
      <c r="AO36" s="79">
        <f t="shared" si="21"/>
        <v>0</v>
      </c>
      <c r="AP36" s="31"/>
      <c r="AQ36" s="39"/>
      <c r="AR36" s="36"/>
      <c r="AS36" s="30"/>
      <c r="AT36" s="30"/>
    </row>
    <row r="37" spans="1:47">
      <c r="A37" s="208" t="s">
        <v>176</v>
      </c>
      <c r="B37" s="327">
        <v>1088639256.3900001</v>
      </c>
      <c r="C37" s="316">
        <v>1</v>
      </c>
      <c r="D37" s="327">
        <v>1089932870.6099999</v>
      </c>
      <c r="E37" s="316">
        <v>1</v>
      </c>
      <c r="F37" s="24">
        <f t="shared" si="24"/>
        <v>1.1882854787815577E-3</v>
      </c>
      <c r="G37" s="24">
        <f t="shared" si="25"/>
        <v>0</v>
      </c>
      <c r="H37" s="327">
        <v>1226226130.6500001</v>
      </c>
      <c r="I37" s="316">
        <v>1</v>
      </c>
      <c r="J37" s="24">
        <f t="shared" si="26"/>
        <v>0.12504738935318219</v>
      </c>
      <c r="K37" s="24">
        <f t="shared" si="27"/>
        <v>0</v>
      </c>
      <c r="L37" s="327">
        <v>1228915509.6700001</v>
      </c>
      <c r="M37" s="316">
        <v>1</v>
      </c>
      <c r="N37" s="24">
        <f t="shared" si="28"/>
        <v>2.1932162043997467E-3</v>
      </c>
      <c r="O37" s="24">
        <f t="shared" si="29"/>
        <v>0</v>
      </c>
      <c r="P37" s="327">
        <v>1274877255.9100001</v>
      </c>
      <c r="Q37" s="316">
        <v>1</v>
      </c>
      <c r="R37" s="24">
        <f t="shared" si="30"/>
        <v>3.7400249145152449E-2</v>
      </c>
      <c r="S37" s="24">
        <f t="shared" si="31"/>
        <v>0</v>
      </c>
      <c r="T37" s="327">
        <v>1315553282.3</v>
      </c>
      <c r="U37" s="316">
        <v>1</v>
      </c>
      <c r="V37" s="24">
        <f t="shared" si="32"/>
        <v>3.1905837367037782E-2</v>
      </c>
      <c r="W37" s="24">
        <f t="shared" si="33"/>
        <v>0</v>
      </c>
      <c r="X37" s="327">
        <v>1381363532.47</v>
      </c>
      <c r="Y37" s="316">
        <v>1</v>
      </c>
      <c r="Z37" s="24">
        <f t="shared" si="34"/>
        <v>5.0024769848122846E-2</v>
      </c>
      <c r="AA37" s="24">
        <f t="shared" si="35"/>
        <v>0</v>
      </c>
      <c r="AB37" s="327">
        <v>1387569275.3900001</v>
      </c>
      <c r="AC37" s="316">
        <v>1</v>
      </c>
      <c r="AD37" s="24">
        <f t="shared" si="36"/>
        <v>4.4924762918155652E-3</v>
      </c>
      <c r="AE37" s="24">
        <f t="shared" si="37"/>
        <v>0</v>
      </c>
      <c r="AF37" s="327">
        <v>1406729107.5799999</v>
      </c>
      <c r="AG37" s="316">
        <v>1</v>
      </c>
      <c r="AH37" s="24">
        <f t="shared" si="38"/>
        <v>1.3808198646236686E-2</v>
      </c>
      <c r="AI37" s="24">
        <f t="shared" si="39"/>
        <v>0</v>
      </c>
      <c r="AJ37" s="25">
        <f t="shared" si="18"/>
        <v>3.3257552791841095E-2</v>
      </c>
      <c r="AK37" s="25">
        <f t="shared" si="19"/>
        <v>0</v>
      </c>
      <c r="AL37" s="26">
        <f t="shared" si="20"/>
        <v>0.29065665006753993</v>
      </c>
      <c r="AM37" s="26">
        <f t="shared" si="16"/>
        <v>0</v>
      </c>
      <c r="AN37" s="27">
        <f t="shared" si="17"/>
        <v>4.1273721573665711E-2</v>
      </c>
      <c r="AO37" s="79">
        <f t="shared" si="21"/>
        <v>0</v>
      </c>
      <c r="AP37" s="31"/>
      <c r="AQ37" s="39"/>
      <c r="AR37" s="36"/>
      <c r="AS37" s="30"/>
      <c r="AT37" s="30"/>
      <c r="AU37" s="91"/>
    </row>
    <row r="38" spans="1:47">
      <c r="A38" s="208" t="s">
        <v>139</v>
      </c>
      <c r="B38" s="327">
        <v>298788464.45999998</v>
      </c>
      <c r="C38" s="316">
        <v>1</v>
      </c>
      <c r="D38" s="327">
        <v>264143249.27000001</v>
      </c>
      <c r="E38" s="316">
        <v>1</v>
      </c>
      <c r="F38" s="24">
        <f t="shared" si="24"/>
        <v>-0.11595231848262356</v>
      </c>
      <c r="G38" s="24">
        <f t="shared" si="25"/>
        <v>0</v>
      </c>
      <c r="H38" s="406">
        <v>264577221.24000001</v>
      </c>
      <c r="I38" s="316">
        <v>1</v>
      </c>
      <c r="J38" s="24">
        <f t="shared" si="26"/>
        <v>1.6429417416471792E-3</v>
      </c>
      <c r="K38" s="24">
        <f t="shared" si="27"/>
        <v>0</v>
      </c>
      <c r="L38" s="327">
        <v>275291743.25</v>
      </c>
      <c r="M38" s="316">
        <v>1</v>
      </c>
      <c r="N38" s="24">
        <f t="shared" si="28"/>
        <v>4.049676672762681E-2</v>
      </c>
      <c r="O38" s="24">
        <f t="shared" si="29"/>
        <v>0</v>
      </c>
      <c r="P38" s="327">
        <v>286059134.94</v>
      </c>
      <c r="Q38" s="316">
        <v>1</v>
      </c>
      <c r="R38" s="24">
        <f t="shared" si="30"/>
        <v>3.9112657586035313E-2</v>
      </c>
      <c r="S38" s="24">
        <f t="shared" si="31"/>
        <v>0</v>
      </c>
      <c r="T38" s="327">
        <v>275732345.54000002</v>
      </c>
      <c r="U38" s="316">
        <v>1</v>
      </c>
      <c r="V38" s="24">
        <f t="shared" si="32"/>
        <v>-3.6100190969835619E-2</v>
      </c>
      <c r="W38" s="24">
        <f t="shared" si="33"/>
        <v>0</v>
      </c>
      <c r="X38" s="406">
        <v>276937216.77999997</v>
      </c>
      <c r="Y38" s="316">
        <v>1</v>
      </c>
      <c r="Z38" s="24">
        <f t="shared" si="34"/>
        <v>4.3697130912962161E-3</v>
      </c>
      <c r="AA38" s="24">
        <f t="shared" si="35"/>
        <v>0</v>
      </c>
      <c r="AB38" s="327">
        <v>275337983.68000001</v>
      </c>
      <c r="AC38" s="316">
        <v>1</v>
      </c>
      <c r="AD38" s="24">
        <f t="shared" si="36"/>
        <v>-5.7747135563596041E-3</v>
      </c>
      <c r="AE38" s="24">
        <f t="shared" si="37"/>
        <v>0</v>
      </c>
      <c r="AF38" s="327">
        <v>272271411.38999999</v>
      </c>
      <c r="AG38" s="316">
        <v>1</v>
      </c>
      <c r="AH38" s="24">
        <f t="shared" si="38"/>
        <v>-1.1137483644697624E-2</v>
      </c>
      <c r="AI38" s="24">
        <f t="shared" si="39"/>
        <v>0</v>
      </c>
      <c r="AJ38" s="25">
        <f t="shared" si="18"/>
        <v>-1.041782843836386E-2</v>
      </c>
      <c r="AK38" s="25">
        <f t="shared" si="19"/>
        <v>0</v>
      </c>
      <c r="AL38" s="26">
        <f t="shared" si="20"/>
        <v>3.0771795767877412E-2</v>
      </c>
      <c r="AM38" s="26">
        <f t="shared" si="16"/>
        <v>0</v>
      </c>
      <c r="AN38" s="27">
        <f t="shared" si="17"/>
        <v>4.9611184456272092E-2</v>
      </c>
      <c r="AO38" s="79">
        <f t="shared" si="21"/>
        <v>0</v>
      </c>
      <c r="AP38" s="31"/>
      <c r="AQ38" s="39"/>
      <c r="AR38" s="36"/>
      <c r="AS38" s="30"/>
      <c r="AT38" s="30"/>
    </row>
    <row r="39" spans="1:47" s="87" customFormat="1">
      <c r="A39" s="208" t="s">
        <v>14</v>
      </c>
      <c r="B39" s="327">
        <v>181623521502.04999</v>
      </c>
      <c r="C39" s="316">
        <v>100</v>
      </c>
      <c r="D39" s="327">
        <v>184649037678.92001</v>
      </c>
      <c r="E39" s="316">
        <v>100</v>
      </c>
      <c r="F39" s="24">
        <f t="shared" si="24"/>
        <v>1.6658173742302846E-2</v>
      </c>
      <c r="G39" s="24">
        <f t="shared" si="25"/>
        <v>0</v>
      </c>
      <c r="H39" s="327">
        <v>185048139953.17001</v>
      </c>
      <c r="I39" s="316">
        <v>100</v>
      </c>
      <c r="J39" s="24">
        <f t="shared" si="26"/>
        <v>2.1614099876544469E-3</v>
      </c>
      <c r="K39" s="24">
        <f t="shared" si="27"/>
        <v>0</v>
      </c>
      <c r="L39" s="327">
        <v>188775014355.03</v>
      </c>
      <c r="M39" s="316">
        <v>100</v>
      </c>
      <c r="N39" s="24">
        <f t="shared" si="28"/>
        <v>2.0140026280745876E-2</v>
      </c>
      <c r="O39" s="24">
        <f t="shared" si="29"/>
        <v>0</v>
      </c>
      <c r="P39" s="327">
        <v>188154815155.57999</v>
      </c>
      <c r="Q39" s="316">
        <v>100</v>
      </c>
      <c r="R39" s="24">
        <f t="shared" si="30"/>
        <v>-3.2853881726296725E-3</v>
      </c>
      <c r="S39" s="24">
        <f t="shared" si="31"/>
        <v>0</v>
      </c>
      <c r="T39" s="327">
        <v>185242091999.23999</v>
      </c>
      <c r="U39" s="316">
        <v>100</v>
      </c>
      <c r="V39" s="24">
        <f t="shared" si="32"/>
        <v>-1.548046035352083E-2</v>
      </c>
      <c r="W39" s="24">
        <f t="shared" si="33"/>
        <v>0</v>
      </c>
      <c r="X39" s="327">
        <v>187678330513.03</v>
      </c>
      <c r="Y39" s="316">
        <v>100</v>
      </c>
      <c r="Z39" s="24">
        <f t="shared" si="34"/>
        <v>1.3151646515631037E-2</v>
      </c>
      <c r="AA39" s="24">
        <f t="shared" si="35"/>
        <v>0</v>
      </c>
      <c r="AB39" s="327">
        <v>190601254188.38</v>
      </c>
      <c r="AC39" s="316">
        <v>100</v>
      </c>
      <c r="AD39" s="24">
        <f t="shared" si="36"/>
        <v>1.5574113790121739E-2</v>
      </c>
      <c r="AE39" s="24">
        <f t="shared" si="37"/>
        <v>0</v>
      </c>
      <c r="AF39" s="327">
        <v>191364530207.37</v>
      </c>
      <c r="AG39" s="316">
        <v>100</v>
      </c>
      <c r="AH39" s="24">
        <f t="shared" si="38"/>
        <v>4.0045697613070759E-3</v>
      </c>
      <c r="AI39" s="24">
        <f t="shared" si="39"/>
        <v>0</v>
      </c>
      <c r="AJ39" s="25">
        <f t="shared" si="18"/>
        <v>6.615511443951564E-3</v>
      </c>
      <c r="AK39" s="25">
        <f t="shared" si="19"/>
        <v>0</v>
      </c>
      <c r="AL39" s="26">
        <f t="shared" si="20"/>
        <v>3.6368954925870368E-2</v>
      </c>
      <c r="AM39" s="26">
        <f t="shared" si="16"/>
        <v>0</v>
      </c>
      <c r="AN39" s="27">
        <f t="shared" si="17"/>
        <v>1.206921114966812E-2</v>
      </c>
      <c r="AO39" s="79">
        <f t="shared" si="21"/>
        <v>0</v>
      </c>
      <c r="AP39" s="31"/>
      <c r="AQ39" s="39"/>
      <c r="AR39" s="36"/>
      <c r="AS39" s="30"/>
      <c r="AT39" s="30"/>
    </row>
    <row r="40" spans="1:47" s="89" customFormat="1">
      <c r="A40" s="208" t="s">
        <v>126</v>
      </c>
      <c r="B40" s="327">
        <v>547999203.91999996</v>
      </c>
      <c r="C40" s="316">
        <v>10</v>
      </c>
      <c r="D40" s="327">
        <v>540555550.78999996</v>
      </c>
      <c r="E40" s="316">
        <v>10</v>
      </c>
      <c r="F40" s="24">
        <f t="shared" si="24"/>
        <v>-1.3583328363897883E-2</v>
      </c>
      <c r="G40" s="24">
        <f t="shared" si="25"/>
        <v>0</v>
      </c>
      <c r="H40" s="327">
        <v>540795534.75</v>
      </c>
      <c r="I40" s="316">
        <v>10</v>
      </c>
      <c r="J40" s="24">
        <f t="shared" si="26"/>
        <v>4.4395799774752352E-4</v>
      </c>
      <c r="K40" s="24">
        <f t="shared" si="27"/>
        <v>0</v>
      </c>
      <c r="L40" s="327">
        <v>543885418.99000001</v>
      </c>
      <c r="M40" s="316">
        <v>10</v>
      </c>
      <c r="N40" s="24">
        <f t="shared" si="28"/>
        <v>5.7135905188795749E-3</v>
      </c>
      <c r="O40" s="24">
        <f t="shared" si="29"/>
        <v>0</v>
      </c>
      <c r="P40" s="327">
        <v>557624504.15999997</v>
      </c>
      <c r="Q40" s="316">
        <v>10</v>
      </c>
      <c r="R40" s="24">
        <f t="shared" si="30"/>
        <v>2.5260991911703678E-2</v>
      </c>
      <c r="S40" s="24">
        <f t="shared" si="31"/>
        <v>0</v>
      </c>
      <c r="T40" s="327">
        <v>553782189.70000005</v>
      </c>
      <c r="U40" s="316">
        <v>10</v>
      </c>
      <c r="V40" s="24">
        <f t="shared" si="32"/>
        <v>-6.8905050465598592E-3</v>
      </c>
      <c r="W40" s="24">
        <f t="shared" si="33"/>
        <v>0</v>
      </c>
      <c r="X40" s="327">
        <v>555217093.20000005</v>
      </c>
      <c r="Y40" s="316">
        <v>10</v>
      </c>
      <c r="Z40" s="24">
        <f t="shared" si="34"/>
        <v>2.5910972340539322E-3</v>
      </c>
      <c r="AA40" s="24">
        <f t="shared" si="35"/>
        <v>0</v>
      </c>
      <c r="AB40" s="327">
        <v>564368553.01999986</v>
      </c>
      <c r="AC40" s="316">
        <v>10</v>
      </c>
      <c r="AD40" s="24">
        <f t="shared" si="36"/>
        <v>1.6482669449629641E-2</v>
      </c>
      <c r="AE40" s="24">
        <f t="shared" si="37"/>
        <v>0</v>
      </c>
      <c r="AF40" s="327">
        <v>566052668.36000001</v>
      </c>
      <c r="AG40" s="316">
        <v>10</v>
      </c>
      <c r="AH40" s="24">
        <f t="shared" si="38"/>
        <v>2.9840701275580667E-3</v>
      </c>
      <c r="AI40" s="24">
        <f t="shared" si="39"/>
        <v>0</v>
      </c>
      <c r="AJ40" s="25">
        <f t="shared" si="18"/>
        <v>4.1253179786393344E-3</v>
      </c>
      <c r="AK40" s="25">
        <f t="shared" si="19"/>
        <v>0</v>
      </c>
      <c r="AL40" s="26">
        <f t="shared" si="20"/>
        <v>4.7168357688191435E-2</v>
      </c>
      <c r="AM40" s="26">
        <f t="shared" si="16"/>
        <v>0</v>
      </c>
      <c r="AN40" s="27">
        <f t="shared" si="17"/>
        <v>1.2271317667702506E-2</v>
      </c>
      <c r="AO40" s="79">
        <f t="shared" si="21"/>
        <v>0</v>
      </c>
      <c r="AP40" s="31"/>
      <c r="AQ40" s="39"/>
      <c r="AR40" s="36"/>
      <c r="AS40" s="30"/>
      <c r="AT40" s="30"/>
    </row>
    <row r="41" spans="1:47" s="89" customFormat="1">
      <c r="A41" s="208" t="s">
        <v>88</v>
      </c>
      <c r="B41" s="405">
        <v>1698977342.3900001</v>
      </c>
      <c r="C41" s="316">
        <v>100</v>
      </c>
      <c r="D41" s="405">
        <v>1890739616.1428459</v>
      </c>
      <c r="E41" s="316">
        <v>100</v>
      </c>
      <c r="F41" s="24">
        <f t="shared" si="24"/>
        <v>0.11286923549144469</v>
      </c>
      <c r="G41" s="24">
        <f t="shared" si="25"/>
        <v>0</v>
      </c>
      <c r="H41" s="405">
        <v>1895154088.4100001</v>
      </c>
      <c r="I41" s="316">
        <v>100</v>
      </c>
      <c r="J41" s="24">
        <f t="shared" si="26"/>
        <v>2.3347859374522684E-3</v>
      </c>
      <c r="K41" s="24">
        <f t="shared" si="27"/>
        <v>0</v>
      </c>
      <c r="L41" s="405">
        <v>1938666160.8900001</v>
      </c>
      <c r="M41" s="316">
        <v>100</v>
      </c>
      <c r="N41" s="24">
        <f t="shared" si="28"/>
        <v>2.2959648899317658E-2</v>
      </c>
      <c r="O41" s="24">
        <f t="shared" si="29"/>
        <v>0</v>
      </c>
      <c r="P41" s="327">
        <v>1942064732.1259909</v>
      </c>
      <c r="Q41" s="316">
        <v>100</v>
      </c>
      <c r="R41" s="24">
        <f t="shared" si="30"/>
        <v>1.753046143040198E-3</v>
      </c>
      <c r="S41" s="24">
        <f t="shared" si="31"/>
        <v>0</v>
      </c>
      <c r="T41" s="327">
        <v>1981432324.1183076</v>
      </c>
      <c r="U41" s="316">
        <v>100</v>
      </c>
      <c r="V41" s="24">
        <f t="shared" si="32"/>
        <v>2.0270998870990653E-2</v>
      </c>
      <c r="W41" s="24">
        <f t="shared" si="33"/>
        <v>0</v>
      </c>
      <c r="X41" s="327">
        <v>1985237577.5648279</v>
      </c>
      <c r="Y41" s="316">
        <v>100</v>
      </c>
      <c r="Z41" s="24">
        <f t="shared" si="34"/>
        <v>1.9204559248389066E-3</v>
      </c>
      <c r="AA41" s="24">
        <f t="shared" si="35"/>
        <v>0</v>
      </c>
      <c r="AB41" s="327">
        <v>1989076260.7164867</v>
      </c>
      <c r="AC41" s="316">
        <v>100</v>
      </c>
      <c r="AD41" s="24">
        <f t="shared" si="36"/>
        <v>1.9336139890961848E-3</v>
      </c>
      <c r="AE41" s="24">
        <f t="shared" si="37"/>
        <v>0</v>
      </c>
      <c r="AF41" s="327">
        <v>1993015380.4723482</v>
      </c>
      <c r="AG41" s="316">
        <v>100</v>
      </c>
      <c r="AH41" s="24">
        <f t="shared" si="38"/>
        <v>1.9803764358650622E-3</v>
      </c>
      <c r="AI41" s="24">
        <f t="shared" si="39"/>
        <v>0</v>
      </c>
      <c r="AJ41" s="25">
        <f t="shared" si="18"/>
        <v>2.0752770211505706E-2</v>
      </c>
      <c r="AK41" s="25">
        <f t="shared" si="19"/>
        <v>0</v>
      </c>
      <c r="AL41" s="26">
        <f t="shared" si="20"/>
        <v>5.4092992740135924E-2</v>
      </c>
      <c r="AM41" s="26">
        <f t="shared" si="16"/>
        <v>0</v>
      </c>
      <c r="AN41" s="27">
        <f t="shared" si="17"/>
        <v>3.8269676027255256E-2</v>
      </c>
      <c r="AO41" s="79">
        <f t="shared" si="21"/>
        <v>0</v>
      </c>
      <c r="AP41" s="31"/>
      <c r="AQ41" s="39"/>
      <c r="AR41" s="36"/>
      <c r="AS41" s="30"/>
      <c r="AT41" s="30"/>
    </row>
    <row r="42" spans="1:47" s="89" customFormat="1">
      <c r="A42" s="208" t="s">
        <v>125</v>
      </c>
      <c r="B42" s="404">
        <v>3456092475.77</v>
      </c>
      <c r="C42" s="316">
        <v>1</v>
      </c>
      <c r="D42" s="404">
        <v>3463893456.4499998</v>
      </c>
      <c r="E42" s="316">
        <v>1</v>
      </c>
      <c r="F42" s="24">
        <f t="shared" si="24"/>
        <v>2.2571678086425653E-3</v>
      </c>
      <c r="G42" s="24">
        <f t="shared" si="25"/>
        <v>0</v>
      </c>
      <c r="H42" s="404">
        <v>3462311440.1999998</v>
      </c>
      <c r="I42" s="316">
        <v>1</v>
      </c>
      <c r="J42" s="24">
        <f t="shared" si="26"/>
        <v>-4.5671619808460929E-4</v>
      </c>
      <c r="K42" s="24">
        <f t="shared" si="27"/>
        <v>0</v>
      </c>
      <c r="L42" s="404">
        <v>3441863108.5100002</v>
      </c>
      <c r="M42" s="316">
        <v>1</v>
      </c>
      <c r="N42" s="24">
        <f t="shared" si="28"/>
        <v>-5.9059769876791861E-3</v>
      </c>
      <c r="O42" s="24">
        <f t="shared" si="29"/>
        <v>0</v>
      </c>
      <c r="P42" s="327">
        <v>3447863775.1300001</v>
      </c>
      <c r="Q42" s="316">
        <v>1</v>
      </c>
      <c r="R42" s="24">
        <f t="shared" si="30"/>
        <v>1.7434355843970809E-3</v>
      </c>
      <c r="S42" s="24">
        <f t="shared" si="31"/>
        <v>0</v>
      </c>
      <c r="T42" s="327">
        <v>3476810877.98</v>
      </c>
      <c r="U42" s="316">
        <v>1</v>
      </c>
      <c r="V42" s="24">
        <f t="shared" si="32"/>
        <v>8.3956631520073523E-3</v>
      </c>
      <c r="W42" s="24">
        <f t="shared" si="33"/>
        <v>0</v>
      </c>
      <c r="X42" s="327">
        <v>3486958519.25</v>
      </c>
      <c r="Y42" s="316">
        <v>1</v>
      </c>
      <c r="Z42" s="24">
        <f t="shared" si="34"/>
        <v>2.9186635759422385E-3</v>
      </c>
      <c r="AA42" s="24">
        <f t="shared" si="35"/>
        <v>0</v>
      </c>
      <c r="AB42" s="327">
        <v>3518153364.8099999</v>
      </c>
      <c r="AC42" s="316">
        <v>1</v>
      </c>
      <c r="AD42" s="24">
        <f t="shared" si="36"/>
        <v>8.9461475918874867E-3</v>
      </c>
      <c r="AE42" s="24">
        <f t="shared" si="37"/>
        <v>0</v>
      </c>
      <c r="AF42" s="327">
        <v>3385593879.98</v>
      </c>
      <c r="AG42" s="316">
        <v>1</v>
      </c>
      <c r="AH42" s="24">
        <f t="shared" si="38"/>
        <v>-3.7678711268222066E-2</v>
      </c>
      <c r="AI42" s="24">
        <f t="shared" si="39"/>
        <v>0</v>
      </c>
      <c r="AJ42" s="25">
        <f t="shared" si="18"/>
        <v>-2.4725408426386425E-3</v>
      </c>
      <c r="AK42" s="25">
        <f t="shared" si="19"/>
        <v>0</v>
      </c>
      <c r="AL42" s="26">
        <f t="shared" si="20"/>
        <v>-2.2604499085905998E-2</v>
      </c>
      <c r="AM42" s="26">
        <f t="shared" si="16"/>
        <v>0</v>
      </c>
      <c r="AN42" s="27">
        <f t="shared" si="17"/>
        <v>1.4990665946663316E-2</v>
      </c>
      <c r="AO42" s="79">
        <f t="shared" si="21"/>
        <v>0</v>
      </c>
      <c r="AP42" s="31"/>
      <c r="AQ42" s="39"/>
      <c r="AR42" s="36"/>
      <c r="AS42" s="30"/>
      <c r="AT42" s="30"/>
    </row>
    <row r="43" spans="1:47" s="89" customFormat="1">
      <c r="A43" s="208" t="s">
        <v>56</v>
      </c>
      <c r="B43" s="322">
        <v>2202197405.5100002</v>
      </c>
      <c r="C43" s="316">
        <v>10</v>
      </c>
      <c r="D43" s="322">
        <v>2218195558.8600001</v>
      </c>
      <c r="E43" s="316">
        <v>10</v>
      </c>
      <c r="F43" s="24">
        <f t="shared" si="24"/>
        <v>7.2646318218211421E-3</v>
      </c>
      <c r="G43" s="24">
        <f t="shared" si="25"/>
        <v>0</v>
      </c>
      <c r="H43" s="322">
        <v>2215237092.71</v>
      </c>
      <c r="I43" s="316">
        <v>10</v>
      </c>
      <c r="J43" s="24">
        <f t="shared" si="26"/>
        <v>-1.3337264778947367E-3</v>
      </c>
      <c r="K43" s="24">
        <f t="shared" si="27"/>
        <v>0</v>
      </c>
      <c r="L43" s="322">
        <v>2257935914.8699999</v>
      </c>
      <c r="M43" s="316">
        <v>10</v>
      </c>
      <c r="N43" s="24">
        <f t="shared" si="28"/>
        <v>1.9275057419594056E-2</v>
      </c>
      <c r="O43" s="24">
        <f t="shared" si="29"/>
        <v>0</v>
      </c>
      <c r="P43" s="322">
        <v>2255059076.5799999</v>
      </c>
      <c r="Q43" s="316">
        <v>10</v>
      </c>
      <c r="R43" s="24">
        <f t="shared" si="30"/>
        <v>-1.2741009481509553E-3</v>
      </c>
      <c r="S43" s="24">
        <f t="shared" si="31"/>
        <v>0</v>
      </c>
      <c r="T43" s="322">
        <v>2255059076.5799999</v>
      </c>
      <c r="U43" s="316">
        <v>10</v>
      </c>
      <c r="V43" s="24">
        <f t="shared" si="32"/>
        <v>0</v>
      </c>
      <c r="W43" s="24">
        <f t="shared" si="33"/>
        <v>0</v>
      </c>
      <c r="X43" s="322">
        <v>2316329440.1500001</v>
      </c>
      <c r="Y43" s="316">
        <v>10</v>
      </c>
      <c r="Z43" s="24">
        <f t="shared" si="34"/>
        <v>2.717018113020888E-2</v>
      </c>
      <c r="AA43" s="24">
        <f t="shared" si="35"/>
        <v>0</v>
      </c>
      <c r="AB43" s="322">
        <v>2413724439.21</v>
      </c>
      <c r="AC43" s="316">
        <v>10</v>
      </c>
      <c r="AD43" s="24">
        <f t="shared" si="36"/>
        <v>4.2047127395528364E-2</v>
      </c>
      <c r="AE43" s="24">
        <f t="shared" si="37"/>
        <v>0</v>
      </c>
      <c r="AF43" s="322">
        <v>2402197227.46</v>
      </c>
      <c r="AG43" s="316">
        <v>10</v>
      </c>
      <c r="AH43" s="24">
        <f t="shared" si="38"/>
        <v>-4.7756950059190681E-3</v>
      </c>
      <c r="AI43" s="24">
        <f t="shared" si="39"/>
        <v>0</v>
      </c>
      <c r="AJ43" s="25">
        <f t="shared" si="18"/>
        <v>1.1046684416898461E-2</v>
      </c>
      <c r="AK43" s="25">
        <f t="shared" si="19"/>
        <v>0</v>
      </c>
      <c r="AL43" s="26">
        <f t="shared" si="20"/>
        <v>8.295105806386345E-2</v>
      </c>
      <c r="AM43" s="26">
        <f t="shared" si="16"/>
        <v>0</v>
      </c>
      <c r="AN43" s="27">
        <f t="shared" si="17"/>
        <v>1.6820301969348628E-2</v>
      </c>
      <c r="AO43" s="79">
        <f t="shared" si="21"/>
        <v>0</v>
      </c>
      <c r="AP43" s="31"/>
      <c r="AQ43" s="39"/>
      <c r="AR43" s="36"/>
      <c r="AS43" s="30"/>
      <c r="AT43" s="30"/>
    </row>
    <row r="44" spans="1:47" s="89" customFormat="1">
      <c r="A44" s="208" t="s">
        <v>195</v>
      </c>
      <c r="B44" s="327">
        <v>3091518265.77</v>
      </c>
      <c r="C44" s="316">
        <v>100</v>
      </c>
      <c r="D44" s="327">
        <v>3187040210.9000001</v>
      </c>
      <c r="E44" s="316">
        <v>100</v>
      </c>
      <c r="F44" s="24">
        <f t="shared" si="24"/>
        <v>3.0898069142156145E-2</v>
      </c>
      <c r="G44" s="24">
        <f t="shared" si="25"/>
        <v>0</v>
      </c>
      <c r="H44" s="327">
        <v>3442710192.6199999</v>
      </c>
      <c r="I44" s="316">
        <v>100</v>
      </c>
      <c r="J44" s="24">
        <f t="shared" si="26"/>
        <v>8.0221762137039437E-2</v>
      </c>
      <c r="K44" s="24">
        <f t="shared" si="27"/>
        <v>0</v>
      </c>
      <c r="L44" s="327">
        <v>3482440324.3200002</v>
      </c>
      <c r="M44" s="316">
        <v>100</v>
      </c>
      <c r="N44" s="24">
        <f t="shared" si="28"/>
        <v>1.1540364851264036E-2</v>
      </c>
      <c r="O44" s="24">
        <f t="shared" si="29"/>
        <v>0</v>
      </c>
      <c r="P44" s="327">
        <v>3244236768.46</v>
      </c>
      <c r="Q44" s="316">
        <v>100</v>
      </c>
      <c r="R44" s="24">
        <f t="shared" si="30"/>
        <v>-6.8401331731797313E-2</v>
      </c>
      <c r="S44" s="24">
        <f t="shared" si="31"/>
        <v>0</v>
      </c>
      <c r="T44" s="327">
        <v>3358168679.6300001</v>
      </c>
      <c r="U44" s="316">
        <v>100</v>
      </c>
      <c r="V44" s="24">
        <f t="shared" si="32"/>
        <v>3.511824792741073E-2</v>
      </c>
      <c r="W44" s="24">
        <f t="shared" si="33"/>
        <v>0</v>
      </c>
      <c r="X44" s="327">
        <v>3316688999.2100005</v>
      </c>
      <c r="Y44" s="316">
        <v>100</v>
      </c>
      <c r="Z44" s="24">
        <f t="shared" si="34"/>
        <v>-1.2351875196623474E-2</v>
      </c>
      <c r="AA44" s="24">
        <f t="shared" si="35"/>
        <v>0</v>
      </c>
      <c r="AB44" s="327">
        <v>3374386717.5100002</v>
      </c>
      <c r="AC44" s="316">
        <v>100</v>
      </c>
      <c r="AD44" s="24">
        <f t="shared" si="36"/>
        <v>1.7396179838912448E-2</v>
      </c>
      <c r="AE44" s="24">
        <f t="shared" si="37"/>
        <v>0</v>
      </c>
      <c r="AF44" s="327">
        <v>3423385900.6399999</v>
      </c>
      <c r="AG44" s="316">
        <v>100</v>
      </c>
      <c r="AH44" s="24">
        <f t="shared" si="38"/>
        <v>1.4520915126810573E-2</v>
      </c>
      <c r="AI44" s="24">
        <f t="shared" si="39"/>
        <v>0</v>
      </c>
      <c r="AJ44" s="25">
        <f t="shared" si="18"/>
        <v>1.3617791511896573E-2</v>
      </c>
      <c r="AK44" s="25">
        <f t="shared" si="19"/>
        <v>0</v>
      </c>
      <c r="AL44" s="26">
        <f t="shared" si="20"/>
        <v>7.4158364532607268E-2</v>
      </c>
      <c r="AM44" s="26">
        <f t="shared" si="16"/>
        <v>0</v>
      </c>
      <c r="AN44" s="27">
        <f t="shared" si="17"/>
        <v>4.2456590003116093E-2</v>
      </c>
      <c r="AO44" s="79">
        <f t="shared" si="21"/>
        <v>0</v>
      </c>
      <c r="AP44" s="31"/>
      <c r="AQ44" s="39"/>
      <c r="AR44" s="36"/>
      <c r="AS44" s="30"/>
      <c r="AT44" s="30"/>
    </row>
    <row r="45" spans="1:47" s="89" customFormat="1">
      <c r="A45" s="208" t="s">
        <v>167</v>
      </c>
      <c r="B45" s="327">
        <v>137391891.61000001</v>
      </c>
      <c r="C45" s="316">
        <v>1</v>
      </c>
      <c r="D45" s="327">
        <v>137391891.53</v>
      </c>
      <c r="E45" s="316">
        <v>1</v>
      </c>
      <c r="F45" s="24">
        <f t="shared" si="24"/>
        <v>-5.8227608758826552E-10</v>
      </c>
      <c r="G45" s="24">
        <f t="shared" si="25"/>
        <v>0</v>
      </c>
      <c r="H45" s="405">
        <v>138164876.38</v>
      </c>
      <c r="I45" s="316">
        <v>1</v>
      </c>
      <c r="J45" s="24">
        <f t="shared" si="26"/>
        <v>5.6261315088686299E-3</v>
      </c>
      <c r="K45" s="24">
        <f t="shared" si="27"/>
        <v>0</v>
      </c>
      <c r="L45" s="327">
        <v>138214875.97</v>
      </c>
      <c r="M45" s="316">
        <v>1</v>
      </c>
      <c r="N45" s="24">
        <f t="shared" si="28"/>
        <v>3.6188350693766661E-4</v>
      </c>
      <c r="O45" s="24">
        <f t="shared" si="29"/>
        <v>0</v>
      </c>
      <c r="P45" s="327">
        <v>137814878.81</v>
      </c>
      <c r="Q45" s="316">
        <v>1</v>
      </c>
      <c r="R45" s="24">
        <f t="shared" si="30"/>
        <v>-2.8940239405692999E-3</v>
      </c>
      <c r="S45" s="24">
        <f t="shared" si="31"/>
        <v>0</v>
      </c>
      <c r="T45" s="327">
        <v>137584800.62</v>
      </c>
      <c r="U45" s="316">
        <v>1</v>
      </c>
      <c r="V45" s="24">
        <f t="shared" si="32"/>
        <v>-1.6694727883278658E-3</v>
      </c>
      <c r="W45" s="24">
        <f t="shared" si="33"/>
        <v>0</v>
      </c>
      <c r="X45" s="405">
        <v>138279795.08000001</v>
      </c>
      <c r="Y45" s="316">
        <v>1</v>
      </c>
      <c r="Z45" s="24">
        <f t="shared" si="34"/>
        <v>5.0513898109976292E-3</v>
      </c>
      <c r="AA45" s="24">
        <f t="shared" si="35"/>
        <v>0</v>
      </c>
      <c r="AB45" s="327">
        <v>138309794.72</v>
      </c>
      <c r="AC45" s="316">
        <v>1</v>
      </c>
      <c r="AD45" s="24">
        <f t="shared" si="36"/>
        <v>2.1694883176988933E-4</v>
      </c>
      <c r="AE45" s="24">
        <f t="shared" si="37"/>
        <v>0</v>
      </c>
      <c r="AF45" s="327">
        <v>138309794.56999999</v>
      </c>
      <c r="AG45" s="316">
        <v>1</v>
      </c>
      <c r="AH45" s="24">
        <f t="shared" si="38"/>
        <v>-1.0845219332740001E-9</v>
      </c>
      <c r="AI45" s="24">
        <f t="shared" si="39"/>
        <v>0</v>
      </c>
      <c r="AJ45" s="25">
        <f t="shared" si="18"/>
        <v>8.3660690785982859E-4</v>
      </c>
      <c r="AK45" s="25">
        <f t="shared" si="19"/>
        <v>0</v>
      </c>
      <c r="AL45" s="26">
        <f t="shared" si="20"/>
        <v>6.6809112952605672E-3</v>
      </c>
      <c r="AM45" s="26">
        <f t="shared" si="16"/>
        <v>0</v>
      </c>
      <c r="AN45" s="27">
        <f t="shared" si="17"/>
        <v>2.997883688281776E-3</v>
      </c>
      <c r="AO45" s="79">
        <f t="shared" si="21"/>
        <v>0</v>
      </c>
      <c r="AP45" s="31"/>
      <c r="AQ45" s="39"/>
      <c r="AR45" s="36"/>
      <c r="AS45" s="30"/>
      <c r="AT45" s="30"/>
    </row>
    <row r="46" spans="1:47" s="89" customFormat="1">
      <c r="A46" s="208" t="s">
        <v>97</v>
      </c>
      <c r="B46" s="322">
        <v>681449850.38999999</v>
      </c>
      <c r="C46" s="316">
        <v>10</v>
      </c>
      <c r="D46" s="322">
        <v>683432000.54999995</v>
      </c>
      <c r="E46" s="316">
        <v>10</v>
      </c>
      <c r="F46" s="24">
        <f t="shared" si="24"/>
        <v>2.9087249177112062E-3</v>
      </c>
      <c r="G46" s="24">
        <f t="shared" si="25"/>
        <v>0</v>
      </c>
      <c r="H46" s="322">
        <v>688735308.58000004</v>
      </c>
      <c r="I46" s="316">
        <v>10</v>
      </c>
      <c r="J46" s="24">
        <f t="shared" si="26"/>
        <v>7.759818132209482E-3</v>
      </c>
      <c r="K46" s="24">
        <f t="shared" si="27"/>
        <v>0</v>
      </c>
      <c r="L46" s="322">
        <v>693192708.12</v>
      </c>
      <c r="M46" s="316">
        <v>10</v>
      </c>
      <c r="N46" s="24">
        <f t="shared" si="28"/>
        <v>6.4718615184547528E-3</v>
      </c>
      <c r="O46" s="24">
        <f t="shared" si="29"/>
        <v>0</v>
      </c>
      <c r="P46" s="322">
        <v>691339232.87</v>
      </c>
      <c r="Q46" s="316">
        <v>10</v>
      </c>
      <c r="R46" s="24">
        <f t="shared" si="30"/>
        <v>-2.6738239284524344E-3</v>
      </c>
      <c r="S46" s="24">
        <f t="shared" si="31"/>
        <v>0</v>
      </c>
      <c r="T46" s="322">
        <v>695266452.15999997</v>
      </c>
      <c r="U46" s="316">
        <v>10</v>
      </c>
      <c r="V46" s="24">
        <f t="shared" si="32"/>
        <v>5.6805965917725359E-3</v>
      </c>
      <c r="W46" s="24">
        <f t="shared" si="33"/>
        <v>0</v>
      </c>
      <c r="X46" s="322">
        <v>699801665.99000001</v>
      </c>
      <c r="Y46" s="316">
        <v>10</v>
      </c>
      <c r="Z46" s="24">
        <f t="shared" si="34"/>
        <v>6.5229867138136633E-3</v>
      </c>
      <c r="AA46" s="24">
        <f t="shared" si="35"/>
        <v>0</v>
      </c>
      <c r="AB46" s="322">
        <v>690526572.61000001</v>
      </c>
      <c r="AC46" s="316">
        <v>10</v>
      </c>
      <c r="AD46" s="24">
        <f t="shared" si="36"/>
        <v>-1.3253888681271779E-2</v>
      </c>
      <c r="AE46" s="24">
        <f t="shared" si="37"/>
        <v>0</v>
      </c>
      <c r="AF46" s="322">
        <v>664723800.10000002</v>
      </c>
      <c r="AG46" s="316">
        <v>10</v>
      </c>
      <c r="AH46" s="24">
        <f t="shared" si="38"/>
        <v>-3.7366806048422768E-2</v>
      </c>
      <c r="AI46" s="24">
        <f t="shared" si="39"/>
        <v>0</v>
      </c>
      <c r="AJ46" s="25">
        <f t="shared" si="18"/>
        <v>-2.9938163480231674E-3</v>
      </c>
      <c r="AK46" s="25">
        <f t="shared" si="19"/>
        <v>0</v>
      </c>
      <c r="AL46" s="26">
        <f t="shared" si="20"/>
        <v>-2.7373901770687183E-2</v>
      </c>
      <c r="AM46" s="26">
        <f t="shared" si="16"/>
        <v>0</v>
      </c>
      <c r="AN46" s="27">
        <f t="shared" si="17"/>
        <v>1.5550693995279766E-2</v>
      </c>
      <c r="AO46" s="79">
        <f t="shared" si="21"/>
        <v>0</v>
      </c>
      <c r="AP46" s="31"/>
      <c r="AQ46" s="39"/>
      <c r="AR46" s="36"/>
      <c r="AS46" s="30"/>
      <c r="AT46" s="30"/>
    </row>
    <row r="47" spans="1:47" s="96" customFormat="1">
      <c r="A47" s="208" t="s">
        <v>34</v>
      </c>
      <c r="B47" s="327">
        <v>318456254915.25</v>
      </c>
      <c r="C47" s="316">
        <v>100</v>
      </c>
      <c r="D47" s="327">
        <v>339092815692.19</v>
      </c>
      <c r="E47" s="316">
        <v>100</v>
      </c>
      <c r="F47" s="24">
        <f t="shared" si="24"/>
        <v>6.4801869828030101E-2</v>
      </c>
      <c r="G47" s="24">
        <f t="shared" si="25"/>
        <v>0</v>
      </c>
      <c r="H47" s="327">
        <v>357955357976.52002</v>
      </c>
      <c r="I47" s="316">
        <v>100</v>
      </c>
      <c r="J47" s="24">
        <f t="shared" si="26"/>
        <v>5.5626487532110989E-2</v>
      </c>
      <c r="K47" s="24">
        <f t="shared" si="27"/>
        <v>0</v>
      </c>
      <c r="L47" s="327">
        <v>362412988556.34998</v>
      </c>
      <c r="M47" s="316">
        <v>100</v>
      </c>
      <c r="N47" s="24">
        <f t="shared" si="28"/>
        <v>1.245303493996688E-2</v>
      </c>
      <c r="O47" s="24">
        <f t="shared" si="29"/>
        <v>0</v>
      </c>
      <c r="P47" s="327">
        <v>364915008733.72998</v>
      </c>
      <c r="Q47" s="316">
        <v>100</v>
      </c>
      <c r="R47" s="24">
        <f t="shared" si="30"/>
        <v>6.9037817528192066E-3</v>
      </c>
      <c r="S47" s="24">
        <f t="shared" si="31"/>
        <v>0</v>
      </c>
      <c r="T47" s="327">
        <v>368590836283.82001</v>
      </c>
      <c r="U47" s="316">
        <v>100</v>
      </c>
      <c r="V47" s="24">
        <f t="shared" si="32"/>
        <v>1.0073105961975363E-2</v>
      </c>
      <c r="W47" s="24">
        <f t="shared" si="33"/>
        <v>0</v>
      </c>
      <c r="X47" s="327">
        <v>365292848751.16998</v>
      </c>
      <c r="Y47" s="316">
        <v>100</v>
      </c>
      <c r="Z47" s="24">
        <f t="shared" si="34"/>
        <v>-8.9475570415715067E-3</v>
      </c>
      <c r="AA47" s="24">
        <f t="shared" si="35"/>
        <v>0</v>
      </c>
      <c r="AB47" s="327">
        <v>363019503293.75</v>
      </c>
      <c r="AC47" s="316">
        <v>100</v>
      </c>
      <c r="AD47" s="24">
        <f t="shared" si="36"/>
        <v>-6.2233505670639044E-3</v>
      </c>
      <c r="AE47" s="24">
        <f t="shared" si="37"/>
        <v>0</v>
      </c>
      <c r="AF47" s="327">
        <v>361737432365.97998</v>
      </c>
      <c r="AG47" s="316">
        <v>100</v>
      </c>
      <c r="AH47" s="24">
        <f t="shared" si="38"/>
        <v>-3.5316860833578597E-3</v>
      </c>
      <c r="AI47" s="24">
        <f t="shared" si="39"/>
        <v>0</v>
      </c>
      <c r="AJ47" s="25">
        <f t="shared" si="18"/>
        <v>1.6394460790363656E-2</v>
      </c>
      <c r="AK47" s="25">
        <f t="shared" si="19"/>
        <v>0</v>
      </c>
      <c r="AL47" s="26">
        <f t="shared" si="20"/>
        <v>6.6779995404991202E-2</v>
      </c>
      <c r="AM47" s="26">
        <f t="shared" si="16"/>
        <v>0</v>
      </c>
      <c r="AN47" s="27">
        <f t="shared" si="17"/>
        <v>2.8230761117280765E-2</v>
      </c>
      <c r="AO47" s="79">
        <f t="shared" si="21"/>
        <v>0</v>
      </c>
      <c r="AP47" s="31"/>
      <c r="AQ47" s="39"/>
      <c r="AR47" s="36"/>
      <c r="AS47" s="30"/>
      <c r="AT47" s="30"/>
    </row>
    <row r="48" spans="1:47" s="96" customFormat="1">
      <c r="A48" s="208" t="s">
        <v>156</v>
      </c>
      <c r="B48" s="327">
        <v>697420849.95000005</v>
      </c>
      <c r="C48" s="316">
        <v>1</v>
      </c>
      <c r="D48" s="327">
        <v>695377963.96000004</v>
      </c>
      <c r="E48" s="316">
        <v>1</v>
      </c>
      <c r="F48" s="24">
        <f t="shared" si="24"/>
        <v>-2.9292011991704429E-3</v>
      </c>
      <c r="G48" s="24">
        <f t="shared" si="25"/>
        <v>0</v>
      </c>
      <c r="H48" s="327">
        <v>759408780.99000001</v>
      </c>
      <c r="I48" s="316">
        <v>1</v>
      </c>
      <c r="J48" s="24">
        <f t="shared" si="26"/>
        <v>9.2080595515798072E-2</v>
      </c>
      <c r="K48" s="24">
        <f t="shared" si="27"/>
        <v>0</v>
      </c>
      <c r="L48" s="327">
        <v>827005790.65999997</v>
      </c>
      <c r="M48" s="316">
        <v>1</v>
      </c>
      <c r="N48" s="24">
        <f t="shared" si="28"/>
        <v>8.9012678496918879E-2</v>
      </c>
      <c r="O48" s="24">
        <f t="shared" si="29"/>
        <v>0</v>
      </c>
      <c r="P48" s="327">
        <v>885317970.19000006</v>
      </c>
      <c r="Q48" s="316">
        <v>1</v>
      </c>
      <c r="R48" s="24">
        <f t="shared" si="30"/>
        <v>7.0510001487974455E-2</v>
      </c>
      <c r="S48" s="24">
        <f t="shared" si="31"/>
        <v>0</v>
      </c>
      <c r="T48" s="327">
        <v>969381616.28999996</v>
      </c>
      <c r="U48" s="316">
        <v>1</v>
      </c>
      <c r="V48" s="24">
        <f t="shared" si="32"/>
        <v>9.4953055207903231E-2</v>
      </c>
      <c r="W48" s="24">
        <f t="shared" si="33"/>
        <v>0</v>
      </c>
      <c r="X48" s="327">
        <v>1011683385.29</v>
      </c>
      <c r="Y48" s="316">
        <v>1</v>
      </c>
      <c r="Z48" s="24">
        <f t="shared" si="34"/>
        <v>4.3637890681171132E-2</v>
      </c>
      <c r="AA48" s="24">
        <f t="shared" si="35"/>
        <v>0</v>
      </c>
      <c r="AB48" s="327">
        <v>1117767309.04</v>
      </c>
      <c r="AC48" s="316">
        <v>1</v>
      </c>
      <c r="AD48" s="24">
        <f t="shared" si="36"/>
        <v>0.10485881778081287</v>
      </c>
      <c r="AE48" s="24">
        <f t="shared" si="37"/>
        <v>0</v>
      </c>
      <c r="AF48" s="327">
        <v>1171643511.78</v>
      </c>
      <c r="AG48" s="316">
        <v>1</v>
      </c>
      <c r="AH48" s="24">
        <f t="shared" si="38"/>
        <v>4.8199837572877179E-2</v>
      </c>
      <c r="AI48" s="24">
        <f t="shared" si="39"/>
        <v>0</v>
      </c>
      <c r="AJ48" s="25">
        <f t="shared" si="18"/>
        <v>6.7540459443035675E-2</v>
      </c>
      <c r="AK48" s="25">
        <f t="shared" si="19"/>
        <v>0</v>
      </c>
      <c r="AL48" s="26">
        <f t="shared" si="20"/>
        <v>0.68490169735576489</v>
      </c>
      <c r="AM48" s="26">
        <f t="shared" si="16"/>
        <v>0</v>
      </c>
      <c r="AN48" s="27">
        <f t="shared" si="17"/>
        <v>3.6110086528928428E-2</v>
      </c>
      <c r="AO48" s="79">
        <f t="shared" si="21"/>
        <v>0</v>
      </c>
      <c r="AP48" s="31"/>
      <c r="AQ48" s="39"/>
      <c r="AR48" s="36"/>
      <c r="AS48" s="30"/>
      <c r="AT48" s="30"/>
    </row>
    <row r="49" spans="1:48" s="107" customFormat="1">
      <c r="A49" s="208" t="s">
        <v>78</v>
      </c>
      <c r="B49" s="327">
        <v>47752325115.870003</v>
      </c>
      <c r="C49" s="316">
        <v>1</v>
      </c>
      <c r="D49" s="327">
        <v>46614166756.559998</v>
      </c>
      <c r="E49" s="316">
        <v>1</v>
      </c>
      <c r="F49" s="24">
        <f t="shared" si="24"/>
        <v>-2.3834616566801473E-2</v>
      </c>
      <c r="G49" s="24">
        <f t="shared" si="25"/>
        <v>0</v>
      </c>
      <c r="H49" s="327">
        <v>47958040620.830002</v>
      </c>
      <c r="I49" s="316">
        <v>1</v>
      </c>
      <c r="J49" s="24">
        <f t="shared" si="26"/>
        <v>2.88297304827589E-2</v>
      </c>
      <c r="K49" s="24">
        <f t="shared" si="27"/>
        <v>0</v>
      </c>
      <c r="L49" s="327">
        <v>49990421514.330002</v>
      </c>
      <c r="M49" s="316">
        <v>1</v>
      </c>
      <c r="N49" s="24">
        <f t="shared" si="28"/>
        <v>4.2378313775756293E-2</v>
      </c>
      <c r="O49" s="24">
        <f t="shared" si="29"/>
        <v>0</v>
      </c>
      <c r="P49" s="327">
        <v>51373094665.279999</v>
      </c>
      <c r="Q49" s="316">
        <v>1</v>
      </c>
      <c r="R49" s="24">
        <f t="shared" si="30"/>
        <v>2.7658761600032656E-2</v>
      </c>
      <c r="S49" s="24">
        <f t="shared" si="31"/>
        <v>0</v>
      </c>
      <c r="T49" s="327">
        <v>47867257060.440002</v>
      </c>
      <c r="U49" s="316">
        <v>1</v>
      </c>
      <c r="V49" s="24">
        <f t="shared" si="32"/>
        <v>-6.8242678929159042E-2</v>
      </c>
      <c r="W49" s="24">
        <f t="shared" si="33"/>
        <v>0</v>
      </c>
      <c r="X49" s="327">
        <v>44684142200.93</v>
      </c>
      <c r="Y49" s="316">
        <v>1</v>
      </c>
      <c r="Z49" s="24">
        <f t="shared" si="34"/>
        <v>-6.6498793851730728E-2</v>
      </c>
      <c r="AA49" s="24">
        <f t="shared" si="35"/>
        <v>0</v>
      </c>
      <c r="AB49" s="327">
        <v>44757079119.07</v>
      </c>
      <c r="AC49" s="316">
        <v>1</v>
      </c>
      <c r="AD49" s="24">
        <f t="shared" si="36"/>
        <v>1.6322774601339751E-3</v>
      </c>
      <c r="AE49" s="24">
        <f t="shared" si="37"/>
        <v>0</v>
      </c>
      <c r="AF49" s="327">
        <v>44528210991.18</v>
      </c>
      <c r="AG49" s="316">
        <v>1</v>
      </c>
      <c r="AH49" s="24">
        <f t="shared" si="38"/>
        <v>-5.1135626451656391E-3</v>
      </c>
      <c r="AI49" s="24">
        <f t="shared" si="39"/>
        <v>0</v>
      </c>
      <c r="AJ49" s="25">
        <f t="shared" si="18"/>
        <v>-7.8988210842718832E-3</v>
      </c>
      <c r="AK49" s="25">
        <f t="shared" si="19"/>
        <v>0</v>
      </c>
      <c r="AL49" s="26">
        <f t="shared" si="20"/>
        <v>-4.4749395098571433E-2</v>
      </c>
      <c r="AM49" s="26">
        <f t="shared" si="16"/>
        <v>0</v>
      </c>
      <c r="AN49" s="27">
        <f t="shared" si="17"/>
        <v>4.2374192863689909E-2</v>
      </c>
      <c r="AO49" s="79">
        <f t="shared" si="21"/>
        <v>0</v>
      </c>
      <c r="AP49" s="31"/>
      <c r="AQ49" s="39"/>
      <c r="AR49" s="36"/>
      <c r="AS49" s="30"/>
      <c r="AT49" s="30"/>
    </row>
    <row r="50" spans="1:48" s="107" customFormat="1">
      <c r="A50" s="208" t="s">
        <v>164</v>
      </c>
      <c r="B50" s="327">
        <v>928082945.66999996</v>
      </c>
      <c r="C50" s="316">
        <v>1</v>
      </c>
      <c r="D50" s="327">
        <v>951501566.41999996</v>
      </c>
      <c r="E50" s="316">
        <v>1</v>
      </c>
      <c r="F50" s="24">
        <f t="shared" si="24"/>
        <v>2.5233327321938528E-2</v>
      </c>
      <c r="G50" s="24">
        <f t="shared" si="25"/>
        <v>0</v>
      </c>
      <c r="H50" s="327">
        <v>953231845.66999996</v>
      </c>
      <c r="I50" s="316">
        <v>1</v>
      </c>
      <c r="J50" s="24">
        <f t="shared" si="26"/>
        <v>1.8184723084693712E-3</v>
      </c>
      <c r="K50" s="24">
        <f t="shared" si="27"/>
        <v>0</v>
      </c>
      <c r="L50" s="327">
        <v>957746188.88999999</v>
      </c>
      <c r="M50" s="316">
        <v>1</v>
      </c>
      <c r="N50" s="24">
        <f t="shared" si="28"/>
        <v>4.7358292114412347E-3</v>
      </c>
      <c r="O50" s="24">
        <f t="shared" si="29"/>
        <v>0</v>
      </c>
      <c r="P50" s="327">
        <v>1159340009.8</v>
      </c>
      <c r="Q50" s="316">
        <v>1</v>
      </c>
      <c r="R50" s="24">
        <f t="shared" si="30"/>
        <v>0.21048772968090987</v>
      </c>
      <c r="S50" s="24">
        <f t="shared" si="31"/>
        <v>0</v>
      </c>
      <c r="T50" s="327">
        <v>1357157146.6500001</v>
      </c>
      <c r="U50" s="316">
        <v>1</v>
      </c>
      <c r="V50" s="24">
        <f t="shared" si="32"/>
        <v>0.17062909515572225</v>
      </c>
      <c r="W50" s="24">
        <f t="shared" si="33"/>
        <v>0</v>
      </c>
      <c r="X50" s="327">
        <v>1389889074.4200001</v>
      </c>
      <c r="Y50" s="316">
        <v>1</v>
      </c>
      <c r="Z50" s="24">
        <f t="shared" si="34"/>
        <v>2.4118008626189905E-2</v>
      </c>
      <c r="AA50" s="24">
        <f t="shared" si="35"/>
        <v>0</v>
      </c>
      <c r="AB50" s="327">
        <v>1386446347.23</v>
      </c>
      <c r="AC50" s="316">
        <v>1</v>
      </c>
      <c r="AD50" s="24">
        <f t="shared" si="36"/>
        <v>-2.4769798204484091E-3</v>
      </c>
      <c r="AE50" s="24">
        <f t="shared" si="37"/>
        <v>0</v>
      </c>
      <c r="AF50" s="327">
        <v>1384878578.6400001</v>
      </c>
      <c r="AG50" s="316">
        <v>1</v>
      </c>
      <c r="AH50" s="24">
        <f t="shared" si="38"/>
        <v>-1.1307820119633048E-3</v>
      </c>
      <c r="AI50" s="24">
        <f t="shared" si="39"/>
        <v>0</v>
      </c>
      <c r="AJ50" s="25">
        <f t="shared" si="18"/>
        <v>5.417683755903243E-2</v>
      </c>
      <c r="AK50" s="25">
        <f t="shared" si="19"/>
        <v>0</v>
      </c>
      <c r="AL50" s="26">
        <f t="shared" si="20"/>
        <v>0.45546642014533928</v>
      </c>
      <c r="AM50" s="26">
        <f t="shared" si="16"/>
        <v>0</v>
      </c>
      <c r="AN50" s="27">
        <f t="shared" si="17"/>
        <v>8.5515147197421926E-2</v>
      </c>
      <c r="AO50" s="79">
        <f t="shared" si="21"/>
        <v>0</v>
      </c>
      <c r="AP50" s="31"/>
      <c r="AQ50" s="39"/>
      <c r="AR50" s="36"/>
      <c r="AS50" s="30"/>
      <c r="AT50" s="30"/>
    </row>
    <row r="51" spans="1:48" s="112" customFormat="1">
      <c r="A51" s="208" t="s">
        <v>136</v>
      </c>
      <c r="B51" s="327">
        <v>745348814.19000006</v>
      </c>
      <c r="C51" s="316">
        <v>1</v>
      </c>
      <c r="D51" s="327">
        <v>756791710.04999995</v>
      </c>
      <c r="E51" s="316">
        <v>1</v>
      </c>
      <c r="F51" s="24">
        <f t="shared" si="24"/>
        <v>1.5352403656045715E-2</v>
      </c>
      <c r="G51" s="24">
        <f t="shared" si="25"/>
        <v>0</v>
      </c>
      <c r="H51" s="327">
        <v>783978470.24000001</v>
      </c>
      <c r="I51" s="316">
        <v>1</v>
      </c>
      <c r="J51" s="24">
        <f t="shared" si="26"/>
        <v>3.5923702425603832E-2</v>
      </c>
      <c r="K51" s="24">
        <f t="shared" si="27"/>
        <v>0</v>
      </c>
      <c r="L51" s="327">
        <v>815776068.83000004</v>
      </c>
      <c r="M51" s="316">
        <v>1</v>
      </c>
      <c r="N51" s="24">
        <f t="shared" si="28"/>
        <v>4.0559275282477852E-2</v>
      </c>
      <c r="O51" s="24">
        <f t="shared" si="29"/>
        <v>0</v>
      </c>
      <c r="P51" s="327">
        <v>816664046.34000003</v>
      </c>
      <c r="Q51" s="316">
        <v>1</v>
      </c>
      <c r="R51" s="24">
        <f t="shared" si="30"/>
        <v>1.0885064467183291E-3</v>
      </c>
      <c r="S51" s="24">
        <f t="shared" si="31"/>
        <v>0</v>
      </c>
      <c r="T51" s="327">
        <v>807604934.26999998</v>
      </c>
      <c r="U51" s="316">
        <v>1</v>
      </c>
      <c r="V51" s="24">
        <f t="shared" si="32"/>
        <v>-1.1092825881829615E-2</v>
      </c>
      <c r="W51" s="24">
        <f t="shared" si="33"/>
        <v>0</v>
      </c>
      <c r="X51" s="327">
        <v>813629894.64999998</v>
      </c>
      <c r="Y51" s="316">
        <v>1</v>
      </c>
      <c r="Z51" s="24">
        <f t="shared" si="34"/>
        <v>7.4602817842439276E-3</v>
      </c>
      <c r="AA51" s="24">
        <f t="shared" si="35"/>
        <v>0</v>
      </c>
      <c r="AB51" s="327">
        <v>808988012.13</v>
      </c>
      <c r="AC51" s="316">
        <v>1</v>
      </c>
      <c r="AD51" s="24">
        <f t="shared" si="36"/>
        <v>-5.7051523678303198E-3</v>
      </c>
      <c r="AE51" s="24">
        <f t="shared" si="37"/>
        <v>0</v>
      </c>
      <c r="AF51" s="327">
        <v>829094220.49000001</v>
      </c>
      <c r="AG51" s="316">
        <v>1</v>
      </c>
      <c r="AH51" s="24">
        <f t="shared" si="38"/>
        <v>2.4853530656235554E-2</v>
      </c>
      <c r="AI51" s="24">
        <f t="shared" si="39"/>
        <v>0</v>
      </c>
      <c r="AJ51" s="25">
        <f t="shared" si="18"/>
        <v>1.3554965250208162E-2</v>
      </c>
      <c r="AK51" s="25">
        <f t="shared" si="19"/>
        <v>0</v>
      </c>
      <c r="AL51" s="26">
        <f t="shared" si="20"/>
        <v>9.5538190336708573E-2</v>
      </c>
      <c r="AM51" s="26">
        <f t="shared" si="16"/>
        <v>0</v>
      </c>
      <c r="AN51" s="27">
        <f t="shared" si="17"/>
        <v>1.90169286546659E-2</v>
      </c>
      <c r="AO51" s="79">
        <f t="shared" si="21"/>
        <v>0</v>
      </c>
      <c r="AP51" s="31"/>
      <c r="AQ51" s="39"/>
      <c r="AR51" s="36"/>
      <c r="AS51" s="30"/>
      <c r="AT51" s="30"/>
    </row>
    <row r="52" spans="1:48">
      <c r="A52" s="208" t="s">
        <v>115</v>
      </c>
      <c r="B52" s="327">
        <v>19049536647.700001</v>
      </c>
      <c r="C52" s="316">
        <v>1</v>
      </c>
      <c r="D52" s="327">
        <v>18921688163.380001</v>
      </c>
      <c r="E52" s="316">
        <v>1</v>
      </c>
      <c r="F52" s="24">
        <f t="shared" si="24"/>
        <v>-6.711369766331605E-3</v>
      </c>
      <c r="G52" s="24">
        <f t="shared" si="25"/>
        <v>0</v>
      </c>
      <c r="H52" s="327">
        <v>18474677012.48</v>
      </c>
      <c r="I52" s="316">
        <v>1</v>
      </c>
      <c r="J52" s="24">
        <f t="shared" si="26"/>
        <v>-2.3624274274064109E-2</v>
      </c>
      <c r="K52" s="24">
        <f t="shared" si="27"/>
        <v>0</v>
      </c>
      <c r="L52" s="327">
        <v>19214793126.740002</v>
      </c>
      <c r="M52" s="316">
        <v>1</v>
      </c>
      <c r="N52" s="24">
        <f t="shared" si="28"/>
        <v>4.0061112503349289E-2</v>
      </c>
      <c r="O52" s="24">
        <f t="shared" si="29"/>
        <v>0</v>
      </c>
      <c r="P52" s="327">
        <v>20182740300.450001</v>
      </c>
      <c r="Q52" s="316">
        <v>1</v>
      </c>
      <c r="R52" s="24">
        <f t="shared" si="30"/>
        <v>5.0375102522595923E-2</v>
      </c>
      <c r="S52" s="24">
        <f t="shared" si="31"/>
        <v>0</v>
      </c>
      <c r="T52" s="327">
        <v>20171937733.349998</v>
      </c>
      <c r="U52" s="316">
        <v>1</v>
      </c>
      <c r="V52" s="24">
        <f t="shared" si="32"/>
        <v>-5.3523787846397803E-4</v>
      </c>
      <c r="W52" s="24">
        <f t="shared" si="33"/>
        <v>0</v>
      </c>
      <c r="X52" s="327">
        <v>20621502677.580002</v>
      </c>
      <c r="Y52" s="316">
        <v>1</v>
      </c>
      <c r="Z52" s="24">
        <f t="shared" si="34"/>
        <v>2.2286651395257064E-2</v>
      </c>
      <c r="AA52" s="24">
        <f t="shared" si="35"/>
        <v>0</v>
      </c>
      <c r="AB52" s="327">
        <v>20411464492.68</v>
      </c>
      <c r="AC52" s="316">
        <v>1</v>
      </c>
      <c r="AD52" s="24">
        <f t="shared" si="36"/>
        <v>-1.0185396679571664E-2</v>
      </c>
      <c r="AE52" s="24">
        <f t="shared" si="37"/>
        <v>0</v>
      </c>
      <c r="AF52" s="327">
        <v>20789967665.41</v>
      </c>
      <c r="AG52" s="316">
        <v>1</v>
      </c>
      <c r="AH52" s="24">
        <f t="shared" si="38"/>
        <v>1.8543655839380811E-2</v>
      </c>
      <c r="AI52" s="24">
        <f t="shared" si="39"/>
        <v>0</v>
      </c>
      <c r="AJ52" s="25">
        <f t="shared" si="18"/>
        <v>1.1276280457768966E-2</v>
      </c>
      <c r="AK52" s="25">
        <f t="shared" si="19"/>
        <v>0</v>
      </c>
      <c r="AL52" s="26">
        <f t="shared" si="20"/>
        <v>9.8737463903763339E-2</v>
      </c>
      <c r="AM52" s="26">
        <f t="shared" si="16"/>
        <v>0</v>
      </c>
      <c r="AN52" s="27">
        <f t="shared" si="17"/>
        <v>2.5837534402483101E-2</v>
      </c>
      <c r="AO52" s="79">
        <f t="shared" si="21"/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0" t="s">
        <v>42</v>
      </c>
      <c r="B53" s="77">
        <f>SUM(B24:B52)</f>
        <v>748848468799.76001</v>
      </c>
      <c r="C53" s="88"/>
      <c r="D53" s="77">
        <f>SUM(D24:D52)</f>
        <v>773728453122.66284</v>
      </c>
      <c r="E53" s="88"/>
      <c r="F53" s="24">
        <f>((D53-B53)/B53)</f>
        <v>3.3224324225139962E-2</v>
      </c>
      <c r="G53" s="24"/>
      <c r="H53" s="77">
        <f>SUM(H24:H52)</f>
        <v>796016399970.13</v>
      </c>
      <c r="I53" s="88"/>
      <c r="J53" s="24">
        <f>((H53-D53)/D53)</f>
        <v>2.8805903101425365E-2</v>
      </c>
      <c r="K53" s="24"/>
      <c r="L53" s="77">
        <f>SUM(L24:L52)</f>
        <v>809621970053.66992</v>
      </c>
      <c r="M53" s="88"/>
      <c r="N53" s="24">
        <f>((L53-H53)/H53)</f>
        <v>1.7092072580477558E-2</v>
      </c>
      <c r="O53" s="24"/>
      <c r="P53" s="77">
        <f>SUM(P24:P52)</f>
        <v>808804557491.32581</v>
      </c>
      <c r="Q53" s="88"/>
      <c r="R53" s="24">
        <f>((P53-L53)/L53)</f>
        <v>-1.009622506031957E-3</v>
      </c>
      <c r="S53" s="24"/>
      <c r="T53" s="77">
        <f>SUM(T24:T52)</f>
        <v>808555564328.63843</v>
      </c>
      <c r="U53" s="88"/>
      <c r="V53" s="24">
        <f>((T53-P53)/P53)</f>
        <v>-3.0785331311643645E-4</v>
      </c>
      <c r="W53" s="24"/>
      <c r="X53" s="77">
        <f>SUM(X24:X52)</f>
        <v>806141589764.57495</v>
      </c>
      <c r="Y53" s="88"/>
      <c r="Z53" s="24">
        <f>((X53-T53)/T53)</f>
        <v>-2.9855394861673522E-3</v>
      </c>
      <c r="AA53" s="24"/>
      <c r="AB53" s="77">
        <f>SUM(AB24:AB52)</f>
        <v>809389465815.42651</v>
      </c>
      <c r="AC53" s="88"/>
      <c r="AD53" s="24">
        <f>((AB53-X53)/X53)</f>
        <v>4.028915133630644E-3</v>
      </c>
      <c r="AE53" s="24"/>
      <c r="AF53" s="77">
        <f>SUM(AF24:AF52)</f>
        <v>813597370074.91248</v>
      </c>
      <c r="AG53" s="88"/>
      <c r="AH53" s="24">
        <f>((AF53-AB53)/AB53)</f>
        <v>5.1988621512965598E-3</v>
      </c>
      <c r="AI53" s="24"/>
      <c r="AJ53" s="25">
        <f t="shared" si="18"/>
        <v>1.0505882735831792E-2</v>
      </c>
      <c r="AK53" s="25"/>
      <c r="AL53" s="26">
        <f t="shared" si="20"/>
        <v>5.1528306593022537E-2</v>
      </c>
      <c r="AM53" s="26"/>
      <c r="AN53" s="27">
        <f t="shared" si="17"/>
        <v>1.4122292531630281E-2</v>
      </c>
      <c r="AO53" s="79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2" customFormat="1" ht="8.25" customHeight="1">
      <c r="A54" s="210"/>
      <c r="B54" s="88"/>
      <c r="C54" s="88"/>
      <c r="D54" s="88"/>
      <c r="E54" s="88"/>
      <c r="F54" s="24"/>
      <c r="G54" s="24"/>
      <c r="H54" s="88"/>
      <c r="I54" s="88"/>
      <c r="J54" s="24"/>
      <c r="K54" s="24"/>
      <c r="L54" s="88"/>
      <c r="M54" s="88"/>
      <c r="N54" s="24"/>
      <c r="O54" s="24"/>
      <c r="P54" s="88"/>
      <c r="Q54" s="88"/>
      <c r="R54" s="24"/>
      <c r="S54" s="24"/>
      <c r="T54" s="88"/>
      <c r="U54" s="88"/>
      <c r="V54" s="24"/>
      <c r="W54" s="24"/>
      <c r="X54" s="88"/>
      <c r="Y54" s="88"/>
      <c r="Z54" s="24"/>
      <c r="AA54" s="24"/>
      <c r="AB54" s="88"/>
      <c r="AC54" s="88"/>
      <c r="AD54" s="24"/>
      <c r="AE54" s="24"/>
      <c r="AF54" s="88"/>
      <c r="AG54" s="88"/>
      <c r="AH54" s="24"/>
      <c r="AI54" s="24"/>
      <c r="AJ54" s="25"/>
      <c r="AK54" s="25"/>
      <c r="AL54" s="26"/>
      <c r="AM54" s="26"/>
      <c r="AN54" s="27"/>
      <c r="AO54" s="79"/>
      <c r="AP54" s="31"/>
      <c r="AQ54" s="44"/>
      <c r="AR54" s="45"/>
      <c r="AS54" s="30"/>
      <c r="AT54" s="30"/>
    </row>
    <row r="55" spans="1:48">
      <c r="A55" s="211" t="s">
        <v>200</v>
      </c>
      <c r="B55" s="88"/>
      <c r="C55" s="88"/>
      <c r="D55" s="88"/>
      <c r="E55" s="88"/>
      <c r="F55" s="24"/>
      <c r="G55" s="24"/>
      <c r="H55" s="88"/>
      <c r="I55" s="88"/>
      <c r="J55" s="24"/>
      <c r="K55" s="24"/>
      <c r="L55" s="88"/>
      <c r="M55" s="88"/>
      <c r="N55" s="24"/>
      <c r="O55" s="24"/>
      <c r="P55" s="88"/>
      <c r="Q55" s="88"/>
      <c r="R55" s="24"/>
      <c r="S55" s="24"/>
      <c r="T55" s="88"/>
      <c r="U55" s="88"/>
      <c r="V55" s="24"/>
      <c r="W55" s="24"/>
      <c r="X55" s="88"/>
      <c r="Y55" s="88"/>
      <c r="Z55" s="24"/>
      <c r="AA55" s="24"/>
      <c r="AB55" s="88"/>
      <c r="AC55" s="88"/>
      <c r="AD55" s="24"/>
      <c r="AE55" s="24"/>
      <c r="AF55" s="88"/>
      <c r="AG55" s="88"/>
      <c r="AH55" s="24"/>
      <c r="AI55" s="24"/>
      <c r="AJ55" s="25"/>
      <c r="AK55" s="25"/>
      <c r="AL55" s="26"/>
      <c r="AM55" s="26"/>
      <c r="AN55" s="27"/>
      <c r="AO55" s="79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08" t="s">
        <v>143</v>
      </c>
      <c r="B56" s="332">
        <v>430345693.22000003</v>
      </c>
      <c r="C56" s="333">
        <v>1.2306999999999999</v>
      </c>
      <c r="D56" s="332">
        <v>429448587.36000001</v>
      </c>
      <c r="E56" s="333">
        <v>1.2317</v>
      </c>
      <c r="F56" s="24">
        <f t="shared" ref="F56:F81" si="40">((D56-B56)/B56)</f>
        <v>-2.0846167955987853E-3</v>
      </c>
      <c r="G56" s="24">
        <f t="shared" ref="G56:G81" si="41">((E56-C56)/C56)</f>
        <v>8.1254570569603635E-4</v>
      </c>
      <c r="H56" s="332">
        <v>432521557.88999999</v>
      </c>
      <c r="I56" s="333">
        <v>1.2404999999999999</v>
      </c>
      <c r="J56" s="24">
        <f t="shared" ref="J56:J81" si="42">((H56-D56)/D56)</f>
        <v>7.1556191368349949E-3</v>
      </c>
      <c r="K56" s="24">
        <f t="shared" ref="K56:K81" si="43">((I56-E56)/E56)</f>
        <v>7.1445968985953713E-3</v>
      </c>
      <c r="L56" s="332">
        <v>436633668.94999999</v>
      </c>
      <c r="M56" s="333">
        <v>1.254</v>
      </c>
      <c r="N56" s="24">
        <f t="shared" ref="N56:N81" si="44">((L56-H56)/H56)</f>
        <v>9.5072973473516557E-3</v>
      </c>
      <c r="O56" s="24">
        <f t="shared" ref="O56:O81" si="45">((M56-I56)/I56)</f>
        <v>1.0882708585247938E-2</v>
      </c>
      <c r="P56" s="332">
        <v>435253359.00999999</v>
      </c>
      <c r="Q56" s="333">
        <v>1.2501</v>
      </c>
      <c r="R56" s="24">
        <f t="shared" ref="R56:R81" si="46">((P56-L56)/L56)</f>
        <v>-3.1612540171703073E-3</v>
      </c>
      <c r="S56" s="24">
        <f t="shared" ref="S56:S81" si="47">((Q56-M56)/M56)</f>
        <v>-3.1100478468899639E-3</v>
      </c>
      <c r="T56" s="332">
        <v>438861132.99000001</v>
      </c>
      <c r="U56" s="333">
        <v>1.2603</v>
      </c>
      <c r="V56" s="24">
        <f t="shared" ref="V56:V81" si="48">((T56-P56)/P56)</f>
        <v>8.2889055427533883E-3</v>
      </c>
      <c r="W56" s="24">
        <f t="shared" ref="W56:W81" si="49">((U56-Q56)/Q56)</f>
        <v>8.1593472522198118E-3</v>
      </c>
      <c r="X56" s="332">
        <v>435805556.92000002</v>
      </c>
      <c r="Y56" s="333">
        <v>1.2517</v>
      </c>
      <c r="Z56" s="24">
        <f t="shared" ref="Z56:Z81" si="50">((X56-T56)/T56)</f>
        <v>-6.9625123764824664E-3</v>
      </c>
      <c r="AA56" s="24">
        <f t="shared" ref="AA56:AA81" si="51">((Y56-U56)/U56)</f>
        <v>-6.8237721177496951E-3</v>
      </c>
      <c r="AB56" s="332">
        <v>434667650.29000002</v>
      </c>
      <c r="AC56" s="333">
        <v>1.2497</v>
      </c>
      <c r="AD56" s="24">
        <f t="shared" ref="AD56:AD81" si="52">((AB56-X56)/X56)</f>
        <v>-2.6110420391194751E-3</v>
      </c>
      <c r="AE56" s="24">
        <f t="shared" ref="AE56:AE81" si="53">((AC56-Y56)/Y56)</f>
        <v>-1.597826955340738E-3</v>
      </c>
      <c r="AF56" s="332">
        <v>435935264.88999999</v>
      </c>
      <c r="AG56" s="333">
        <v>1.2535000000000001</v>
      </c>
      <c r="AH56" s="24">
        <f t="shared" ref="AH56:AH81" si="54">((AF56-AB56)/AB56)</f>
        <v>2.9162846582998334E-3</v>
      </c>
      <c r="AI56" s="24">
        <f t="shared" ref="AI56:AI81" si="55">((AG56-AC56)/AC56)</f>
        <v>3.0407297751460552E-3</v>
      </c>
      <c r="AJ56" s="25">
        <f t="shared" si="18"/>
        <v>1.6310851821086042E-3</v>
      </c>
      <c r="AK56" s="25">
        <f t="shared" si="19"/>
        <v>2.313535162115602E-3</v>
      </c>
      <c r="AL56" s="26">
        <f t="shared" si="20"/>
        <v>1.5104666125172956E-2</v>
      </c>
      <c r="AM56" s="26">
        <f t="shared" si="16"/>
        <v>1.7699115044247822E-2</v>
      </c>
      <c r="AN56" s="27">
        <f t="shared" si="17"/>
        <v>6.1777483379031571E-3</v>
      </c>
      <c r="AO56" s="79">
        <f t="shared" si="21"/>
        <v>6.1170672431418585E-3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08" t="s">
        <v>149</v>
      </c>
      <c r="B57" s="332">
        <v>1004149663.9400001</v>
      </c>
      <c r="C57" s="333">
        <v>1.1204000000000001</v>
      </c>
      <c r="D57" s="332">
        <v>997354750.13999999</v>
      </c>
      <c r="E57" s="333">
        <v>1.1214999999999999</v>
      </c>
      <c r="F57" s="24">
        <f t="shared" si="40"/>
        <v>-6.7668337141484928E-3</v>
      </c>
      <c r="G57" s="24">
        <f t="shared" si="41"/>
        <v>9.817922170652256E-4</v>
      </c>
      <c r="H57" s="332">
        <v>997550160.86000001</v>
      </c>
      <c r="I57" s="333">
        <v>1.1217999999999999</v>
      </c>
      <c r="J57" s="24">
        <f t="shared" si="42"/>
        <v>1.9592900116292478E-4</v>
      </c>
      <c r="K57" s="24">
        <f t="shared" si="43"/>
        <v>2.6749888542128129E-4</v>
      </c>
      <c r="L57" s="332">
        <v>1003800375.58</v>
      </c>
      <c r="M57" s="333">
        <v>1.1229</v>
      </c>
      <c r="N57" s="24">
        <f t="shared" si="44"/>
        <v>6.2655643447660251E-3</v>
      </c>
      <c r="O57" s="24">
        <f t="shared" si="45"/>
        <v>9.8056694597976565E-4</v>
      </c>
      <c r="P57" s="332">
        <v>1004898326.08</v>
      </c>
      <c r="Q57" s="333">
        <v>1.1241000000000001</v>
      </c>
      <c r="R57" s="24">
        <f t="shared" si="46"/>
        <v>1.0937936732346803E-3</v>
      </c>
      <c r="S57" s="24">
        <f t="shared" si="47"/>
        <v>1.0686615014694897E-3</v>
      </c>
      <c r="T57" s="332">
        <v>1006790507.09</v>
      </c>
      <c r="U57" s="333">
        <v>1.1253</v>
      </c>
      <c r="V57" s="24">
        <f t="shared" si="48"/>
        <v>1.8829576693407228E-3</v>
      </c>
      <c r="W57" s="24">
        <f t="shared" si="49"/>
        <v>1.0675206832131195E-3</v>
      </c>
      <c r="X57" s="332">
        <v>1009256766.59</v>
      </c>
      <c r="Y57" s="333">
        <v>1.1265000000000001</v>
      </c>
      <c r="Z57" s="24">
        <f t="shared" si="50"/>
        <v>2.449625302018798E-3</v>
      </c>
      <c r="AA57" s="24">
        <f t="shared" si="51"/>
        <v>1.0663822980539323E-3</v>
      </c>
      <c r="AB57" s="332">
        <v>1013328826.91</v>
      </c>
      <c r="AC57" s="333">
        <v>1.1274</v>
      </c>
      <c r="AD57" s="24">
        <f t="shared" si="52"/>
        <v>4.0347119333747948E-3</v>
      </c>
      <c r="AE57" s="24">
        <f t="shared" si="53"/>
        <v>7.9893475366169626E-4</v>
      </c>
      <c r="AF57" s="332">
        <v>1014130867.0599999</v>
      </c>
      <c r="AG57" s="333">
        <v>1.1286</v>
      </c>
      <c r="AH57" s="24">
        <f t="shared" si="54"/>
        <v>7.9149050999139325E-4</v>
      </c>
      <c r="AI57" s="24">
        <f t="shared" si="55"/>
        <v>1.0643959552954496E-3</v>
      </c>
      <c r="AJ57" s="25">
        <f t="shared" si="18"/>
        <v>1.2434048399676057E-3</v>
      </c>
      <c r="AK57" s="25">
        <f t="shared" si="19"/>
        <v>9.1196915501999499E-4</v>
      </c>
      <c r="AL57" s="26">
        <f t="shared" si="20"/>
        <v>1.6820611640587336E-2</v>
      </c>
      <c r="AM57" s="26">
        <f t="shared" si="16"/>
        <v>6.3308069549711157E-3</v>
      </c>
      <c r="AN57" s="27">
        <f t="shared" si="17"/>
        <v>3.7865403432147306E-3</v>
      </c>
      <c r="AO57" s="79">
        <f t="shared" si="21"/>
        <v>2.7607600887848095E-4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86"/>
      <c r="AV57" s="86"/>
    </row>
    <row r="58" spans="1:48">
      <c r="A58" s="208" t="s">
        <v>235</v>
      </c>
      <c r="B58" s="332">
        <v>860056293.79999995</v>
      </c>
      <c r="C58" s="333">
        <v>1.0443</v>
      </c>
      <c r="D58" s="332">
        <v>860086677.69000006</v>
      </c>
      <c r="E58" s="333">
        <v>1.0452999999999999</v>
      </c>
      <c r="F58" s="24">
        <f t="shared" si="40"/>
        <v>3.5327792167951348E-5</v>
      </c>
      <c r="G58" s="24">
        <f t="shared" si="41"/>
        <v>9.5757923968197822E-4</v>
      </c>
      <c r="H58" s="332">
        <v>871076080.09000003</v>
      </c>
      <c r="I58" s="333">
        <v>1.0465</v>
      </c>
      <c r="J58" s="24">
        <f t="shared" si="42"/>
        <v>1.2777087106517039E-2</v>
      </c>
      <c r="K58" s="24">
        <f t="shared" si="43"/>
        <v>1.147995790682187E-3</v>
      </c>
      <c r="L58" s="332">
        <v>872059303.66999996</v>
      </c>
      <c r="M58" s="333">
        <v>1.0477000000000001</v>
      </c>
      <c r="N58" s="24">
        <f t="shared" si="44"/>
        <v>1.1287459298599228E-3</v>
      </c>
      <c r="O58" s="24">
        <f t="shared" si="45"/>
        <v>1.1466794075490586E-3</v>
      </c>
      <c r="P58" s="332">
        <v>873059452.58000004</v>
      </c>
      <c r="Q58" s="333">
        <v>1.0488999999999999</v>
      </c>
      <c r="R58" s="24">
        <f t="shared" si="46"/>
        <v>1.1468817611268291E-3</v>
      </c>
      <c r="S58" s="24">
        <f t="shared" si="47"/>
        <v>1.1453660398967908E-3</v>
      </c>
      <c r="T58" s="332">
        <v>877725413.79999995</v>
      </c>
      <c r="U58" s="333">
        <v>1.0501</v>
      </c>
      <c r="V58" s="24">
        <f t="shared" si="48"/>
        <v>5.3443797054271731E-3</v>
      </c>
      <c r="W58" s="24">
        <f t="shared" si="49"/>
        <v>1.1440556773763847E-3</v>
      </c>
      <c r="X58" s="332">
        <v>875191595.79999995</v>
      </c>
      <c r="Y58" s="333">
        <v>1.0512999999999999</v>
      </c>
      <c r="Z58" s="24">
        <f t="shared" si="50"/>
        <v>-2.8868003138135868E-3</v>
      </c>
      <c r="AA58" s="24">
        <f t="shared" si="51"/>
        <v>1.142748309684666E-3</v>
      </c>
      <c r="AB58" s="332">
        <v>874467738.55999994</v>
      </c>
      <c r="AC58" s="333">
        <v>1.0521</v>
      </c>
      <c r="AD58" s="24">
        <f t="shared" si="52"/>
        <v>-8.2708431327924506E-4</v>
      </c>
      <c r="AE58" s="24">
        <f t="shared" si="53"/>
        <v>7.6096261771153243E-4</v>
      </c>
      <c r="AF58" s="332">
        <v>875379586.21000004</v>
      </c>
      <c r="AG58" s="333">
        <v>1.0531999999999999</v>
      </c>
      <c r="AH58" s="24">
        <f t="shared" si="54"/>
        <v>1.0427459010685168E-3</v>
      </c>
      <c r="AI58" s="24">
        <f t="shared" si="55"/>
        <v>1.0455279916356608E-3</v>
      </c>
      <c r="AJ58" s="25">
        <f t="shared" si="18"/>
        <v>2.2201604461343249E-3</v>
      </c>
      <c r="AK58" s="25">
        <f t="shared" si="19"/>
        <v>1.0613643842772823E-3</v>
      </c>
      <c r="AL58" s="26">
        <f t="shared" si="20"/>
        <v>1.778065969010624E-2</v>
      </c>
      <c r="AM58" s="26">
        <f t="shared" si="16"/>
        <v>7.5576389553238489E-3</v>
      </c>
      <c r="AN58" s="27">
        <f t="shared" si="17"/>
        <v>4.8562052621811775E-3</v>
      </c>
      <c r="AO58" s="79">
        <f t="shared" si="21"/>
        <v>1.3967538596631901E-4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07" customFormat="1">
      <c r="A59" s="208" t="s">
        <v>174</v>
      </c>
      <c r="B59" s="332">
        <v>244068967.06999999</v>
      </c>
      <c r="C59" s="75">
        <v>1103.1400000000001</v>
      </c>
      <c r="D59" s="332">
        <v>246656873.91</v>
      </c>
      <c r="E59" s="75">
        <v>1114.6300000000001</v>
      </c>
      <c r="F59" s="24">
        <f t="shared" si="40"/>
        <v>1.0603178564924976E-2</v>
      </c>
      <c r="G59" s="24">
        <f t="shared" si="41"/>
        <v>1.0415722392443396E-2</v>
      </c>
      <c r="H59" s="332">
        <v>248207842.50999999</v>
      </c>
      <c r="I59" s="75">
        <v>1120.73</v>
      </c>
      <c r="J59" s="24">
        <f t="shared" si="42"/>
        <v>6.2879601748537135E-3</v>
      </c>
      <c r="K59" s="24">
        <f t="shared" si="43"/>
        <v>5.4726680602530959E-3</v>
      </c>
      <c r="L59" s="332">
        <v>246281086.68000001</v>
      </c>
      <c r="M59" s="75">
        <v>1123.19</v>
      </c>
      <c r="N59" s="24">
        <f t="shared" si="44"/>
        <v>-7.7626710361593703E-3</v>
      </c>
      <c r="O59" s="24">
        <f t="shared" si="45"/>
        <v>2.1949979031524419E-3</v>
      </c>
      <c r="P59" s="332">
        <v>246917824.09999999</v>
      </c>
      <c r="Q59" s="75">
        <v>1125.58</v>
      </c>
      <c r="R59" s="24">
        <f t="shared" si="46"/>
        <v>2.5854093328218819E-3</v>
      </c>
      <c r="S59" s="24">
        <f t="shared" si="47"/>
        <v>2.1278679475421544E-3</v>
      </c>
      <c r="T59" s="332">
        <v>247148026.52000001</v>
      </c>
      <c r="U59" s="75">
        <v>1127.9100000000001</v>
      </c>
      <c r="V59" s="24">
        <f t="shared" si="48"/>
        <v>9.3230377693100976E-4</v>
      </c>
      <c r="W59" s="24">
        <f t="shared" si="49"/>
        <v>2.0700438884842967E-3</v>
      </c>
      <c r="X59" s="332">
        <v>248304510.19</v>
      </c>
      <c r="Y59" s="75">
        <v>1128.8599999999999</v>
      </c>
      <c r="Z59" s="24">
        <f t="shared" si="50"/>
        <v>4.6793158184752917E-3</v>
      </c>
      <c r="AA59" s="24">
        <f t="shared" si="51"/>
        <v>8.4226578361732589E-4</v>
      </c>
      <c r="AB59" s="332">
        <v>249028081.15000001</v>
      </c>
      <c r="AC59" s="75">
        <v>1131.33</v>
      </c>
      <c r="AD59" s="24">
        <f t="shared" si="52"/>
        <v>2.9140467865297311E-3</v>
      </c>
      <c r="AE59" s="24">
        <f t="shared" si="53"/>
        <v>2.1880481193416608E-3</v>
      </c>
      <c r="AF59" s="332">
        <v>249853693.56</v>
      </c>
      <c r="AG59" s="75">
        <v>1133.79</v>
      </c>
      <c r="AH59" s="24">
        <f t="shared" si="54"/>
        <v>3.3153386003191166E-3</v>
      </c>
      <c r="AI59" s="24">
        <f t="shared" si="55"/>
        <v>2.1744318633820695E-3</v>
      </c>
      <c r="AJ59" s="25">
        <f t="shared" si="18"/>
        <v>2.9443602523370437E-3</v>
      </c>
      <c r="AK59" s="25">
        <f t="shared" si="19"/>
        <v>3.4357557447770551E-3</v>
      </c>
      <c r="AL59" s="26">
        <f t="shared" si="20"/>
        <v>1.296059420248089E-2</v>
      </c>
      <c r="AM59" s="26">
        <f t="shared" si="16"/>
        <v>1.7189560661385259E-2</v>
      </c>
      <c r="AN59" s="27">
        <f t="shared" si="17"/>
        <v>5.2345488150518614E-3</v>
      </c>
      <c r="AO59" s="79">
        <f t="shared" si="21"/>
        <v>3.1135204695599866E-3</v>
      </c>
      <c r="AP59" s="31"/>
      <c r="AQ59" s="32"/>
      <c r="AR59" s="32"/>
      <c r="AS59" s="30"/>
      <c r="AT59" s="30"/>
    </row>
    <row r="60" spans="1:48">
      <c r="A60" s="208" t="s">
        <v>183</v>
      </c>
      <c r="B60" s="332">
        <v>1311437218.8099999</v>
      </c>
      <c r="C60" s="333">
        <v>1.0125999999999999</v>
      </c>
      <c r="D60" s="332">
        <v>1322964935.5699999</v>
      </c>
      <c r="E60" s="333">
        <v>1.0141</v>
      </c>
      <c r="F60" s="24">
        <f t="shared" si="40"/>
        <v>8.7901400041553324E-3</v>
      </c>
      <c r="G60" s="24">
        <f t="shared" si="41"/>
        <v>1.4813351767727207E-3</v>
      </c>
      <c r="H60" s="332">
        <v>1344822251.6800001</v>
      </c>
      <c r="I60" s="333">
        <v>1.0157</v>
      </c>
      <c r="J60" s="24">
        <f t="shared" si="42"/>
        <v>1.6521462906787399E-2</v>
      </c>
      <c r="K60" s="24">
        <f t="shared" si="43"/>
        <v>1.5777536732078155E-3</v>
      </c>
      <c r="L60" s="332">
        <v>1362929289.6199999</v>
      </c>
      <c r="M60" s="333">
        <v>1.0177</v>
      </c>
      <c r="N60" s="24">
        <f t="shared" si="44"/>
        <v>1.3464261107651854E-2</v>
      </c>
      <c r="O60" s="24">
        <f t="shared" si="45"/>
        <v>1.9690853598503511E-3</v>
      </c>
      <c r="P60" s="332">
        <v>1348305043.5799999</v>
      </c>
      <c r="Q60" s="333">
        <v>1.0198</v>
      </c>
      <c r="R60" s="24">
        <f t="shared" si="46"/>
        <v>-1.0730010831359686E-2</v>
      </c>
      <c r="S60" s="24">
        <f t="shared" si="47"/>
        <v>2.0634764665421936E-3</v>
      </c>
      <c r="T60" s="332">
        <v>1346983034.3499999</v>
      </c>
      <c r="U60" s="333">
        <v>1.0215000000000001</v>
      </c>
      <c r="V60" s="24">
        <f t="shared" si="48"/>
        <v>-9.8049713326729053E-4</v>
      </c>
      <c r="W60" s="24">
        <f t="shared" si="49"/>
        <v>1.6669935281428071E-3</v>
      </c>
      <c r="X60" s="332">
        <v>1345332021.28</v>
      </c>
      <c r="Y60" s="333">
        <v>1.0232000000000001</v>
      </c>
      <c r="Z60" s="24">
        <f t="shared" si="50"/>
        <v>-1.2257118522629694E-3</v>
      </c>
      <c r="AA60" s="24">
        <f t="shared" si="51"/>
        <v>1.6642192853646939E-3</v>
      </c>
      <c r="AB60" s="332">
        <v>1347752761.29</v>
      </c>
      <c r="AC60" s="333">
        <v>1.0247999999999999</v>
      </c>
      <c r="AD60" s="24">
        <f t="shared" si="52"/>
        <v>1.7993625155051365E-3</v>
      </c>
      <c r="AE60" s="24">
        <f t="shared" si="53"/>
        <v>1.5637216575447846E-3</v>
      </c>
      <c r="AF60" s="332">
        <v>1392069607.25</v>
      </c>
      <c r="AG60" s="333">
        <v>1.0262</v>
      </c>
      <c r="AH60" s="24">
        <f t="shared" si="54"/>
        <v>3.288202942918271E-2</v>
      </c>
      <c r="AI60" s="24">
        <f t="shared" si="55"/>
        <v>1.3661202185793013E-3</v>
      </c>
      <c r="AJ60" s="25">
        <f t="shared" si="18"/>
        <v>7.565129518299062E-3</v>
      </c>
      <c r="AK60" s="25">
        <f t="shared" si="19"/>
        <v>1.6690881707505834E-3</v>
      </c>
      <c r="AL60" s="26">
        <f t="shared" si="20"/>
        <v>5.2234696341537046E-2</v>
      </c>
      <c r="AM60" s="26">
        <f t="shared" si="16"/>
        <v>1.1931762153633764E-2</v>
      </c>
      <c r="AN60" s="27">
        <f t="shared" si="17"/>
        <v>1.3499865552118732E-2</v>
      </c>
      <c r="AO60" s="79">
        <f t="shared" si="21"/>
        <v>2.3665930733403511E-4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08" t="s">
        <v>108</v>
      </c>
      <c r="B61" s="332">
        <v>419606403.51999998</v>
      </c>
      <c r="C61" s="333">
        <v>2.1391</v>
      </c>
      <c r="D61" s="332">
        <v>420336175.68000001</v>
      </c>
      <c r="E61" s="333">
        <v>2.1427999999999998</v>
      </c>
      <c r="F61" s="24">
        <f t="shared" si="40"/>
        <v>1.7391826098889422E-3</v>
      </c>
      <c r="G61" s="24">
        <f t="shared" si="41"/>
        <v>1.7296994062922792E-3</v>
      </c>
      <c r="H61" s="332">
        <v>420336175.68000001</v>
      </c>
      <c r="I61" s="333">
        <v>2.1427999999999998</v>
      </c>
      <c r="J61" s="24">
        <f t="shared" si="42"/>
        <v>0</v>
      </c>
      <c r="K61" s="24">
        <f t="shared" si="43"/>
        <v>0</v>
      </c>
      <c r="L61" s="332">
        <v>420335493.08999997</v>
      </c>
      <c r="M61" s="333">
        <v>2.1425828066461472</v>
      </c>
      <c r="N61" s="24">
        <f t="shared" si="44"/>
        <v>-1.6239144749535696E-6</v>
      </c>
      <c r="O61" s="24">
        <f t="shared" si="45"/>
        <v>-1.0135960138725887E-4</v>
      </c>
      <c r="P61" s="332">
        <v>422705361.08999997</v>
      </c>
      <c r="Q61" s="333">
        <v>2.1547000000000001</v>
      </c>
      <c r="R61" s="24">
        <f t="shared" si="46"/>
        <v>5.6380392304691161E-3</v>
      </c>
      <c r="S61" s="24">
        <f t="shared" si="47"/>
        <v>5.6554142580936178E-3</v>
      </c>
      <c r="T61" s="332">
        <v>423189763.33999997</v>
      </c>
      <c r="U61" s="333">
        <v>2.1570999999999998</v>
      </c>
      <c r="V61" s="24">
        <f t="shared" si="48"/>
        <v>1.1459571952220022E-3</v>
      </c>
      <c r="W61" s="24">
        <f t="shared" si="49"/>
        <v>1.1138441546385742E-3</v>
      </c>
      <c r="X61" s="332">
        <v>423972525.22000003</v>
      </c>
      <c r="Y61" s="333">
        <v>2.161</v>
      </c>
      <c r="Z61" s="24">
        <f t="shared" si="50"/>
        <v>1.8496711116595859E-3</v>
      </c>
      <c r="AA61" s="24">
        <f t="shared" si="51"/>
        <v>1.8079829400585216E-3</v>
      </c>
      <c r="AB61" s="332">
        <v>420258971.32999998</v>
      </c>
      <c r="AC61" s="333">
        <v>2.1648999999999998</v>
      </c>
      <c r="AD61" s="24">
        <f t="shared" si="52"/>
        <v>-8.7589493872818197E-3</v>
      </c>
      <c r="AE61" s="24">
        <f t="shared" si="53"/>
        <v>1.8047200370198023E-3</v>
      </c>
      <c r="AF61" s="332">
        <v>419942820.24000001</v>
      </c>
      <c r="AG61" s="333">
        <v>2.1684999999999999</v>
      </c>
      <c r="AH61" s="24">
        <f t="shared" si="54"/>
        <v>-7.5227683777801479E-4</v>
      </c>
      <c r="AI61" s="24">
        <f t="shared" si="55"/>
        <v>1.6628943600166511E-3</v>
      </c>
      <c r="AJ61" s="25">
        <f t="shared" si="18"/>
        <v>1.075000009631074E-4</v>
      </c>
      <c r="AK61" s="25">
        <f t="shared" si="19"/>
        <v>1.7091494443415235E-3</v>
      </c>
      <c r="AL61" s="26">
        <f t="shared" si="20"/>
        <v>-9.358115307673573E-4</v>
      </c>
      <c r="AM61" s="26">
        <f t="shared" si="16"/>
        <v>1.1993653164084402E-2</v>
      </c>
      <c r="AN61" s="27">
        <f t="shared" si="17"/>
        <v>4.0837554683071792E-3</v>
      </c>
      <c r="AO61" s="79">
        <f t="shared" si="21"/>
        <v>1.7787633275391658E-3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09" t="s">
        <v>18</v>
      </c>
      <c r="B62" s="332">
        <v>2806857804.0954599</v>
      </c>
      <c r="C62" s="332">
        <v>3750.97828280573</v>
      </c>
      <c r="D62" s="332">
        <v>2808141245.8317699</v>
      </c>
      <c r="E62" s="332">
        <v>3756.17268771403</v>
      </c>
      <c r="F62" s="24">
        <f t="shared" si="40"/>
        <v>4.572521395410011E-4</v>
      </c>
      <c r="G62" s="24">
        <f t="shared" si="41"/>
        <v>1.3848133784487063E-3</v>
      </c>
      <c r="H62" s="332">
        <v>2811044952.52388</v>
      </c>
      <c r="I62" s="332">
        <v>3761.35290289879</v>
      </c>
      <c r="J62" s="24">
        <f t="shared" si="42"/>
        <v>1.0340315667597359E-3</v>
      </c>
      <c r="K62" s="24">
        <f t="shared" si="43"/>
        <v>1.3791206143700227E-3</v>
      </c>
      <c r="L62" s="332">
        <v>2813464088.7721701</v>
      </c>
      <c r="M62" s="332">
        <v>3766.56497147757</v>
      </c>
      <c r="N62" s="24">
        <f t="shared" si="44"/>
        <v>8.6058255529427045E-4</v>
      </c>
      <c r="O62" s="24">
        <f t="shared" si="45"/>
        <v>1.3856898603593242E-3</v>
      </c>
      <c r="P62" s="332">
        <v>2817601027.7495198</v>
      </c>
      <c r="Q62" s="332">
        <v>3771.84795831474</v>
      </c>
      <c r="R62" s="24">
        <f t="shared" si="46"/>
        <v>1.4704075996062095E-3</v>
      </c>
      <c r="S62" s="24">
        <f t="shared" si="47"/>
        <v>1.4026007455534711E-3</v>
      </c>
      <c r="T62" s="332">
        <v>2820506775.7290502</v>
      </c>
      <c r="U62" s="332">
        <v>3777.1996313684499</v>
      </c>
      <c r="V62" s="24">
        <f t="shared" si="48"/>
        <v>1.0312843979373544E-3</v>
      </c>
      <c r="W62" s="24">
        <f t="shared" si="49"/>
        <v>1.4188464415466522E-3</v>
      </c>
      <c r="X62" s="332">
        <v>3326601976.5959201</v>
      </c>
      <c r="Y62" s="332">
        <v>3782.0763097295098</v>
      </c>
      <c r="Z62" s="24">
        <f t="shared" si="50"/>
        <v>0.17943413758899884</v>
      </c>
      <c r="AA62" s="24">
        <f t="shared" si="51"/>
        <v>1.291083034256558E-3</v>
      </c>
      <c r="AB62" s="332">
        <v>3331413361.9047599</v>
      </c>
      <c r="AC62" s="332">
        <v>3787.4354466550499</v>
      </c>
      <c r="AD62" s="24">
        <f t="shared" si="52"/>
        <v>1.4463363344006796E-3</v>
      </c>
      <c r="AE62" s="24">
        <f t="shared" si="53"/>
        <v>1.416982759378359E-3</v>
      </c>
      <c r="AF62" s="332">
        <v>3333864097.5748701</v>
      </c>
      <c r="AG62" s="332">
        <v>3792.8899201300201</v>
      </c>
      <c r="AH62" s="24">
        <f t="shared" si="54"/>
        <v>7.3564442591687266E-4</v>
      </c>
      <c r="AI62" s="24">
        <f t="shared" si="55"/>
        <v>1.4401495554960358E-3</v>
      </c>
      <c r="AJ62" s="25">
        <f t="shared" si="18"/>
        <v>2.3308709576056869E-2</v>
      </c>
      <c r="AK62" s="25">
        <f t="shared" si="19"/>
        <v>1.3899107986761413E-3</v>
      </c>
      <c r="AL62" s="26">
        <f t="shared" si="20"/>
        <v>0.18721382071626577</v>
      </c>
      <c r="AM62" s="26">
        <f t="shared" si="16"/>
        <v>9.77517155589986E-3</v>
      </c>
      <c r="AN62" s="27">
        <f t="shared" si="17"/>
        <v>6.3085112355301051E-2</v>
      </c>
      <c r="AO62" s="79">
        <f t="shared" si="21"/>
        <v>4.5011562060576988E-5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08" t="s">
        <v>231</v>
      </c>
      <c r="B63" s="332">
        <v>370249049.13999999</v>
      </c>
      <c r="C63" s="333">
        <v>106.82</v>
      </c>
      <c r="D63" s="332">
        <v>370220447.52999997</v>
      </c>
      <c r="E63" s="333">
        <v>107</v>
      </c>
      <c r="F63" s="24">
        <f t="shared" si="40"/>
        <v>-7.7249651461493304E-5</v>
      </c>
      <c r="G63" s="24">
        <f t="shared" si="41"/>
        <v>1.6850777008051566E-3</v>
      </c>
      <c r="H63" s="332">
        <v>371401709.95999998</v>
      </c>
      <c r="I63" s="333">
        <v>107.24</v>
      </c>
      <c r="J63" s="24">
        <f t="shared" si="42"/>
        <v>3.1907001298308521E-3</v>
      </c>
      <c r="K63" s="24">
        <f t="shared" si="43"/>
        <v>2.2429906542055598E-3</v>
      </c>
      <c r="L63" s="332">
        <v>372397193.36000001</v>
      </c>
      <c r="M63" s="333">
        <v>107.39</v>
      </c>
      <c r="N63" s="24">
        <f t="shared" si="44"/>
        <v>2.6803414559056541E-3</v>
      </c>
      <c r="O63" s="24">
        <f t="shared" si="45"/>
        <v>1.3987318164864389E-3</v>
      </c>
      <c r="P63" s="332">
        <v>371909930.85000002</v>
      </c>
      <c r="Q63" s="333">
        <v>107.56</v>
      </c>
      <c r="R63" s="24">
        <f t="shared" si="46"/>
        <v>-1.3084483951224333E-3</v>
      </c>
      <c r="S63" s="24">
        <f t="shared" si="47"/>
        <v>1.5830151783220198E-3</v>
      </c>
      <c r="T63" s="332">
        <v>368165213.85000002</v>
      </c>
      <c r="U63" s="333">
        <v>107.75</v>
      </c>
      <c r="V63" s="24">
        <f t="shared" si="48"/>
        <v>-1.0068881439765403E-2</v>
      </c>
      <c r="W63" s="24">
        <f t="shared" si="49"/>
        <v>1.7664559315730543E-3</v>
      </c>
      <c r="X63" s="332">
        <v>368425978.45999998</v>
      </c>
      <c r="Y63" s="333">
        <v>107.89</v>
      </c>
      <c r="Z63" s="24">
        <f t="shared" si="50"/>
        <v>7.082815002348291E-4</v>
      </c>
      <c r="AA63" s="24">
        <f t="shared" si="51"/>
        <v>1.2993039443155506E-3</v>
      </c>
      <c r="AB63" s="332">
        <v>370987150.94</v>
      </c>
      <c r="AC63" s="333">
        <v>108.16</v>
      </c>
      <c r="AD63" s="24">
        <f t="shared" si="52"/>
        <v>6.9516609298442443E-3</v>
      </c>
      <c r="AE63" s="24">
        <f t="shared" si="53"/>
        <v>2.5025488923903607E-3</v>
      </c>
      <c r="AF63" s="332">
        <v>371677224.97000003</v>
      </c>
      <c r="AG63" s="333">
        <v>108.33</v>
      </c>
      <c r="AH63" s="24">
        <f t="shared" si="54"/>
        <v>1.8601022387204917E-3</v>
      </c>
      <c r="AI63" s="24">
        <f t="shared" si="55"/>
        <v>1.5717455621301933E-3</v>
      </c>
      <c r="AJ63" s="25">
        <f t="shared" si="18"/>
        <v>4.9206334602334273E-4</v>
      </c>
      <c r="AK63" s="25">
        <f t="shared" si="19"/>
        <v>1.7562337100285419E-3</v>
      </c>
      <c r="AL63" s="26">
        <f t="shared" si="20"/>
        <v>3.9348918994594716E-3</v>
      </c>
      <c r="AM63" s="26">
        <f t="shared" si="16"/>
        <v>1.2429906542056059E-2</v>
      </c>
      <c r="AN63" s="27">
        <f t="shared" si="17"/>
        <v>4.9398582659214022E-3</v>
      </c>
      <c r="AO63" s="79">
        <f t="shared" si="21"/>
        <v>4.1399090685535794E-4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08" t="s">
        <v>113</v>
      </c>
      <c r="B64" s="332">
        <v>335085343.69</v>
      </c>
      <c r="C64" s="333">
        <v>1.3712</v>
      </c>
      <c r="D64" s="332">
        <v>336424060.22000003</v>
      </c>
      <c r="E64" s="333">
        <v>1.3766</v>
      </c>
      <c r="F64" s="24">
        <f t="shared" si="40"/>
        <v>3.9951509524645988E-3</v>
      </c>
      <c r="G64" s="24">
        <f t="shared" si="41"/>
        <v>3.9381563593932842E-3</v>
      </c>
      <c r="H64" s="332">
        <v>337701934.48000002</v>
      </c>
      <c r="I64" s="333">
        <v>1.3816999999999999</v>
      </c>
      <c r="J64" s="24">
        <f t="shared" si="42"/>
        <v>3.7984032983976877E-3</v>
      </c>
      <c r="K64" s="24">
        <f t="shared" si="43"/>
        <v>3.7047798924886547E-3</v>
      </c>
      <c r="L64" s="332">
        <v>340882225.94</v>
      </c>
      <c r="M64" s="333">
        <v>1.3908</v>
      </c>
      <c r="N64" s="24">
        <f t="shared" si="44"/>
        <v>9.417451116757897E-3</v>
      </c>
      <c r="O64" s="24">
        <f t="shared" si="45"/>
        <v>6.5860895997684795E-3</v>
      </c>
      <c r="P64" s="332">
        <v>340596195.69</v>
      </c>
      <c r="Q64" s="333">
        <v>1.3895999999999999</v>
      </c>
      <c r="R64" s="24">
        <f t="shared" si="46"/>
        <v>-8.390881900963217E-4</v>
      </c>
      <c r="S64" s="24">
        <f t="shared" si="47"/>
        <v>-8.6281276962905517E-4</v>
      </c>
      <c r="T64" s="332">
        <v>340795618.30000001</v>
      </c>
      <c r="U64" s="333">
        <v>1.3905000000000001</v>
      </c>
      <c r="V64" s="24">
        <f t="shared" si="48"/>
        <v>5.8551038597484076E-4</v>
      </c>
      <c r="W64" s="24">
        <f t="shared" si="49"/>
        <v>6.4766839378247191E-4</v>
      </c>
      <c r="X64" s="332">
        <v>340097957.56</v>
      </c>
      <c r="Y64" s="333">
        <v>1.3875999999999999</v>
      </c>
      <c r="Z64" s="24">
        <f t="shared" si="50"/>
        <v>-2.0471529049586067E-3</v>
      </c>
      <c r="AA64" s="24">
        <f t="shared" si="51"/>
        <v>-2.085580726357515E-3</v>
      </c>
      <c r="AB64" s="332">
        <v>339064704.94999999</v>
      </c>
      <c r="AC64" s="333">
        <v>1.3834</v>
      </c>
      <c r="AD64" s="24">
        <f t="shared" si="52"/>
        <v>-3.0381029554337391E-3</v>
      </c>
      <c r="AE64" s="24">
        <f t="shared" si="53"/>
        <v>-3.0268088786393641E-3</v>
      </c>
      <c r="AF64" s="332">
        <v>337462591.33999997</v>
      </c>
      <c r="AG64" s="333">
        <v>1.377</v>
      </c>
      <c r="AH64" s="24">
        <f t="shared" si="54"/>
        <v>-4.72509697002013E-3</v>
      </c>
      <c r="AI64" s="24">
        <f t="shared" si="55"/>
        <v>-4.6262830706953603E-3</v>
      </c>
      <c r="AJ64" s="25">
        <f t="shared" si="18"/>
        <v>8.9338434163577858E-4</v>
      </c>
      <c r="AK64" s="25">
        <f t="shared" si="19"/>
        <v>5.3440110001394937E-4</v>
      </c>
      <c r="AL64" s="26">
        <f t="shared" si="20"/>
        <v>3.0869704126417464E-3</v>
      </c>
      <c r="AM64" s="26">
        <f t="shared" si="16"/>
        <v>2.9057097195986917E-4</v>
      </c>
      <c r="AN64" s="27">
        <f t="shared" si="17"/>
        <v>4.6211738922172837E-3</v>
      </c>
      <c r="AO64" s="79">
        <f t="shared" si="21"/>
        <v>3.8987910895802755E-3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08" t="s">
        <v>247</v>
      </c>
      <c r="B65" s="332">
        <v>411763668.46999997</v>
      </c>
      <c r="C65" s="75">
        <v>1000</v>
      </c>
      <c r="D65" s="332">
        <v>435628596.06</v>
      </c>
      <c r="E65" s="75">
        <v>1000</v>
      </c>
      <c r="F65" s="24">
        <f t="shared" si="40"/>
        <v>5.795782731068895E-2</v>
      </c>
      <c r="G65" s="24">
        <f t="shared" si="41"/>
        <v>0</v>
      </c>
      <c r="H65" s="332">
        <v>434627522.78999996</v>
      </c>
      <c r="I65" s="75">
        <v>1000</v>
      </c>
      <c r="J65" s="24">
        <f t="shared" si="42"/>
        <v>-2.2979971449398622E-3</v>
      </c>
      <c r="K65" s="24">
        <f t="shared" si="43"/>
        <v>0</v>
      </c>
      <c r="L65" s="332">
        <v>444801789.26999998</v>
      </c>
      <c r="M65" s="75">
        <v>1000</v>
      </c>
      <c r="N65" s="24">
        <f t="shared" si="44"/>
        <v>2.340916289582504E-2</v>
      </c>
      <c r="O65" s="24">
        <f t="shared" si="45"/>
        <v>0</v>
      </c>
      <c r="P65" s="332">
        <v>445718180.58999997</v>
      </c>
      <c r="Q65" s="75">
        <v>1000</v>
      </c>
      <c r="R65" s="24">
        <f t="shared" si="46"/>
        <v>2.0602239966344481E-3</v>
      </c>
      <c r="S65" s="24">
        <f t="shared" si="47"/>
        <v>0</v>
      </c>
      <c r="T65" s="332">
        <v>458389005.96999997</v>
      </c>
      <c r="U65" s="75">
        <v>1000</v>
      </c>
      <c r="V65" s="24">
        <f t="shared" si="48"/>
        <v>2.8427885448216502E-2</v>
      </c>
      <c r="W65" s="24">
        <f t="shared" si="49"/>
        <v>0</v>
      </c>
      <c r="X65" s="332">
        <v>457590097.81999999</v>
      </c>
      <c r="Y65" s="75">
        <v>1000</v>
      </c>
      <c r="Z65" s="24">
        <f t="shared" si="50"/>
        <v>-1.7428606262259747E-3</v>
      </c>
      <c r="AA65" s="24">
        <f t="shared" si="51"/>
        <v>0</v>
      </c>
      <c r="AB65" s="332">
        <v>503295743.56999999</v>
      </c>
      <c r="AC65" s="75">
        <v>1000</v>
      </c>
      <c r="AD65" s="24">
        <f t="shared" si="52"/>
        <v>9.9883380273624298E-2</v>
      </c>
      <c r="AE65" s="24">
        <f t="shared" si="53"/>
        <v>0</v>
      </c>
      <c r="AF65" s="332">
        <v>503470300.90999997</v>
      </c>
      <c r="AG65" s="75">
        <v>1000</v>
      </c>
      <c r="AH65" s="24">
        <f t="shared" si="54"/>
        <v>3.4682856398068418E-4</v>
      </c>
      <c r="AI65" s="24">
        <f t="shared" si="55"/>
        <v>0</v>
      </c>
      <c r="AJ65" s="25">
        <f t="shared" si="18"/>
        <v>2.6005556339725511E-2</v>
      </c>
      <c r="AK65" s="25">
        <f t="shared" si="19"/>
        <v>0</v>
      </c>
      <c r="AL65" s="26">
        <f t="shared" si="20"/>
        <v>0.15573290060291631</v>
      </c>
      <c r="AM65" s="26">
        <f t="shared" si="16"/>
        <v>0</v>
      </c>
      <c r="AN65" s="27">
        <f t="shared" si="17"/>
        <v>3.6438410782935936E-2</v>
      </c>
      <c r="AO65" s="79">
        <f t="shared" si="21"/>
        <v>0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08" t="s">
        <v>104</v>
      </c>
      <c r="B66" s="332">
        <v>359930585.42000002</v>
      </c>
      <c r="C66" s="75">
        <v>1118.81</v>
      </c>
      <c r="D66" s="332">
        <v>360301697.69</v>
      </c>
      <c r="E66" s="75">
        <v>1120.1199999999999</v>
      </c>
      <c r="F66" s="24">
        <f t="shared" si="40"/>
        <v>1.0310662250804085E-3</v>
      </c>
      <c r="G66" s="24">
        <f t="shared" si="41"/>
        <v>1.1708869245000899E-3</v>
      </c>
      <c r="H66" s="332">
        <v>361937177.19</v>
      </c>
      <c r="I66" s="75">
        <v>1124.6600000000001</v>
      </c>
      <c r="J66" s="24">
        <f t="shared" si="42"/>
        <v>4.5391945430330732E-3</v>
      </c>
      <c r="K66" s="24">
        <f t="shared" si="43"/>
        <v>4.0531371638754697E-3</v>
      </c>
      <c r="L66" s="332">
        <v>362846518.14999998</v>
      </c>
      <c r="M66" s="75">
        <v>1127.8399999999999</v>
      </c>
      <c r="N66" s="24">
        <f t="shared" si="44"/>
        <v>2.512427618129478E-3</v>
      </c>
      <c r="O66" s="24">
        <f t="shared" si="45"/>
        <v>2.8275212064089025E-3</v>
      </c>
      <c r="P66" s="332">
        <v>364819688.75</v>
      </c>
      <c r="Q66" s="75">
        <v>1134.31</v>
      </c>
      <c r="R66" s="24">
        <f t="shared" si="46"/>
        <v>5.4380309615767609E-3</v>
      </c>
      <c r="S66" s="24">
        <f t="shared" si="47"/>
        <v>5.7366293091218861E-3</v>
      </c>
      <c r="T66" s="332">
        <v>365388928.73000002</v>
      </c>
      <c r="U66" s="75">
        <v>1136.72</v>
      </c>
      <c r="V66" s="24">
        <f t="shared" si="48"/>
        <v>1.5603323985896556E-3</v>
      </c>
      <c r="W66" s="24">
        <f t="shared" si="49"/>
        <v>2.1246396487733352E-3</v>
      </c>
      <c r="X66" s="332">
        <v>366014735.10000002</v>
      </c>
      <c r="Y66" s="75">
        <v>1138.07</v>
      </c>
      <c r="Z66" s="24">
        <f t="shared" si="50"/>
        <v>1.7127130046746359E-3</v>
      </c>
      <c r="AA66" s="24">
        <f t="shared" si="51"/>
        <v>1.1876275599971048E-3</v>
      </c>
      <c r="AB66" s="332">
        <v>366527868.69999999</v>
      </c>
      <c r="AC66" s="75">
        <v>1140.19</v>
      </c>
      <c r="AD66" s="24">
        <f t="shared" si="52"/>
        <v>1.4019479293907919E-3</v>
      </c>
      <c r="AE66" s="24">
        <f t="shared" si="53"/>
        <v>1.8628028152926606E-3</v>
      </c>
      <c r="AF66" s="332">
        <v>367391132.01999998</v>
      </c>
      <c r="AG66" s="75">
        <v>1141.69</v>
      </c>
      <c r="AH66" s="24">
        <f t="shared" si="54"/>
        <v>2.3552460637217376E-3</v>
      </c>
      <c r="AI66" s="24">
        <f t="shared" si="55"/>
        <v>1.3155702119822135E-3</v>
      </c>
      <c r="AJ66" s="25">
        <f t="shared" si="18"/>
        <v>2.5688698430245674E-3</v>
      </c>
      <c r="AK66" s="25">
        <f t="shared" si="19"/>
        <v>2.5348518549939579E-3</v>
      </c>
      <c r="AL66" s="26">
        <f t="shared" si="20"/>
        <v>1.9676383362755238E-2</v>
      </c>
      <c r="AM66" s="26">
        <f t="shared" si="16"/>
        <v>1.9256865335857021E-2</v>
      </c>
      <c r="AN66" s="27">
        <f t="shared" si="17"/>
        <v>1.5874411044225288E-3</v>
      </c>
      <c r="AO66" s="79">
        <f t="shared" si="21"/>
        <v>1.6223532210831956E-3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08" t="s">
        <v>177</v>
      </c>
      <c r="B67" s="332">
        <v>684829394.50999999</v>
      </c>
      <c r="C67" s="317">
        <v>1.0819000000000001</v>
      </c>
      <c r="D67" s="332">
        <v>686458377.69000006</v>
      </c>
      <c r="E67" s="317">
        <v>1.0840000000000001</v>
      </c>
      <c r="F67" s="24">
        <f t="shared" si="40"/>
        <v>2.3786700644846228E-3</v>
      </c>
      <c r="G67" s="24">
        <f t="shared" si="41"/>
        <v>1.9410296700249473E-3</v>
      </c>
      <c r="H67" s="332">
        <v>688336622.59000003</v>
      </c>
      <c r="I67" s="317">
        <v>1.0861000000000001</v>
      </c>
      <c r="J67" s="24">
        <f t="shared" si="42"/>
        <v>2.7361380690267851E-3</v>
      </c>
      <c r="K67" s="24">
        <f t="shared" si="43"/>
        <v>1.9372693726937183E-3</v>
      </c>
      <c r="L67" s="332">
        <v>690994080.95000005</v>
      </c>
      <c r="M67" s="317">
        <v>1.0882000000000001</v>
      </c>
      <c r="N67" s="24">
        <f t="shared" si="44"/>
        <v>3.860695875806828E-3</v>
      </c>
      <c r="O67" s="24">
        <f t="shared" si="45"/>
        <v>1.9335236166098801E-3</v>
      </c>
      <c r="P67" s="332">
        <v>692369762.98000002</v>
      </c>
      <c r="Q67" s="317">
        <v>1.0904</v>
      </c>
      <c r="R67" s="24">
        <f t="shared" si="46"/>
        <v>1.990873826456865E-3</v>
      </c>
      <c r="S67" s="24">
        <f t="shared" si="47"/>
        <v>2.0216871898547876E-3</v>
      </c>
      <c r="T67" s="332">
        <v>693703744.47000003</v>
      </c>
      <c r="U67" s="317">
        <v>1.0923</v>
      </c>
      <c r="V67" s="24">
        <f t="shared" si="48"/>
        <v>1.9266894098010218E-3</v>
      </c>
      <c r="W67" s="24">
        <f t="shared" si="49"/>
        <v>1.7424798239178399E-3</v>
      </c>
      <c r="X67" s="332">
        <v>695563931.83000004</v>
      </c>
      <c r="Y67" s="317">
        <v>1.0945</v>
      </c>
      <c r="Z67" s="24">
        <f t="shared" si="50"/>
        <v>2.6815299395871435E-3</v>
      </c>
      <c r="AA67" s="24">
        <f t="shared" si="51"/>
        <v>2.0140986908358323E-3</v>
      </c>
      <c r="AB67" s="332">
        <v>696719584.15999997</v>
      </c>
      <c r="AC67" s="317">
        <v>1.0964</v>
      </c>
      <c r="AD67" s="24">
        <f t="shared" si="52"/>
        <v>1.6614609773676016E-3</v>
      </c>
      <c r="AE67" s="24">
        <f t="shared" si="53"/>
        <v>1.7359524897213455E-3</v>
      </c>
      <c r="AF67" s="332">
        <v>697726554.75</v>
      </c>
      <c r="AG67" s="317">
        <v>1.099</v>
      </c>
      <c r="AH67" s="24">
        <f t="shared" si="54"/>
        <v>1.4453025476728742E-3</v>
      </c>
      <c r="AI67" s="24">
        <f t="shared" si="55"/>
        <v>2.3713973002553227E-3</v>
      </c>
      <c r="AJ67" s="25">
        <f t="shared" si="18"/>
        <v>2.3351700887754676E-3</v>
      </c>
      <c r="AK67" s="25">
        <f t="shared" si="19"/>
        <v>1.9621797692392093E-3</v>
      </c>
      <c r="AL67" s="26">
        <f t="shared" si="20"/>
        <v>1.6414945794555623E-2</v>
      </c>
      <c r="AM67" s="26">
        <f t="shared" si="16"/>
        <v>1.3837638376383674E-2</v>
      </c>
      <c r="AN67" s="27">
        <f t="shared" si="17"/>
        <v>7.6913738611785018E-4</v>
      </c>
      <c r="AO67" s="79">
        <f t="shared" si="21"/>
        <v>1.9821761952374032E-4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08" t="s">
        <v>219</v>
      </c>
      <c r="B68" s="332">
        <v>66432295735.940002</v>
      </c>
      <c r="C68" s="332">
        <v>1494.54</v>
      </c>
      <c r="D68" s="332">
        <v>65262601403.059998</v>
      </c>
      <c r="E68" s="332">
        <v>1498.02</v>
      </c>
      <c r="F68" s="24">
        <f t="shared" si="40"/>
        <v>-1.7607314633975503E-2</v>
      </c>
      <c r="G68" s="24">
        <f t="shared" si="41"/>
        <v>2.3284756513710027E-3</v>
      </c>
      <c r="H68" s="332">
        <v>65341249283.900002</v>
      </c>
      <c r="I68" s="332">
        <v>1501.66</v>
      </c>
      <c r="J68" s="24">
        <f t="shared" si="42"/>
        <v>1.2050987724849774E-3</v>
      </c>
      <c r="K68" s="24">
        <f t="shared" si="43"/>
        <v>2.429874100479366E-3</v>
      </c>
      <c r="L68" s="332">
        <v>65613417472.910004</v>
      </c>
      <c r="M68" s="332">
        <v>1504.69</v>
      </c>
      <c r="N68" s="24">
        <f t="shared" si="44"/>
        <v>4.1653349452726801E-3</v>
      </c>
      <c r="O68" s="24">
        <f t="shared" si="45"/>
        <v>2.0177670045149849E-3</v>
      </c>
      <c r="P68" s="332">
        <v>66596249051.779999</v>
      </c>
      <c r="Q68" s="332">
        <v>1507.51</v>
      </c>
      <c r="R68" s="24">
        <f t="shared" si="46"/>
        <v>1.4979124952236782E-2</v>
      </c>
      <c r="S68" s="24">
        <f t="shared" si="47"/>
        <v>1.8741401883444007E-3</v>
      </c>
      <c r="T68" s="332">
        <v>64168047203.940002</v>
      </c>
      <c r="U68" s="332">
        <v>1510.32</v>
      </c>
      <c r="V68" s="24">
        <f t="shared" si="48"/>
        <v>-3.6461540738608536E-2</v>
      </c>
      <c r="W68" s="24">
        <f t="shared" si="49"/>
        <v>1.8640009021498667E-3</v>
      </c>
      <c r="X68" s="332">
        <v>64319937726.480003</v>
      </c>
      <c r="Y68" s="332">
        <v>1513.38</v>
      </c>
      <c r="Z68" s="24">
        <f t="shared" si="50"/>
        <v>2.367074099313944E-3</v>
      </c>
      <c r="AA68" s="24">
        <f t="shared" si="51"/>
        <v>2.0260607023678246E-3</v>
      </c>
      <c r="AB68" s="332">
        <v>63676589046.669998</v>
      </c>
      <c r="AC68" s="332">
        <v>1516.24</v>
      </c>
      <c r="AD68" s="24">
        <f t="shared" si="52"/>
        <v>-1.000232124828603E-2</v>
      </c>
      <c r="AE68" s="24">
        <f t="shared" si="53"/>
        <v>1.8898095653437337E-3</v>
      </c>
      <c r="AF68" s="332">
        <v>63774472441.470001</v>
      </c>
      <c r="AG68" s="332">
        <v>1520.03</v>
      </c>
      <c r="AH68" s="24">
        <f t="shared" si="54"/>
        <v>1.5371959501201001E-3</v>
      </c>
      <c r="AI68" s="24">
        <f t="shared" si="55"/>
        <v>2.4996042842821476E-3</v>
      </c>
      <c r="AJ68" s="25">
        <f t="shared" si="18"/>
        <v>-4.9771684876801989E-3</v>
      </c>
      <c r="AK68" s="25">
        <f t="shared" si="19"/>
        <v>2.116216549856666E-3</v>
      </c>
      <c r="AL68" s="26">
        <f t="shared" si="20"/>
        <v>-2.2802170455930089E-2</v>
      </c>
      <c r="AM68" s="26">
        <f t="shared" si="16"/>
        <v>1.469272773394213E-2</v>
      </c>
      <c r="AN68" s="27">
        <f t="shared" si="17"/>
        <v>1.6002110291824745E-2</v>
      </c>
      <c r="AO68" s="79">
        <f t="shared" si="21"/>
        <v>2.6232895116846819E-4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08" t="s">
        <v>181</v>
      </c>
      <c r="B69" s="332">
        <v>21935411</v>
      </c>
      <c r="C69" s="332">
        <v>0.64910000000000001</v>
      </c>
      <c r="D69" s="332">
        <v>21280949.920000002</v>
      </c>
      <c r="E69" s="332">
        <v>0.62970000000000004</v>
      </c>
      <c r="F69" s="24">
        <f t="shared" si="40"/>
        <v>-2.9835824822247378E-2</v>
      </c>
      <c r="G69" s="24">
        <f t="shared" si="41"/>
        <v>-2.988753658912336E-2</v>
      </c>
      <c r="H69" s="332">
        <v>21153348.579999998</v>
      </c>
      <c r="I69" s="332">
        <v>0.63060000000000005</v>
      </c>
      <c r="J69" s="24">
        <f t="shared" si="42"/>
        <v>-5.9960359137955048E-3</v>
      </c>
      <c r="K69" s="24">
        <f t="shared" si="43"/>
        <v>1.4292520247737206E-3</v>
      </c>
      <c r="L69" s="332">
        <v>21201287.93</v>
      </c>
      <c r="M69" s="332">
        <v>0.63200000000000001</v>
      </c>
      <c r="N69" s="24">
        <f t="shared" si="44"/>
        <v>2.2662771248107279E-3</v>
      </c>
      <c r="O69" s="24">
        <f t="shared" si="45"/>
        <v>2.2201078338090021E-3</v>
      </c>
      <c r="P69" s="332">
        <v>21218533.559999999</v>
      </c>
      <c r="Q69" s="332">
        <v>0.63300000000000001</v>
      </c>
      <c r="R69" s="24">
        <f t="shared" si="46"/>
        <v>8.1342369656686026E-4</v>
      </c>
      <c r="S69" s="24">
        <f t="shared" si="47"/>
        <v>1.5822784810126597E-3</v>
      </c>
      <c r="T69" s="332">
        <v>21266499.98</v>
      </c>
      <c r="U69" s="332">
        <v>0.63439999999999996</v>
      </c>
      <c r="V69" s="24">
        <f t="shared" si="48"/>
        <v>2.2605907172786634E-3</v>
      </c>
      <c r="W69" s="24">
        <f t="shared" si="49"/>
        <v>2.2116903633490627E-3</v>
      </c>
      <c r="X69" s="332">
        <v>21328124.23</v>
      </c>
      <c r="Y69" s="332">
        <v>0.63629999999999998</v>
      </c>
      <c r="Z69" s="24">
        <f t="shared" si="50"/>
        <v>2.8977147183577123E-3</v>
      </c>
      <c r="AA69" s="24">
        <f t="shared" si="51"/>
        <v>2.9949558638083431E-3</v>
      </c>
      <c r="AB69" s="332">
        <v>21373812.640000001</v>
      </c>
      <c r="AC69" s="332">
        <v>0.63759999999999994</v>
      </c>
      <c r="AD69" s="24">
        <f t="shared" si="52"/>
        <v>2.1421672861289473E-3</v>
      </c>
      <c r="AE69" s="24">
        <f t="shared" si="53"/>
        <v>2.0430614490019928E-3</v>
      </c>
      <c r="AF69" s="332">
        <v>21421835.140000001</v>
      </c>
      <c r="AG69" s="332">
        <v>0.6391</v>
      </c>
      <c r="AH69" s="24">
        <f t="shared" si="54"/>
        <v>2.2467914736993781E-3</v>
      </c>
      <c r="AI69" s="24">
        <f t="shared" si="55"/>
        <v>2.3525721455458859E-3</v>
      </c>
      <c r="AJ69" s="25">
        <f t="shared" si="18"/>
        <v>-2.9006119649000748E-3</v>
      </c>
      <c r="AK69" s="25">
        <f t="shared" si="19"/>
        <v>-1.8817023034778365E-3</v>
      </c>
      <c r="AL69" s="26">
        <f t="shared" si="20"/>
        <v>6.6202505306209936E-3</v>
      </c>
      <c r="AM69" s="26">
        <f t="shared" si="16"/>
        <v>1.4927743369858604E-2</v>
      </c>
      <c r="AN69" s="27">
        <f t="shared" si="17"/>
        <v>1.1261579025548049E-2</v>
      </c>
      <c r="AO69" s="79">
        <f t="shared" si="21"/>
        <v>1.1326225514923323E-2</v>
      </c>
      <c r="AP69" s="31"/>
      <c r="AQ69" s="29"/>
      <c r="AR69" s="29"/>
      <c r="AS69" s="30"/>
      <c r="AT69" s="30"/>
    </row>
    <row r="70" spans="1:46">
      <c r="A70" s="208" t="s">
        <v>107</v>
      </c>
      <c r="B70" s="332">
        <v>778347987.40999997</v>
      </c>
      <c r="C70" s="333">
        <v>198.27907500000001</v>
      </c>
      <c r="D70" s="332">
        <v>783243322.95000005</v>
      </c>
      <c r="E70" s="333">
        <v>199.58398099999999</v>
      </c>
      <c r="F70" s="24">
        <f t="shared" si="40"/>
        <v>6.2893919161911196E-3</v>
      </c>
      <c r="G70" s="24">
        <f t="shared" si="41"/>
        <v>6.5811584000983886E-3</v>
      </c>
      <c r="H70" s="332">
        <v>792731577.73000002</v>
      </c>
      <c r="I70" s="333">
        <v>199.09944400000001</v>
      </c>
      <c r="J70" s="24">
        <f t="shared" si="42"/>
        <v>1.2114057665073353E-2</v>
      </c>
      <c r="K70" s="24">
        <f t="shared" si="43"/>
        <v>-2.4277349192668371E-3</v>
      </c>
      <c r="L70" s="332">
        <v>788419376.44000006</v>
      </c>
      <c r="M70" s="333">
        <v>199.809046</v>
      </c>
      <c r="N70" s="24">
        <f t="shared" si="44"/>
        <v>-5.4396739213392019E-3</v>
      </c>
      <c r="O70" s="24">
        <f t="shared" si="45"/>
        <v>3.5640581698459669E-3</v>
      </c>
      <c r="P70" s="332">
        <v>793113557.49000001</v>
      </c>
      <c r="Q70" s="333">
        <v>200.23645500000001</v>
      </c>
      <c r="R70" s="24">
        <f t="shared" si="46"/>
        <v>5.9539138563487436E-3</v>
      </c>
      <c r="S70" s="24">
        <f t="shared" si="47"/>
        <v>2.1390873364162477E-3</v>
      </c>
      <c r="T70" s="332">
        <v>786291758.03999996</v>
      </c>
      <c r="U70" s="333">
        <v>200.799667</v>
      </c>
      <c r="V70" s="24">
        <f t="shared" si="48"/>
        <v>-8.6012896710393957E-3</v>
      </c>
      <c r="W70" s="24">
        <f t="shared" si="49"/>
        <v>2.8127345742312154E-3</v>
      </c>
      <c r="X70" s="332">
        <v>999353843.46000004</v>
      </c>
      <c r="Y70" s="333">
        <v>201.56763100000001</v>
      </c>
      <c r="Z70" s="24">
        <f t="shared" si="50"/>
        <v>0.27097077292416594</v>
      </c>
      <c r="AA70" s="24">
        <f t="shared" si="51"/>
        <v>3.8245282548202949E-3</v>
      </c>
      <c r="AB70" s="332">
        <v>789656823.55999994</v>
      </c>
      <c r="AC70" s="333">
        <v>200.332033</v>
      </c>
      <c r="AD70" s="24">
        <f t="shared" si="52"/>
        <v>-0.20983260460977393</v>
      </c>
      <c r="AE70" s="24">
        <f t="shared" si="53"/>
        <v>-6.1299425600731009E-3</v>
      </c>
      <c r="AF70" s="332">
        <v>790952271.98000002</v>
      </c>
      <c r="AG70" s="333">
        <v>200.87907000000001</v>
      </c>
      <c r="AH70" s="24">
        <f t="shared" si="54"/>
        <v>1.6405207697184486E-3</v>
      </c>
      <c r="AI70" s="24">
        <f t="shared" si="55"/>
        <v>2.7306516676742221E-3</v>
      </c>
      <c r="AJ70" s="25">
        <f t="shared" ref="AJ70:AJ134" si="56">AVERAGE(F70,J70,N70,R70,V70,Z70,AD70,AH70)</f>
        <v>9.1368861161681362E-3</v>
      </c>
      <c r="AK70" s="25">
        <f t="shared" ref="AK70:AK134" si="57">AVERAGE(G70,K70,O70,S70,W70,AA70,AE70,AI70)</f>
        <v>1.6368176154682996E-3</v>
      </c>
      <c r="AL70" s="26">
        <f t="shared" ref="AL70:AL134" si="58">((AF70-D70)/D70)</f>
        <v>9.8423424804504698E-3</v>
      </c>
      <c r="AM70" s="26">
        <f t="shared" ref="AM70:AM134" si="59">((AG70-E70)/E70)</f>
        <v>6.4889426170931953E-3</v>
      </c>
      <c r="AN70" s="27">
        <f t="shared" ref="AN70:AN134" si="60">STDEV(F70,J70,N70,R70,V70,Z70,AD70,AH70)</f>
        <v>0.1293472843118818</v>
      </c>
      <c r="AO70" s="79">
        <f t="shared" ref="AO70:AO134" si="61">STDEV(G70,K70,O70,S70,W70,AA70,AE70,AI70)</f>
        <v>4.0110832028763688E-3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08" t="s">
        <v>114</v>
      </c>
      <c r="B71" s="332">
        <v>1504042386.28</v>
      </c>
      <c r="C71" s="333">
        <v>3.55</v>
      </c>
      <c r="D71" s="332">
        <v>1427980718.4200001</v>
      </c>
      <c r="E71" s="333">
        <v>3.52</v>
      </c>
      <c r="F71" s="24">
        <f t="shared" si="40"/>
        <v>-5.057149223575131E-2</v>
      </c>
      <c r="G71" s="24">
        <f t="shared" si="41"/>
        <v>-8.450704225352058E-3</v>
      </c>
      <c r="H71" s="332">
        <v>1421574689.28</v>
      </c>
      <c r="I71" s="333">
        <v>3.52</v>
      </c>
      <c r="J71" s="24">
        <f t="shared" si="42"/>
        <v>-4.4860753771858372E-3</v>
      </c>
      <c r="K71" s="24">
        <f t="shared" si="43"/>
        <v>0</v>
      </c>
      <c r="L71" s="332">
        <v>1422977608.54</v>
      </c>
      <c r="M71" s="333">
        <v>3.52</v>
      </c>
      <c r="N71" s="24">
        <f t="shared" si="44"/>
        <v>9.8687692639670027E-4</v>
      </c>
      <c r="O71" s="24">
        <f t="shared" si="45"/>
        <v>0</v>
      </c>
      <c r="P71" s="332">
        <v>1424233832.3800001</v>
      </c>
      <c r="Q71" s="333">
        <v>3.53</v>
      </c>
      <c r="R71" s="24">
        <f t="shared" si="46"/>
        <v>8.8281349788002657E-4</v>
      </c>
      <c r="S71" s="24">
        <f t="shared" si="47"/>
        <v>2.8409090909090303E-3</v>
      </c>
      <c r="T71" s="332">
        <v>1425107169.76</v>
      </c>
      <c r="U71" s="333">
        <v>3.53</v>
      </c>
      <c r="V71" s="24">
        <f t="shared" si="48"/>
        <v>6.1319802980699077E-4</v>
      </c>
      <c r="W71" s="24">
        <f t="shared" si="49"/>
        <v>0</v>
      </c>
      <c r="X71" s="332">
        <v>1411626638.6099999</v>
      </c>
      <c r="Y71" s="333">
        <v>3.53</v>
      </c>
      <c r="Z71" s="24">
        <f t="shared" si="50"/>
        <v>-9.4593104547150159E-3</v>
      </c>
      <c r="AA71" s="24">
        <f t="shared" si="51"/>
        <v>0</v>
      </c>
      <c r="AB71" s="332">
        <v>1412833667.97</v>
      </c>
      <c r="AC71" s="333">
        <v>3.54</v>
      </c>
      <c r="AD71" s="24">
        <f t="shared" si="52"/>
        <v>8.55062753129022E-4</v>
      </c>
      <c r="AE71" s="24">
        <f t="shared" si="53"/>
        <v>2.8328611898017653E-3</v>
      </c>
      <c r="AF71" s="332">
        <v>1414466170.78</v>
      </c>
      <c r="AG71" s="333">
        <v>3.54</v>
      </c>
      <c r="AH71" s="24">
        <f t="shared" si="54"/>
        <v>1.1554812480832012E-3</v>
      </c>
      <c r="AI71" s="24">
        <f t="shared" si="55"/>
        <v>0</v>
      </c>
      <c r="AJ71" s="25">
        <f t="shared" si="56"/>
        <v>-7.5029307015445279E-3</v>
      </c>
      <c r="AK71" s="25">
        <f t="shared" si="57"/>
        <v>-3.4711674308015781E-4</v>
      </c>
      <c r="AL71" s="26">
        <f t="shared" si="58"/>
        <v>-9.4640967246066021E-3</v>
      </c>
      <c r="AM71" s="26">
        <f t="shared" si="59"/>
        <v>5.6818181818181872E-3</v>
      </c>
      <c r="AN71" s="27">
        <f t="shared" si="60"/>
        <v>1.7812207160146448E-2</v>
      </c>
      <c r="AO71" s="79">
        <f t="shared" si="61"/>
        <v>3.516214454317621E-3</v>
      </c>
      <c r="AP71" s="31"/>
      <c r="AQ71" s="29"/>
      <c r="AR71" s="29"/>
      <c r="AS71" s="30"/>
      <c r="AT71" s="30"/>
    </row>
    <row r="72" spans="1:46">
      <c r="A72" s="208" t="s">
        <v>87</v>
      </c>
      <c r="B72" s="332">
        <v>15385839766.059999</v>
      </c>
      <c r="C72" s="332">
        <v>1172.68</v>
      </c>
      <c r="D72" s="332">
        <v>15470421656.139999</v>
      </c>
      <c r="E72" s="332">
        <v>1175.32</v>
      </c>
      <c r="F72" s="24">
        <f t="shared" si="40"/>
        <v>5.4973853469201719E-3</v>
      </c>
      <c r="G72" s="24">
        <f t="shared" si="41"/>
        <v>2.2512535389022348E-3</v>
      </c>
      <c r="H72" s="332">
        <v>15632678902.299999</v>
      </c>
      <c r="I72" s="332">
        <v>1176.8599999999999</v>
      </c>
      <c r="J72" s="24">
        <f t="shared" si="42"/>
        <v>1.0488223900193577E-2</v>
      </c>
      <c r="K72" s="24">
        <f t="shared" si="43"/>
        <v>1.3102814552632166E-3</v>
      </c>
      <c r="L72" s="332">
        <v>15651430173.290001</v>
      </c>
      <c r="M72" s="332">
        <v>1179.49</v>
      </c>
      <c r="N72" s="24">
        <f t="shared" si="44"/>
        <v>1.1994918533919895E-3</v>
      </c>
      <c r="O72" s="24">
        <f t="shared" si="45"/>
        <v>2.2347602943426654E-3</v>
      </c>
      <c r="P72" s="332">
        <v>15642791633.190001</v>
      </c>
      <c r="Q72" s="332">
        <v>1181.22</v>
      </c>
      <c r="R72" s="24">
        <f t="shared" si="46"/>
        <v>-5.5193295464733383E-4</v>
      </c>
      <c r="S72" s="24">
        <f t="shared" si="47"/>
        <v>1.4667356230235256E-3</v>
      </c>
      <c r="T72" s="332">
        <v>15583760859.870001</v>
      </c>
      <c r="U72" s="332">
        <v>1182.93</v>
      </c>
      <c r="V72" s="24">
        <f t="shared" si="48"/>
        <v>-3.7736725454267065E-3</v>
      </c>
      <c r="W72" s="24">
        <f t="shared" si="49"/>
        <v>1.447655813481008E-3</v>
      </c>
      <c r="X72" s="332">
        <v>15651466057.75</v>
      </c>
      <c r="Y72" s="332">
        <v>1184.77</v>
      </c>
      <c r="Z72" s="24">
        <f t="shared" si="50"/>
        <v>4.3445993870675935E-3</v>
      </c>
      <c r="AA72" s="24">
        <f t="shared" si="51"/>
        <v>1.555459748252152E-3</v>
      </c>
      <c r="AB72" s="332">
        <v>15651466057.75</v>
      </c>
      <c r="AC72" s="332">
        <v>1184.77</v>
      </c>
      <c r="AD72" s="24">
        <f t="shared" si="52"/>
        <v>0</v>
      </c>
      <c r="AE72" s="24">
        <f t="shared" si="53"/>
        <v>0</v>
      </c>
      <c r="AF72" s="332">
        <v>15818105182.459999</v>
      </c>
      <c r="AG72" s="332">
        <v>1169.45</v>
      </c>
      <c r="AH72" s="24">
        <f t="shared" si="54"/>
        <v>1.0646870018127525E-2</v>
      </c>
      <c r="AI72" s="24">
        <f t="shared" si="55"/>
        <v>-1.2930779813803469E-2</v>
      </c>
      <c r="AJ72" s="25">
        <f t="shared" si="56"/>
        <v>3.4813706257033521E-3</v>
      </c>
      <c r="AK72" s="25">
        <f t="shared" si="57"/>
        <v>-3.330791675673335E-4</v>
      </c>
      <c r="AL72" s="26">
        <f t="shared" si="58"/>
        <v>2.2474082093425607E-2</v>
      </c>
      <c r="AM72" s="26">
        <f t="shared" si="59"/>
        <v>-4.9943845080487794E-3</v>
      </c>
      <c r="AN72" s="27">
        <f t="shared" si="60"/>
        <v>5.2301318606013426E-3</v>
      </c>
      <c r="AO72" s="79">
        <f t="shared" si="61"/>
        <v>5.1375806155692415E-3</v>
      </c>
      <c r="AP72" s="31"/>
      <c r="AQ72" s="29"/>
      <c r="AR72" s="29"/>
      <c r="AS72" s="30"/>
      <c r="AT72" s="30"/>
    </row>
    <row r="73" spans="1:46">
      <c r="A73" s="208" t="s">
        <v>17</v>
      </c>
      <c r="B73" s="332">
        <v>1491562874.8399999</v>
      </c>
      <c r="C73" s="333">
        <v>322.14299999999997</v>
      </c>
      <c r="D73" s="332">
        <v>1518561816.52</v>
      </c>
      <c r="E73" s="333">
        <v>327.9742</v>
      </c>
      <c r="F73" s="24">
        <f t="shared" si="40"/>
        <v>1.8101108666234565E-2</v>
      </c>
      <c r="G73" s="24">
        <f t="shared" si="41"/>
        <v>1.8101278003867922E-2</v>
      </c>
      <c r="H73" s="332">
        <v>1524666231.8499999</v>
      </c>
      <c r="I73" s="333">
        <v>329.28179999999998</v>
      </c>
      <c r="J73" s="24">
        <f t="shared" si="42"/>
        <v>4.0198662073494366E-3</v>
      </c>
      <c r="K73" s="24">
        <f t="shared" si="43"/>
        <v>3.98689896949205E-3</v>
      </c>
      <c r="L73" s="332">
        <v>1527722304.27</v>
      </c>
      <c r="M73" s="333">
        <v>329.9418</v>
      </c>
      <c r="N73" s="24">
        <f t="shared" si="44"/>
        <v>2.004420610989658E-3</v>
      </c>
      <c r="O73" s="24">
        <f t="shared" si="45"/>
        <v>2.0043622210520746E-3</v>
      </c>
      <c r="P73" s="332">
        <v>1530808824.01</v>
      </c>
      <c r="Q73" s="333">
        <v>330.60840000000002</v>
      </c>
      <c r="R73" s="24">
        <f t="shared" si="46"/>
        <v>2.0203408246205179E-3</v>
      </c>
      <c r="S73" s="24">
        <f t="shared" si="47"/>
        <v>2.0203563173869354E-3</v>
      </c>
      <c r="T73" s="332">
        <v>1533857195.3299999</v>
      </c>
      <c r="U73" s="333">
        <v>331.26679999999999</v>
      </c>
      <c r="V73" s="24">
        <f t="shared" si="48"/>
        <v>1.9913468436996806E-3</v>
      </c>
      <c r="W73" s="24">
        <f t="shared" si="49"/>
        <v>1.9914799502976084E-3</v>
      </c>
      <c r="X73" s="332">
        <v>1536963040.5899999</v>
      </c>
      <c r="Y73" s="333">
        <v>331.91590000000002</v>
      </c>
      <c r="Z73" s="24">
        <f t="shared" si="50"/>
        <v>2.0248594650506477E-3</v>
      </c>
      <c r="AA73" s="24">
        <f t="shared" si="51"/>
        <v>1.9594477925346963E-3</v>
      </c>
      <c r="AB73" s="332">
        <v>1540008604.6199999</v>
      </c>
      <c r="AC73" s="333">
        <v>332.5736</v>
      </c>
      <c r="AD73" s="24">
        <f t="shared" si="52"/>
        <v>1.9815466927759428E-3</v>
      </c>
      <c r="AE73" s="24">
        <f t="shared" si="53"/>
        <v>1.9815260431934024E-3</v>
      </c>
      <c r="AF73" s="332">
        <v>1991555396.0899999</v>
      </c>
      <c r="AG73" s="333">
        <v>102.56</v>
      </c>
      <c r="AH73" s="24">
        <f t="shared" si="54"/>
        <v>0.29321056396397216</v>
      </c>
      <c r="AI73" s="24">
        <f t="shared" si="55"/>
        <v>-0.69161713377129153</v>
      </c>
      <c r="AJ73" s="25">
        <f t="shared" si="56"/>
        <v>4.0669256659336572E-2</v>
      </c>
      <c r="AK73" s="25">
        <f t="shared" si="57"/>
        <v>-8.2446473059183359E-2</v>
      </c>
      <c r="AL73" s="26">
        <f t="shared" si="58"/>
        <v>0.31147469561293978</v>
      </c>
      <c r="AM73" s="26">
        <f t="shared" si="59"/>
        <v>-0.68729247605451893</v>
      </c>
      <c r="AN73" s="27">
        <f t="shared" si="60"/>
        <v>0.10219339390586336</v>
      </c>
      <c r="AO73" s="79">
        <f t="shared" si="61"/>
        <v>0.24620498868586838</v>
      </c>
      <c r="AP73" s="31"/>
      <c r="AQ73" s="29"/>
      <c r="AR73" s="29"/>
      <c r="AS73" s="30"/>
      <c r="AT73" s="30"/>
    </row>
    <row r="74" spans="1:46">
      <c r="A74" s="208" t="s">
        <v>229</v>
      </c>
      <c r="B74" s="332">
        <v>1889307273.45</v>
      </c>
      <c r="C74" s="333">
        <v>108.45</v>
      </c>
      <c r="D74" s="332">
        <v>1892230246.96</v>
      </c>
      <c r="E74" s="333">
        <v>101.37</v>
      </c>
      <c r="F74" s="24">
        <f t="shared" si="40"/>
        <v>1.5471138819375036E-3</v>
      </c>
      <c r="G74" s="24">
        <f t="shared" si="41"/>
        <v>-6.5283540802212978E-2</v>
      </c>
      <c r="H74" s="332">
        <v>2056885407.1500001</v>
      </c>
      <c r="I74" s="333">
        <v>101.55</v>
      </c>
      <c r="J74" s="24">
        <f t="shared" si="42"/>
        <v>8.7016450801655917E-2</v>
      </c>
      <c r="K74" s="24">
        <f t="shared" si="43"/>
        <v>1.7756732761171215E-3</v>
      </c>
      <c r="L74" s="332">
        <v>2061287916.29</v>
      </c>
      <c r="M74" s="333">
        <v>101.67</v>
      </c>
      <c r="N74" s="24">
        <f t="shared" si="44"/>
        <v>2.1403764763443674E-3</v>
      </c>
      <c r="O74" s="24">
        <f t="shared" si="45"/>
        <v>1.1816838995569133E-3</v>
      </c>
      <c r="P74" s="332">
        <v>1858864175.1900001</v>
      </c>
      <c r="Q74" s="333">
        <v>101.94</v>
      </c>
      <c r="R74" s="24">
        <f t="shared" si="46"/>
        <v>-9.8202555548053364E-2</v>
      </c>
      <c r="S74" s="24">
        <f t="shared" si="47"/>
        <v>2.6556506344053901E-3</v>
      </c>
      <c r="T74" s="332">
        <v>1931307706.05</v>
      </c>
      <c r="U74" s="333">
        <v>102.09</v>
      </c>
      <c r="V74" s="24">
        <f t="shared" si="48"/>
        <v>3.8971933413367993E-2</v>
      </c>
      <c r="W74" s="24">
        <f t="shared" si="49"/>
        <v>1.4714537963508505E-3</v>
      </c>
      <c r="X74" s="332">
        <v>1833627805.4200001</v>
      </c>
      <c r="Y74" s="333">
        <v>102.27</v>
      </c>
      <c r="Z74" s="24">
        <f t="shared" si="50"/>
        <v>-5.057707807202786E-2</v>
      </c>
      <c r="AA74" s="24">
        <f t="shared" si="51"/>
        <v>1.7631501616220257E-3</v>
      </c>
      <c r="AB74" s="332">
        <v>2004548680.4000001</v>
      </c>
      <c r="AC74" s="333">
        <v>102.45</v>
      </c>
      <c r="AD74" s="24">
        <f t="shared" si="52"/>
        <v>9.3214595936414638E-2</v>
      </c>
      <c r="AE74" s="24">
        <f t="shared" si="53"/>
        <v>1.760046934584989E-3</v>
      </c>
      <c r="AF74" s="332">
        <v>1543143523.01</v>
      </c>
      <c r="AG74" s="333">
        <v>333.25060000000002</v>
      </c>
      <c r="AH74" s="24">
        <f t="shared" si="54"/>
        <v>-0.23017907317567785</v>
      </c>
      <c r="AI74" s="24">
        <f t="shared" si="55"/>
        <v>2.252812103465105</v>
      </c>
      <c r="AJ74" s="25">
        <f t="shared" si="56"/>
        <v>-1.9508529535754833E-2</v>
      </c>
      <c r="AK74" s="25">
        <f t="shared" si="57"/>
        <v>0.27476702767069117</v>
      </c>
      <c r="AL74" s="26">
        <f t="shared" si="58"/>
        <v>-0.18448427431642225</v>
      </c>
      <c r="AM74" s="26">
        <f t="shared" si="59"/>
        <v>2.2874676926112261</v>
      </c>
      <c r="AN74" s="27">
        <f t="shared" si="60"/>
        <v>0.10685513333869595</v>
      </c>
      <c r="AO74" s="79">
        <f t="shared" si="61"/>
        <v>0.79959533799213955</v>
      </c>
      <c r="AP74" s="31"/>
      <c r="AQ74" s="29"/>
      <c r="AR74" s="29"/>
      <c r="AS74" s="30"/>
      <c r="AT74" s="30"/>
    </row>
    <row r="75" spans="1:46" s="89" customFormat="1">
      <c r="A75" s="209" t="s">
        <v>93</v>
      </c>
      <c r="B75" s="332">
        <v>52388518.450000003</v>
      </c>
      <c r="C75" s="332">
        <v>11.7</v>
      </c>
      <c r="D75" s="332">
        <v>52331384.770000003</v>
      </c>
      <c r="E75" s="332">
        <v>11.7</v>
      </c>
      <c r="F75" s="24">
        <f t="shared" si="40"/>
        <v>-1.0905763646385327E-3</v>
      </c>
      <c r="G75" s="24">
        <f t="shared" si="41"/>
        <v>0</v>
      </c>
      <c r="H75" s="332">
        <v>52417895.880000003</v>
      </c>
      <c r="I75" s="332">
        <v>11.72</v>
      </c>
      <c r="J75" s="24">
        <f t="shared" si="42"/>
        <v>1.6531400875444368E-3</v>
      </c>
      <c r="K75" s="24">
        <f t="shared" si="43"/>
        <v>1.709401709401825E-3</v>
      </c>
      <c r="L75" s="332">
        <v>52494601.700000003</v>
      </c>
      <c r="M75" s="332">
        <v>11.75</v>
      </c>
      <c r="N75" s="24">
        <f t="shared" si="44"/>
        <v>1.4633517563467733E-3</v>
      </c>
      <c r="O75" s="24">
        <f t="shared" si="45"/>
        <v>2.5597269624572832E-3</v>
      </c>
      <c r="P75" s="332">
        <v>52239878.969999999</v>
      </c>
      <c r="Q75" s="332">
        <v>11.8</v>
      </c>
      <c r="R75" s="24">
        <f t="shared" si="46"/>
        <v>-4.8523604666192589E-3</v>
      </c>
      <c r="S75" s="24">
        <f t="shared" si="47"/>
        <v>4.255319148936231E-3</v>
      </c>
      <c r="T75" s="332">
        <v>52843655.850000001</v>
      </c>
      <c r="U75" s="332">
        <v>11.72</v>
      </c>
      <c r="V75" s="24">
        <f t="shared" si="48"/>
        <v>1.1557777159987986E-2</v>
      </c>
      <c r="W75" s="24">
        <f t="shared" si="49"/>
        <v>-6.7796610169491584E-3</v>
      </c>
      <c r="X75" s="332">
        <v>52920166.770000003</v>
      </c>
      <c r="Y75" s="332">
        <v>11.741146000000001</v>
      </c>
      <c r="Z75" s="24">
        <f t="shared" si="50"/>
        <v>1.4478733306640022E-3</v>
      </c>
      <c r="AA75" s="24">
        <f t="shared" si="51"/>
        <v>1.8042662116040859E-3</v>
      </c>
      <c r="AB75" s="332">
        <v>53001570.979999997</v>
      </c>
      <c r="AC75" s="332">
        <v>11.76</v>
      </c>
      <c r="AD75" s="24">
        <f t="shared" si="52"/>
        <v>1.5382455303625537E-3</v>
      </c>
      <c r="AE75" s="24">
        <f t="shared" si="53"/>
        <v>1.605805770578039E-3</v>
      </c>
      <c r="AF75" s="332">
        <v>53078036.479999997</v>
      </c>
      <c r="AG75" s="332">
        <v>11.789804999999999</v>
      </c>
      <c r="AH75" s="24">
        <f t="shared" si="54"/>
        <v>1.4427025196829366E-3</v>
      </c>
      <c r="AI75" s="24">
        <f t="shared" si="55"/>
        <v>2.5344387755101734E-3</v>
      </c>
      <c r="AJ75" s="25">
        <f t="shared" si="56"/>
        <v>1.645019194166362E-3</v>
      </c>
      <c r="AK75" s="25">
        <f t="shared" si="57"/>
        <v>9.611621951923098E-4</v>
      </c>
      <c r="AL75" s="26">
        <f t="shared" si="58"/>
        <v>1.4267761368853099E-2</v>
      </c>
      <c r="AM75" s="26">
        <f t="shared" si="59"/>
        <v>7.6756410256410374E-3</v>
      </c>
      <c r="AN75" s="27">
        <f t="shared" si="60"/>
        <v>4.5994792276195977E-3</v>
      </c>
      <c r="AO75" s="79">
        <f t="shared" si="61"/>
        <v>3.346907045717462E-3</v>
      </c>
      <c r="AP75" s="31"/>
      <c r="AQ75" s="29"/>
      <c r="AR75" s="29"/>
      <c r="AS75" s="30"/>
      <c r="AT75" s="30"/>
    </row>
    <row r="76" spans="1:46" s="89" customFormat="1">
      <c r="A76" s="208" t="s">
        <v>35</v>
      </c>
      <c r="B76" s="332">
        <v>6545118096.0600004</v>
      </c>
      <c r="C76" s="333">
        <v>1.01</v>
      </c>
      <c r="D76" s="332">
        <v>6576965012.4399996</v>
      </c>
      <c r="E76" s="333">
        <v>1.02</v>
      </c>
      <c r="F76" s="24">
        <f t="shared" si="40"/>
        <v>4.86575122291074E-3</v>
      </c>
      <c r="G76" s="24">
        <f t="shared" si="41"/>
        <v>9.9009900990099098E-3</v>
      </c>
      <c r="H76" s="332">
        <v>6546996487.2299995</v>
      </c>
      <c r="I76" s="333">
        <v>1.02</v>
      </c>
      <c r="J76" s="24">
        <f t="shared" si="42"/>
        <v>-4.5565888146456724E-3</v>
      </c>
      <c r="K76" s="24">
        <f t="shared" si="43"/>
        <v>0</v>
      </c>
      <c r="L76" s="332">
        <v>6647599294.1800003</v>
      </c>
      <c r="M76" s="333">
        <v>1.02</v>
      </c>
      <c r="N76" s="24">
        <f t="shared" si="44"/>
        <v>1.5366253387523244E-2</v>
      </c>
      <c r="O76" s="24">
        <f t="shared" si="45"/>
        <v>0</v>
      </c>
      <c r="P76" s="332">
        <v>6681647198.0100002</v>
      </c>
      <c r="Q76" s="333">
        <v>1.02</v>
      </c>
      <c r="R76" s="24">
        <f t="shared" si="46"/>
        <v>5.1218345636159209E-3</v>
      </c>
      <c r="S76" s="24">
        <f t="shared" si="47"/>
        <v>0</v>
      </c>
      <c r="T76" s="332">
        <v>6726909090.79</v>
      </c>
      <c r="U76" s="333">
        <v>1.02</v>
      </c>
      <c r="V76" s="24">
        <f t="shared" si="48"/>
        <v>6.7740620596490209E-3</v>
      </c>
      <c r="W76" s="24">
        <f t="shared" si="49"/>
        <v>0</v>
      </c>
      <c r="X76" s="332">
        <v>6602679460.8900003</v>
      </c>
      <c r="Y76" s="333">
        <v>1.02</v>
      </c>
      <c r="Z76" s="24">
        <f t="shared" si="50"/>
        <v>-1.8467564853832483E-2</v>
      </c>
      <c r="AA76" s="24">
        <f t="shared" si="51"/>
        <v>0</v>
      </c>
      <c r="AB76" s="332">
        <v>6663181285.5500002</v>
      </c>
      <c r="AC76" s="333">
        <v>1.03</v>
      </c>
      <c r="AD76" s="24">
        <f t="shared" si="52"/>
        <v>9.1632230548784766E-3</v>
      </c>
      <c r="AE76" s="24">
        <f t="shared" si="53"/>
        <v>9.8039215686274595E-3</v>
      </c>
      <c r="AF76" s="332">
        <v>6586060803.3999996</v>
      </c>
      <c r="AG76" s="333">
        <v>1.03</v>
      </c>
      <c r="AH76" s="24">
        <f t="shared" si="54"/>
        <v>-1.1574123357148733E-2</v>
      </c>
      <c r="AI76" s="24">
        <f t="shared" si="55"/>
        <v>0</v>
      </c>
      <c r="AJ76" s="25">
        <f t="shared" si="56"/>
        <v>8.3660590786881379E-4</v>
      </c>
      <c r="AK76" s="25">
        <f t="shared" si="57"/>
        <v>2.4631139584546709E-3</v>
      </c>
      <c r="AL76" s="26">
        <f t="shared" si="58"/>
        <v>1.3829769419171009E-3</v>
      </c>
      <c r="AM76" s="26">
        <f t="shared" si="59"/>
        <v>9.8039215686274595E-3</v>
      </c>
      <c r="AN76" s="27">
        <f t="shared" si="60"/>
        <v>1.1377029176329828E-2</v>
      </c>
      <c r="AO76" s="79">
        <f t="shared" si="61"/>
        <v>4.5608746041868684E-3</v>
      </c>
      <c r="AP76" s="31"/>
      <c r="AQ76" s="29"/>
      <c r="AR76" s="29"/>
      <c r="AS76" s="30"/>
      <c r="AT76" s="30"/>
    </row>
    <row r="77" spans="1:46" s="89" customFormat="1">
      <c r="A77" s="209" t="s">
        <v>69</v>
      </c>
      <c r="B77" s="332">
        <v>40407572233.879997</v>
      </c>
      <c r="C77" s="332">
        <v>4616.88</v>
      </c>
      <c r="D77" s="332">
        <v>40567992132.209999</v>
      </c>
      <c r="E77" s="332">
        <v>4626.68</v>
      </c>
      <c r="F77" s="24">
        <f t="shared" si="40"/>
        <v>3.9700454509240899E-3</v>
      </c>
      <c r="G77" s="24">
        <f t="shared" si="41"/>
        <v>2.1226455961602169E-3</v>
      </c>
      <c r="H77" s="332">
        <v>41628770689.550003</v>
      </c>
      <c r="I77" s="332">
        <v>4636.74</v>
      </c>
      <c r="J77" s="24">
        <f t="shared" si="42"/>
        <v>2.614816513183485E-2</v>
      </c>
      <c r="K77" s="24">
        <f t="shared" si="43"/>
        <v>2.1743453188894607E-3</v>
      </c>
      <c r="L77" s="332">
        <v>41592999357.089996</v>
      </c>
      <c r="M77" s="332">
        <v>4636.74</v>
      </c>
      <c r="N77" s="24">
        <f t="shared" si="44"/>
        <v>-8.5929350945225795E-4</v>
      </c>
      <c r="O77" s="24">
        <f t="shared" si="45"/>
        <v>0</v>
      </c>
      <c r="P77" s="332">
        <v>41791953405.889999</v>
      </c>
      <c r="Q77" s="332">
        <v>4654.46</v>
      </c>
      <c r="R77" s="24">
        <f t="shared" si="46"/>
        <v>4.7833542152590416E-3</v>
      </c>
      <c r="S77" s="24">
        <f t="shared" si="47"/>
        <v>3.8216505562098059E-3</v>
      </c>
      <c r="T77" s="332">
        <v>37036343649.5</v>
      </c>
      <c r="U77" s="332">
        <v>4661.43</v>
      </c>
      <c r="V77" s="24">
        <f t="shared" si="48"/>
        <v>-0.11379247364206148</v>
      </c>
      <c r="W77" s="24">
        <f t="shared" si="49"/>
        <v>1.4974884304517074E-3</v>
      </c>
      <c r="X77" s="332">
        <v>32044636277.84</v>
      </c>
      <c r="Y77" s="332">
        <v>4669.12</v>
      </c>
      <c r="Z77" s="24">
        <f t="shared" si="50"/>
        <v>-0.13477862228787774</v>
      </c>
      <c r="AA77" s="24">
        <f t="shared" si="51"/>
        <v>1.649708351299837E-3</v>
      </c>
      <c r="AB77" s="332">
        <v>32213780290.040001</v>
      </c>
      <c r="AC77" s="332">
        <v>4677.2700000000004</v>
      </c>
      <c r="AD77" s="24">
        <f t="shared" si="52"/>
        <v>5.2783876444548643E-3</v>
      </c>
      <c r="AE77" s="24">
        <f t="shared" si="53"/>
        <v>1.7455109313961831E-3</v>
      </c>
      <c r="AF77" s="332">
        <v>32321415970.709999</v>
      </c>
      <c r="AG77" s="332">
        <v>4686.95</v>
      </c>
      <c r="AH77" s="24">
        <f t="shared" si="54"/>
        <v>3.3412930646726192E-3</v>
      </c>
      <c r="AI77" s="24">
        <f t="shared" si="55"/>
        <v>2.0695833253157035E-3</v>
      </c>
      <c r="AJ77" s="25">
        <f t="shared" si="56"/>
        <v>-2.5738642991530749E-2</v>
      </c>
      <c r="AK77" s="25">
        <f t="shared" si="57"/>
        <v>1.8851165637153639E-3</v>
      </c>
      <c r="AL77" s="26">
        <f t="shared" si="58"/>
        <v>-0.20327789787142111</v>
      </c>
      <c r="AM77" s="26">
        <f t="shared" si="59"/>
        <v>1.3026619519828369E-2</v>
      </c>
      <c r="AN77" s="27">
        <f t="shared" si="60"/>
        <v>6.1616688854830751E-2</v>
      </c>
      <c r="AO77" s="79">
        <f t="shared" si="61"/>
        <v>1.0490194055017643E-3</v>
      </c>
      <c r="AP77" s="31"/>
      <c r="AQ77" s="29"/>
      <c r="AR77" s="29"/>
      <c r="AS77" s="30"/>
      <c r="AT77" s="30"/>
    </row>
    <row r="78" spans="1:46" s="107" customFormat="1" ht="15.75" customHeight="1">
      <c r="A78" s="208" t="s">
        <v>16</v>
      </c>
      <c r="B78" s="332">
        <v>44117869609.199997</v>
      </c>
      <c r="C78" s="333">
        <v>246.38</v>
      </c>
      <c r="D78" s="332">
        <v>43675340216.230003</v>
      </c>
      <c r="E78" s="333">
        <v>246.66</v>
      </c>
      <c r="F78" s="24">
        <f t="shared" si="40"/>
        <v>-1.0030615641461346E-2</v>
      </c>
      <c r="G78" s="24">
        <f t="shared" si="41"/>
        <v>1.1364558811591896E-3</v>
      </c>
      <c r="H78" s="332">
        <v>43302059932.540001</v>
      </c>
      <c r="I78" s="333">
        <v>246.83</v>
      </c>
      <c r="J78" s="24">
        <f t="shared" si="42"/>
        <v>-8.5467058033651989E-3</v>
      </c>
      <c r="K78" s="24">
        <f t="shared" si="43"/>
        <v>6.8920781642753555E-4</v>
      </c>
      <c r="L78" s="332">
        <v>43198589214.580002</v>
      </c>
      <c r="M78" s="333">
        <v>247</v>
      </c>
      <c r="N78" s="24">
        <f t="shared" si="44"/>
        <v>-2.389510293995146E-3</v>
      </c>
      <c r="O78" s="24">
        <f t="shared" si="45"/>
        <v>6.8873313616654166E-4</v>
      </c>
      <c r="P78" s="332">
        <v>43009272064.739998</v>
      </c>
      <c r="Q78" s="333">
        <v>247.06</v>
      </c>
      <c r="R78" s="24">
        <f t="shared" si="46"/>
        <v>-4.3824845505859101E-3</v>
      </c>
      <c r="S78" s="24">
        <f t="shared" si="47"/>
        <v>2.4291497975709422E-4</v>
      </c>
      <c r="T78" s="332">
        <v>41959766006.419998</v>
      </c>
      <c r="U78" s="333">
        <v>247.28</v>
      </c>
      <c r="V78" s="24">
        <f t="shared" si="48"/>
        <v>-2.4401855877500638E-2</v>
      </c>
      <c r="W78" s="24">
        <f t="shared" si="49"/>
        <v>8.9047195013356622E-4</v>
      </c>
      <c r="X78" s="332">
        <v>41859566309.639999</v>
      </c>
      <c r="Y78" s="333">
        <v>247.56</v>
      </c>
      <c r="Z78" s="24">
        <f t="shared" si="50"/>
        <v>-2.3879946509870399E-3</v>
      </c>
      <c r="AA78" s="24">
        <f t="shared" si="51"/>
        <v>1.1323196376577206E-3</v>
      </c>
      <c r="AB78" s="332">
        <v>41849252258.809998</v>
      </c>
      <c r="AC78" s="333">
        <v>247.81</v>
      </c>
      <c r="AD78" s="24">
        <f t="shared" si="52"/>
        <v>-2.4639650477283059E-4</v>
      </c>
      <c r="AE78" s="24">
        <f t="shared" si="53"/>
        <v>1.0098561964776217E-3</v>
      </c>
      <c r="AF78" s="332">
        <v>41880981512.400002</v>
      </c>
      <c r="AG78" s="333">
        <v>248.13</v>
      </c>
      <c r="AH78" s="24">
        <f t="shared" si="54"/>
        <v>7.5817970160564597E-4</v>
      </c>
      <c r="AI78" s="24">
        <f t="shared" si="55"/>
        <v>1.2913118921754295E-3</v>
      </c>
      <c r="AJ78" s="25">
        <f t="shared" si="56"/>
        <v>-6.4534229526328072E-3</v>
      </c>
      <c r="AK78" s="25">
        <f t="shared" si="57"/>
        <v>8.8515893624433741E-4</v>
      </c>
      <c r="AL78" s="26">
        <f t="shared" si="58"/>
        <v>-4.1084023500364351E-2</v>
      </c>
      <c r="AM78" s="26">
        <f t="shared" si="59"/>
        <v>5.959620530284598E-3</v>
      </c>
      <c r="AN78" s="27">
        <f t="shared" si="60"/>
        <v>8.1695484618153E-3</v>
      </c>
      <c r="AO78" s="79">
        <f t="shared" si="61"/>
        <v>3.3684113704122569E-4</v>
      </c>
      <c r="AP78" s="31"/>
      <c r="AQ78" s="29"/>
      <c r="AR78" s="29"/>
      <c r="AS78" s="30"/>
      <c r="AT78" s="30"/>
    </row>
    <row r="79" spans="1:46" s="107" customFormat="1" ht="15.75" customHeight="1">
      <c r="A79" s="209" t="s">
        <v>70</v>
      </c>
      <c r="B79" s="332">
        <v>246084212.38999999</v>
      </c>
      <c r="C79" s="332">
        <v>4366.49</v>
      </c>
      <c r="D79" s="332">
        <v>247111092.53999999</v>
      </c>
      <c r="E79" s="332">
        <v>4384.62</v>
      </c>
      <c r="F79" s="24">
        <f t="shared" si="40"/>
        <v>4.1728810638716734E-3</v>
      </c>
      <c r="G79" s="24">
        <f t="shared" si="41"/>
        <v>4.1520763817162317E-3</v>
      </c>
      <c r="H79" s="332">
        <v>248200224.75</v>
      </c>
      <c r="I79" s="332">
        <v>4403.96</v>
      </c>
      <c r="J79" s="24">
        <f t="shared" si="42"/>
        <v>4.407459814146991E-3</v>
      </c>
      <c r="K79" s="24">
        <f t="shared" si="43"/>
        <v>4.4108725499587527E-3</v>
      </c>
      <c r="L79" s="332">
        <v>248658483.49000001</v>
      </c>
      <c r="M79" s="332">
        <v>4412.05</v>
      </c>
      <c r="N79" s="24">
        <f t="shared" si="44"/>
        <v>1.8463268534973779E-3</v>
      </c>
      <c r="O79" s="24">
        <f t="shared" si="45"/>
        <v>1.8369830788654178E-3</v>
      </c>
      <c r="P79" s="332">
        <v>247948427.30000001</v>
      </c>
      <c r="Q79" s="332">
        <v>4399.33</v>
      </c>
      <c r="R79" s="24">
        <f t="shared" si="46"/>
        <v>-2.8555478181726828E-3</v>
      </c>
      <c r="S79" s="24">
        <f t="shared" si="47"/>
        <v>-2.8830135651228463E-3</v>
      </c>
      <c r="T79" s="332">
        <v>248114061.63</v>
      </c>
      <c r="U79" s="332">
        <v>4402.25</v>
      </c>
      <c r="V79" s="24">
        <f t="shared" si="48"/>
        <v>6.680192804755221E-4</v>
      </c>
      <c r="W79" s="24">
        <f t="shared" si="49"/>
        <v>6.6373743274545738E-4</v>
      </c>
      <c r="X79" s="332">
        <v>248816723.06999999</v>
      </c>
      <c r="Y79" s="332">
        <v>4414.7</v>
      </c>
      <c r="Z79" s="24">
        <f t="shared" si="50"/>
        <v>2.8320097433568326E-3</v>
      </c>
      <c r="AA79" s="24">
        <f t="shared" si="51"/>
        <v>2.8280992674200281E-3</v>
      </c>
      <c r="AB79" s="332">
        <v>248407157.61000001</v>
      </c>
      <c r="AC79" s="332">
        <v>4407.3500000000004</v>
      </c>
      <c r="AD79" s="24">
        <f t="shared" si="52"/>
        <v>-1.6460527851448106E-3</v>
      </c>
      <c r="AE79" s="24">
        <f t="shared" si="53"/>
        <v>-1.6648922916618241E-3</v>
      </c>
      <c r="AF79" s="332">
        <v>247897615.19999999</v>
      </c>
      <c r="AG79" s="332">
        <v>4398.22</v>
      </c>
      <c r="AH79" s="24">
        <f t="shared" si="54"/>
        <v>-2.0512388407100948E-3</v>
      </c>
      <c r="AI79" s="24">
        <f t="shared" si="55"/>
        <v>-2.0715395872803631E-3</v>
      </c>
      <c r="AJ79" s="25">
        <f t="shared" si="56"/>
        <v>9.2173216391510098E-4</v>
      </c>
      <c r="AK79" s="25">
        <f t="shared" si="57"/>
        <v>9.0904040833010666E-4</v>
      </c>
      <c r="AL79" s="26">
        <f t="shared" si="58"/>
        <v>3.1828707158205842E-3</v>
      </c>
      <c r="AM79" s="26">
        <f t="shared" si="59"/>
        <v>3.1017511209638152E-3</v>
      </c>
      <c r="AN79" s="27">
        <f t="shared" si="60"/>
        <v>2.8532836377225491E-3</v>
      </c>
      <c r="AO79" s="79">
        <f t="shared" si="61"/>
        <v>2.8603898015830873E-3</v>
      </c>
      <c r="AP79" s="31"/>
      <c r="AQ79" s="29"/>
      <c r="AR79" s="29"/>
      <c r="AS79" s="30"/>
      <c r="AT79" s="30"/>
    </row>
    <row r="80" spans="1:46" s="291" customFormat="1" ht="15.75" customHeight="1">
      <c r="A80" s="208" t="s">
        <v>171</v>
      </c>
      <c r="B80" s="332">
        <v>19937518624.34</v>
      </c>
      <c r="C80" s="333">
        <v>116.28</v>
      </c>
      <c r="D80" s="332">
        <v>19755466201.150002</v>
      </c>
      <c r="E80" s="333">
        <v>116.51</v>
      </c>
      <c r="F80" s="24">
        <f t="shared" si="40"/>
        <v>-9.131147492333699E-3</v>
      </c>
      <c r="G80" s="24">
        <f t="shared" si="41"/>
        <v>1.9779841761266253E-3</v>
      </c>
      <c r="H80" s="332">
        <v>20030269202.450001</v>
      </c>
      <c r="I80" s="333">
        <v>116.72</v>
      </c>
      <c r="J80" s="24">
        <f t="shared" si="42"/>
        <v>1.3910226086388306E-2</v>
      </c>
      <c r="K80" s="24">
        <f t="shared" si="43"/>
        <v>1.802420393099251E-3</v>
      </c>
      <c r="L80" s="332">
        <v>19895448661.330002</v>
      </c>
      <c r="M80" s="333">
        <v>116.89</v>
      </c>
      <c r="N80" s="24">
        <f t="shared" si="44"/>
        <v>-6.7308401977697017E-3</v>
      </c>
      <c r="O80" s="24">
        <f t="shared" si="45"/>
        <v>1.4564770390678692E-3</v>
      </c>
      <c r="P80" s="332">
        <v>19981718338.66</v>
      </c>
      <c r="Q80" s="333">
        <v>117.08</v>
      </c>
      <c r="R80" s="24">
        <f t="shared" si="46"/>
        <v>4.3361513881150608E-3</v>
      </c>
      <c r="S80" s="24">
        <f t="shared" si="47"/>
        <v>1.6254598340319764E-3</v>
      </c>
      <c r="T80" s="332">
        <v>19660167052.049999</v>
      </c>
      <c r="U80" s="333">
        <v>117.27</v>
      </c>
      <c r="V80" s="24">
        <f t="shared" si="48"/>
        <v>-1.6092274005678146E-2</v>
      </c>
      <c r="W80" s="24">
        <f t="shared" si="49"/>
        <v>1.622822002049861E-3</v>
      </c>
      <c r="X80" s="332">
        <v>19716459192.169998</v>
      </c>
      <c r="Y80" s="333">
        <v>117.48</v>
      </c>
      <c r="Z80" s="24">
        <f t="shared" si="50"/>
        <v>2.8632584845777929E-3</v>
      </c>
      <c r="AA80" s="24">
        <f t="shared" si="51"/>
        <v>1.7907393195191266E-3</v>
      </c>
      <c r="AB80" s="332">
        <v>19464382442.799999</v>
      </c>
      <c r="AC80" s="333">
        <v>117.66</v>
      </c>
      <c r="AD80" s="24">
        <f t="shared" si="52"/>
        <v>-1.2785092237560901E-2</v>
      </c>
      <c r="AE80" s="24">
        <f t="shared" si="53"/>
        <v>1.5321756894789973E-3</v>
      </c>
      <c r="AF80" s="332">
        <v>19575287918.790001</v>
      </c>
      <c r="AG80" s="333">
        <v>117.9</v>
      </c>
      <c r="AH80" s="24">
        <f t="shared" si="54"/>
        <v>5.6978676983931919E-3</v>
      </c>
      <c r="AI80" s="24">
        <f t="shared" si="55"/>
        <v>2.0397756246813624E-3</v>
      </c>
      <c r="AJ80" s="25">
        <f t="shared" si="56"/>
        <v>-2.2414812844835119E-3</v>
      </c>
      <c r="AK80" s="25">
        <f t="shared" si="57"/>
        <v>1.7309817597568836E-3</v>
      </c>
      <c r="AL80" s="26">
        <f t="shared" si="58"/>
        <v>-9.1204267479909999E-3</v>
      </c>
      <c r="AM80" s="26">
        <f t="shared" si="59"/>
        <v>1.1930306411466831E-2</v>
      </c>
      <c r="AN80" s="27">
        <f t="shared" si="60"/>
        <v>1.04462472263276E-2</v>
      </c>
      <c r="AO80" s="79">
        <f t="shared" si="61"/>
        <v>2.0796579191432836E-4</v>
      </c>
      <c r="AP80" s="31"/>
      <c r="AQ80" s="29"/>
      <c r="AR80" s="29"/>
      <c r="AS80" s="30"/>
      <c r="AT80" s="30"/>
    </row>
    <row r="81" spans="1:46" s="291" customFormat="1" ht="15.75" customHeight="1">
      <c r="A81" s="208" t="s">
        <v>64</v>
      </c>
      <c r="B81" s="332">
        <v>14935685735.74</v>
      </c>
      <c r="C81" s="333">
        <v>335.18</v>
      </c>
      <c r="D81" s="332">
        <v>14980439262.219999</v>
      </c>
      <c r="E81" s="333">
        <v>335.59</v>
      </c>
      <c r="F81" s="24">
        <f t="shared" si="40"/>
        <v>2.9964159176774615E-3</v>
      </c>
      <c r="G81" s="24">
        <f t="shared" si="41"/>
        <v>1.2232233426814493E-3</v>
      </c>
      <c r="H81" s="332">
        <v>14934839103.09</v>
      </c>
      <c r="I81" s="333">
        <v>336</v>
      </c>
      <c r="J81" s="24">
        <f t="shared" si="42"/>
        <v>-3.0439801084472021E-3</v>
      </c>
      <c r="K81" s="24">
        <f t="shared" si="43"/>
        <v>1.2217288953783635E-3</v>
      </c>
      <c r="L81" s="332">
        <v>14908607764.639999</v>
      </c>
      <c r="M81" s="333">
        <v>336.36</v>
      </c>
      <c r="N81" s="24">
        <f t="shared" si="44"/>
        <v>-1.7563857413484642E-3</v>
      </c>
      <c r="O81" s="24">
        <f t="shared" si="45"/>
        <v>1.071428571428612E-3</v>
      </c>
      <c r="P81" s="332">
        <v>14977291273.709999</v>
      </c>
      <c r="Q81" s="333">
        <v>336.76</v>
      </c>
      <c r="R81" s="24">
        <f t="shared" si="46"/>
        <v>4.6069700239147852E-3</v>
      </c>
      <c r="S81" s="24">
        <f t="shared" si="47"/>
        <v>1.1892020454274505E-3</v>
      </c>
      <c r="T81" s="332">
        <v>15026247728.280001</v>
      </c>
      <c r="U81" s="333">
        <v>337.15</v>
      </c>
      <c r="V81" s="24">
        <f t="shared" si="48"/>
        <v>3.2687121906973958E-3</v>
      </c>
      <c r="W81" s="24">
        <f t="shared" si="49"/>
        <v>1.1580947856039505E-3</v>
      </c>
      <c r="X81" s="332">
        <v>14957015967.440001</v>
      </c>
      <c r="Y81" s="333">
        <v>337.54</v>
      </c>
      <c r="Z81" s="24">
        <f t="shared" si="50"/>
        <v>-4.6073884905879197E-3</v>
      </c>
      <c r="AA81" s="24">
        <f t="shared" si="51"/>
        <v>1.1567551534926389E-3</v>
      </c>
      <c r="AB81" s="332">
        <v>14889598657.879999</v>
      </c>
      <c r="AC81" s="333">
        <v>337.9</v>
      </c>
      <c r="AD81" s="24">
        <f t="shared" si="52"/>
        <v>-4.5074037299126001E-3</v>
      </c>
      <c r="AE81" s="24">
        <f t="shared" si="53"/>
        <v>1.0665402618947584E-3</v>
      </c>
      <c r="AF81" s="332">
        <v>14919937285.01</v>
      </c>
      <c r="AG81" s="333">
        <v>338.34</v>
      </c>
      <c r="AH81" s="24">
        <f t="shared" si="54"/>
        <v>2.0375718531503201E-3</v>
      </c>
      <c r="AI81" s="24">
        <f t="shared" si="55"/>
        <v>1.302160402485936E-3</v>
      </c>
      <c r="AJ81" s="25">
        <f t="shared" si="56"/>
        <v>-1.2568601060702797E-4</v>
      </c>
      <c r="AK81" s="25">
        <f t="shared" si="57"/>
        <v>1.1736416822991449E-3</v>
      </c>
      <c r="AL81" s="26">
        <f t="shared" si="58"/>
        <v>-4.0387318523150634E-3</v>
      </c>
      <c r="AM81" s="26">
        <f t="shared" si="59"/>
        <v>8.1945230787568175E-3</v>
      </c>
      <c r="AN81" s="27">
        <f t="shared" si="60"/>
        <v>3.7570487405084413E-3</v>
      </c>
      <c r="AO81" s="79">
        <f t="shared" si="61"/>
        <v>7.9259972410489378E-5</v>
      </c>
      <c r="AP81" s="31"/>
      <c r="AQ81" s="29"/>
      <c r="AR81" s="29"/>
      <c r="AS81" s="30"/>
      <c r="AT81" s="30"/>
    </row>
    <row r="82" spans="1:46" s="294" customFormat="1" ht="15.75" customHeight="1">
      <c r="A82" s="208" t="s">
        <v>256</v>
      </c>
      <c r="B82" s="332">
        <v>55396984.780000001</v>
      </c>
      <c r="C82" s="75">
        <v>103.13549999999999</v>
      </c>
      <c r="D82" s="332">
        <v>55607004.649999999</v>
      </c>
      <c r="E82" s="75">
        <v>103.3627</v>
      </c>
      <c r="F82" s="24" t="e">
        <f>((#REF!-B82)/B82)</f>
        <v>#REF!</v>
      </c>
      <c r="G82" s="24">
        <f>((E82-C82)/C82)</f>
        <v>2.2029272171076933E-3</v>
      </c>
      <c r="H82" s="332">
        <v>55721971.969999999</v>
      </c>
      <c r="I82" s="75">
        <v>103.48860000000001</v>
      </c>
      <c r="J82" s="24" t="e">
        <f>((#REF!-D82)/D82)</f>
        <v>#REF!</v>
      </c>
      <c r="K82" s="24">
        <f>((I82-E82)/E82)</f>
        <v>1.2180409373981277E-3</v>
      </c>
      <c r="L82" s="332">
        <v>55991007.329999998</v>
      </c>
      <c r="M82" s="75">
        <v>103.7148</v>
      </c>
      <c r="N82" s="24" t="e">
        <f>((#REF!-H82)/H82)</f>
        <v>#REF!</v>
      </c>
      <c r="O82" s="24">
        <f>((M82-I82)/I82)</f>
        <v>2.1857479954312986E-3</v>
      </c>
      <c r="P82" s="332">
        <v>56086780.799999997</v>
      </c>
      <c r="Q82" s="75">
        <v>103.8403</v>
      </c>
      <c r="R82" s="24" t="e">
        <f>((#REF!-L82)/L82)</f>
        <v>#REF!</v>
      </c>
      <c r="S82" s="24">
        <f>((Q82-M82)/M82)</f>
        <v>1.2100490961753038E-3</v>
      </c>
      <c r="T82" s="332">
        <v>56191792.5</v>
      </c>
      <c r="U82" s="75">
        <v>104.0162</v>
      </c>
      <c r="V82" s="24" t="e">
        <f>((#REF!-P82)/P82)</f>
        <v>#REF!</v>
      </c>
      <c r="W82" s="24">
        <f>((U82-Q82)/Q82)</f>
        <v>1.6939473402907987E-3</v>
      </c>
      <c r="X82" s="332">
        <v>56796798.340000004</v>
      </c>
      <c r="Y82" s="75">
        <v>104.18989999999999</v>
      </c>
      <c r="Z82" s="24" t="e">
        <f>((#REF!-T82)/T82)</f>
        <v>#REF!</v>
      </c>
      <c r="AA82" s="24">
        <f>((Y82-U82)/U82)</f>
        <v>1.6699321836405928E-3</v>
      </c>
      <c r="AB82" s="332">
        <v>56941662.649999999</v>
      </c>
      <c r="AC82" s="75">
        <v>104.3455</v>
      </c>
      <c r="AD82" s="24" t="e">
        <f>((#REF!-X82)/X82)</f>
        <v>#REF!</v>
      </c>
      <c r="AE82" s="24">
        <f>((AC82-Y82)/Y82)</f>
        <v>1.4934269060629375E-3</v>
      </c>
      <c r="AF82" s="332">
        <v>57077825.68</v>
      </c>
      <c r="AG82" s="75">
        <v>104.5492</v>
      </c>
      <c r="AH82" s="24" t="e">
        <f>((#REF!-AB82)/AB82)</f>
        <v>#REF!</v>
      </c>
      <c r="AI82" s="24">
        <f>((AG82-AC82)/AC82)</f>
        <v>1.9521685170898388E-3</v>
      </c>
      <c r="AJ82" s="25" t="e">
        <f t="shared" si="56"/>
        <v>#REF!</v>
      </c>
      <c r="AK82" s="25">
        <f t="shared" si="57"/>
        <v>1.7032800241495738E-3</v>
      </c>
      <c r="AL82" s="26">
        <f t="shared" si="58"/>
        <v>2.6450283363716503E-2</v>
      </c>
      <c r="AM82" s="26">
        <f t="shared" si="59"/>
        <v>1.1478995807965495E-2</v>
      </c>
      <c r="AN82" s="27" t="e">
        <f t="shared" si="60"/>
        <v>#REF!</v>
      </c>
      <c r="AO82" s="79">
        <f t="shared" si="61"/>
        <v>3.9066598281629444E-4</v>
      </c>
      <c r="AP82" s="31"/>
      <c r="AQ82" s="29"/>
      <c r="AR82" s="29"/>
      <c r="AS82" s="30"/>
      <c r="AT82" s="30"/>
    </row>
    <row r="83" spans="1:46" s="308" customFormat="1" ht="15.75" customHeight="1">
      <c r="A83" s="208" t="s">
        <v>162</v>
      </c>
      <c r="B83" s="332">
        <v>101154044855.03999</v>
      </c>
      <c r="C83" s="332">
        <v>1.9702999999999999</v>
      </c>
      <c r="D83" s="332">
        <v>101031842025.12</v>
      </c>
      <c r="E83" s="332">
        <v>1.9730000000000001</v>
      </c>
      <c r="F83" s="24">
        <f>((D83-B83)/B83)</f>
        <v>-1.2080864397970678E-3</v>
      </c>
      <c r="G83" s="24">
        <f>((E83-C83)/C83)</f>
        <v>1.3703496929402359E-3</v>
      </c>
      <c r="H83" s="332">
        <v>101141911998.03</v>
      </c>
      <c r="I83" s="332">
        <v>1.9755</v>
      </c>
      <c r="J83" s="24">
        <f>((H83-D83)/D83)</f>
        <v>1.0894582411220067E-3</v>
      </c>
      <c r="K83" s="24">
        <f>((I83-E83)/E83)</f>
        <v>1.2671059300557255E-3</v>
      </c>
      <c r="L83" s="332">
        <v>101246774163.89</v>
      </c>
      <c r="M83" s="332">
        <v>1.9781</v>
      </c>
      <c r="N83" s="24">
        <f>((L83-H83)/H83)</f>
        <v>1.0367825146714951E-3</v>
      </c>
      <c r="O83" s="24">
        <f>((M83-I83)/I83)</f>
        <v>1.3161225006327185E-3</v>
      </c>
      <c r="P83" s="332">
        <v>101383037450.89</v>
      </c>
      <c r="Q83" s="332">
        <v>1.9807999999999999</v>
      </c>
      <c r="R83" s="24">
        <f>((P83-L83)/L83)</f>
        <v>1.3458531210034221E-3</v>
      </c>
      <c r="S83" s="24">
        <f>((Q83-M83)/M83)</f>
        <v>1.3649461604569662E-3</v>
      </c>
      <c r="T83" s="332">
        <v>100780052811.61</v>
      </c>
      <c r="U83" s="332">
        <v>1.9834000000000001</v>
      </c>
      <c r="V83" s="24">
        <f>((T83-P83)/P83)</f>
        <v>-5.9475890093753101E-3</v>
      </c>
      <c r="W83" s="24">
        <f>((U83-Q83)/Q83)</f>
        <v>1.3126009693054108E-3</v>
      </c>
      <c r="X83" s="332">
        <v>100886259435.62</v>
      </c>
      <c r="Y83" s="332">
        <v>1.9861</v>
      </c>
      <c r="Z83" s="24">
        <f>((X83-T83)/T83)</f>
        <v>1.053845687187012E-3</v>
      </c>
      <c r="AA83" s="24">
        <f>((Y83-U83)/U83)</f>
        <v>1.3612987798729075E-3</v>
      </c>
      <c r="AB83" s="332">
        <v>100984005975.89</v>
      </c>
      <c r="AC83" s="332">
        <v>1.9885999999999999</v>
      </c>
      <c r="AD83" s="24">
        <f>((AB83-X83)/X83)</f>
        <v>9.688786244709636E-4</v>
      </c>
      <c r="AE83" s="24">
        <f>((AC83-Y83)/Y83)</f>
        <v>1.2587483006897672E-3</v>
      </c>
      <c r="AF83" s="332">
        <v>101141179358.55</v>
      </c>
      <c r="AG83" s="332">
        <v>1.9916</v>
      </c>
      <c r="AH83" s="24">
        <f>((AF83-AB83)/AB83)</f>
        <v>1.5564185748140049E-3</v>
      </c>
      <c r="AI83" s="24">
        <f>((AG83-AC83)/AC83)</f>
        <v>1.5085990143820344E-3</v>
      </c>
      <c r="AJ83" s="25">
        <f t="shared" si="56"/>
        <v>-1.3054835737934234E-5</v>
      </c>
      <c r="AK83" s="25">
        <f t="shared" si="57"/>
        <v>1.3449714185419708E-3</v>
      </c>
      <c r="AL83" s="26">
        <f t="shared" si="58"/>
        <v>1.0822066710693338E-3</v>
      </c>
      <c r="AM83" s="26">
        <f t="shared" si="59"/>
        <v>9.4272681196147737E-3</v>
      </c>
      <c r="AN83" s="27">
        <f t="shared" si="60"/>
        <v>2.5460568282051842E-3</v>
      </c>
      <c r="AO83" s="79">
        <f t="shared" si="61"/>
        <v>7.879556402679255E-5</v>
      </c>
      <c r="AP83" s="31"/>
      <c r="AQ83" s="29"/>
      <c r="AR83" s="29"/>
      <c r="AS83" s="30"/>
      <c r="AT83" s="30"/>
    </row>
    <row r="84" spans="1:46" s="308" customFormat="1" ht="15.75" customHeight="1">
      <c r="A84" s="208" t="s">
        <v>49</v>
      </c>
      <c r="B84" s="332">
        <v>9888728146.8999996</v>
      </c>
      <c r="C84" s="333">
        <v>1</v>
      </c>
      <c r="D84" s="332">
        <v>9876879572.9599991</v>
      </c>
      <c r="E84" s="333">
        <v>1</v>
      </c>
      <c r="F84" s="24">
        <f>((D84-B84)/B84)</f>
        <v>-1.1981898747732208E-3</v>
      </c>
      <c r="G84" s="24">
        <f>((E84-C84)/C84)</f>
        <v>0</v>
      </c>
      <c r="H84" s="332">
        <v>9889007015.1700001</v>
      </c>
      <c r="I84" s="333">
        <v>1</v>
      </c>
      <c r="J84" s="24">
        <f>((H84-D84)/D84)</f>
        <v>1.2278617067684387E-3</v>
      </c>
      <c r="K84" s="24">
        <f>((I84-E84)/E84)</f>
        <v>0</v>
      </c>
      <c r="L84" s="332">
        <v>9891023152.25</v>
      </c>
      <c r="M84" s="333">
        <v>1</v>
      </c>
      <c r="N84" s="24">
        <f>((L84-H84)/H84)</f>
        <v>2.0387659518363328E-4</v>
      </c>
      <c r="O84" s="24">
        <f>((M84-I84)/I84)</f>
        <v>0</v>
      </c>
      <c r="P84" s="332">
        <v>9875918059.3700008</v>
      </c>
      <c r="Q84" s="333">
        <v>1</v>
      </c>
      <c r="R84" s="24">
        <f>((P84-L84)/L84)</f>
        <v>-1.5271517058943562E-3</v>
      </c>
      <c r="S84" s="24">
        <f>((Q84-M84)/M84)</f>
        <v>0</v>
      </c>
      <c r="T84" s="332">
        <v>9866152181.8999996</v>
      </c>
      <c r="U84" s="333">
        <v>1</v>
      </c>
      <c r="V84" s="24">
        <f>((T84-P84)/P84)</f>
        <v>-9.8885768505699821E-4</v>
      </c>
      <c r="W84" s="24">
        <f>((U84-Q84)/Q84)</f>
        <v>0</v>
      </c>
      <c r="X84" s="332">
        <v>9865789687.8999996</v>
      </c>
      <c r="Y84" s="333">
        <v>1</v>
      </c>
      <c r="Z84" s="24">
        <f>((X84-T84)/T84)</f>
        <v>-3.6741172578405511E-5</v>
      </c>
      <c r="AA84" s="24">
        <f>((Y84-U84)/U84)</f>
        <v>0</v>
      </c>
      <c r="AB84" s="332">
        <v>9857997468.7700005</v>
      </c>
      <c r="AC84" s="333">
        <v>1</v>
      </c>
      <c r="AD84" s="24">
        <f>((AB84-X84)/X84)</f>
        <v>-7.8982214059924766E-4</v>
      </c>
      <c r="AE84" s="24">
        <f>((AC84-Y84)/Y84)</f>
        <v>0</v>
      </c>
      <c r="AF84" s="332">
        <v>9863356245.0499992</v>
      </c>
      <c r="AG84" s="333">
        <v>1</v>
      </c>
      <c r="AH84" s="24">
        <f>((AF84-AB84)/AB84)</f>
        <v>5.4359684073518062E-4</v>
      </c>
      <c r="AI84" s="24">
        <f>((AG84-AC84)/AC84)</f>
        <v>0</v>
      </c>
      <c r="AJ84" s="25">
        <f t="shared" si="56"/>
        <v>-3.2067842952687199E-4</v>
      </c>
      <c r="AK84" s="25">
        <f t="shared" si="57"/>
        <v>0</v>
      </c>
      <c r="AL84" s="26">
        <f t="shared" si="58"/>
        <v>-1.3691903206983261E-3</v>
      </c>
      <c r="AM84" s="26">
        <f t="shared" si="59"/>
        <v>0</v>
      </c>
      <c r="AN84" s="27">
        <f t="shared" si="60"/>
        <v>9.5565161603583222E-4</v>
      </c>
      <c r="AO84" s="79">
        <f t="shared" si="61"/>
        <v>0</v>
      </c>
      <c r="AP84" s="31"/>
      <c r="AQ84" s="29"/>
      <c r="AR84" s="29"/>
      <c r="AS84" s="30"/>
      <c r="AT84" s="30"/>
    </row>
    <row r="85" spans="1:46" s="112" customFormat="1" ht="15.75" customHeight="1">
      <c r="A85" s="208" t="s">
        <v>19</v>
      </c>
      <c r="B85" s="332">
        <v>3475256348.6399999</v>
      </c>
      <c r="C85" s="333">
        <v>23.777699999999999</v>
      </c>
      <c r="D85" s="332">
        <v>3475668326.9899998</v>
      </c>
      <c r="E85" s="333">
        <v>23.8079</v>
      </c>
      <c r="F85" s="24">
        <f>((D85-B85)/B85)</f>
        <v>1.185461757838749E-4</v>
      </c>
      <c r="G85" s="24">
        <f>((E85-C85)/C85)</f>
        <v>1.270097612468854E-3</v>
      </c>
      <c r="H85" s="332">
        <v>3480074606.6799998</v>
      </c>
      <c r="I85" s="333">
        <v>23.838100000000001</v>
      </c>
      <c r="J85" s="24">
        <f>((H85-D85)/D85)</f>
        <v>1.2677503361823901E-3</v>
      </c>
      <c r="K85" s="24">
        <f>((I85-E85)/E85)</f>
        <v>1.2684865107800633E-3</v>
      </c>
      <c r="L85" s="332">
        <v>3489478822.0100002</v>
      </c>
      <c r="M85" s="333">
        <v>23.868200000000002</v>
      </c>
      <c r="N85" s="24">
        <f>((L85-H85)/H85)</f>
        <v>2.7023027931496117E-3</v>
      </c>
      <c r="O85" s="24">
        <f>((M85-I85)/I85)</f>
        <v>1.2626845260318945E-3</v>
      </c>
      <c r="P85" s="332">
        <v>3492696859.6599998</v>
      </c>
      <c r="Q85" s="333">
        <v>23.898399999999999</v>
      </c>
      <c r="R85" s="24">
        <f>((P85-L85)/L85)</f>
        <v>9.2221154336909639E-4</v>
      </c>
      <c r="S85" s="24">
        <f>((Q85-M85)/M85)</f>
        <v>1.2652818394347759E-3</v>
      </c>
      <c r="T85" s="332">
        <v>3310508943.7600002</v>
      </c>
      <c r="U85" s="333">
        <v>23.9253</v>
      </c>
      <c r="V85" s="24">
        <f>((T85-P85)/P85)</f>
        <v>-5.2162533200128591E-2</v>
      </c>
      <c r="W85" s="24">
        <f>((U85-Q85)/Q85)</f>
        <v>1.1255983664178882E-3</v>
      </c>
      <c r="X85" s="332">
        <v>3317337901.4200001</v>
      </c>
      <c r="Y85" s="333">
        <v>23.953099999999999</v>
      </c>
      <c r="Z85" s="24">
        <f>((X85-T85)/T85)</f>
        <v>2.0628120255865171E-3</v>
      </c>
      <c r="AA85" s="24">
        <f>((Y85-U85)/U85)</f>
        <v>1.1619499024045324E-3</v>
      </c>
      <c r="AB85" s="332">
        <v>3321098491.3000002</v>
      </c>
      <c r="AC85" s="333">
        <v>23.9803</v>
      </c>
      <c r="AD85" s="24">
        <f>((AB85-X85)/X85)</f>
        <v>1.1336167709627585E-3</v>
      </c>
      <c r="AE85" s="24">
        <f>((AC85-Y85)/Y85)</f>
        <v>1.1355523919659902E-3</v>
      </c>
      <c r="AF85" s="332">
        <v>3326377950.4299998</v>
      </c>
      <c r="AG85" s="333">
        <v>24.0075</v>
      </c>
      <c r="AH85" s="24">
        <f>((AF85-AB85)/AB85)</f>
        <v>1.589672556784988E-3</v>
      </c>
      <c r="AI85" s="24">
        <f>((AG85-AC85)/AC85)</f>
        <v>1.1342643753414494E-3</v>
      </c>
      <c r="AJ85" s="25">
        <f t="shared" si="56"/>
        <v>-5.2957026247886698E-3</v>
      </c>
      <c r="AK85" s="25">
        <f t="shared" si="57"/>
        <v>1.2029894406056811E-3</v>
      </c>
      <c r="AL85" s="26">
        <f t="shared" si="58"/>
        <v>-4.2952998535763183E-2</v>
      </c>
      <c r="AM85" s="26">
        <f t="shared" si="59"/>
        <v>8.3837717732349448E-3</v>
      </c>
      <c r="AN85" s="27">
        <f t="shared" si="60"/>
        <v>1.8952631319138574E-2</v>
      </c>
      <c r="AO85" s="79">
        <f t="shared" si="61"/>
        <v>6.884945408298972E-5</v>
      </c>
      <c r="AP85" s="31"/>
      <c r="AQ85" s="29"/>
      <c r="AR85" s="29"/>
      <c r="AS85" s="30"/>
      <c r="AT85" s="30"/>
    </row>
    <row r="86" spans="1:46">
      <c r="A86" s="210" t="s">
        <v>42</v>
      </c>
      <c r="B86" s="77">
        <f>SUM(B56:B85)</f>
        <v>337557374886.08545</v>
      </c>
      <c r="C86" s="88"/>
      <c r="D86" s="77">
        <f>SUM(D56:D85)</f>
        <v>335945984770.62177</v>
      </c>
      <c r="E86" s="88"/>
      <c r="F86" s="24">
        <f>((D85-B86)/B86)</f>
        <v>-0.98970347388155</v>
      </c>
      <c r="G86" s="24"/>
      <c r="H86" s="77">
        <f>SUM(H56:H85)</f>
        <v>337420772556.3739</v>
      </c>
      <c r="I86" s="88"/>
      <c r="J86" s="24">
        <f>((H85-D86)/D86)</f>
        <v>-0.98964096978549654</v>
      </c>
      <c r="K86" s="24"/>
      <c r="L86" s="77">
        <f>SUM(L56:L85)</f>
        <v>337681545776.19214</v>
      </c>
      <c r="M86" s="88"/>
      <c r="N86" s="24">
        <f>((L85-H86)/H86)</f>
        <v>-0.98965837581494187</v>
      </c>
      <c r="O86" s="24"/>
      <c r="P86" s="77">
        <f>SUM(P56:P85)</f>
        <v>338781243498.64948</v>
      </c>
      <c r="Q86" s="88"/>
      <c r="R86" s="24">
        <f>((P85-L86)/L86)</f>
        <v>-0.98965683229259183</v>
      </c>
      <c r="S86" s="24"/>
      <c r="T86" s="77">
        <f>SUM(T56:T85)</f>
        <v>329560582532.39905</v>
      </c>
      <c r="U86" s="88"/>
      <c r="V86" s="24">
        <f>((T85-P86)/P86)</f>
        <v>-0.99022818114258082</v>
      </c>
      <c r="W86" s="24"/>
      <c r="X86" s="77">
        <f>SUM(X56:X85)</f>
        <v>325274738811.00592</v>
      </c>
      <c r="Y86" s="88"/>
      <c r="Z86" s="24">
        <f>((X85-T86)/T86)</f>
        <v>-0.98993405741691254</v>
      </c>
      <c r="AA86" s="24"/>
      <c r="AB86" s="77">
        <f>SUM(AB56:AB85)</f>
        <v>324645636399.64471</v>
      </c>
      <c r="AC86" s="88"/>
      <c r="AD86" s="24">
        <f>((AB85-X86)/X86)</f>
        <v>-0.98978986654961354</v>
      </c>
      <c r="AE86" s="24"/>
      <c r="AF86" s="77">
        <f>SUM(AF56:AF85)</f>
        <v>325325671083.40485</v>
      </c>
      <c r="AG86" s="88"/>
      <c r="AH86" s="24">
        <f>((AF85-AB86)/AB86)</f>
        <v>-0.98975381900302162</v>
      </c>
      <c r="AI86" s="24"/>
      <c r="AJ86" s="25">
        <f t="shared" si="56"/>
        <v>-0.98979569698583858</v>
      </c>
      <c r="AK86" s="25"/>
      <c r="AL86" s="26">
        <f t="shared" si="58"/>
        <v>-3.1613158569132147E-2</v>
      </c>
      <c r="AM86" s="26"/>
      <c r="AN86" s="27">
        <f t="shared" si="60"/>
        <v>1.9948506161353036E-4</v>
      </c>
      <c r="AO86" s="79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2" customFormat="1" ht="7.5" customHeight="1">
      <c r="A87" s="210"/>
      <c r="B87" s="88"/>
      <c r="C87" s="88"/>
      <c r="D87" s="88"/>
      <c r="E87" s="88"/>
      <c r="F87" s="24"/>
      <c r="G87" s="24"/>
      <c r="H87" s="88"/>
      <c r="I87" s="88"/>
      <c r="J87" s="24"/>
      <c r="K87" s="24"/>
      <c r="L87" s="88"/>
      <c r="M87" s="88"/>
      <c r="N87" s="24"/>
      <c r="O87" s="24"/>
      <c r="P87" s="88"/>
      <c r="Q87" s="88"/>
      <c r="R87" s="24"/>
      <c r="S87" s="24"/>
      <c r="T87" s="88"/>
      <c r="U87" s="88"/>
      <c r="V87" s="24"/>
      <c r="W87" s="24"/>
      <c r="X87" s="88"/>
      <c r="Y87" s="88"/>
      <c r="Z87" s="24"/>
      <c r="AA87" s="24"/>
      <c r="AB87" s="88"/>
      <c r="AC87" s="88"/>
      <c r="AD87" s="24"/>
      <c r="AE87" s="24"/>
      <c r="AF87" s="88"/>
      <c r="AG87" s="88"/>
      <c r="AH87" s="24"/>
      <c r="AI87" s="24"/>
      <c r="AJ87" s="25"/>
      <c r="AK87" s="25"/>
      <c r="AL87" s="26"/>
      <c r="AM87" s="26"/>
      <c r="AN87" s="27"/>
      <c r="AO87" s="79"/>
      <c r="AP87" s="31"/>
      <c r="AQ87" s="41"/>
      <c r="AR87" s="14"/>
      <c r="AS87" s="30"/>
      <c r="AT87" s="30"/>
    </row>
    <row r="88" spans="1:46" s="112" customFormat="1">
      <c r="A88" s="207" t="s">
        <v>202</v>
      </c>
      <c r="B88" s="88"/>
      <c r="C88" s="88"/>
      <c r="D88" s="88"/>
      <c r="E88" s="88"/>
      <c r="F88" s="24"/>
      <c r="G88" s="24"/>
      <c r="H88" s="88"/>
      <c r="I88" s="88"/>
      <c r="J88" s="24"/>
      <c r="K88" s="24"/>
      <c r="L88" s="88"/>
      <c r="M88" s="88"/>
      <c r="N88" s="24"/>
      <c r="O88" s="24"/>
      <c r="P88" s="88"/>
      <c r="Q88" s="88"/>
      <c r="R88" s="24"/>
      <c r="S88" s="24"/>
      <c r="T88" s="88"/>
      <c r="U88" s="88"/>
      <c r="V88" s="24"/>
      <c r="W88" s="24"/>
      <c r="X88" s="88"/>
      <c r="Y88" s="88"/>
      <c r="Z88" s="24"/>
      <c r="AA88" s="24"/>
      <c r="AB88" s="88"/>
      <c r="AC88" s="88"/>
      <c r="AD88" s="24"/>
      <c r="AE88" s="24"/>
      <c r="AF88" s="88"/>
      <c r="AG88" s="88"/>
      <c r="AH88" s="24"/>
      <c r="AI88" s="24"/>
      <c r="AJ88" s="25"/>
      <c r="AK88" s="25"/>
      <c r="AL88" s="26"/>
      <c r="AM88" s="26"/>
      <c r="AN88" s="27"/>
      <c r="AO88" s="79"/>
      <c r="AP88" s="31"/>
      <c r="AQ88" s="41"/>
      <c r="AR88" s="14"/>
      <c r="AS88" s="30"/>
      <c r="AT88" s="30"/>
    </row>
    <row r="89" spans="1:46" s="112" customFormat="1">
      <c r="A89" s="206" t="s">
        <v>203</v>
      </c>
      <c r="B89" s="88"/>
      <c r="C89" s="88"/>
      <c r="D89" s="88"/>
      <c r="E89" s="88"/>
      <c r="F89" s="24"/>
      <c r="G89" s="24"/>
      <c r="H89" s="88"/>
      <c r="I89" s="88"/>
      <c r="J89" s="24"/>
      <c r="K89" s="24"/>
      <c r="L89" s="88"/>
      <c r="M89" s="88"/>
      <c r="N89" s="24"/>
      <c r="O89" s="24"/>
      <c r="P89" s="88"/>
      <c r="Q89" s="88"/>
      <c r="R89" s="24"/>
      <c r="S89" s="24"/>
      <c r="T89" s="88"/>
      <c r="U89" s="88"/>
      <c r="V89" s="24"/>
      <c r="W89" s="24"/>
      <c r="X89" s="88"/>
      <c r="Y89" s="88"/>
      <c r="Z89" s="24"/>
      <c r="AA89" s="24"/>
      <c r="AB89" s="88"/>
      <c r="AC89" s="88"/>
      <c r="AD89" s="24"/>
      <c r="AE89" s="24"/>
      <c r="AF89" s="88"/>
      <c r="AG89" s="88"/>
      <c r="AH89" s="24"/>
      <c r="AI89" s="24"/>
      <c r="AJ89" s="25"/>
      <c r="AK89" s="25"/>
      <c r="AL89" s="26"/>
      <c r="AM89" s="26"/>
      <c r="AN89" s="27"/>
      <c r="AO89" s="79"/>
      <c r="AP89" s="31"/>
      <c r="AQ89" s="41"/>
      <c r="AR89" s="14"/>
      <c r="AS89" s="30"/>
      <c r="AT89" s="30"/>
    </row>
    <row r="90" spans="1:46">
      <c r="A90" s="208" t="s">
        <v>150</v>
      </c>
      <c r="B90" s="332">
        <v>800573217.45000005</v>
      </c>
      <c r="C90" s="332">
        <f>106.4609*460.5</f>
        <v>49025.244449999998</v>
      </c>
      <c r="D90" s="332">
        <v>796514967.11000001</v>
      </c>
      <c r="E90" s="332">
        <f>106.5763*460.95</f>
        <v>49126.345484999998</v>
      </c>
      <c r="F90" s="24">
        <f t="shared" ref="F90:F98" si="62">((D90-B90)/B90)</f>
        <v>-5.0691807464237236E-3</v>
      </c>
      <c r="G90" s="24">
        <f t="shared" ref="G90:G98" si="63">((E90-C90)/C90)</f>
        <v>2.0622239855042617E-3</v>
      </c>
      <c r="H90" s="332">
        <v>788637969.12</v>
      </c>
      <c r="I90" s="332">
        <f>106.753*460.97</f>
        <v>49209.930410000001</v>
      </c>
      <c r="J90" s="24">
        <f>((H102-D90)/D90)</f>
        <v>2.5374102243430721</v>
      </c>
      <c r="K90" s="24">
        <f t="shared" ref="K90:K98" si="64">((I90-E90)/E90)</f>
        <v>1.701427699838252E-3</v>
      </c>
      <c r="L90" s="332">
        <v>791220411.33000004</v>
      </c>
      <c r="M90" s="332">
        <f>106.9615*460.52</f>
        <v>49257.909979999997</v>
      </c>
      <c r="N90" s="24">
        <f>((L102-H90)/H90)</f>
        <v>2.6601780862871167</v>
      </c>
      <c r="O90" s="24">
        <f t="shared" ref="O90:O98" si="65">((M90-I90)/I90)</f>
        <v>9.7499772099344194E-4</v>
      </c>
      <c r="P90" s="332">
        <v>791994864.57000005</v>
      </c>
      <c r="Q90" s="332">
        <f>107.0848*460.44</f>
        <v>49306.125312000004</v>
      </c>
      <c r="R90" s="24">
        <f>((P102-L90)/L90)</f>
        <v>2.7003197203795275</v>
      </c>
      <c r="S90" s="24">
        <f t="shared" ref="S90:S98" si="66">((Q90-M90)/M90)</f>
        <v>9.7883430335521187E-4</v>
      </c>
      <c r="T90" s="332">
        <v>792837584.21000004</v>
      </c>
      <c r="U90" s="332">
        <f>107.208*460.4</f>
        <v>49358.563199999997</v>
      </c>
      <c r="V90" s="24">
        <f>((T102-P90)/P90)</f>
        <v>2.8038006949169225</v>
      </c>
      <c r="W90" s="24">
        <f t="shared" ref="W90:W98" si="67">((U90-Q90)/Q90)</f>
        <v>1.06351670645738E-3</v>
      </c>
      <c r="X90" s="332">
        <v>795871730.70000005</v>
      </c>
      <c r="Y90" s="332">
        <f>107.307*460.85</f>
        <v>49452.430950000002</v>
      </c>
      <c r="Z90" s="24">
        <f>((X102-T90)/T90)</f>
        <v>2.7279106297313711</v>
      </c>
      <c r="AA90" s="24">
        <f t="shared" ref="AA90:AA98" si="68">((Y90-U90)/U90)</f>
        <v>1.9017520753117241E-3</v>
      </c>
      <c r="AB90" s="332">
        <v>796712638.04999995</v>
      </c>
      <c r="AC90" s="332">
        <f>107.4297*460.36</f>
        <v>49456.336691999997</v>
      </c>
      <c r="AD90" s="24">
        <f>((AB102-X90)/X90)</f>
        <v>2.7392571224590681</v>
      </c>
      <c r="AE90" s="24">
        <f t="shared" ref="AE90:AE98" si="69">((AC90-Y90)/Y90)</f>
        <v>7.8979777636095576E-5</v>
      </c>
      <c r="AF90" s="332">
        <v>793224099.02999997</v>
      </c>
      <c r="AG90" s="332">
        <f>107.551*460.36</f>
        <v>49512.178360000005</v>
      </c>
      <c r="AH90" s="24">
        <f>((AF102-AB90)/AB90)</f>
        <v>2.7358777998575019</v>
      </c>
      <c r="AI90" s="24">
        <f t="shared" ref="AI90:AI98" si="70">((AG90-AC90)/AC90)</f>
        <v>1.1291104787597643E-3</v>
      </c>
      <c r="AJ90" s="25">
        <f t="shared" si="56"/>
        <v>2.3624606371535193</v>
      </c>
      <c r="AK90" s="25">
        <f t="shared" si="57"/>
        <v>1.2363553434820164E-3</v>
      </c>
      <c r="AL90" s="26">
        <f t="shared" si="58"/>
        <v>-4.1315834803962552E-3</v>
      </c>
      <c r="AM90" s="26">
        <f t="shared" si="59"/>
        <v>7.853889215468219E-3</v>
      </c>
      <c r="AN90" s="27">
        <f t="shared" si="60"/>
        <v>0.95978717497625754</v>
      </c>
      <c r="AO90" s="79">
        <f t="shared" si="61"/>
        <v>6.3881831421863037E-4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08" t="s">
        <v>151</v>
      </c>
      <c r="B91" s="332">
        <f>11204270.26 *460.5</f>
        <v>5159566454.7299995</v>
      </c>
      <c r="C91" s="332">
        <f>1.1335*460.5</f>
        <v>521.97674999999992</v>
      </c>
      <c r="D91" s="332">
        <f>11212855.72*460.45</f>
        <v>5162959416.2740002</v>
      </c>
      <c r="E91" s="332">
        <f>1.1348*460.45</f>
        <v>522.51865999999995</v>
      </c>
      <c r="F91" s="24">
        <f t="shared" si="62"/>
        <v>6.5760593913664E-4</v>
      </c>
      <c r="G91" s="24">
        <f t="shared" si="63"/>
        <v>1.0381880035845081E-3</v>
      </c>
      <c r="H91" s="332">
        <f>11280084.75*460.46</f>
        <v>5194027823.9849997</v>
      </c>
      <c r="I91" s="332">
        <f>1.1359*460.46</f>
        <v>523.0365139999999</v>
      </c>
      <c r="J91" s="24">
        <f>((H103-D91)/D91)</f>
        <v>0.1930433557901719</v>
      </c>
      <c r="K91" s="24">
        <f t="shared" si="64"/>
        <v>9.9107273987103744E-4</v>
      </c>
      <c r="L91" s="332">
        <f>11293819.96*460.55</f>
        <v>5201368782.5780001</v>
      </c>
      <c r="M91" s="332">
        <f>1.1364*460.55</f>
        <v>523.36902000000009</v>
      </c>
      <c r="N91" s="24">
        <f>((L103-H91)/H91)</f>
        <v>0.15747877012862202</v>
      </c>
      <c r="O91" s="24">
        <f t="shared" si="65"/>
        <v>6.3572234652855251E-4</v>
      </c>
      <c r="P91" s="332">
        <f>11301314.56*460.36</f>
        <v>5202673170.8416004</v>
      </c>
      <c r="Q91" s="332">
        <f>1.1372*460.36</f>
        <v>523.52139199999999</v>
      </c>
      <c r="R91" s="24">
        <f>((P103-L91)/L91)</f>
        <v>0.16049728287449708</v>
      </c>
      <c r="S91" s="24">
        <f t="shared" si="66"/>
        <v>2.9113683496187877E-4</v>
      </c>
      <c r="T91" s="332">
        <f>11301341.53*460.4</f>
        <v>5203137640.4119997</v>
      </c>
      <c r="U91" s="332">
        <f>1.1386*460.4</f>
        <v>524.21144000000004</v>
      </c>
      <c r="V91" s="24">
        <f>((T103-P91)/P91)</f>
        <v>0.16202376391289647</v>
      </c>
      <c r="W91" s="24">
        <f t="shared" si="67"/>
        <v>1.3180894048357189E-3</v>
      </c>
      <c r="X91" s="332">
        <f>11634515.93*460.35</f>
        <v>5355949408.3754997</v>
      </c>
      <c r="Y91" s="332">
        <f>1.1401*460.35</f>
        <v>524.84503499999994</v>
      </c>
      <c r="Z91" s="24">
        <f>((X103-T91)/T91)</f>
        <v>0.17906881957368789</v>
      </c>
      <c r="AA91" s="24">
        <f t="shared" si="68"/>
        <v>1.2086630539766552E-3</v>
      </c>
      <c r="AB91" s="332">
        <f>11646169.51*460.36</f>
        <v>5361430595.6236</v>
      </c>
      <c r="AC91" s="332">
        <f>1.1412*460.36</f>
        <v>525.36283200000003</v>
      </c>
      <c r="AD91" s="24">
        <f>((AB103-X91)/X91)</f>
        <v>0.13773274964862803</v>
      </c>
      <c r="AE91" s="24">
        <f t="shared" si="69"/>
        <v>9.865712076329101E-4</v>
      </c>
      <c r="AF91" s="332">
        <f>11671298.13*460.43</f>
        <v>5373815797.9959002</v>
      </c>
      <c r="AG91" s="332">
        <f>1.1424*460.43</f>
        <v>525.9952320000001</v>
      </c>
      <c r="AH91" s="24">
        <f>((AF103-AB91)/AB91)</f>
        <v>6.5222639523085491E-2</v>
      </c>
      <c r="AI91" s="24">
        <f t="shared" si="70"/>
        <v>1.2037395138757648E-3</v>
      </c>
      <c r="AJ91" s="25">
        <f t="shared" si="56"/>
        <v>0.13196562342384072</v>
      </c>
      <c r="AK91" s="25">
        <f t="shared" si="57"/>
        <v>9.5914788815837826E-4</v>
      </c>
      <c r="AL91" s="26">
        <f t="shared" si="58"/>
        <v>4.0840216767396291E-2</v>
      </c>
      <c r="AM91" s="26">
        <f t="shared" si="59"/>
        <v>6.6534887002889943E-3</v>
      </c>
      <c r="AN91" s="27">
        <f t="shared" si="60"/>
        <v>6.5517009388646852E-2</v>
      </c>
      <c r="AO91" s="79">
        <f t="shared" si="61"/>
        <v>3.4012252337833497E-4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08" t="s">
        <v>178</v>
      </c>
      <c r="B92" s="332">
        <v>1006925825.6799999</v>
      </c>
      <c r="C92" s="332">
        <v>48646.333500000001</v>
      </c>
      <c r="D92" s="332">
        <v>1004909438.6205001</v>
      </c>
      <c r="E92" s="332">
        <v>48675.444194999996</v>
      </c>
      <c r="F92" s="24">
        <f t="shared" si="62"/>
        <v>-2.0025179691246352E-3</v>
      </c>
      <c r="G92" s="24">
        <f t="shared" si="63"/>
        <v>5.9841498640376988E-4</v>
      </c>
      <c r="H92" s="332">
        <v>1007064368.7312001</v>
      </c>
      <c r="I92" s="332">
        <v>48756.476736000004</v>
      </c>
      <c r="J92" s="24">
        <f>((H92-D92)/D92)</f>
        <v>2.1444022992342612E-3</v>
      </c>
      <c r="K92" s="24">
        <f t="shared" si="64"/>
        <v>1.6647519573808334E-3</v>
      </c>
      <c r="L92" s="332">
        <v>1008235531.5945001</v>
      </c>
      <c r="M92" s="332">
        <v>48813.167930999996</v>
      </c>
      <c r="N92" s="24">
        <f>((L92-H92)/H92)</f>
        <v>1.1629473742334002E-3</v>
      </c>
      <c r="O92" s="24">
        <f t="shared" si="65"/>
        <v>1.1627418303204308E-3</v>
      </c>
      <c r="P92" s="332">
        <v>1007635437.2375998</v>
      </c>
      <c r="Q92" s="332">
        <v>48851.113769999996</v>
      </c>
      <c r="R92" s="24">
        <f>((P92-L92)/L92)</f>
        <v>-5.9519262919764443E-4</v>
      </c>
      <c r="S92" s="24">
        <f t="shared" si="66"/>
        <v>7.7736890696458044E-4</v>
      </c>
      <c r="T92" s="332">
        <v>1010765628.0919999</v>
      </c>
      <c r="U92" s="332">
        <v>48893.839059999998</v>
      </c>
      <c r="V92" s="24">
        <f>((T92-P92)/P92)</f>
        <v>3.1064715855779706E-3</v>
      </c>
      <c r="W92" s="24">
        <f t="shared" si="67"/>
        <v>8.746021677450515E-4</v>
      </c>
      <c r="X92" s="332">
        <v>1007932957.0115</v>
      </c>
      <c r="Y92" s="332">
        <v>48927.753225</v>
      </c>
      <c r="Z92" s="24">
        <f>((X92-T92)/T92)</f>
        <v>-2.8025004034288922E-3</v>
      </c>
      <c r="AA92" s="24">
        <f t="shared" si="68"/>
        <v>6.936285972223258E-4</v>
      </c>
      <c r="AB92" s="332">
        <v>1008850362.1182001</v>
      </c>
      <c r="AC92" s="332">
        <v>48972.274008</v>
      </c>
      <c r="AD92" s="24">
        <f>((AB92-X92)/X92)</f>
        <v>9.1018465099122227E-4</v>
      </c>
      <c r="AE92" s="24">
        <f t="shared" si="69"/>
        <v>9.0992902934385533E-4</v>
      </c>
      <c r="AF92" s="332">
        <v>1017893723.7982001</v>
      </c>
      <c r="AG92" s="332">
        <v>49037.328653999997</v>
      </c>
      <c r="AH92" s="24">
        <f>((AF92-AB92)/AB92)</f>
        <v>8.9640267968110407E-3</v>
      </c>
      <c r="AI92" s="24">
        <f t="shared" si="70"/>
        <v>1.3283974926173467E-3</v>
      </c>
      <c r="AJ92" s="25">
        <f t="shared" si="56"/>
        <v>1.3609777131370904E-3</v>
      </c>
      <c r="AK92" s="25">
        <f t="shared" si="57"/>
        <v>1.0012293709997743E-3</v>
      </c>
      <c r="AL92" s="26">
        <f t="shared" si="58"/>
        <v>1.2920851052533008E-2</v>
      </c>
      <c r="AM92" s="26">
        <f t="shared" si="59"/>
        <v>7.4346411211009353E-3</v>
      </c>
      <c r="AN92" s="27">
        <f t="shared" si="60"/>
        <v>3.668077432379797E-3</v>
      </c>
      <c r="AO92" s="79">
        <f t="shared" si="61"/>
        <v>3.5951333171604222E-4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08" t="s">
        <v>248</v>
      </c>
      <c r="B93" s="332">
        <v>13156524115.709999</v>
      </c>
      <c r="C93" s="332">
        <v>55622.14</v>
      </c>
      <c r="D93" s="332">
        <v>13154242225.35</v>
      </c>
      <c r="E93" s="332">
        <v>55612.49</v>
      </c>
      <c r="F93" s="24">
        <f t="shared" si="62"/>
        <v>-1.7344173430077427E-4</v>
      </c>
      <c r="G93" s="24">
        <f t="shared" si="63"/>
        <v>-1.7349206628873782E-4</v>
      </c>
      <c r="H93" s="332">
        <v>13170785930.469999</v>
      </c>
      <c r="I93" s="332">
        <v>55682.43</v>
      </c>
      <c r="J93" s="24">
        <f>((H93-D93)/D93)</f>
        <v>1.2576707070299329E-3</v>
      </c>
      <c r="K93" s="24">
        <f t="shared" si="64"/>
        <v>1.2576311544403485E-3</v>
      </c>
      <c r="L93" s="332">
        <v>13163655023.09</v>
      </c>
      <c r="M93" s="332">
        <v>56219.93</v>
      </c>
      <c r="N93" s="24">
        <f>((L93-H93)/H93)</f>
        <v>-5.4141851652923301E-4</v>
      </c>
      <c r="O93" s="24">
        <f t="shared" si="65"/>
        <v>9.6529551601824849E-3</v>
      </c>
      <c r="P93" s="332">
        <v>13173067820.83</v>
      </c>
      <c r="Q93" s="332">
        <v>56338.64</v>
      </c>
      <c r="R93" s="24">
        <f>((P93-L93)/L93)</f>
        <v>7.1505958819864581E-4</v>
      </c>
      <c r="S93" s="24">
        <f t="shared" si="66"/>
        <v>2.1115287763609652E-3</v>
      </c>
      <c r="T93" s="332">
        <v>13158806006.07</v>
      </c>
      <c r="U93" s="332">
        <v>56356.07</v>
      </c>
      <c r="V93" s="24">
        <f>((T93-P93)/P93)</f>
        <v>-1.0826494597901213E-3</v>
      </c>
      <c r="W93" s="24">
        <f t="shared" si="67"/>
        <v>3.0937914014254322E-4</v>
      </c>
      <c r="X93" s="332">
        <v>13160232187.540001</v>
      </c>
      <c r="Y93" s="332">
        <v>56436</v>
      </c>
      <c r="Z93" s="24">
        <f>((X93-T93)/T93)</f>
        <v>1.0838228554652605E-4</v>
      </c>
      <c r="AA93" s="24">
        <f t="shared" si="68"/>
        <v>1.4183032990057734E-3</v>
      </c>
      <c r="AB93" s="332">
        <v>13421788517.82</v>
      </c>
      <c r="AC93" s="332">
        <v>56715.7</v>
      </c>
      <c r="AD93" s="24">
        <f>((AB93-X93)/X93)</f>
        <v>1.9874750426336563E-2</v>
      </c>
      <c r="AE93" s="24">
        <f t="shared" si="69"/>
        <v>4.9560564178892392E-3</v>
      </c>
      <c r="AF93" s="332">
        <v>13234964096.879999</v>
      </c>
      <c r="AG93" s="332">
        <v>56895.68</v>
      </c>
      <c r="AH93" s="24">
        <f>((AF93-AB93)/AB93)</f>
        <v>-1.3919487756192497E-2</v>
      </c>
      <c r="AI93" s="24">
        <f t="shared" si="70"/>
        <v>3.1733717471529614E-3</v>
      </c>
      <c r="AJ93" s="25">
        <f t="shared" si="56"/>
        <v>7.7985819253738038E-4</v>
      </c>
      <c r="AK93" s="25">
        <f t="shared" si="57"/>
        <v>2.8382167036106972E-3</v>
      </c>
      <c r="AL93" s="26">
        <f t="shared" si="58"/>
        <v>6.1365656909097227E-3</v>
      </c>
      <c r="AM93" s="26">
        <f t="shared" si="59"/>
        <v>2.307377353540549E-2</v>
      </c>
      <c r="AN93" s="27">
        <f t="shared" si="60"/>
        <v>9.1611957418236533E-3</v>
      </c>
      <c r="AO93" s="79">
        <f t="shared" si="61"/>
        <v>3.1970102869845617E-3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08" t="s">
        <v>245</v>
      </c>
      <c r="B94" s="332">
        <f>79805.48*461</f>
        <v>36790326.280000001</v>
      </c>
      <c r="C94" s="332">
        <f>100.99*461</f>
        <v>46556.39</v>
      </c>
      <c r="D94" s="332">
        <f>79858.49*460.95</f>
        <v>36810770.965500005</v>
      </c>
      <c r="E94" s="332">
        <f>101.05*460.95</f>
        <v>46578.997499999998</v>
      </c>
      <c r="F94" s="24">
        <f t="shared" si="62"/>
        <v>5.557081865598338E-4</v>
      </c>
      <c r="G94" s="24">
        <f t="shared" si="63"/>
        <v>4.8559392169363335E-4</v>
      </c>
      <c r="H94" s="332">
        <f>79911.5*460.97</f>
        <v>36836804.155000001</v>
      </c>
      <c r="I94" s="332">
        <f>101.12*460.97</f>
        <v>46613.286400000005</v>
      </c>
      <c r="J94" s="24">
        <f>((H94-D94)/D94)</f>
        <v>7.0721663299026186E-4</v>
      </c>
      <c r="K94" s="24">
        <f t="shared" si="64"/>
        <v>7.3614508341461908E-4</v>
      </c>
      <c r="L94" s="332">
        <f>79964.49*461.02</f>
        <v>36865229.179800004</v>
      </c>
      <c r="M94" s="332">
        <f>101.19*461.02</f>
        <v>46650.613799999999</v>
      </c>
      <c r="N94" s="24">
        <f>((L94-H94)/H94)</f>
        <v>7.7164741763148677E-4</v>
      </c>
      <c r="O94" s="24">
        <f t="shared" si="65"/>
        <v>8.0078884976440248E-4</v>
      </c>
      <c r="P94" s="332">
        <f>80017.47*460.94</f>
        <v>36883252.621799998</v>
      </c>
      <c r="Q94" s="332">
        <f>101.26*460.94</f>
        <v>46674.784400000004</v>
      </c>
      <c r="R94" s="24">
        <f>((P94-L94)/L94)</f>
        <v>4.8890085321563693E-4</v>
      </c>
      <c r="S94" s="24">
        <f t="shared" si="66"/>
        <v>5.1811965655219146E-4</v>
      </c>
      <c r="T94" s="332">
        <f>80070.43*460.9</f>
        <v>36904461.186999992</v>
      </c>
      <c r="U94" s="332">
        <f>101.32*460.9</f>
        <v>46698.387999999992</v>
      </c>
      <c r="V94" s="24">
        <f>((T94-P94)/P94)</f>
        <v>5.7501884168041466E-4</v>
      </c>
      <c r="W94" s="24">
        <f t="shared" si="67"/>
        <v>5.0570346073173578E-4</v>
      </c>
      <c r="X94" s="332">
        <f>80123.38*460.85</f>
        <v>36924859.673</v>
      </c>
      <c r="Y94" s="332">
        <f>101.39*460.85</f>
        <v>46725.5815</v>
      </c>
      <c r="Z94" s="24">
        <f>((X94-T94)/T94)</f>
        <v>5.5273767300508577E-4</v>
      </c>
      <c r="AA94" s="24">
        <f t="shared" si="68"/>
        <v>5.8232202790401463E-4</v>
      </c>
      <c r="AB94" s="332">
        <f>80176.31*460.86</f>
        <v>36950054.226599999</v>
      </c>
      <c r="AC94" s="332">
        <f>101.46*460.86</f>
        <v>46758.855599999995</v>
      </c>
      <c r="AD94" s="24">
        <f>((AB94-X94)/X94)</f>
        <v>6.8231954902785944E-4</v>
      </c>
      <c r="AE94" s="24">
        <f t="shared" si="69"/>
        <v>7.1211740831936114E-4</v>
      </c>
      <c r="AF94" s="332">
        <f>80229.23*460.93</f>
        <v>36980058.983899996</v>
      </c>
      <c r="AG94" s="332">
        <f>101.52*460.93</f>
        <v>46793.613599999997</v>
      </c>
      <c r="AH94" s="24">
        <f>((AF94-AB94)/AB94)</f>
        <v>8.120355417069122E-4</v>
      </c>
      <c r="AI94" s="24">
        <f t="shared" si="70"/>
        <v>7.4334582303168324E-4</v>
      </c>
      <c r="AJ94" s="25">
        <f t="shared" si="56"/>
        <v>6.431980869771864E-4</v>
      </c>
      <c r="AK94" s="25">
        <f t="shared" si="57"/>
        <v>6.3551702892645514E-4</v>
      </c>
      <c r="AL94" s="26">
        <f t="shared" si="58"/>
        <v>4.598871850813778E-3</v>
      </c>
      <c r="AM94" s="26">
        <f t="shared" si="59"/>
        <v>4.6075723291382409E-3</v>
      </c>
      <c r="AN94" s="27">
        <f t="shared" si="60"/>
        <v>1.1645219417579915E-4</v>
      </c>
      <c r="AO94" s="79">
        <f t="shared" si="61"/>
        <v>1.2585467743077812E-4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08" t="s">
        <v>124</v>
      </c>
      <c r="B95" s="332">
        <v>6343533464.6800003</v>
      </c>
      <c r="C95" s="332">
        <v>460.5</v>
      </c>
      <c r="D95" s="332">
        <v>6195141455.7399998</v>
      </c>
      <c r="E95" s="332">
        <v>460.45</v>
      </c>
      <c r="F95" s="24">
        <f t="shared" si="62"/>
        <v>-2.3392642249974505E-2</v>
      </c>
      <c r="G95" s="24">
        <f t="shared" si="63"/>
        <v>-1.0857763300762512E-4</v>
      </c>
      <c r="H95" s="332">
        <v>6202534144.6000004</v>
      </c>
      <c r="I95" s="332">
        <v>460.46</v>
      </c>
      <c r="J95" s="24">
        <f t="shared" ref="J95" si="71">((H95-D95)/D95)</f>
        <v>1.1933042873703947E-3</v>
      </c>
      <c r="K95" s="24">
        <f t="shared" si="64"/>
        <v>2.1717884678012609E-5</v>
      </c>
      <c r="L95" s="332">
        <v>5980767684.2799997</v>
      </c>
      <c r="M95" s="332">
        <v>460.55</v>
      </c>
      <c r="N95" s="24">
        <f t="shared" ref="N95" si="72">((L95-H95)/H95)</f>
        <v>-3.5754170013408658E-2</v>
      </c>
      <c r="O95" s="24">
        <f t="shared" si="65"/>
        <v>1.9545671719591677E-4</v>
      </c>
      <c r="P95" s="332">
        <v>5983470761.6700001</v>
      </c>
      <c r="Q95" s="332">
        <v>460.39</v>
      </c>
      <c r="R95" s="24">
        <f t="shared" ref="R95" si="73">((P95-L95)/L95)</f>
        <v>4.5196160972866075E-4</v>
      </c>
      <c r="S95" s="24">
        <f t="shared" si="66"/>
        <v>-3.4741070459238957E-4</v>
      </c>
      <c r="T95" s="332">
        <v>5813282404.3199997</v>
      </c>
      <c r="U95" s="332">
        <v>460.4</v>
      </c>
      <c r="V95" s="24">
        <f t="shared" ref="V95" si="74">((T95-P95)/P95)</f>
        <v>-2.8443083308808622E-2</v>
      </c>
      <c r="W95" s="24">
        <f t="shared" si="67"/>
        <v>2.1720715045919558E-5</v>
      </c>
      <c r="X95" s="332">
        <v>5822418592.3299999</v>
      </c>
      <c r="Y95" s="332">
        <v>460.35</v>
      </c>
      <c r="Z95" s="24">
        <f t="shared" ref="Z95" si="75">((X95-T95)/T95)</f>
        <v>1.571605742602646E-3</v>
      </c>
      <c r="AA95" s="24">
        <f t="shared" si="68"/>
        <v>-1.0860121633352417E-4</v>
      </c>
      <c r="AB95" s="332">
        <v>5830206478.21</v>
      </c>
      <c r="AC95" s="332">
        <v>460.36</v>
      </c>
      <c r="AD95" s="24">
        <f t="shared" ref="AD95" si="76">((AB95-X95)/X95)</f>
        <v>1.33756887391423E-3</v>
      </c>
      <c r="AE95" s="24">
        <f t="shared" si="69"/>
        <v>2.1722602367743901E-5</v>
      </c>
      <c r="AF95" s="332">
        <v>5829468228.9700003</v>
      </c>
      <c r="AG95" s="332">
        <v>460.43</v>
      </c>
      <c r="AH95" s="24">
        <f t="shared" ref="AH95" si="77">((AF95-AB95)/AB95)</f>
        <v>-1.2662488760199615E-4</v>
      </c>
      <c r="AI95" s="24">
        <f t="shared" si="70"/>
        <v>1.5205491354590577E-4</v>
      </c>
      <c r="AJ95" s="25">
        <f t="shared" si="56"/>
        <v>-1.0395259993272231E-2</v>
      </c>
      <c r="AK95" s="25">
        <f t="shared" si="57"/>
        <v>-1.8989590137505026E-5</v>
      </c>
      <c r="AL95" s="26">
        <f t="shared" si="58"/>
        <v>-5.9025807462586892E-2</v>
      </c>
      <c r="AM95" s="26">
        <f t="shared" si="59"/>
        <v>-4.3435769356025217E-5</v>
      </c>
      <c r="AN95" s="27">
        <f t="shared" si="60"/>
        <v>1.5928398913606083E-2</v>
      </c>
      <c r="AO95" s="79">
        <f t="shared" si="61"/>
        <v>1.7076802997734115E-4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08" customFormat="1">
      <c r="A96" s="219" t="s">
        <v>259</v>
      </c>
      <c r="B96" s="332">
        <f>973055.3*461</f>
        <v>448578493.30000001</v>
      </c>
      <c r="C96" s="332">
        <f>101.45*461</f>
        <v>46768.450000000004</v>
      </c>
      <c r="D96" s="332">
        <f>1054882.8*460.95</f>
        <v>486248226.66000003</v>
      </c>
      <c r="E96" s="332">
        <f>101.66*460.95</f>
        <v>46860.176999999996</v>
      </c>
      <c r="F96" s="24">
        <f t="shared" si="62"/>
        <v>8.3975790018107885E-2</v>
      </c>
      <c r="G96" s="24">
        <f t="shared" si="63"/>
        <v>1.9613008342160509E-3</v>
      </c>
      <c r="H96" s="332">
        <f>1149865.16*460.97</f>
        <v>530053342.80519998</v>
      </c>
      <c r="I96" s="332">
        <f>101.92*460.97</f>
        <v>46982.062400000003</v>
      </c>
      <c r="J96" s="24">
        <f>((H96-D96)/D96)</f>
        <v>9.0087971006277551E-2</v>
      </c>
      <c r="K96" s="24">
        <f t="shared" si="64"/>
        <v>2.6010443793246128E-3</v>
      </c>
      <c r="L96" s="332">
        <f>1166951.88*461.02</f>
        <v>537988155.71759987</v>
      </c>
      <c r="M96" s="332">
        <f>102.13*461.02</f>
        <v>47083.972599999994</v>
      </c>
      <c r="N96" s="24">
        <f>((L96-H96)/H96)</f>
        <v>1.4969838451365097E-2</v>
      </c>
      <c r="O96" s="24">
        <f t="shared" si="65"/>
        <v>2.1691299784232366E-3</v>
      </c>
      <c r="P96" s="332">
        <f>1190162.79*460.94</f>
        <v>548593636.42260003</v>
      </c>
      <c r="Q96" s="332">
        <f>102.34*460.94</f>
        <v>47172.599600000001</v>
      </c>
      <c r="R96" s="24">
        <f>((P96-L96)/L96)</f>
        <v>1.9713223408894486E-2</v>
      </c>
      <c r="S96" s="24">
        <f t="shared" si="66"/>
        <v>1.8823178059535208E-3</v>
      </c>
      <c r="T96" s="332">
        <f>1225411.12*460.9</f>
        <v>564791985.20800006</v>
      </c>
      <c r="U96" s="332">
        <f>102.54*460.9</f>
        <v>47260.686000000002</v>
      </c>
      <c r="V96" s="24">
        <f>((T96-P96)/P96)</f>
        <v>2.9527044628206191E-2</v>
      </c>
      <c r="W96" s="24">
        <f t="shared" si="67"/>
        <v>1.8673212997996434E-3</v>
      </c>
      <c r="X96" s="332">
        <f>1261446.31*460.85</f>
        <v>581337531.96350002</v>
      </c>
      <c r="Y96" s="332">
        <f>102.65*460.85</f>
        <v>47306.252500000002</v>
      </c>
      <c r="Z96" s="24">
        <f>((X96-T96)/T96)</f>
        <v>2.9294939002023214E-2</v>
      </c>
      <c r="AA96" s="24">
        <f t="shared" si="68"/>
        <v>9.6415231890626416E-4</v>
      </c>
      <c r="AB96" s="332">
        <f>1261205.8*460.86</f>
        <v>581239304.98800004</v>
      </c>
      <c r="AC96" s="332">
        <f>100.48*460.86</f>
        <v>46307.212800000001</v>
      </c>
      <c r="AD96" s="24">
        <f>((AB96-X96)/X96)</f>
        <v>-1.68967200807112E-4</v>
      </c>
      <c r="AE96" s="24">
        <f t="shared" si="69"/>
        <v>-2.1118555100089594E-2</v>
      </c>
      <c r="AF96" s="332">
        <f>1522270.9*460.93</f>
        <v>701660325.93699992</v>
      </c>
      <c r="AG96" s="332">
        <f>100.68*460.93</f>
        <v>46406.432400000005</v>
      </c>
      <c r="AH96" s="24">
        <f>((AF96-AB96)/AB96)</f>
        <v>0.20717976213168521</v>
      </c>
      <c r="AI96" s="24">
        <f t="shared" si="70"/>
        <v>2.1426381334703E-3</v>
      </c>
      <c r="AJ96" s="25">
        <f t="shared" si="56"/>
        <v>5.9322450180719064E-2</v>
      </c>
      <c r="AK96" s="25">
        <f t="shared" si="57"/>
        <v>-9.4133129374949576E-4</v>
      </c>
      <c r="AL96" s="26">
        <f t="shared" si="58"/>
        <v>0.44300850361274996</v>
      </c>
      <c r="AM96" s="26">
        <f t="shared" si="59"/>
        <v>-9.6829467801624169E-3</v>
      </c>
      <c r="AN96" s="27">
        <f t="shared" si="60"/>
        <v>6.7908321085475232E-2</v>
      </c>
      <c r="AO96" s="79">
        <f t="shared" si="61"/>
        <v>8.1658897458700471E-3</v>
      </c>
      <c r="AP96" s="31"/>
      <c r="AQ96" s="29"/>
      <c r="AR96" s="33"/>
      <c r="AS96" s="30"/>
      <c r="AT96" s="30"/>
    </row>
    <row r="97" spans="1:46" s="308" customFormat="1">
      <c r="A97" s="219" t="s">
        <v>132</v>
      </c>
      <c r="B97" s="332">
        <f>1660839.34*461</f>
        <v>765646935.74000001</v>
      </c>
      <c r="C97" s="332">
        <f>124.43*461</f>
        <v>57362.23</v>
      </c>
      <c r="D97" s="332">
        <f>1638207.04*460.95</f>
        <v>755131535.08799994</v>
      </c>
      <c r="E97" s="332">
        <f>124.66*460.95</f>
        <v>57462.026999999995</v>
      </c>
      <c r="F97" s="24">
        <f t="shared" si="62"/>
        <v>-1.3734007361809531E-2</v>
      </c>
      <c r="G97" s="24">
        <f t="shared" si="63"/>
        <v>1.7397684852906064E-3</v>
      </c>
      <c r="H97" s="332">
        <f>1642014.82*460.97</f>
        <v>756919571.57540011</v>
      </c>
      <c r="I97" s="332">
        <f>125.48*460.97</f>
        <v>57842.515600000006</v>
      </c>
      <c r="J97" s="24">
        <f>((H109-D97)/D97)</f>
        <v>4.6921421429831982</v>
      </c>
      <c r="K97" s="24">
        <f t="shared" si="64"/>
        <v>6.621565925615738E-3</v>
      </c>
      <c r="L97" s="332">
        <f>1696565.63*461.02</f>
        <v>782150686.74259996</v>
      </c>
      <c r="M97" s="332">
        <f>127.7*461.02</f>
        <v>58872.254000000001</v>
      </c>
      <c r="N97" s="24">
        <f>((L109-H97)/H97)</f>
        <v>4.7334497132337621</v>
      </c>
      <c r="O97" s="24">
        <f t="shared" si="65"/>
        <v>1.7802448412184802E-2</v>
      </c>
      <c r="P97" s="332">
        <f>1683523.4*460.94</f>
        <v>776003275.99599993</v>
      </c>
      <c r="Q97" s="332">
        <f>127*460.94</f>
        <v>58539.38</v>
      </c>
      <c r="R97" s="24">
        <f>((P109-L97)/L97)</f>
        <v>4.9000020850440817</v>
      </c>
      <c r="S97" s="24">
        <f t="shared" si="66"/>
        <v>-5.6541745454489209E-3</v>
      </c>
      <c r="T97" s="332">
        <f>1692768.98*460.9</f>
        <v>780197222.88199997</v>
      </c>
      <c r="U97" s="332">
        <f>127.13*460.9</f>
        <v>58594.216999999997</v>
      </c>
      <c r="V97" s="24">
        <f>((T109-P97)/P97)</f>
        <v>4.9404120324148764</v>
      </c>
      <c r="W97" s="24">
        <f t="shared" si="67"/>
        <v>9.3675402780144814E-4</v>
      </c>
      <c r="X97" s="332">
        <f>1698778.13*460.85</f>
        <v>782881901.2105</v>
      </c>
      <c r="Y97" s="332">
        <f>127.51*460.85</f>
        <v>58762.983500000002</v>
      </c>
      <c r="Z97" s="24">
        <f>((X109-T97)/T97)</f>
        <v>5.4971075793699136</v>
      </c>
      <c r="AA97" s="24">
        <f t="shared" si="68"/>
        <v>2.8802586439546619E-3</v>
      </c>
      <c r="AB97" s="332">
        <f>1692043.14*460.86</f>
        <v>779795001.50039995</v>
      </c>
      <c r="AC97" s="332">
        <f>127.81*460.86</f>
        <v>58902.516600000003</v>
      </c>
      <c r="AD97" s="24">
        <f>((AB109-X97)/X97)</f>
        <v>5.5412280578997217</v>
      </c>
      <c r="AE97" s="24">
        <f t="shared" si="69"/>
        <v>2.3745067334778971E-3</v>
      </c>
      <c r="AF97" s="332">
        <f>1711379.01*460.93</f>
        <v>788825927.07930005</v>
      </c>
      <c r="AG97" s="332">
        <f>128.27*460.93</f>
        <v>59123.491100000007</v>
      </c>
      <c r="AH97" s="24">
        <f>((AF109-AB97)/AB97)</f>
        <v>5.6988175755667774</v>
      </c>
      <c r="AI97" s="24">
        <f t="shared" si="70"/>
        <v>3.7515290136177965E-3</v>
      </c>
      <c r="AJ97" s="25">
        <f t="shared" si="56"/>
        <v>4.4986781473938153</v>
      </c>
      <c r="AK97" s="25">
        <f t="shared" si="57"/>
        <v>3.8065820870617538E-3</v>
      </c>
      <c r="AL97" s="26">
        <f t="shared" si="58"/>
        <v>4.4620560029152406E-2</v>
      </c>
      <c r="AM97" s="26">
        <f t="shared" si="59"/>
        <v>2.8914122712726652E-2</v>
      </c>
      <c r="AN97" s="27">
        <f t="shared" si="60"/>
        <v>1.8645070387101126</v>
      </c>
      <c r="AO97" s="79">
        <f t="shared" si="61"/>
        <v>6.6411477234876882E-3</v>
      </c>
      <c r="AP97" s="31"/>
      <c r="AQ97" s="29"/>
      <c r="AR97" s="33"/>
      <c r="AS97" s="30"/>
      <c r="AT97" s="30"/>
    </row>
    <row r="98" spans="1:46">
      <c r="A98" s="219" t="s">
        <v>170</v>
      </c>
      <c r="B98" s="332">
        <v>73852641480.039993</v>
      </c>
      <c r="C98" s="332">
        <v>58235.07</v>
      </c>
      <c r="D98" s="332">
        <v>73097274373.770004</v>
      </c>
      <c r="E98" s="332">
        <v>58235.07</v>
      </c>
      <c r="F98" s="24">
        <f t="shared" si="62"/>
        <v>-1.0228030997024535E-2</v>
      </c>
      <c r="G98" s="24">
        <f t="shared" si="63"/>
        <v>0</v>
      </c>
      <c r="H98" s="332">
        <v>73584960847.979996</v>
      </c>
      <c r="I98" s="332">
        <v>58414.559999999998</v>
      </c>
      <c r="J98" s="24">
        <f>((H110-D98)/D98)</f>
        <v>3.3581103839649251</v>
      </c>
      <c r="K98" s="24">
        <f t="shared" si="64"/>
        <v>3.0821633768105365E-3</v>
      </c>
      <c r="L98" s="332">
        <v>74396446213.309998</v>
      </c>
      <c r="M98" s="332">
        <v>58442.01</v>
      </c>
      <c r="N98" s="24">
        <f>((L110-H98)/H98)</f>
        <v>3.3434598292921951</v>
      </c>
      <c r="O98" s="24">
        <f t="shared" si="65"/>
        <v>4.6991708916414615E-4</v>
      </c>
      <c r="P98" s="332">
        <v>71142641000.550003</v>
      </c>
      <c r="Q98" s="332">
        <v>58541.99</v>
      </c>
      <c r="R98" s="24">
        <f>((P110-L98)/L98)</f>
        <v>3.2662701009883164</v>
      </c>
      <c r="S98" s="24">
        <f t="shared" si="66"/>
        <v>1.7107556704500054E-3</v>
      </c>
      <c r="T98" s="332">
        <v>67457423864.040001</v>
      </c>
      <c r="U98" s="332">
        <v>58536.73</v>
      </c>
      <c r="V98" s="24">
        <f>((T110-P98)/P98)</f>
        <v>3.4121152892631872</v>
      </c>
      <c r="W98" s="24">
        <f t="shared" si="67"/>
        <v>-8.9850037554151495E-5</v>
      </c>
      <c r="X98" s="332">
        <v>67650100725.160004</v>
      </c>
      <c r="Y98" s="332">
        <v>58683.75</v>
      </c>
      <c r="Z98" s="24">
        <f>((X110-T98)/T98)</f>
        <v>3.6814581659528778</v>
      </c>
      <c r="AA98" s="24">
        <f t="shared" si="68"/>
        <v>2.5115854609575354E-3</v>
      </c>
      <c r="AB98" s="332">
        <v>69523723907.869995</v>
      </c>
      <c r="AC98" s="332">
        <v>58980.76</v>
      </c>
      <c r="AD98" s="24">
        <f>((AB110-X98)/X98)</f>
        <v>3.853932472567144</v>
      </c>
      <c r="AE98" s="24">
        <f t="shared" si="69"/>
        <v>5.0611966685837565E-3</v>
      </c>
      <c r="AF98" s="332">
        <v>69539948270.880005</v>
      </c>
      <c r="AG98" s="332">
        <v>59155.22</v>
      </c>
      <c r="AH98" s="24">
        <f>((AF110-AB98)/AB98)</f>
        <v>3.736346379068419</v>
      </c>
      <c r="AI98" s="24">
        <f t="shared" si="70"/>
        <v>2.9579137332241753E-3</v>
      </c>
      <c r="AJ98" s="25">
        <f t="shared" si="56"/>
        <v>3.0801830737625053</v>
      </c>
      <c r="AK98" s="25">
        <f t="shared" si="57"/>
        <v>1.9629602452045005E-3</v>
      </c>
      <c r="AL98" s="26">
        <f t="shared" si="58"/>
        <v>-4.8665646337238792E-2</v>
      </c>
      <c r="AM98" s="26">
        <f t="shared" si="59"/>
        <v>1.5800616363988253E-2</v>
      </c>
      <c r="AN98" s="27">
        <f t="shared" si="60"/>
        <v>1.2667605797825754</v>
      </c>
      <c r="AO98" s="79">
        <f t="shared" si="61"/>
        <v>1.7929478779059537E-3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0"/>
      <c r="B99" s="88"/>
      <c r="C99" s="88"/>
      <c r="D99" s="88"/>
      <c r="E99" s="88"/>
      <c r="F99" s="24"/>
      <c r="G99" s="24"/>
      <c r="H99" s="88"/>
      <c r="I99" s="88"/>
      <c r="J99" s="24"/>
      <c r="K99" s="24"/>
      <c r="L99" s="88"/>
      <c r="M99" s="88"/>
      <c r="N99" s="24"/>
      <c r="O99" s="24"/>
      <c r="P99" s="88"/>
      <c r="Q99" s="88"/>
      <c r="R99" s="24"/>
      <c r="S99" s="24"/>
      <c r="T99" s="88"/>
      <c r="U99" s="88"/>
      <c r="V99" s="24"/>
      <c r="W99" s="24"/>
      <c r="X99" s="88"/>
      <c r="Y99" s="88"/>
      <c r="Z99" s="24"/>
      <c r="AA99" s="24"/>
      <c r="AB99" s="88"/>
      <c r="AC99" s="88"/>
      <c r="AD99" s="24"/>
      <c r="AE99" s="24"/>
      <c r="AF99" s="88"/>
      <c r="AG99" s="88"/>
      <c r="AH99" s="24"/>
      <c r="AI99" s="24"/>
      <c r="AJ99" s="25"/>
      <c r="AK99" s="25"/>
      <c r="AL99" s="26"/>
      <c r="AM99" s="26"/>
      <c r="AN99" s="27"/>
      <c r="AO99" s="79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06" t="s">
        <v>204</v>
      </c>
      <c r="B100" s="88"/>
      <c r="C100" s="88"/>
      <c r="D100" s="88"/>
      <c r="E100" s="88"/>
      <c r="F100" s="24"/>
      <c r="G100" s="24"/>
      <c r="H100" s="88"/>
      <c r="I100" s="88"/>
      <c r="J100" s="24"/>
      <c r="K100" s="24"/>
      <c r="L100" s="88"/>
      <c r="M100" s="88"/>
      <c r="N100" s="24"/>
      <c r="O100" s="24"/>
      <c r="P100" s="88"/>
      <c r="Q100" s="88"/>
      <c r="R100" s="24"/>
      <c r="S100" s="24"/>
      <c r="T100" s="88"/>
      <c r="U100" s="88"/>
      <c r="V100" s="24"/>
      <c r="W100" s="24"/>
      <c r="X100" s="88"/>
      <c r="Y100" s="88"/>
      <c r="Z100" s="24"/>
      <c r="AA100" s="24"/>
      <c r="AB100" s="88"/>
      <c r="AC100" s="88"/>
      <c r="AD100" s="24"/>
      <c r="AE100" s="24"/>
      <c r="AF100" s="88"/>
      <c r="AG100" s="88"/>
      <c r="AH100" s="24"/>
      <c r="AI100" s="24"/>
      <c r="AJ100" s="25"/>
      <c r="AK100" s="25"/>
      <c r="AL100" s="26"/>
      <c r="AM100" s="26"/>
      <c r="AN100" s="27"/>
      <c r="AO100" s="79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08" t="s">
        <v>153</v>
      </c>
      <c r="B101" s="331">
        <v>373117340.68000001</v>
      </c>
      <c r="C101" s="332">
        <v>44541.3</v>
      </c>
      <c r="D101" s="331">
        <v>375750545.52999997</v>
      </c>
      <c r="E101" s="332">
        <v>44854.29</v>
      </c>
      <c r="F101" s="24">
        <f t="shared" ref="F101:G108" si="78">((D101-B101)/B101)</f>
        <v>7.057310296007667E-3</v>
      </c>
      <c r="G101" s="24">
        <f t="shared" si="78"/>
        <v>7.0269614941637975E-3</v>
      </c>
      <c r="H101" s="331">
        <v>375165644.30000001</v>
      </c>
      <c r="I101" s="332">
        <v>44785.24</v>
      </c>
      <c r="J101" s="24">
        <f t="shared" ref="J101:K108" si="79">((H101-D101)/D101)</f>
        <v>-1.556621106630598E-3</v>
      </c>
      <c r="K101" s="24">
        <f t="shared" si="79"/>
        <v>-1.539429115921864E-3</v>
      </c>
      <c r="L101" s="331">
        <v>373347712.05000001</v>
      </c>
      <c r="M101" s="332">
        <v>44568.91</v>
      </c>
      <c r="N101" s="24">
        <f t="shared" ref="N101:O107" si="80">((L101-H101)/H101)</f>
        <v>-4.8456789090908772E-3</v>
      </c>
      <c r="O101" s="24">
        <f t="shared" si="80"/>
        <v>-4.8303860825574339E-3</v>
      </c>
      <c r="P101" s="331">
        <v>358042486.66000003</v>
      </c>
      <c r="Q101" s="332">
        <v>42741.599999999999</v>
      </c>
      <c r="R101" s="24">
        <f t="shared" ref="R101:S107" si="81">((P101-L101)/L101)</f>
        <v>-4.0994560555791641E-2</v>
      </c>
      <c r="S101" s="24">
        <f t="shared" si="81"/>
        <v>-4.0999656486999679E-2</v>
      </c>
      <c r="T101" s="331">
        <v>360557228.12</v>
      </c>
      <c r="U101" s="332">
        <v>43040.78</v>
      </c>
      <c r="V101" s="24">
        <f t="shared" ref="V101:W107" si="82">((T101-P101)/P101)</f>
        <v>7.0235839423939562E-3</v>
      </c>
      <c r="W101" s="24">
        <f t="shared" si="82"/>
        <v>6.9997379602073926E-3</v>
      </c>
      <c r="X101" s="331">
        <v>382185147.95999998</v>
      </c>
      <c r="Y101" s="332">
        <v>44414.57</v>
      </c>
      <c r="Z101" s="24">
        <f t="shared" ref="Z101:AA107" si="83">((X101-T101)/T101)</f>
        <v>5.9984707428474594E-2</v>
      </c>
      <c r="AA101" s="24">
        <f t="shared" si="83"/>
        <v>3.1918334193757662E-2</v>
      </c>
      <c r="AB101" s="331">
        <v>385055080.33999997</v>
      </c>
      <c r="AC101" s="332">
        <v>44746.02</v>
      </c>
      <c r="AD101" s="24">
        <f t="shared" ref="AD101:AE107" si="84">((AB101-X101)/X101)</f>
        <v>7.5092723914545372E-3</v>
      </c>
      <c r="AE101" s="24">
        <f t="shared" si="84"/>
        <v>7.462641200849115E-3</v>
      </c>
      <c r="AF101" s="331">
        <v>378013764.69</v>
      </c>
      <c r="AG101" s="332">
        <v>43931.199999999997</v>
      </c>
      <c r="AH101" s="24">
        <f t="shared" ref="AH101:AI107" si="85">((AF101-AB101)/AB101)</f>
        <v>-1.8286515383156513E-2</v>
      </c>
      <c r="AI101" s="24">
        <f t="shared" si="85"/>
        <v>-1.8209887717388046E-2</v>
      </c>
      <c r="AJ101" s="25">
        <f t="shared" si="56"/>
        <v>1.9864372629576411E-3</v>
      </c>
      <c r="AK101" s="25">
        <f t="shared" si="57"/>
        <v>-1.5214605692361318E-3</v>
      </c>
      <c r="AL101" s="26">
        <f t="shared" si="58"/>
        <v>6.0231959392307273E-3</v>
      </c>
      <c r="AM101" s="26">
        <f t="shared" si="59"/>
        <v>-2.0579748336223887E-2</v>
      </c>
      <c r="AN101" s="27">
        <f t="shared" si="60"/>
        <v>2.8692899834832003E-2</v>
      </c>
      <c r="AO101" s="79">
        <f t="shared" si="61"/>
        <v>2.1356167282813126E-2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08" t="s">
        <v>236</v>
      </c>
      <c r="B102" s="332">
        <f>6100500.77800758*461</f>
        <v>2812330858.6614943</v>
      </c>
      <c r="C102" s="331">
        <f>125.44*461</f>
        <v>57827.839999999997</v>
      </c>
      <c r="D102" s="332">
        <f>6055137.22 *460.95</f>
        <v>2791115501.559</v>
      </c>
      <c r="E102" s="331">
        <f>125.54*460.95</f>
        <v>57867.663</v>
      </c>
      <c r="F102" s="24">
        <f t="shared" si="78"/>
        <v>-7.5436917520406953E-3</v>
      </c>
      <c r="G102" s="24">
        <f t="shared" si="78"/>
        <v>6.8864754415872982E-4</v>
      </c>
      <c r="H102" s="332">
        <f>6112328.76*460.97</f>
        <v>2817600188.4972</v>
      </c>
      <c r="I102" s="331">
        <f>125.75*460.97</f>
        <v>57966.977500000001</v>
      </c>
      <c r="J102" s="24">
        <f t="shared" si="79"/>
        <v>9.4889254577271206E-3</v>
      </c>
      <c r="K102" s="24">
        <f t="shared" si="79"/>
        <v>1.7162348512328967E-3</v>
      </c>
      <c r="L102" s="332">
        <f>6261236.85 *461.02</f>
        <v>2886555412.5869999</v>
      </c>
      <c r="M102" s="331">
        <f>125.96*461.02</f>
        <v>58070.079199999993</v>
      </c>
      <c r="N102" s="24">
        <f t="shared" si="80"/>
        <v>2.4473033601895788E-2</v>
      </c>
      <c r="O102" s="24">
        <f t="shared" si="80"/>
        <v>1.7786281853317603E-3</v>
      </c>
      <c r="P102" s="332">
        <f>6351734.48*460.94</f>
        <v>2927768491.2112002</v>
      </c>
      <c r="Q102" s="331">
        <f>126.06*460.94</f>
        <v>58106.096400000002</v>
      </c>
      <c r="R102" s="24">
        <f t="shared" si="81"/>
        <v>1.4277598290505083E-2</v>
      </c>
      <c r="S102" s="24">
        <f t="shared" si="81"/>
        <v>6.2023679829955063E-4</v>
      </c>
      <c r="T102" s="332">
        <f>6536321.58*460.9</f>
        <v>3012590616.2220001</v>
      </c>
      <c r="U102" s="331">
        <f>126.13*460.9</f>
        <v>58133.316999999995</v>
      </c>
      <c r="V102" s="24">
        <f t="shared" si="82"/>
        <v>2.8971595693247414E-2</v>
      </c>
      <c r="W102" s="24">
        <f t="shared" si="82"/>
        <v>4.6846375314231714E-4</v>
      </c>
      <c r="X102" s="332">
        <f>6413426.62 *460.85</f>
        <v>2955627657.8270001</v>
      </c>
      <c r="Y102" s="331">
        <f>126.23*460.85</f>
        <v>58173.095500000003</v>
      </c>
      <c r="Z102" s="24">
        <f t="shared" si="83"/>
        <v>-1.8908297094291399E-2</v>
      </c>
      <c r="AA102" s="24">
        <f t="shared" si="83"/>
        <v>6.8426338032642503E-4</v>
      </c>
      <c r="AB102" s="332">
        <f>6457425.33*460.86</f>
        <v>2975969037.5838003</v>
      </c>
      <c r="AC102" s="331">
        <f>126.38*460.86</f>
        <v>58243.486799999999</v>
      </c>
      <c r="AD102" s="24">
        <f t="shared" si="84"/>
        <v>6.8822538261654083E-3</v>
      </c>
      <c r="AE102" s="24">
        <f t="shared" si="84"/>
        <v>1.2100318780525557E-3</v>
      </c>
      <c r="AF102" s="332">
        <f>6457425.33*460.93</f>
        <v>2976421057.3569002</v>
      </c>
      <c r="AG102" s="331">
        <f>126.38*460.93</f>
        <v>58252.333399999996</v>
      </c>
      <c r="AH102" s="24">
        <f t="shared" si="85"/>
        <v>1.5188994488561471E-4</v>
      </c>
      <c r="AI102" s="24">
        <f t="shared" si="85"/>
        <v>1.518899448855992E-4</v>
      </c>
      <c r="AJ102" s="25">
        <f t="shared" si="56"/>
        <v>7.2241634960117911E-3</v>
      </c>
      <c r="AK102" s="25">
        <f t="shared" si="57"/>
        <v>9.1479954192872932E-4</v>
      </c>
      <c r="AL102" s="26">
        <f t="shared" si="58"/>
        <v>6.6391217308777187E-2</v>
      </c>
      <c r="AM102" s="26">
        <f t="shared" si="59"/>
        <v>6.6474155004323469E-3</v>
      </c>
      <c r="AN102" s="27">
        <f t="shared" si="60"/>
        <v>1.593057893657843E-2</v>
      </c>
      <c r="AO102" s="79">
        <f t="shared" si="61"/>
        <v>5.9136236895400559E-4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08" t="s">
        <v>147</v>
      </c>
      <c r="B103" s="331">
        <v>6336330775.5600004</v>
      </c>
      <c r="C103" s="331">
        <v>54378.2</v>
      </c>
      <c r="D103" s="331">
        <v>6159634427.8000002</v>
      </c>
      <c r="E103" s="331">
        <v>52549.94</v>
      </c>
      <c r="F103" s="24">
        <f t="shared" si="78"/>
        <v>-2.7886225327998906E-2</v>
      </c>
      <c r="G103" s="24">
        <f t="shared" si="78"/>
        <v>-3.3621193787216105E-2</v>
      </c>
      <c r="H103" s="331">
        <v>6159634427.8000002</v>
      </c>
      <c r="I103" s="331">
        <v>52549.94</v>
      </c>
      <c r="J103" s="24">
        <f t="shared" si="79"/>
        <v>0</v>
      </c>
      <c r="K103" s="24">
        <f t="shared" si="79"/>
        <v>0</v>
      </c>
      <c r="L103" s="331">
        <v>6011976937.7200003</v>
      </c>
      <c r="M103" s="331">
        <v>52674.28</v>
      </c>
      <c r="N103" s="24">
        <f t="shared" si="80"/>
        <v>-2.3971794399613073E-2</v>
      </c>
      <c r="O103" s="24">
        <f t="shared" si="80"/>
        <v>2.366130199197116E-3</v>
      </c>
      <c r="P103" s="331">
        <v>6036174339.4099998</v>
      </c>
      <c r="Q103" s="331">
        <v>52734.15</v>
      </c>
      <c r="R103" s="24">
        <f t="shared" si="81"/>
        <v>4.0248660200576675E-3</v>
      </c>
      <c r="S103" s="24">
        <f t="shared" si="81"/>
        <v>1.1366078473213611E-3</v>
      </c>
      <c r="T103" s="331">
        <v>6045629860.3900003</v>
      </c>
      <c r="U103" s="331">
        <v>52784.800000000003</v>
      </c>
      <c r="V103" s="24">
        <f t="shared" si="82"/>
        <v>1.5664757921695013E-3</v>
      </c>
      <c r="W103" s="24">
        <f t="shared" si="82"/>
        <v>9.604781721143027E-4</v>
      </c>
      <c r="X103" s="331">
        <v>6134857355.7600002</v>
      </c>
      <c r="Y103" s="331">
        <v>52830.85</v>
      </c>
      <c r="Z103" s="24">
        <f t="shared" si="83"/>
        <v>1.4759007321074047E-2</v>
      </c>
      <c r="AA103" s="24">
        <f t="shared" si="83"/>
        <v>8.7241023931123414E-4</v>
      </c>
      <c r="AB103" s="331">
        <v>6093639047.3699999</v>
      </c>
      <c r="AC103" s="331">
        <v>52881.51</v>
      </c>
      <c r="AD103" s="24">
        <f t="shared" si="84"/>
        <v>-6.7187068907642311E-3</v>
      </c>
      <c r="AE103" s="24">
        <f t="shared" si="84"/>
        <v>9.5890942508029863E-4</v>
      </c>
      <c r="AF103" s="331">
        <v>5711117250.6899996</v>
      </c>
      <c r="AG103" s="331">
        <v>52936.77</v>
      </c>
      <c r="AH103" s="24">
        <f t="shared" si="85"/>
        <v>-6.2773950623986469E-2</v>
      </c>
      <c r="AI103" s="24">
        <f t="shared" si="85"/>
        <v>1.0449777247282606E-3</v>
      </c>
      <c r="AJ103" s="25">
        <f t="shared" si="56"/>
        <v>-1.2625041013632682E-2</v>
      </c>
      <c r="AK103" s="25">
        <f t="shared" si="57"/>
        <v>-3.2852100224329416E-3</v>
      </c>
      <c r="AL103" s="26">
        <f t="shared" si="58"/>
        <v>-7.2815551371965881E-2</v>
      </c>
      <c r="AM103" s="26">
        <f t="shared" si="59"/>
        <v>7.3611882335164313E-3</v>
      </c>
      <c r="AN103" s="27">
        <f t="shared" si="60"/>
        <v>2.4782905382054524E-2</v>
      </c>
      <c r="AO103" s="79">
        <f t="shared" si="61"/>
        <v>1.2274418145878981E-2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08" t="s">
        <v>158</v>
      </c>
      <c r="B104" s="331">
        <v>1869655734.7986135</v>
      </c>
      <c r="C104" s="331">
        <v>525.65349562640313</v>
      </c>
      <c r="D104" s="331">
        <v>1707545332.4839759</v>
      </c>
      <c r="E104" s="331">
        <v>526.24933481900109</v>
      </c>
      <c r="F104" s="24">
        <f t="shared" si="78"/>
        <v>-8.6706017208081937E-2</v>
      </c>
      <c r="G104" s="24">
        <f t="shared" si="78"/>
        <v>1.1335208413061593E-3</v>
      </c>
      <c r="H104" s="331">
        <v>1700147790.2312875</v>
      </c>
      <c r="I104" s="331">
        <v>526.81810721115846</v>
      </c>
      <c r="J104" s="24">
        <f t="shared" si="79"/>
        <v>-4.3322669752651087E-3</v>
      </c>
      <c r="K104" s="24">
        <f t="shared" si="79"/>
        <v>1.0808040115680051E-3</v>
      </c>
      <c r="L104" s="331">
        <v>1701841630.8705189</v>
      </c>
      <c r="M104" s="331">
        <v>527.34654550272035</v>
      </c>
      <c r="N104" s="24">
        <f t="shared" si="80"/>
        <v>9.9629023368669255E-4</v>
      </c>
      <c r="O104" s="24">
        <f t="shared" si="80"/>
        <v>1.0030754150788437E-3</v>
      </c>
      <c r="P104" s="331">
        <v>1705398534.1820498</v>
      </c>
      <c r="Q104" s="331">
        <v>527.7750411141335</v>
      </c>
      <c r="R104" s="24">
        <f t="shared" si="81"/>
        <v>2.0900319083811672E-3</v>
      </c>
      <c r="S104" s="24">
        <f t="shared" si="81"/>
        <v>8.1255033349022707E-4</v>
      </c>
      <c r="T104" s="331">
        <v>1704477990.9657764</v>
      </c>
      <c r="U104" s="331">
        <v>528.06456764343159</v>
      </c>
      <c r="V104" s="24">
        <f t="shared" si="82"/>
        <v>-5.3978187375118309E-4</v>
      </c>
      <c r="W104" s="24">
        <f t="shared" si="82"/>
        <v>5.4857942635350078E-4</v>
      </c>
      <c r="X104" s="331">
        <v>1707768881.9635661</v>
      </c>
      <c r="Y104" s="331">
        <v>528.06456764343159</v>
      </c>
      <c r="Z104" s="24">
        <f t="shared" si="83"/>
        <v>1.9307324677891354E-3</v>
      </c>
      <c r="AA104" s="24">
        <f t="shared" si="83"/>
        <v>0</v>
      </c>
      <c r="AB104" s="331">
        <v>1713920200.681679</v>
      </c>
      <c r="AC104" s="331">
        <v>530.83310788384358</v>
      </c>
      <c r="AD104" s="24">
        <f t="shared" si="84"/>
        <v>3.601962058847363E-3</v>
      </c>
      <c r="AE104" s="24">
        <f t="shared" si="84"/>
        <v>5.2428062969023387E-3</v>
      </c>
      <c r="AF104" s="331">
        <v>1712416040.9213228</v>
      </c>
      <c r="AG104" s="331">
        <v>531.52645097944651</v>
      </c>
      <c r="AH104" s="24">
        <f t="shared" si="85"/>
        <v>-8.7761364838219252E-4</v>
      </c>
      <c r="AI104" s="24">
        <f t="shared" si="85"/>
        <v>1.3061413941698671E-3</v>
      </c>
      <c r="AJ104" s="25">
        <f t="shared" si="56"/>
        <v>-1.0479582879597009E-2</v>
      </c>
      <c r="AK104" s="25">
        <f t="shared" si="57"/>
        <v>1.3909347148586178E-3</v>
      </c>
      <c r="AL104" s="26">
        <f t="shared" si="58"/>
        <v>2.852462154115398E-3</v>
      </c>
      <c r="AM104" s="26">
        <f t="shared" si="59"/>
        <v>1.0027786851759984E-2</v>
      </c>
      <c r="AN104" s="27">
        <f t="shared" si="60"/>
        <v>3.089441224308747E-2</v>
      </c>
      <c r="AO104" s="79">
        <f t="shared" si="61"/>
        <v>1.6096038860236987E-3</v>
      </c>
      <c r="AP104" s="31"/>
      <c r="AQ104" s="29"/>
      <c r="AR104" s="33"/>
      <c r="AS104" s="30"/>
      <c r="AT104" s="30"/>
    </row>
    <row r="105" spans="1:46" ht="16.5" customHeight="1">
      <c r="A105" s="208" t="s">
        <v>199</v>
      </c>
      <c r="B105" s="332">
        <v>4232150206.4499998</v>
      </c>
      <c r="C105" s="331">
        <f>1.0612*461</f>
        <v>489.21319999999997</v>
      </c>
      <c r="D105" s="332">
        <v>4162000714.52</v>
      </c>
      <c r="E105" s="331">
        <f>1.0175*460.95</f>
        <v>469.01662500000003</v>
      </c>
      <c r="F105" s="24">
        <f t="shared" si="78"/>
        <v>-1.6575378591971675E-2</v>
      </c>
      <c r="G105" s="24">
        <f t="shared" si="78"/>
        <v>-4.1283789971325265E-2</v>
      </c>
      <c r="H105" s="332">
        <v>4174760303.8800001</v>
      </c>
      <c r="I105" s="331">
        <f>0.994*460.97</f>
        <v>458.20418000000001</v>
      </c>
      <c r="J105" s="24">
        <f t="shared" si="79"/>
        <v>3.065734543361722E-3</v>
      </c>
      <c r="K105" s="24">
        <f t="shared" si="79"/>
        <v>-2.3053436538630213E-2</v>
      </c>
      <c r="L105" s="332">
        <v>4169011309.5799999</v>
      </c>
      <c r="M105" s="331">
        <f>0.9955*461.02</f>
        <v>458.94540999999998</v>
      </c>
      <c r="N105" s="24">
        <f t="shared" si="80"/>
        <v>-1.3770836842194522E-3</v>
      </c>
      <c r="O105" s="24">
        <f t="shared" si="80"/>
        <v>1.6176849368767722E-3</v>
      </c>
      <c r="P105" s="332">
        <v>4210786077.3899999</v>
      </c>
      <c r="Q105" s="331">
        <f>0.9971*460.94</f>
        <v>459.603274</v>
      </c>
      <c r="R105" s="24">
        <f t="shared" si="81"/>
        <v>1.0020305705097373E-2</v>
      </c>
      <c r="S105" s="24">
        <f t="shared" si="81"/>
        <v>1.4334253827705081E-3</v>
      </c>
      <c r="T105" s="332">
        <v>4292324383.25</v>
      </c>
      <c r="U105" s="331">
        <f>0.9971*460.9</f>
        <v>459.56338999999997</v>
      </c>
      <c r="V105" s="24">
        <f t="shared" si="82"/>
        <v>1.9364153001698099E-2</v>
      </c>
      <c r="W105" s="24">
        <f t="shared" si="82"/>
        <v>-8.677919035021739E-5</v>
      </c>
      <c r="X105" s="332">
        <v>4821065047.0900002</v>
      </c>
      <c r="Y105" s="331">
        <f>1.0003*460.85</f>
        <v>460.98825499999998</v>
      </c>
      <c r="Z105" s="24">
        <f t="shared" si="83"/>
        <v>0.12318282977477484</v>
      </c>
      <c r="AA105" s="24">
        <f t="shared" si="83"/>
        <v>3.1004754316918308E-3</v>
      </c>
      <c r="AB105" s="332">
        <v>4813307316.1499996</v>
      </c>
      <c r="AC105" s="331">
        <f>1.0014*460.86</f>
        <v>461.50520400000005</v>
      </c>
      <c r="AD105" s="24">
        <f t="shared" si="84"/>
        <v>-1.6091321863999964E-3</v>
      </c>
      <c r="AE105" s="24">
        <f t="shared" si="84"/>
        <v>1.121392995142724E-3</v>
      </c>
      <c r="AF105" s="332">
        <v>4824854087.9499998</v>
      </c>
      <c r="AG105" s="331">
        <f>1.0035*460.93</f>
        <v>462.54325500000004</v>
      </c>
      <c r="AH105" s="24">
        <f t="shared" si="85"/>
        <v>2.3989267756200656E-3</v>
      </c>
      <c r="AI105" s="24">
        <f t="shared" si="85"/>
        <v>2.2492725780834224E-3</v>
      </c>
      <c r="AJ105" s="25">
        <f t="shared" si="56"/>
        <v>1.7308794417245123E-2</v>
      </c>
      <c r="AK105" s="25">
        <f t="shared" si="57"/>
        <v>-6.8627192969675536E-3</v>
      </c>
      <c r="AL105" s="26">
        <f t="shared" si="58"/>
        <v>0.15926315704788296</v>
      </c>
      <c r="AM105" s="26">
        <f t="shared" si="59"/>
        <v>-1.3802005419317467E-2</v>
      </c>
      <c r="AN105" s="27">
        <f t="shared" si="60"/>
        <v>4.3991905107789483E-2</v>
      </c>
      <c r="AO105" s="79">
        <f t="shared" si="61"/>
        <v>1.6386604992400806E-2</v>
      </c>
      <c r="AP105" s="31"/>
      <c r="AQ105" s="29"/>
      <c r="AR105" s="33"/>
      <c r="AS105" s="30"/>
      <c r="AT105" s="30"/>
    </row>
    <row r="106" spans="1:46">
      <c r="A106" s="208" t="s">
        <v>166</v>
      </c>
      <c r="B106" s="331">
        <v>101081798.20999999</v>
      </c>
      <c r="C106" s="331">
        <v>396.68</v>
      </c>
      <c r="D106" s="331">
        <v>103002025.7</v>
      </c>
      <c r="E106" s="331">
        <v>401.35</v>
      </c>
      <c r="F106" s="24">
        <f t="shared" si="78"/>
        <v>1.899676820163694E-2</v>
      </c>
      <c r="G106" s="24">
        <f t="shared" si="78"/>
        <v>1.1772713522234586E-2</v>
      </c>
      <c r="H106" s="331">
        <v>102884594.08</v>
      </c>
      <c r="I106" s="331">
        <v>401.36</v>
      </c>
      <c r="J106" s="24">
        <f t="shared" si="79"/>
        <v>-1.1400903933873289E-3</v>
      </c>
      <c r="K106" s="24">
        <f t="shared" si="79"/>
        <v>2.4915908807751101E-5</v>
      </c>
      <c r="L106" s="331">
        <v>102144699.41</v>
      </c>
      <c r="M106" s="331">
        <v>401.32</v>
      </c>
      <c r="N106" s="24">
        <f t="shared" si="80"/>
        <v>-7.1915010854266643E-3</v>
      </c>
      <c r="O106" s="24">
        <f t="shared" si="80"/>
        <v>-9.9661152082969055E-5</v>
      </c>
      <c r="P106" s="331">
        <v>97978147.037</v>
      </c>
      <c r="Q106" s="331">
        <v>383.012</v>
      </c>
      <c r="R106" s="24">
        <f t="shared" si="81"/>
        <v>-4.079068612533495E-2</v>
      </c>
      <c r="S106" s="24">
        <f t="shared" si="81"/>
        <v>-4.5619455795873599E-2</v>
      </c>
      <c r="T106" s="331">
        <v>97861472.569999993</v>
      </c>
      <c r="U106" s="331">
        <v>382.57</v>
      </c>
      <c r="V106" s="24">
        <f t="shared" si="82"/>
        <v>-1.1908213262692877E-3</v>
      </c>
      <c r="W106" s="24">
        <f t="shared" si="82"/>
        <v>-1.1540108403914429E-3</v>
      </c>
      <c r="X106" s="331">
        <v>102308709.04000001</v>
      </c>
      <c r="Y106" s="331">
        <v>401.51</v>
      </c>
      <c r="Z106" s="24">
        <f t="shared" si="83"/>
        <v>4.544420141255201E-2</v>
      </c>
      <c r="AA106" s="24">
        <f t="shared" si="83"/>
        <v>4.9507279713516476E-2</v>
      </c>
      <c r="AB106" s="331">
        <v>101996792.39</v>
      </c>
      <c r="AC106" s="331">
        <v>397.72</v>
      </c>
      <c r="AD106" s="24">
        <f t="shared" si="84"/>
        <v>-3.0487790621818401E-3</v>
      </c>
      <c r="AE106" s="24">
        <f t="shared" si="84"/>
        <v>-9.4393663918705979E-3</v>
      </c>
      <c r="AF106" s="331">
        <v>100947126.48</v>
      </c>
      <c r="AG106" s="331">
        <v>393.19</v>
      </c>
      <c r="AH106" s="24">
        <f t="shared" si="85"/>
        <v>-1.0291165882809743E-2</v>
      </c>
      <c r="AI106" s="24">
        <f t="shared" si="85"/>
        <v>-1.1389922558584002E-2</v>
      </c>
      <c r="AJ106" s="25">
        <f t="shared" si="56"/>
        <v>9.8490717347391246E-5</v>
      </c>
      <c r="AK106" s="25">
        <f t="shared" si="57"/>
        <v>-7.9968844928047481E-4</v>
      </c>
      <c r="AL106" s="26">
        <f t="shared" si="58"/>
        <v>-1.9950085505939703E-2</v>
      </c>
      <c r="AM106" s="26">
        <f t="shared" si="59"/>
        <v>-2.0331381587143451E-2</v>
      </c>
      <c r="AN106" s="27">
        <f t="shared" si="60"/>
        <v>2.4667774853993137E-2</v>
      </c>
      <c r="AO106" s="79">
        <f t="shared" si="61"/>
        <v>2.6419042186680786E-2</v>
      </c>
      <c r="AP106" s="31"/>
      <c r="AQ106" s="29"/>
      <c r="AR106" s="33"/>
      <c r="AS106" s="30"/>
      <c r="AT106" s="30"/>
    </row>
    <row r="107" spans="1:46" s="294" customFormat="1">
      <c r="A107" s="208" t="s">
        <v>95</v>
      </c>
      <c r="B107" s="332">
        <v>193651807461.64001</v>
      </c>
      <c r="C107" s="331">
        <v>635.14</v>
      </c>
      <c r="D107" s="332">
        <v>194865597734.47</v>
      </c>
      <c r="E107" s="331">
        <v>635.86</v>
      </c>
      <c r="F107" s="24">
        <f t="shared" si="78"/>
        <v>6.2679005620457388E-3</v>
      </c>
      <c r="G107" s="24">
        <f t="shared" si="78"/>
        <v>1.1336083383191536E-3</v>
      </c>
      <c r="H107" s="332">
        <v>195204777744.07999</v>
      </c>
      <c r="I107" s="331">
        <v>637.49</v>
      </c>
      <c r="J107" s="24">
        <f t="shared" si="79"/>
        <v>1.7405843491787745E-3</v>
      </c>
      <c r="K107" s="24">
        <f t="shared" si="79"/>
        <v>2.5634573648287287E-3</v>
      </c>
      <c r="L107" s="332">
        <v>195610440002.25</v>
      </c>
      <c r="M107" s="331">
        <v>637.92999999999995</v>
      </c>
      <c r="N107" s="24">
        <f t="shared" si="80"/>
        <v>2.0781369332150785E-3</v>
      </c>
      <c r="O107" s="24">
        <f t="shared" si="80"/>
        <v>6.9020690520626342E-4</v>
      </c>
      <c r="P107" s="332">
        <v>196257723513.31</v>
      </c>
      <c r="Q107" s="331">
        <v>639.22</v>
      </c>
      <c r="R107" s="24">
        <f t="shared" si="81"/>
        <v>3.3090437864796594E-3</v>
      </c>
      <c r="S107" s="24">
        <f t="shared" si="81"/>
        <v>2.0221654413494859E-3</v>
      </c>
      <c r="T107" s="332">
        <v>196214409513.01999</v>
      </c>
      <c r="U107" s="331">
        <v>639.36</v>
      </c>
      <c r="V107" s="24">
        <f t="shared" si="82"/>
        <v>-2.2069959599358663E-4</v>
      </c>
      <c r="W107" s="24">
        <f t="shared" si="82"/>
        <v>2.190169268796132E-4</v>
      </c>
      <c r="X107" s="332">
        <v>196717601784.23001</v>
      </c>
      <c r="Y107" s="331">
        <v>640.29999999999995</v>
      </c>
      <c r="Z107" s="24">
        <f t="shared" si="83"/>
        <v>2.5645021303933959E-3</v>
      </c>
      <c r="AA107" s="24">
        <f t="shared" si="83"/>
        <v>1.4702202202201277E-3</v>
      </c>
      <c r="AB107" s="332">
        <v>206919631467.92999</v>
      </c>
      <c r="AC107" s="331">
        <v>643.59</v>
      </c>
      <c r="AD107" s="24">
        <f t="shared" si="84"/>
        <v>5.1861295538210624E-2</v>
      </c>
      <c r="AE107" s="24">
        <f t="shared" si="84"/>
        <v>5.1382164610340115E-3</v>
      </c>
      <c r="AF107" s="332">
        <v>207429439723.20001</v>
      </c>
      <c r="AG107" s="331">
        <v>645.66</v>
      </c>
      <c r="AH107" s="24">
        <f t="shared" si="85"/>
        <v>2.4637983919328292E-3</v>
      </c>
      <c r="AI107" s="24">
        <f t="shared" si="85"/>
        <v>3.2163333799467616E-3</v>
      </c>
      <c r="AJ107" s="25">
        <f t="shared" si="56"/>
        <v>8.7580702619328137E-3</v>
      </c>
      <c r="AK107" s="25">
        <f t="shared" si="57"/>
        <v>2.0566531297230182E-3</v>
      </c>
      <c r="AL107" s="26">
        <f t="shared" si="58"/>
        <v>6.4474397404152881E-2</v>
      </c>
      <c r="AM107" s="26">
        <f t="shared" si="59"/>
        <v>1.5412197653571469E-2</v>
      </c>
      <c r="AN107" s="27">
        <f t="shared" si="60"/>
        <v>1.7510176365387792E-2</v>
      </c>
      <c r="AO107" s="79">
        <f t="shared" si="61"/>
        <v>1.5828964465630087E-3</v>
      </c>
      <c r="AP107" s="31"/>
      <c r="AQ107" s="29"/>
      <c r="AR107" s="33"/>
      <c r="AS107" s="30"/>
      <c r="AT107" s="30"/>
    </row>
    <row r="108" spans="1:46" s="362" customFormat="1">
      <c r="A108" s="208" t="s">
        <v>262</v>
      </c>
      <c r="B108" s="332">
        <v>236146614.53</v>
      </c>
      <c r="C108" s="332">
        <v>464.57</v>
      </c>
      <c r="D108" s="332">
        <v>749953717.82000005</v>
      </c>
      <c r="E108" s="332">
        <v>464.49</v>
      </c>
      <c r="F108" s="24">
        <f t="shared" si="78"/>
        <v>2.1757970331805292</v>
      </c>
      <c r="G108" s="24">
        <f t="shared" si="78"/>
        <v>-1.7220225154440468E-4</v>
      </c>
      <c r="H108" s="332">
        <v>2460882957.1999998</v>
      </c>
      <c r="I108" s="332">
        <v>466.09</v>
      </c>
      <c r="J108" s="24">
        <f t="shared" si="79"/>
        <v>2.281379768812144</v>
      </c>
      <c r="K108" s="24">
        <f t="shared" si="79"/>
        <v>3.4446382053434214E-3</v>
      </c>
      <c r="L108" s="332">
        <v>2519545760.3600001</v>
      </c>
      <c r="M108" s="332">
        <v>466.44</v>
      </c>
      <c r="N108" s="24">
        <f t="shared" ref="N108" si="86">((L108-H108)/H108)</f>
        <v>2.383811184045382E-2</v>
      </c>
      <c r="O108" s="24">
        <f t="shared" ref="O108" si="87">((M108-I108)/I108)</f>
        <v>7.5092793237362479E-4</v>
      </c>
      <c r="P108" s="332">
        <v>2523808607.0900002</v>
      </c>
      <c r="Q108" s="332">
        <v>467.23</v>
      </c>
      <c r="R108" s="24">
        <f t="shared" ref="R108" si="88">((P108-L108)/L108)</f>
        <v>1.6919108186353919E-3</v>
      </c>
      <c r="S108" s="24">
        <f t="shared" ref="S108" si="89">((Q108-M108)/M108)</f>
        <v>1.6936797873253161E-3</v>
      </c>
      <c r="T108" s="332">
        <v>2733757018.21</v>
      </c>
      <c r="U108" s="332">
        <v>467.14</v>
      </c>
      <c r="V108" s="24">
        <f t="shared" ref="V108" si="90">((T108-P108)/P108)</f>
        <v>8.3187136508768161E-2</v>
      </c>
      <c r="W108" s="24">
        <f t="shared" ref="W108" si="91">((U108-Q108)/Q108)</f>
        <v>-1.9262461742617517E-4</v>
      </c>
      <c r="X108" s="332">
        <v>2715018034.4299998</v>
      </c>
      <c r="Y108" s="332">
        <v>467.93</v>
      </c>
      <c r="Z108" s="24">
        <f t="shared" ref="Z108" si="92">((X108-T108)/T108)</f>
        <v>-6.8546632546992257E-3</v>
      </c>
      <c r="AA108" s="24">
        <f t="shared" ref="AA108" si="93">((Y108-U108)/U108)</f>
        <v>1.6911418418461713E-3</v>
      </c>
      <c r="AB108" s="332">
        <v>2903795821.2199998</v>
      </c>
      <c r="AC108" s="332">
        <v>471.03</v>
      </c>
      <c r="AD108" s="24">
        <f t="shared" ref="AD108" si="94">((AB108-X108)/X108)</f>
        <v>6.9530951321887857E-2</v>
      </c>
      <c r="AE108" s="24">
        <f t="shared" ref="AE108" si="95">((AC108-Y108)/Y108)</f>
        <v>6.6249225311477483E-3</v>
      </c>
      <c r="AF108" s="332">
        <v>3614743948.1599998</v>
      </c>
      <c r="AG108" s="332">
        <v>467.93</v>
      </c>
      <c r="AH108" s="24">
        <f t="shared" ref="AH108" si="96">((AF108-AB108)/AB108)</f>
        <v>0.24483406227966212</v>
      </c>
      <c r="AI108" s="24">
        <f t="shared" ref="AI108" si="97">((AG108-AC108)/AC108)</f>
        <v>-6.5813217841750333E-3</v>
      </c>
      <c r="AJ108" s="25">
        <f t="shared" si="56"/>
        <v>0.60917553893842291</v>
      </c>
      <c r="AK108" s="25">
        <f t="shared" si="57"/>
        <v>9.0739520561133359E-4</v>
      </c>
      <c r="AL108" s="26">
        <f t="shared" si="58"/>
        <v>3.81995603497707</v>
      </c>
      <c r="AM108" s="26">
        <f t="shared" si="59"/>
        <v>7.4059721414885095E-3</v>
      </c>
      <c r="AN108" s="27">
        <f t="shared" si="60"/>
        <v>1.0030200223529573</v>
      </c>
      <c r="AO108" s="79">
        <f t="shared" si="61"/>
        <v>3.7576809229796747E-3</v>
      </c>
      <c r="AP108" s="31"/>
      <c r="AQ108" s="29"/>
      <c r="AR108" s="33"/>
      <c r="AS108" s="30"/>
      <c r="AT108" s="30"/>
    </row>
    <row r="109" spans="1:46" s="89" customFormat="1">
      <c r="A109" s="208" t="s">
        <v>128</v>
      </c>
      <c r="B109" s="331">
        <v>4164052459</v>
      </c>
      <c r="C109" s="331">
        <v>460.47</v>
      </c>
      <c r="D109" s="331">
        <v>4233685316.79</v>
      </c>
      <c r="E109" s="331">
        <v>460.94</v>
      </c>
      <c r="F109" s="24">
        <f>((D109-B109)/B109)</f>
        <v>1.6722377653888235E-2</v>
      </c>
      <c r="G109" s="24">
        <f>((E109-C109)/C109)</f>
        <v>1.0206962451407701E-3</v>
      </c>
      <c r="H109" s="331">
        <v>4298316034.3699999</v>
      </c>
      <c r="I109" s="331">
        <v>460.97</v>
      </c>
      <c r="J109" s="24">
        <f>((H109-D109)/D109)</f>
        <v>1.5265829352901278E-2</v>
      </c>
      <c r="K109" s="24">
        <f>((I109-E109)/E109)</f>
        <v>6.5084392762679655E-5</v>
      </c>
      <c r="L109" s="331">
        <v>4339760300.5900002</v>
      </c>
      <c r="M109" s="331">
        <v>460.51</v>
      </c>
      <c r="N109" s="24">
        <f>((L109-H109)/H109)</f>
        <v>9.6419774368858655E-3</v>
      </c>
      <c r="O109" s="24">
        <f>((M109-I109)/I109)</f>
        <v>-9.9789574158846853E-4</v>
      </c>
      <c r="P109" s="331">
        <v>4614690682.6000004</v>
      </c>
      <c r="Q109" s="331">
        <v>460.39</v>
      </c>
      <c r="R109" s="24">
        <f>((P109-L109)/L109)</f>
        <v>6.3351513209755572E-2</v>
      </c>
      <c r="S109" s="24">
        <f>((Q109-M109)/M109)</f>
        <v>-2.6058066057198443E-4</v>
      </c>
      <c r="T109" s="331">
        <v>4609779197.9200001</v>
      </c>
      <c r="U109" s="331">
        <v>459.9</v>
      </c>
      <c r="V109" s="24">
        <f>((T109-P109)/P109)</f>
        <v>-1.0643150360043385E-3</v>
      </c>
      <c r="W109" s="24">
        <f>((U109-Q109)/Q109)</f>
        <v>-1.0643150372510461E-3</v>
      </c>
      <c r="X109" s="331">
        <v>5069025290.1899996</v>
      </c>
      <c r="Y109" s="331">
        <v>460.35</v>
      </c>
      <c r="Z109" s="24">
        <f>((X109-T109)/T109)</f>
        <v>9.9624314430768843E-2</v>
      </c>
      <c r="AA109" s="24">
        <f>((Y109-U109)/U109)</f>
        <v>9.7847358121340607E-4</v>
      </c>
      <c r="AB109" s="331">
        <v>5121009058.2200003</v>
      </c>
      <c r="AC109" s="331">
        <v>460.36</v>
      </c>
      <c r="AD109" s="24">
        <f>((AB109-X109)/X109)</f>
        <v>1.0255180247493341E-2</v>
      </c>
      <c r="AE109" s="24">
        <f>((AC109-Y109)/Y109)</f>
        <v>2.1722602367743901E-5</v>
      </c>
      <c r="AF109" s="331">
        <v>5223704461.3900003</v>
      </c>
      <c r="AG109" s="331">
        <v>464</v>
      </c>
      <c r="AH109" s="24">
        <f>((AF109-AB109)/AB109)</f>
        <v>2.0053743706068689E-2</v>
      </c>
      <c r="AI109" s="24">
        <f>((AG109-AC109)/AC109)</f>
        <v>7.9068555043878413E-3</v>
      </c>
      <c r="AJ109" s="25">
        <f t="shared" si="56"/>
        <v>2.9231327625219686E-2</v>
      </c>
      <c r="AK109" s="25">
        <f t="shared" si="57"/>
        <v>9.5875511080761779E-4</v>
      </c>
      <c r="AL109" s="26">
        <f t="shared" si="58"/>
        <v>0.23384334699458426</v>
      </c>
      <c r="AM109" s="26">
        <f t="shared" si="59"/>
        <v>6.6386080617867882E-3</v>
      </c>
      <c r="AN109" s="27">
        <f t="shared" si="60"/>
        <v>3.4261097155438541E-2</v>
      </c>
      <c r="AO109" s="79">
        <f t="shared" si="61"/>
        <v>2.9121684846555172E-3</v>
      </c>
      <c r="AP109" s="31"/>
      <c r="AQ109" s="29"/>
      <c r="AR109" s="33"/>
      <c r="AS109" s="30"/>
      <c r="AT109" s="30"/>
    </row>
    <row r="110" spans="1:46" s="107" customFormat="1">
      <c r="A110" s="210" t="s">
        <v>42</v>
      </c>
      <c r="B110" s="77">
        <f>SUM(B90:B109)</f>
        <v>315347453563.14014</v>
      </c>
      <c r="D110" s="77">
        <f>SUM(D90:D109)</f>
        <v>315837517726.25098</v>
      </c>
      <c r="E110" s="88"/>
      <c r="F110" s="24"/>
      <c r="G110" s="24"/>
      <c r="H110" s="77">
        <f>SUM(H90:H109)</f>
        <v>318565990487.86029</v>
      </c>
      <c r="I110" s="88"/>
      <c r="J110" s="24"/>
      <c r="K110" s="24"/>
      <c r="L110" s="77">
        <f>SUM(L90:L109)</f>
        <v>319613321483.24005</v>
      </c>
      <c r="M110" s="88"/>
      <c r="N110" s="24"/>
      <c r="O110" s="24"/>
      <c r="P110" s="77">
        <f>SUM(P90:P109)</f>
        <v>317395334099.62988</v>
      </c>
      <c r="Q110" s="88"/>
      <c r="R110" s="24"/>
      <c r="S110" s="24"/>
      <c r="T110" s="77">
        <f>SUM(T90:T109)</f>
        <v>313889534077.08875</v>
      </c>
      <c r="U110" s="88"/>
      <c r="V110" s="24"/>
      <c r="W110" s="24"/>
      <c r="X110" s="77">
        <f>SUM(X90:X109)</f>
        <v>315799107802.45459</v>
      </c>
      <c r="Y110" s="88"/>
      <c r="Z110" s="24"/>
      <c r="AA110" s="24"/>
      <c r="AB110" s="77">
        <f>SUM(AB90:AB109)</f>
        <v>328369020682.29224</v>
      </c>
      <c r="AC110" s="88"/>
      <c r="AD110" s="24"/>
      <c r="AE110" s="24"/>
      <c r="AF110" s="77">
        <f>SUM(AF90:AF109)</f>
        <v>329288437990.39252</v>
      </c>
      <c r="AG110" s="88"/>
      <c r="AH110" s="24"/>
      <c r="AI110" s="24"/>
      <c r="AJ110" s="25" t="e">
        <f t="shared" si="56"/>
        <v>#DIV/0!</v>
      </c>
      <c r="AK110" s="25"/>
      <c r="AL110" s="26">
        <f t="shared" si="58"/>
        <v>4.2588101505407573E-2</v>
      </c>
      <c r="AM110" s="26"/>
      <c r="AN110" s="27" t="e">
        <f t="shared" si="60"/>
        <v>#DIV/0!</v>
      </c>
      <c r="AO110" s="79"/>
      <c r="AP110" s="31"/>
      <c r="AQ110" s="29"/>
      <c r="AR110" s="33"/>
      <c r="AS110" s="30"/>
      <c r="AT110" s="30"/>
    </row>
    <row r="111" spans="1:46" s="107" customFormat="1" ht="8.25" customHeight="1">
      <c r="A111" s="210"/>
      <c r="B111" s="77"/>
      <c r="C111" s="88"/>
      <c r="D111" s="88"/>
      <c r="E111" s="88"/>
      <c r="F111" s="24"/>
      <c r="G111" s="24"/>
      <c r="H111" s="88"/>
      <c r="I111" s="88"/>
      <c r="J111" s="24"/>
      <c r="K111" s="24"/>
      <c r="L111" s="88"/>
      <c r="M111" s="88"/>
      <c r="N111" s="24"/>
      <c r="O111" s="24"/>
      <c r="P111" s="88"/>
      <c r="Q111" s="88"/>
      <c r="R111" s="24"/>
      <c r="S111" s="24"/>
      <c r="T111" s="88"/>
      <c r="U111" s="88"/>
      <c r="V111" s="24"/>
      <c r="W111" s="24"/>
      <c r="X111" s="88"/>
      <c r="Y111" s="88"/>
      <c r="Z111" s="24"/>
      <c r="AA111" s="24"/>
      <c r="AB111" s="88"/>
      <c r="AC111" s="88"/>
      <c r="AD111" s="24"/>
      <c r="AE111" s="24"/>
      <c r="AF111" s="88"/>
      <c r="AG111" s="88"/>
      <c r="AH111" s="24"/>
      <c r="AI111" s="24"/>
      <c r="AJ111" s="25"/>
      <c r="AK111" s="25"/>
      <c r="AL111" s="26"/>
      <c r="AM111" s="26"/>
      <c r="AN111" s="27"/>
      <c r="AO111" s="79"/>
      <c r="AP111" s="31"/>
      <c r="AQ111" s="29"/>
      <c r="AR111" s="33"/>
      <c r="AS111" s="30"/>
      <c r="AT111" s="30"/>
    </row>
    <row r="112" spans="1:46">
      <c r="A112" s="212" t="s">
        <v>221</v>
      </c>
      <c r="B112" s="88"/>
      <c r="C112" s="88"/>
      <c r="D112" s="88"/>
      <c r="E112" s="88"/>
      <c r="F112" s="24"/>
      <c r="G112" s="24"/>
      <c r="H112" s="88"/>
      <c r="I112" s="88"/>
      <c r="J112" s="24"/>
      <c r="K112" s="24"/>
      <c r="L112" s="88"/>
      <c r="M112" s="88"/>
      <c r="N112" s="24"/>
      <c r="O112" s="24"/>
      <c r="P112" s="88"/>
      <c r="Q112" s="88"/>
      <c r="R112" s="24"/>
      <c r="S112" s="24"/>
      <c r="T112" s="88"/>
      <c r="U112" s="88"/>
      <c r="V112" s="24"/>
      <c r="W112" s="24"/>
      <c r="X112" s="88"/>
      <c r="Y112" s="88"/>
      <c r="Z112" s="24"/>
      <c r="AA112" s="24"/>
      <c r="AB112" s="88"/>
      <c r="AC112" s="88"/>
      <c r="AD112" s="24"/>
      <c r="AE112" s="24"/>
      <c r="AF112" s="88"/>
      <c r="AG112" s="88"/>
      <c r="AH112" s="24"/>
      <c r="AI112" s="24"/>
      <c r="AJ112" s="25"/>
      <c r="AK112" s="25"/>
      <c r="AL112" s="26"/>
      <c r="AM112" s="26"/>
      <c r="AN112" s="27"/>
      <c r="AO112" s="79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08" t="s">
        <v>168</v>
      </c>
      <c r="B113" s="332">
        <v>7511812185.1700001</v>
      </c>
      <c r="C113" s="333">
        <v>101.31</v>
      </c>
      <c r="D113" s="332">
        <v>7511812185.1700001</v>
      </c>
      <c r="E113" s="333">
        <v>101.31</v>
      </c>
      <c r="F113" s="24">
        <f t="shared" ref="F113:G116" si="98">((D113-B113)/B113)</f>
        <v>0</v>
      </c>
      <c r="G113" s="24">
        <f t="shared" si="98"/>
        <v>0</v>
      </c>
      <c r="H113" s="332">
        <v>7511812185.1700001</v>
      </c>
      <c r="I113" s="333">
        <v>101.31</v>
      </c>
      <c r="J113" s="24">
        <f t="shared" ref="J113:K116" si="99">((H113-D113)/D113)</f>
        <v>0</v>
      </c>
      <c r="K113" s="24">
        <f t="shared" si="99"/>
        <v>0</v>
      </c>
      <c r="L113" s="332">
        <v>7511812185.1700001</v>
      </c>
      <c r="M113" s="333">
        <v>101.31</v>
      </c>
      <c r="N113" s="24">
        <f t="shared" ref="N113:O116" si="100">((L113-H113)/H113)</f>
        <v>0</v>
      </c>
      <c r="O113" s="24">
        <f t="shared" si="100"/>
        <v>0</v>
      </c>
      <c r="P113" s="332">
        <v>7511812185.1700001</v>
      </c>
      <c r="Q113" s="333">
        <v>101.31</v>
      </c>
      <c r="R113" s="24">
        <f t="shared" ref="R113:S116" si="101">((P113-L113)/L113)</f>
        <v>0</v>
      </c>
      <c r="S113" s="24">
        <f t="shared" si="101"/>
        <v>0</v>
      </c>
      <c r="T113" s="332">
        <v>7511812185.1700001</v>
      </c>
      <c r="U113" s="333">
        <v>101.31</v>
      </c>
      <c r="V113" s="24">
        <f t="shared" ref="V113:W116" si="102">((T113-P113)/P113)</f>
        <v>0</v>
      </c>
      <c r="W113" s="24">
        <f t="shared" si="102"/>
        <v>0</v>
      </c>
      <c r="X113" s="332">
        <v>7511812185.1700001</v>
      </c>
      <c r="Y113" s="333">
        <v>101.31</v>
      </c>
      <c r="Z113" s="24">
        <f t="shared" ref="Z113:AA116" si="103">((X113-T113)/T113)</f>
        <v>0</v>
      </c>
      <c r="AA113" s="24">
        <f t="shared" si="103"/>
        <v>0</v>
      </c>
      <c r="AB113" s="332">
        <v>7511812185.1700001</v>
      </c>
      <c r="AC113" s="333">
        <v>101.31</v>
      </c>
      <c r="AD113" s="24">
        <f t="shared" ref="AD113:AE116" si="104">((AB113-X113)/X113)</f>
        <v>0</v>
      </c>
      <c r="AE113" s="24">
        <f t="shared" si="104"/>
        <v>0</v>
      </c>
      <c r="AF113" s="332">
        <v>7511812185.1700001</v>
      </c>
      <c r="AG113" s="333">
        <v>101.31</v>
      </c>
      <c r="AH113" s="24">
        <f t="shared" ref="AH113:AI116" si="105">((AF113-AB113)/AB113)</f>
        <v>0</v>
      </c>
      <c r="AI113" s="24">
        <f t="shared" si="105"/>
        <v>0</v>
      </c>
      <c r="AJ113" s="25">
        <f t="shared" si="56"/>
        <v>0</v>
      </c>
      <c r="AK113" s="25">
        <f t="shared" si="57"/>
        <v>0</v>
      </c>
      <c r="AL113" s="26">
        <f t="shared" si="58"/>
        <v>0</v>
      </c>
      <c r="AM113" s="26">
        <f t="shared" si="59"/>
        <v>0</v>
      </c>
      <c r="AN113" s="27">
        <f t="shared" si="60"/>
        <v>0</v>
      </c>
      <c r="AO113" s="79">
        <f t="shared" si="61"/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08" t="s">
        <v>145</v>
      </c>
      <c r="B114" s="332">
        <v>2305749540.5599999</v>
      </c>
      <c r="C114" s="333">
        <v>77</v>
      </c>
      <c r="D114" s="332">
        <v>2308099295.8400002</v>
      </c>
      <c r="E114" s="333">
        <v>77</v>
      </c>
      <c r="F114" s="24">
        <f t="shared" si="98"/>
        <v>1.0190852209514144E-3</v>
      </c>
      <c r="G114" s="24">
        <f t="shared" si="98"/>
        <v>0</v>
      </c>
      <c r="H114" s="332">
        <v>2316599670.6100001</v>
      </c>
      <c r="I114" s="333">
        <v>77</v>
      </c>
      <c r="J114" s="24">
        <f t="shared" si="99"/>
        <v>3.6828462212698649E-3</v>
      </c>
      <c r="K114" s="24">
        <f t="shared" si="99"/>
        <v>0</v>
      </c>
      <c r="L114" s="332">
        <v>2321145779.7800002</v>
      </c>
      <c r="M114" s="333">
        <v>77</v>
      </c>
      <c r="N114" s="24">
        <f t="shared" si="100"/>
        <v>1.9624060331507377E-3</v>
      </c>
      <c r="O114" s="24">
        <f t="shared" si="100"/>
        <v>0</v>
      </c>
      <c r="P114" s="332">
        <v>2324740232.4000001</v>
      </c>
      <c r="Q114" s="333">
        <v>77</v>
      </c>
      <c r="R114" s="24">
        <f t="shared" si="101"/>
        <v>1.5485682335473862E-3</v>
      </c>
      <c r="S114" s="24">
        <f t="shared" si="101"/>
        <v>0</v>
      </c>
      <c r="T114" s="332">
        <v>2329739480.9200001</v>
      </c>
      <c r="U114" s="333">
        <v>77</v>
      </c>
      <c r="V114" s="24">
        <f t="shared" si="102"/>
        <v>2.1504546832051379E-3</v>
      </c>
      <c r="W114" s="24">
        <f t="shared" si="102"/>
        <v>0</v>
      </c>
      <c r="X114" s="332">
        <v>2340365539.8699999</v>
      </c>
      <c r="Y114" s="333">
        <v>77</v>
      </c>
      <c r="Z114" s="24">
        <f t="shared" si="103"/>
        <v>4.5610502964063791E-3</v>
      </c>
      <c r="AA114" s="24">
        <f t="shared" si="103"/>
        <v>0</v>
      </c>
      <c r="AB114" s="332">
        <v>2341177154.25</v>
      </c>
      <c r="AC114" s="333">
        <v>77</v>
      </c>
      <c r="AD114" s="24">
        <f t="shared" si="104"/>
        <v>3.4678957888142426E-4</v>
      </c>
      <c r="AE114" s="24">
        <f t="shared" si="104"/>
        <v>0</v>
      </c>
      <c r="AF114" s="332">
        <v>2344656416.2600002</v>
      </c>
      <c r="AG114" s="333">
        <v>77</v>
      </c>
      <c r="AH114" s="24">
        <f t="shared" si="105"/>
        <v>1.4861165049745312E-3</v>
      </c>
      <c r="AI114" s="24">
        <f t="shared" si="105"/>
        <v>0</v>
      </c>
      <c r="AJ114" s="25">
        <f t="shared" si="56"/>
        <v>2.0946645965483593E-3</v>
      </c>
      <c r="AK114" s="25">
        <f t="shared" si="57"/>
        <v>0</v>
      </c>
      <c r="AL114" s="26">
        <f t="shared" si="58"/>
        <v>1.5838625524425554E-2</v>
      </c>
      <c r="AM114" s="26">
        <f t="shared" si="59"/>
        <v>0</v>
      </c>
      <c r="AN114" s="27">
        <f t="shared" si="60"/>
        <v>1.3890631088698954E-3</v>
      </c>
      <c r="AO114" s="79">
        <f t="shared" si="61"/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08" t="s">
        <v>21</v>
      </c>
      <c r="B115" s="332">
        <v>10059201427.91</v>
      </c>
      <c r="C115" s="333">
        <v>36.6</v>
      </c>
      <c r="D115" s="332">
        <v>10068818195.75</v>
      </c>
      <c r="E115" s="333">
        <v>36.6</v>
      </c>
      <c r="F115" s="24">
        <f t="shared" si="98"/>
        <v>9.5601702669137511E-4</v>
      </c>
      <c r="G115" s="24">
        <f t="shared" si="98"/>
        <v>0</v>
      </c>
      <c r="H115" s="332">
        <v>10066505311.43</v>
      </c>
      <c r="I115" s="333">
        <v>36.6</v>
      </c>
      <c r="J115" s="24">
        <f t="shared" si="99"/>
        <v>-2.2970762556582383E-4</v>
      </c>
      <c r="K115" s="24">
        <f t="shared" si="99"/>
        <v>0</v>
      </c>
      <c r="L115" s="332">
        <v>10103263870.370001</v>
      </c>
      <c r="M115" s="333">
        <v>36.6</v>
      </c>
      <c r="N115" s="24">
        <f t="shared" si="100"/>
        <v>3.6515710072951612E-3</v>
      </c>
      <c r="O115" s="24">
        <f t="shared" si="100"/>
        <v>0</v>
      </c>
      <c r="P115" s="332">
        <v>10103642798.32</v>
      </c>
      <c r="Q115" s="333">
        <v>36.6</v>
      </c>
      <c r="R115" s="24">
        <f t="shared" si="101"/>
        <v>3.7505498704249772E-5</v>
      </c>
      <c r="S115" s="24">
        <f t="shared" si="101"/>
        <v>0</v>
      </c>
      <c r="T115" s="332">
        <v>10105268488.299999</v>
      </c>
      <c r="U115" s="333">
        <v>36.6</v>
      </c>
      <c r="V115" s="24">
        <f t="shared" si="102"/>
        <v>1.6090137116385949E-4</v>
      </c>
      <c r="W115" s="24">
        <f t="shared" si="102"/>
        <v>0</v>
      </c>
      <c r="X115" s="332">
        <v>10133565491.77</v>
      </c>
      <c r="Y115" s="333">
        <v>36.6</v>
      </c>
      <c r="Z115" s="24">
        <f t="shared" si="103"/>
        <v>2.8002228246348754E-3</v>
      </c>
      <c r="AA115" s="24">
        <f t="shared" si="103"/>
        <v>0</v>
      </c>
      <c r="AB115" s="332">
        <v>10148918090.66</v>
      </c>
      <c r="AC115" s="333">
        <v>36.6</v>
      </c>
      <c r="AD115" s="24">
        <f t="shared" si="104"/>
        <v>1.5150243912143303E-3</v>
      </c>
      <c r="AE115" s="24">
        <f t="shared" si="104"/>
        <v>0</v>
      </c>
      <c r="AF115" s="332">
        <v>10154946927.15</v>
      </c>
      <c r="AG115" s="333">
        <v>36.6</v>
      </c>
      <c r="AH115" s="24">
        <f t="shared" si="105"/>
        <v>5.9403735808529975E-4</v>
      </c>
      <c r="AI115" s="24">
        <f t="shared" si="105"/>
        <v>0</v>
      </c>
      <c r="AJ115" s="25">
        <f t="shared" si="56"/>
        <v>1.185696481527916E-3</v>
      </c>
      <c r="AK115" s="25">
        <f t="shared" si="57"/>
        <v>0</v>
      </c>
      <c r="AL115" s="26">
        <f t="shared" si="58"/>
        <v>8.5540060139683658E-3</v>
      </c>
      <c r="AM115" s="26">
        <f t="shared" si="59"/>
        <v>0</v>
      </c>
      <c r="AN115" s="27">
        <f t="shared" si="60"/>
        <v>1.39234739453511E-3</v>
      </c>
      <c r="AO115" s="79">
        <f t="shared" si="61"/>
        <v>0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08" t="s">
        <v>189</v>
      </c>
      <c r="B116" s="332">
        <v>26485525477.450001</v>
      </c>
      <c r="C116" s="333">
        <v>3.1</v>
      </c>
      <c r="D116" s="332">
        <v>26489422386.419998</v>
      </c>
      <c r="E116" s="333">
        <v>9.93</v>
      </c>
      <c r="F116" s="24">
        <f t="shared" si="98"/>
        <v>1.4713353425119946E-4</v>
      </c>
      <c r="G116" s="24">
        <f t="shared" si="98"/>
        <v>2.2032258064516128</v>
      </c>
      <c r="H116" s="332">
        <v>26489378423.290001</v>
      </c>
      <c r="I116" s="333">
        <v>9.93</v>
      </c>
      <c r="J116" s="24">
        <f t="shared" si="99"/>
        <v>-1.6596484950080091E-6</v>
      </c>
      <c r="K116" s="24">
        <f t="shared" si="99"/>
        <v>0</v>
      </c>
      <c r="L116" s="332">
        <v>26496538381.540001</v>
      </c>
      <c r="M116" s="333">
        <v>9.93</v>
      </c>
      <c r="N116" s="24">
        <f t="shared" si="100"/>
        <v>2.7029544202912737E-4</v>
      </c>
      <c r="O116" s="24">
        <f t="shared" si="100"/>
        <v>0</v>
      </c>
      <c r="P116" s="332">
        <v>26502288426.880001</v>
      </c>
      <c r="Q116" s="333">
        <v>9.93</v>
      </c>
      <c r="R116" s="24">
        <f t="shared" si="101"/>
        <v>2.170111905639032E-4</v>
      </c>
      <c r="S116" s="24">
        <f t="shared" si="101"/>
        <v>0</v>
      </c>
      <c r="T116" s="332">
        <v>26501317592.720001</v>
      </c>
      <c r="U116" s="333">
        <v>9.93</v>
      </c>
      <c r="V116" s="24">
        <f t="shared" si="102"/>
        <v>-3.6632087930005952E-5</v>
      </c>
      <c r="W116" s="24">
        <f t="shared" si="102"/>
        <v>0</v>
      </c>
      <c r="X116" s="332">
        <v>26518692064.02</v>
      </c>
      <c r="Y116" s="333">
        <v>3.15</v>
      </c>
      <c r="Z116" s="24">
        <f t="shared" si="103"/>
        <v>6.5560782927910199E-4</v>
      </c>
      <c r="AA116" s="24">
        <f t="shared" si="103"/>
        <v>-0.68277945619335345</v>
      </c>
      <c r="AB116" s="332">
        <v>26545649172.029999</v>
      </c>
      <c r="AC116" s="333">
        <v>3.2</v>
      </c>
      <c r="AD116" s="24">
        <f t="shared" si="104"/>
        <v>1.016532336697448E-3</v>
      </c>
      <c r="AE116" s="24">
        <f t="shared" si="104"/>
        <v>1.5873015873015959E-2</v>
      </c>
      <c r="AF116" s="332">
        <v>26550833017.650002</v>
      </c>
      <c r="AG116" s="333">
        <v>3.3</v>
      </c>
      <c r="AH116" s="24">
        <f t="shared" si="105"/>
        <v>1.9528042378653675E-4</v>
      </c>
      <c r="AI116" s="24">
        <f t="shared" si="105"/>
        <v>3.1249999999999889E-2</v>
      </c>
      <c r="AJ116" s="25">
        <f t="shared" si="56"/>
        <v>3.0794612752278787E-4</v>
      </c>
      <c r="AK116" s="25">
        <f t="shared" si="57"/>
        <v>0.19594617076640941</v>
      </c>
      <c r="AL116" s="26">
        <f t="shared" si="58"/>
        <v>2.3183076751981569E-3</v>
      </c>
      <c r="AM116" s="26">
        <f t="shared" si="59"/>
        <v>-0.66767371601208458</v>
      </c>
      <c r="AN116" s="27">
        <f t="shared" si="60"/>
        <v>3.5572741282372016E-4</v>
      </c>
      <c r="AO116" s="79">
        <f t="shared" si="61"/>
        <v>0.84637555328950465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0" t="s">
        <v>42</v>
      </c>
      <c r="B117" s="71">
        <f>SUM(B113:B116)</f>
        <v>46362288631.089996</v>
      </c>
      <c r="C117" s="88"/>
      <c r="D117" s="71">
        <f>SUM(D113:D116)</f>
        <v>46378152063.18</v>
      </c>
      <c r="E117" s="88"/>
      <c r="F117" s="24">
        <f>((D117-B117)/B117)</f>
        <v>3.4216240307356484E-4</v>
      </c>
      <c r="G117" s="24"/>
      <c r="H117" s="71">
        <f>SUM(H113:H116)</f>
        <v>46384295590.5</v>
      </c>
      <c r="I117" s="88"/>
      <c r="J117" s="24">
        <f>((H117-D117)/D117)</f>
        <v>1.3246597905907279E-4</v>
      </c>
      <c r="K117" s="24"/>
      <c r="L117" s="71">
        <f>SUM(L113:L116)</f>
        <v>46432760216.860001</v>
      </c>
      <c r="M117" s="88"/>
      <c r="N117" s="24">
        <f>((L117-H117)/H117)</f>
        <v>1.0448498946252552E-3</v>
      </c>
      <c r="O117" s="24"/>
      <c r="P117" s="71">
        <f>SUM(P113:P116)</f>
        <v>46442483642.770004</v>
      </c>
      <c r="Q117" s="88"/>
      <c r="R117" s="24">
        <f>((P117-L117)/L117)</f>
        <v>2.0940874211636962E-4</v>
      </c>
      <c r="S117" s="24"/>
      <c r="T117" s="71">
        <f>SUM(T113:T116)</f>
        <v>46448137747.110001</v>
      </c>
      <c r="U117" s="88"/>
      <c r="V117" s="24">
        <f>((T117-P117)/P117)</f>
        <v>1.217442284845709E-4</v>
      </c>
      <c r="W117" s="24"/>
      <c r="X117" s="71">
        <f>SUM(X113:X116)</f>
        <v>46504435280.830002</v>
      </c>
      <c r="Y117" s="88"/>
      <c r="Z117" s="24">
        <f>((X117-T117)/T117)</f>
        <v>1.212051471826856E-3</v>
      </c>
      <c r="AA117" s="24"/>
      <c r="AB117" s="71">
        <f>SUM(AB113:AB116)</f>
        <v>46547556602.110001</v>
      </c>
      <c r="AC117" s="88"/>
      <c r="AD117" s="24">
        <f>((AB117-X117)/X117)</f>
        <v>9.2725179909397147E-4</v>
      </c>
      <c r="AE117" s="24"/>
      <c r="AF117" s="71">
        <f>SUM(AF113:AF116)</f>
        <v>46562248546.230003</v>
      </c>
      <c r="AG117" s="88"/>
      <c r="AH117" s="24">
        <f>((AF117-AB117)/AB117)</f>
        <v>3.1563298253418443E-4</v>
      </c>
      <c r="AI117" s="24"/>
      <c r="AJ117" s="25">
        <f t="shared" si="56"/>
        <v>5.3819593760173073E-4</v>
      </c>
      <c r="AK117" s="25"/>
      <c r="AL117" s="26">
        <f t="shared" si="58"/>
        <v>3.9694656828761143E-3</v>
      </c>
      <c r="AM117" s="26"/>
      <c r="AN117" s="27">
        <f t="shared" si="60"/>
        <v>4.4661540459704215E-4</v>
      </c>
      <c r="AO117" s="79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12" t="s">
        <v>230</v>
      </c>
      <c r="B118" s="88"/>
      <c r="C118" s="88"/>
      <c r="D118" s="88"/>
      <c r="E118" s="88"/>
      <c r="F118" s="24"/>
      <c r="G118" s="24"/>
      <c r="H118" s="88"/>
      <c r="I118" s="88"/>
      <c r="J118" s="24"/>
      <c r="K118" s="24"/>
      <c r="L118" s="88"/>
      <c r="M118" s="88"/>
      <c r="N118" s="24"/>
      <c r="O118" s="24"/>
      <c r="P118" s="88"/>
      <c r="Q118" s="88"/>
      <c r="R118" s="24"/>
      <c r="S118" s="24"/>
      <c r="T118" s="88"/>
      <c r="U118" s="88"/>
      <c r="V118" s="24"/>
      <c r="W118" s="24"/>
      <c r="X118" s="88"/>
      <c r="Y118" s="88"/>
      <c r="Z118" s="24"/>
      <c r="AA118" s="24"/>
      <c r="AB118" s="88"/>
      <c r="AC118" s="88"/>
      <c r="AD118" s="24"/>
      <c r="AE118" s="24"/>
      <c r="AF118" s="88"/>
      <c r="AG118" s="88"/>
      <c r="AH118" s="24"/>
      <c r="AI118" s="24"/>
      <c r="AJ118" s="25"/>
      <c r="AK118" s="25"/>
      <c r="AL118" s="26"/>
      <c r="AM118" s="26"/>
      <c r="AN118" s="27"/>
      <c r="AO118" s="79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6" customFormat="1">
      <c r="A119" s="208" t="s">
        <v>119</v>
      </c>
      <c r="B119" s="331">
        <v>172095083.38999999</v>
      </c>
      <c r="C119" s="331">
        <v>3.9458000000000002</v>
      </c>
      <c r="D119" s="331">
        <v>173564966.40000001</v>
      </c>
      <c r="E119" s="331">
        <v>3.9796999999999998</v>
      </c>
      <c r="F119" s="24">
        <f t="shared" ref="F119:F142" si="106">((D119-B119)/B119)</f>
        <v>8.5411098390823139E-3</v>
      </c>
      <c r="G119" s="24">
        <f t="shared" ref="G119:G142" si="107">((E119-C119)/C119)</f>
        <v>8.5914136550254948E-3</v>
      </c>
      <c r="H119" s="331">
        <v>174477142.22</v>
      </c>
      <c r="I119" s="331">
        <v>4.0007000000000001</v>
      </c>
      <c r="J119" s="24">
        <f t="shared" ref="J119:J142" si="108">((H119-D119)/D119)</f>
        <v>5.2555296089982868E-3</v>
      </c>
      <c r="K119" s="24">
        <f t="shared" ref="K119:K142" si="109">((I119-E119)/E119)</f>
        <v>5.2767796567581354E-3</v>
      </c>
      <c r="L119" s="331">
        <v>174650630.81</v>
      </c>
      <c r="M119" s="331">
        <v>3.9956</v>
      </c>
      <c r="N119" s="24">
        <f t="shared" ref="N119:N142" si="110">((L119-H119)/H119)</f>
        <v>9.9433420213434066E-4</v>
      </c>
      <c r="O119" s="24">
        <f t="shared" ref="O119:O142" si="111">((M119-I119)/I119)</f>
        <v>-1.2747769140400691E-3</v>
      </c>
      <c r="P119" s="331">
        <v>172001524.68000001</v>
      </c>
      <c r="Q119" s="331">
        <v>3.92</v>
      </c>
      <c r="R119" s="24">
        <f t="shared" ref="R119:R142" si="112">((P119-L119)/L119)</f>
        <v>-1.5168030700569992E-2</v>
      </c>
      <c r="S119" s="24">
        <f t="shared" ref="S119:S142" si="113">((Q119-M119)/M119)</f>
        <v>-1.8920812894183629E-2</v>
      </c>
      <c r="T119" s="331">
        <v>172731006.96000001</v>
      </c>
      <c r="U119" s="331">
        <v>3.94</v>
      </c>
      <c r="V119" s="24">
        <f t="shared" ref="V119:V142" si="114">((T119-P119)/P119)</f>
        <v>4.2411384512850425E-3</v>
      </c>
      <c r="W119" s="24">
        <f t="shared" ref="W119:W142" si="115">((U119-Q119)/Q119)</f>
        <v>5.1020408163265354E-3</v>
      </c>
      <c r="X119" s="331">
        <v>173678190.16999999</v>
      </c>
      <c r="Y119" s="331">
        <v>3.96</v>
      </c>
      <c r="Z119" s="24">
        <f t="shared" ref="Z119:Z142" si="116">((X119-T119)/T119)</f>
        <v>5.4835737177131227E-3</v>
      </c>
      <c r="AA119" s="24">
        <f t="shared" ref="AA119:AA142" si="117">((Y119-U119)/U119)</f>
        <v>5.0761421319797002E-3</v>
      </c>
      <c r="AB119" s="331">
        <v>171101927.94999999</v>
      </c>
      <c r="AC119" s="331">
        <v>3.9</v>
      </c>
      <c r="AD119" s="24">
        <f t="shared" ref="AD119:AD142" si="118">((AB119-X119)/X119)</f>
        <v>-1.4833539072915819E-2</v>
      </c>
      <c r="AE119" s="24">
        <f t="shared" ref="AE119:AE142" si="119">((AC119-Y119)/Y119)</f>
        <v>-1.5151515151515166E-2</v>
      </c>
      <c r="AF119" s="331">
        <v>170294462.5</v>
      </c>
      <c r="AG119" s="331">
        <v>3.88</v>
      </c>
      <c r="AH119" s="24">
        <f t="shared" ref="AH119:AH142" si="120">((AF119-AB119)/AB119)</f>
        <v>-4.7192071981558767E-3</v>
      </c>
      <c r="AI119" s="24">
        <f t="shared" ref="AI119:AI142" si="121">((AG119-AC119)/AC119)</f>
        <v>-5.1282051282051325E-3</v>
      </c>
      <c r="AJ119" s="25">
        <f t="shared" si="56"/>
        <v>-1.2756363940535729E-3</v>
      </c>
      <c r="AK119" s="25">
        <f t="shared" si="57"/>
        <v>-2.0536167284817665E-3</v>
      </c>
      <c r="AL119" s="26">
        <f t="shared" si="58"/>
        <v>-1.8843110841059718E-2</v>
      </c>
      <c r="AM119" s="26">
        <f t="shared" si="59"/>
        <v>-2.5052139608513182E-2</v>
      </c>
      <c r="AN119" s="27">
        <f t="shared" si="60"/>
        <v>9.3271696288855215E-3</v>
      </c>
      <c r="AO119" s="79">
        <f t="shared" si="61"/>
        <v>1.0248381155884874E-2</v>
      </c>
      <c r="AP119" s="31"/>
      <c r="AQ119" s="29"/>
      <c r="AR119" s="33"/>
      <c r="AS119" s="30"/>
      <c r="AT119" s="30"/>
    </row>
    <row r="120" spans="1:46" s="107" customFormat="1">
      <c r="A120" s="208" t="s">
        <v>160</v>
      </c>
      <c r="B120" s="331">
        <v>4964161563.1000004</v>
      </c>
      <c r="C120" s="331">
        <v>563.55229999999995</v>
      </c>
      <c r="D120" s="331">
        <v>4999524961.9899998</v>
      </c>
      <c r="E120" s="331">
        <v>567.43110000000001</v>
      </c>
      <c r="F120" s="24">
        <f t="shared" si="106"/>
        <v>7.1237405230453041E-3</v>
      </c>
      <c r="G120" s="24">
        <f t="shared" si="107"/>
        <v>6.882768467097144E-3</v>
      </c>
      <c r="H120" s="331">
        <v>5015746768.6999998</v>
      </c>
      <c r="I120" s="331">
        <v>568.64290000000005</v>
      </c>
      <c r="J120" s="24">
        <f t="shared" si="108"/>
        <v>3.2446696102789627E-3</v>
      </c>
      <c r="K120" s="24">
        <f t="shared" si="109"/>
        <v>2.1355896777600649E-3</v>
      </c>
      <c r="L120" s="331">
        <v>5022341517.5600004</v>
      </c>
      <c r="M120" s="331">
        <v>569.66520000000003</v>
      </c>
      <c r="N120" s="24">
        <f t="shared" si="110"/>
        <v>1.3148089734422263E-3</v>
      </c>
      <c r="O120" s="24">
        <f t="shared" si="111"/>
        <v>1.797789086964724E-3</v>
      </c>
      <c r="P120" s="331">
        <v>4974734439.8800001</v>
      </c>
      <c r="Q120" s="331">
        <v>564.27769999999998</v>
      </c>
      <c r="R120" s="24">
        <f t="shared" si="112"/>
        <v>-9.4790602179377886E-3</v>
      </c>
      <c r="S120" s="24">
        <f t="shared" si="113"/>
        <v>-9.4573093108022838E-3</v>
      </c>
      <c r="T120" s="331">
        <v>4978111331.3400002</v>
      </c>
      <c r="U120" s="331">
        <v>564.47370000000001</v>
      </c>
      <c r="V120" s="24">
        <f t="shared" si="114"/>
        <v>6.7880838682144709E-4</v>
      </c>
      <c r="W120" s="24">
        <f t="shared" si="115"/>
        <v>3.4734670535452029E-4</v>
      </c>
      <c r="X120" s="331">
        <v>4973999318.1199999</v>
      </c>
      <c r="Y120" s="331">
        <v>563.76959999999997</v>
      </c>
      <c r="Z120" s="24">
        <f t="shared" si="116"/>
        <v>-8.2601873407547953E-4</v>
      </c>
      <c r="AA120" s="24">
        <f t="shared" si="117"/>
        <v>-1.2473566084656193E-3</v>
      </c>
      <c r="AB120" s="331">
        <v>4918914713.4399996</v>
      </c>
      <c r="AC120" s="331">
        <v>557.14210000000003</v>
      </c>
      <c r="AD120" s="24">
        <f t="shared" si="118"/>
        <v>-1.1074509897765806E-2</v>
      </c>
      <c r="AE120" s="24">
        <f t="shared" si="119"/>
        <v>-1.1755688848777836E-2</v>
      </c>
      <c r="AF120" s="331">
        <v>4869590487.46</v>
      </c>
      <c r="AG120" s="331">
        <v>552.24419999999998</v>
      </c>
      <c r="AH120" s="24">
        <f t="shared" si="120"/>
        <v>-1.002746110747366E-2</v>
      </c>
      <c r="AI120" s="24">
        <f t="shared" si="121"/>
        <v>-8.7911145110018598E-3</v>
      </c>
      <c r="AJ120" s="25">
        <f t="shared" si="56"/>
        <v>-2.3806278079580995E-3</v>
      </c>
      <c r="AK120" s="25">
        <f t="shared" si="57"/>
        <v>-2.5109969177338929E-3</v>
      </c>
      <c r="AL120" s="26">
        <f t="shared" si="58"/>
        <v>-2.5989364093159942E-2</v>
      </c>
      <c r="AM120" s="26">
        <f t="shared" si="59"/>
        <v>-2.6764306714947481E-2</v>
      </c>
      <c r="AN120" s="27">
        <f t="shared" si="60"/>
        <v>6.8853424917819442E-3</v>
      </c>
      <c r="AO120" s="79">
        <f t="shared" si="61"/>
        <v>6.6689216174205812E-3</v>
      </c>
      <c r="AP120" s="31"/>
      <c r="AQ120" s="29"/>
      <c r="AR120" s="33"/>
      <c r="AS120" s="30"/>
      <c r="AT120" s="30"/>
    </row>
    <row r="121" spans="1:46" s="382" customFormat="1">
      <c r="A121" s="208" t="s">
        <v>250</v>
      </c>
      <c r="B121" s="331">
        <v>2632864636.8800001</v>
      </c>
      <c r="C121" s="331">
        <v>14.5677</v>
      </c>
      <c r="D121" s="331">
        <v>2642326137.0700002</v>
      </c>
      <c r="E121" s="331">
        <v>14.5741</v>
      </c>
      <c r="F121" s="24">
        <f t="shared" ref="F121" si="122">((D121-B121)/B121)</f>
        <v>3.5936143687250607E-3</v>
      </c>
      <c r="G121" s="24">
        <f t="shared" ref="G121" si="123">((E121-C121)/C121)</f>
        <v>4.3932810258306358E-4</v>
      </c>
      <c r="H121" s="331">
        <v>2676783898.23</v>
      </c>
      <c r="I121" s="331">
        <v>14.7569</v>
      </c>
      <c r="J121" s="24">
        <f t="shared" ref="J121" si="124">((H121-D121)/D121)</f>
        <v>1.3040691940552454E-2</v>
      </c>
      <c r="K121" s="24">
        <f t="shared" ref="K121" si="125">((I121-E121)/E121)</f>
        <v>1.2542798526152579E-2</v>
      </c>
      <c r="L121" s="331">
        <v>2682135680.1500001</v>
      </c>
      <c r="M121" s="331">
        <v>14.8344</v>
      </c>
      <c r="N121" s="24">
        <f t="shared" ref="N121" si="126">((L121-H121)/H121)</f>
        <v>1.9993328275543258E-3</v>
      </c>
      <c r="O121" s="24">
        <f t="shared" ref="O121" si="127">((M121-I121)/I121)</f>
        <v>5.2517805230096141E-3</v>
      </c>
      <c r="P121" s="331">
        <v>2646892579.3899999</v>
      </c>
      <c r="Q121" s="331">
        <v>14.7103</v>
      </c>
      <c r="R121" s="24">
        <f t="shared" ref="R121" si="128">((P121-L121)/L121)</f>
        <v>-1.3139939571598867E-2</v>
      </c>
      <c r="S121" s="24">
        <f t="shared" ref="S121" si="129">((Q121-M121)/M121)</f>
        <v>-8.3656905570835566E-3</v>
      </c>
      <c r="T121" s="331">
        <v>2649688853.8699999</v>
      </c>
      <c r="U121" s="331">
        <v>14.6698</v>
      </c>
      <c r="V121" s="24">
        <f t="shared" ref="V121" si="130">((T121-P121)/P121)</f>
        <v>1.0564367068664514E-3</v>
      </c>
      <c r="W121" s="24">
        <f t="shared" ref="W121" si="131">((U121-Q121)/Q121)</f>
        <v>-2.7531729468467507E-3</v>
      </c>
      <c r="X121" s="331">
        <v>2652855180.1700001</v>
      </c>
      <c r="Y121" s="331">
        <v>14.6122</v>
      </c>
      <c r="Z121" s="24">
        <f t="shared" ref="Z121" si="132">((X121-T121)/T121)</f>
        <v>1.1949804202012687E-3</v>
      </c>
      <c r="AA121" s="24">
        <f t="shared" ref="AA121" si="133">((Y121-U121)/U121)</f>
        <v>-3.9264338982127065E-3</v>
      </c>
      <c r="AB121" s="331">
        <v>2653239570.73</v>
      </c>
      <c r="AC121" s="331">
        <v>14.7095</v>
      </c>
      <c r="AD121" s="24">
        <f t="shared" ref="AD121" si="134">((AB121-X121)/X121)</f>
        <v>1.4489692572487514E-4</v>
      </c>
      <c r="AE121" s="24">
        <f t="shared" ref="AE121" si="135">((AC121-Y121)/Y121)</f>
        <v>6.6588193427410394E-3</v>
      </c>
      <c r="AF121" s="331">
        <v>2650665377.96</v>
      </c>
      <c r="AG121" s="331">
        <v>14.694599999999999</v>
      </c>
      <c r="AH121" s="24">
        <f t="shared" ref="AH121" si="136">((AF121-AB121)/AB121)</f>
        <v>-9.7020743938766509E-4</v>
      </c>
      <c r="AI121" s="24">
        <f t="shared" ref="AI121" si="137">((AG121-AC121)/AC121)</f>
        <v>-1.0129508140997859E-3</v>
      </c>
      <c r="AJ121" s="25">
        <f t="shared" si="56"/>
        <v>8.6497577232973806E-4</v>
      </c>
      <c r="AK121" s="25">
        <f t="shared" si="57"/>
        <v>1.104309784780437E-3</v>
      </c>
      <c r="AL121" s="26">
        <f t="shared" si="58"/>
        <v>3.1560225564157694E-3</v>
      </c>
      <c r="AM121" s="26">
        <f t="shared" si="59"/>
        <v>8.2680920262657616E-3</v>
      </c>
      <c r="AN121" s="27">
        <f t="shared" si="60"/>
        <v>7.1429278094907126E-3</v>
      </c>
      <c r="AO121" s="79">
        <f t="shared" si="61"/>
        <v>6.6942146581459253E-3</v>
      </c>
      <c r="AP121" s="31"/>
      <c r="AQ121" s="29"/>
      <c r="AR121" s="33"/>
      <c r="AS121" s="30"/>
      <c r="AT121" s="30"/>
    </row>
    <row r="122" spans="1:46">
      <c r="A122" s="208" t="s">
        <v>148</v>
      </c>
      <c r="B122" s="332">
        <v>1041397974.67</v>
      </c>
      <c r="C122" s="331">
        <v>2.4161000000000001</v>
      </c>
      <c r="D122" s="332">
        <v>1047335615.63</v>
      </c>
      <c r="E122" s="331">
        <v>2.4298999999999999</v>
      </c>
      <c r="F122" s="24">
        <f t="shared" si="106"/>
        <v>5.7016060184691339E-3</v>
      </c>
      <c r="G122" s="24">
        <f t="shared" si="107"/>
        <v>5.7116841190347298E-3</v>
      </c>
      <c r="H122" s="332">
        <v>1047335615.63</v>
      </c>
      <c r="I122" s="331">
        <v>2.4298999999999999</v>
      </c>
      <c r="J122" s="24">
        <f t="shared" si="108"/>
        <v>0</v>
      </c>
      <c r="K122" s="24">
        <f t="shared" si="109"/>
        <v>0</v>
      </c>
      <c r="L122" s="332">
        <v>1061474205.71</v>
      </c>
      <c r="M122" s="331">
        <v>2.4632000000000001</v>
      </c>
      <c r="N122" s="24">
        <f t="shared" si="110"/>
        <v>1.3499579188372496E-2</v>
      </c>
      <c r="O122" s="24">
        <f t="shared" si="111"/>
        <v>1.3704267665336067E-2</v>
      </c>
      <c r="P122" s="332">
        <v>1047028699.78</v>
      </c>
      <c r="Q122" s="331">
        <v>2.4295</v>
      </c>
      <c r="R122" s="24">
        <f t="shared" si="112"/>
        <v>-1.3608909055249007E-2</v>
      </c>
      <c r="S122" s="24">
        <f t="shared" si="113"/>
        <v>-1.3681390061708373E-2</v>
      </c>
      <c r="T122" s="332">
        <v>1050592113.49</v>
      </c>
      <c r="U122" s="331">
        <v>2.4378000000000002</v>
      </c>
      <c r="V122" s="24">
        <f t="shared" si="114"/>
        <v>3.4033581990147712E-3</v>
      </c>
      <c r="W122" s="24">
        <f t="shared" si="115"/>
        <v>3.416340810866514E-3</v>
      </c>
      <c r="X122" s="332">
        <v>1031192765.14</v>
      </c>
      <c r="Y122" s="331">
        <v>2.4527999999999999</v>
      </c>
      <c r="Z122" s="24">
        <f t="shared" si="116"/>
        <v>-1.8465157029931078E-2</v>
      </c>
      <c r="AA122" s="24">
        <f t="shared" si="117"/>
        <v>6.1530888506028713E-3</v>
      </c>
      <c r="AB122" s="332">
        <v>1013844367.62</v>
      </c>
      <c r="AC122" s="331">
        <v>2.4114</v>
      </c>
      <c r="AD122" s="24">
        <f t="shared" si="118"/>
        <v>-1.6823622223187992E-2</v>
      </c>
      <c r="AE122" s="24">
        <f t="shared" si="119"/>
        <v>-1.6878669275929504E-2</v>
      </c>
      <c r="AF122" s="332">
        <v>1008347071.5599999</v>
      </c>
      <c r="AG122" s="331">
        <v>2.3980999999999999</v>
      </c>
      <c r="AH122" s="24">
        <f t="shared" si="120"/>
        <v>-5.4222287321129634E-3</v>
      </c>
      <c r="AI122" s="24">
        <f t="shared" si="121"/>
        <v>-5.5154681927511362E-3</v>
      </c>
      <c r="AJ122" s="25">
        <f t="shared" si="56"/>
        <v>-3.9644217043280803E-3</v>
      </c>
      <c r="AK122" s="25">
        <f t="shared" si="57"/>
        <v>-8.8626826056860386E-4</v>
      </c>
      <c r="AL122" s="26">
        <f t="shared" si="58"/>
        <v>-3.7226409078571644E-2</v>
      </c>
      <c r="AM122" s="26">
        <f t="shared" si="59"/>
        <v>-1.3086958311041627E-2</v>
      </c>
      <c r="AN122" s="27">
        <f t="shared" si="60"/>
        <v>1.1583214085364781E-2</v>
      </c>
      <c r="AO122" s="79">
        <f t="shared" si="61"/>
        <v>1.0461963098719317E-2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08" t="s">
        <v>290</v>
      </c>
      <c r="B123" s="332">
        <v>2328026888.6417899</v>
      </c>
      <c r="C123" s="331">
        <v>4366.2637246062104</v>
      </c>
      <c r="D123" s="332">
        <v>2337170001.4313002</v>
      </c>
      <c r="E123" s="331">
        <v>4413.4056739196603</v>
      </c>
      <c r="F123" s="24">
        <f t="shared" si="106"/>
        <v>3.9274085854070591E-3</v>
      </c>
      <c r="G123" s="24">
        <f t="shared" si="107"/>
        <v>1.0796862554998692E-2</v>
      </c>
      <c r="H123" s="332">
        <v>2361827204.5342498</v>
      </c>
      <c r="I123" s="331">
        <v>4429.2229342110804</v>
      </c>
      <c r="J123" s="24">
        <f t="shared" si="108"/>
        <v>1.0550025495727467E-2</v>
      </c>
      <c r="K123" s="24">
        <f t="shared" si="109"/>
        <v>3.5839126198821368E-3</v>
      </c>
      <c r="L123" s="332">
        <v>2364793165.11373</v>
      </c>
      <c r="M123" s="331">
        <v>4465.3321889502704</v>
      </c>
      <c r="N123" s="24">
        <f t="shared" si="110"/>
        <v>1.2557906750274121E-3</v>
      </c>
      <c r="O123" s="24">
        <f t="shared" si="111"/>
        <v>8.1525033342268721E-3</v>
      </c>
      <c r="P123" s="332">
        <v>2325537171.3157201</v>
      </c>
      <c r="Q123" s="331">
        <v>4390.9135297029998</v>
      </c>
      <c r="R123" s="24">
        <f t="shared" si="112"/>
        <v>-1.6600180674203671E-2</v>
      </c>
      <c r="S123" s="24">
        <f t="shared" si="113"/>
        <v>-1.6665873018680225E-2</v>
      </c>
      <c r="T123" s="332">
        <v>2334194556.6071301</v>
      </c>
      <c r="U123" s="331">
        <v>4406.1711271848098</v>
      </c>
      <c r="V123" s="24">
        <f t="shared" si="114"/>
        <v>3.7227464682974202E-3</v>
      </c>
      <c r="W123" s="24">
        <f t="shared" si="115"/>
        <v>3.4748116487828217E-3</v>
      </c>
      <c r="X123" s="332">
        <v>2355807176.3098302</v>
      </c>
      <c r="Y123" s="331">
        <v>4442.8573026631802</v>
      </c>
      <c r="Z123" s="24">
        <f t="shared" si="116"/>
        <v>9.2591337947917993E-3</v>
      </c>
      <c r="AA123" s="24">
        <f t="shared" si="117"/>
        <v>8.3260895728781894E-3</v>
      </c>
      <c r="AB123" s="332">
        <v>2348018832.5989199</v>
      </c>
      <c r="AC123" s="331">
        <v>4430.2352936403504</v>
      </c>
      <c r="AD123" s="24">
        <f t="shared" si="118"/>
        <v>-3.3060191806997094E-3</v>
      </c>
      <c r="AE123" s="24">
        <f t="shared" si="119"/>
        <v>-2.8409665588997957E-3</v>
      </c>
      <c r="AF123" s="332">
        <v>2336337596.4126301</v>
      </c>
      <c r="AG123" s="331">
        <v>4408.0639662127296</v>
      </c>
      <c r="AH123" s="24">
        <f t="shared" si="120"/>
        <v>-4.9749329196650165E-3</v>
      </c>
      <c r="AI123" s="24">
        <f t="shared" si="121"/>
        <v>-5.0045485077164992E-3</v>
      </c>
      <c r="AJ123" s="25">
        <f t="shared" si="56"/>
        <v>4.7924653058534531E-4</v>
      </c>
      <c r="AK123" s="25">
        <f t="shared" si="57"/>
        <v>1.2278489556840242E-3</v>
      </c>
      <c r="AL123" s="26">
        <f t="shared" si="58"/>
        <v>-3.5615938000244362E-4</v>
      </c>
      <c r="AM123" s="26">
        <f t="shared" si="59"/>
        <v>-1.2103368920959876E-3</v>
      </c>
      <c r="AN123" s="27">
        <f t="shared" si="60"/>
        <v>8.761142188841527E-3</v>
      </c>
      <c r="AO123" s="79">
        <f t="shared" si="61"/>
        <v>9.0718172746228933E-3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08" t="s">
        <v>161</v>
      </c>
      <c r="B124" s="331">
        <v>364429939.25</v>
      </c>
      <c r="C124" s="331">
        <v>143.97</v>
      </c>
      <c r="D124" s="331">
        <v>360351850.42000002</v>
      </c>
      <c r="E124" s="331">
        <v>144.59</v>
      </c>
      <c r="F124" s="24">
        <f t="shared" si="106"/>
        <v>-1.119032327144341E-2</v>
      </c>
      <c r="G124" s="24">
        <f t="shared" si="107"/>
        <v>4.3064527332083392E-3</v>
      </c>
      <c r="H124" s="331">
        <v>364215727.44999999</v>
      </c>
      <c r="I124" s="331">
        <v>146.47999999999999</v>
      </c>
      <c r="J124" s="24">
        <f t="shared" si="108"/>
        <v>1.0722511971276175E-2</v>
      </c>
      <c r="K124" s="24">
        <f t="shared" si="109"/>
        <v>1.3071443391659079E-2</v>
      </c>
      <c r="L124" s="331">
        <v>363235022.02999997</v>
      </c>
      <c r="M124" s="331">
        <v>146.21</v>
      </c>
      <c r="N124" s="24">
        <f t="shared" si="110"/>
        <v>-2.6926498393308653E-3</v>
      </c>
      <c r="O124" s="24">
        <f t="shared" si="111"/>
        <v>-1.8432550518840923E-3</v>
      </c>
      <c r="P124" s="331">
        <v>359800628.67000002</v>
      </c>
      <c r="Q124" s="331">
        <v>144.66</v>
      </c>
      <c r="R124" s="24">
        <f t="shared" si="112"/>
        <v>-9.4550171423621824E-3</v>
      </c>
      <c r="S124" s="24">
        <f t="shared" si="113"/>
        <v>-1.06011900690788E-2</v>
      </c>
      <c r="T124" s="331">
        <v>359009872.99000001</v>
      </c>
      <c r="U124" s="331">
        <v>144.57</v>
      </c>
      <c r="V124" s="24">
        <f t="shared" si="114"/>
        <v>-2.1977606957581724E-3</v>
      </c>
      <c r="W124" s="24">
        <f t="shared" si="115"/>
        <v>-6.2214848610537405E-4</v>
      </c>
      <c r="X124" s="331">
        <v>360028880.64999998</v>
      </c>
      <c r="Y124" s="331">
        <v>144.54</v>
      </c>
      <c r="Z124" s="24">
        <f t="shared" si="116"/>
        <v>2.8383833890505581E-3</v>
      </c>
      <c r="AA124" s="24">
        <f t="shared" si="117"/>
        <v>-2.075119319360942E-4</v>
      </c>
      <c r="AB124" s="331">
        <v>359233882.88999999</v>
      </c>
      <c r="AC124" s="331">
        <v>143.82</v>
      </c>
      <c r="AD124" s="24">
        <f t="shared" si="118"/>
        <v>-2.2081499644270009E-3</v>
      </c>
      <c r="AE124" s="24">
        <f t="shared" si="119"/>
        <v>-4.9813200498131927E-3</v>
      </c>
      <c r="AF124" s="331">
        <v>358699743.48000002</v>
      </c>
      <c r="AG124" s="331">
        <v>143.5</v>
      </c>
      <c r="AH124" s="24">
        <f t="shared" si="120"/>
        <v>-1.486884827519246E-3</v>
      </c>
      <c r="AI124" s="24">
        <f t="shared" si="121"/>
        <v>-2.2250034765678847E-3</v>
      </c>
      <c r="AJ124" s="25">
        <f t="shared" si="56"/>
        <v>-1.9587362975642679E-3</v>
      </c>
      <c r="AK124" s="25">
        <f t="shared" si="57"/>
        <v>-3.878166175647524E-4</v>
      </c>
      <c r="AL124" s="26">
        <f t="shared" si="58"/>
        <v>-4.5847050266966064E-3</v>
      </c>
      <c r="AM124" s="26">
        <f t="shared" si="59"/>
        <v>-7.5385572999516108E-3</v>
      </c>
      <c r="AN124" s="27">
        <f t="shared" si="60"/>
        <v>6.8256182581378907E-3</v>
      </c>
      <c r="AO124" s="79">
        <f t="shared" si="61"/>
        <v>6.9094355110646734E-3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08" t="s">
        <v>187</v>
      </c>
      <c r="B125" s="331">
        <v>3734808.11</v>
      </c>
      <c r="C125" s="331">
        <v>102.99</v>
      </c>
      <c r="D125" s="331">
        <v>3734808.11</v>
      </c>
      <c r="E125" s="331">
        <v>102.99</v>
      </c>
      <c r="F125" s="24">
        <f t="shared" si="106"/>
        <v>0</v>
      </c>
      <c r="G125" s="24">
        <f t="shared" si="107"/>
        <v>0</v>
      </c>
      <c r="H125" s="331">
        <v>3734808.11</v>
      </c>
      <c r="I125" s="331">
        <v>102.99</v>
      </c>
      <c r="J125" s="24">
        <f t="shared" si="108"/>
        <v>0</v>
      </c>
      <c r="K125" s="24">
        <f t="shared" si="109"/>
        <v>0</v>
      </c>
      <c r="L125" s="331">
        <v>3734808.11</v>
      </c>
      <c r="M125" s="331">
        <v>102.99</v>
      </c>
      <c r="N125" s="24">
        <f t="shared" si="110"/>
        <v>0</v>
      </c>
      <c r="O125" s="24">
        <f t="shared" si="111"/>
        <v>0</v>
      </c>
      <c r="P125" s="331">
        <v>3734808.11</v>
      </c>
      <c r="Q125" s="331">
        <v>102.99</v>
      </c>
      <c r="R125" s="24">
        <f t="shared" si="112"/>
        <v>0</v>
      </c>
      <c r="S125" s="24">
        <f t="shared" si="113"/>
        <v>0</v>
      </c>
      <c r="T125" s="331">
        <v>3734808.11</v>
      </c>
      <c r="U125" s="331">
        <v>102.99</v>
      </c>
      <c r="V125" s="24">
        <f t="shared" si="114"/>
        <v>0</v>
      </c>
      <c r="W125" s="24">
        <f t="shared" si="115"/>
        <v>0</v>
      </c>
      <c r="X125" s="331">
        <v>3734808.11</v>
      </c>
      <c r="Y125" s="331">
        <v>102.99</v>
      </c>
      <c r="Z125" s="24">
        <f t="shared" si="116"/>
        <v>0</v>
      </c>
      <c r="AA125" s="24">
        <f t="shared" si="117"/>
        <v>0</v>
      </c>
      <c r="AB125" s="331">
        <v>3734808.11</v>
      </c>
      <c r="AC125" s="331">
        <v>102.99</v>
      </c>
      <c r="AD125" s="24">
        <f t="shared" si="118"/>
        <v>0</v>
      </c>
      <c r="AE125" s="24">
        <f t="shared" si="119"/>
        <v>0</v>
      </c>
      <c r="AF125" s="331">
        <v>3734808.11</v>
      </c>
      <c r="AG125" s="331">
        <v>102.99</v>
      </c>
      <c r="AH125" s="24">
        <f t="shared" si="120"/>
        <v>0</v>
      </c>
      <c r="AI125" s="24">
        <f t="shared" si="121"/>
        <v>0</v>
      </c>
      <c r="AJ125" s="25">
        <f t="shared" si="56"/>
        <v>0</v>
      </c>
      <c r="AK125" s="25">
        <f t="shared" si="57"/>
        <v>0</v>
      </c>
      <c r="AL125" s="26">
        <f t="shared" si="58"/>
        <v>0</v>
      </c>
      <c r="AM125" s="26">
        <f t="shared" si="59"/>
        <v>0</v>
      </c>
      <c r="AN125" s="27">
        <f t="shared" si="60"/>
        <v>0</v>
      </c>
      <c r="AO125" s="79">
        <f t="shared" si="61"/>
        <v>0</v>
      </c>
      <c r="AP125" s="31"/>
      <c r="AQ125" s="463" t="s">
        <v>86</v>
      </c>
      <c r="AR125" s="463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08" t="s">
        <v>112</v>
      </c>
      <c r="B126" s="331">
        <v>125258376.77</v>
      </c>
      <c r="C126" s="331">
        <v>1.2330000000000001</v>
      </c>
      <c r="D126" s="331">
        <v>125813741.69</v>
      </c>
      <c r="E126" s="331">
        <v>1.238</v>
      </c>
      <c r="F126" s="24">
        <f t="shared" si="106"/>
        <v>4.433754726198994E-3</v>
      </c>
      <c r="G126" s="24">
        <f t="shared" si="107"/>
        <v>4.0551500405514133E-3</v>
      </c>
      <c r="H126" s="331">
        <v>126382849.18000001</v>
      </c>
      <c r="I126" s="331">
        <v>1.2435</v>
      </c>
      <c r="J126" s="24">
        <f t="shared" si="108"/>
        <v>4.5234128033666424E-3</v>
      </c>
      <c r="K126" s="24">
        <f t="shared" si="109"/>
        <v>4.4426494345719391E-3</v>
      </c>
      <c r="L126" s="331">
        <v>127284397.86</v>
      </c>
      <c r="M126" s="331">
        <v>1.2521</v>
      </c>
      <c r="N126" s="24">
        <f t="shared" si="110"/>
        <v>7.1334732983900926E-3</v>
      </c>
      <c r="O126" s="24">
        <f t="shared" si="111"/>
        <v>6.9159630076396786E-3</v>
      </c>
      <c r="P126" s="331">
        <v>124997954.26000001</v>
      </c>
      <c r="Q126" s="331">
        <v>1.2289000000000001</v>
      </c>
      <c r="R126" s="24">
        <f t="shared" si="112"/>
        <v>-1.7963266813854527E-2</v>
      </c>
      <c r="S126" s="24">
        <f t="shared" si="113"/>
        <v>-1.852887149588682E-2</v>
      </c>
      <c r="T126" s="331">
        <v>126336048.79000001</v>
      </c>
      <c r="U126" s="331">
        <v>1.2421</v>
      </c>
      <c r="V126" s="24">
        <f t="shared" si="114"/>
        <v>1.0704931436051496E-2</v>
      </c>
      <c r="W126" s="24">
        <f t="shared" si="115"/>
        <v>1.0741313369680101E-2</v>
      </c>
      <c r="X126" s="331">
        <v>126495044.53</v>
      </c>
      <c r="Y126" s="331">
        <v>1.2461</v>
      </c>
      <c r="Z126" s="24">
        <f t="shared" si="116"/>
        <v>1.2585144265852628E-3</v>
      </c>
      <c r="AA126" s="24">
        <f t="shared" si="117"/>
        <v>3.2203526286128359E-3</v>
      </c>
      <c r="AB126" s="331">
        <v>125796723.95999999</v>
      </c>
      <c r="AC126" s="331">
        <v>1.2375</v>
      </c>
      <c r="AD126" s="24">
        <f t="shared" si="118"/>
        <v>-5.5205369711885562E-3</v>
      </c>
      <c r="AE126" s="24">
        <f t="shared" si="119"/>
        <v>-6.9015327822806683E-3</v>
      </c>
      <c r="AF126" s="331">
        <v>125151874.13</v>
      </c>
      <c r="AG126" s="331">
        <v>1.1667000000000001</v>
      </c>
      <c r="AH126" s="24">
        <f t="shared" si="120"/>
        <v>-5.1261257821391543E-3</v>
      </c>
      <c r="AI126" s="24">
        <f t="shared" si="121"/>
        <v>-5.7212121212121186E-2</v>
      </c>
      <c r="AJ126" s="25">
        <f t="shared" si="56"/>
        <v>-6.9480359573718909E-5</v>
      </c>
      <c r="AK126" s="25">
        <f t="shared" si="57"/>
        <v>-6.658387126154088E-3</v>
      </c>
      <c r="AL126" s="26">
        <f t="shared" si="58"/>
        <v>-5.2606937136550434E-3</v>
      </c>
      <c r="AM126" s="26">
        <f t="shared" si="59"/>
        <v>-5.7592891760904617E-2</v>
      </c>
      <c r="AN126" s="27">
        <f t="shared" si="60"/>
        <v>9.154071145205998E-3</v>
      </c>
      <c r="AO126" s="79">
        <f t="shared" si="61"/>
        <v>2.2422127140087574E-2</v>
      </c>
      <c r="AP126" s="31"/>
      <c r="AQ126" s="60" t="s">
        <v>74</v>
      </c>
      <c r="AR126" s="61" t="s">
        <v>75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08" t="s">
        <v>243</v>
      </c>
      <c r="B127" s="327">
        <v>165846325.65000001</v>
      </c>
      <c r="C127" s="331">
        <v>106.88</v>
      </c>
      <c r="D127" s="327">
        <v>166118790.66999999</v>
      </c>
      <c r="E127" s="331">
        <v>106.66</v>
      </c>
      <c r="F127" s="24">
        <f t="shared" si="106"/>
        <v>1.6428764335423846E-3</v>
      </c>
      <c r="G127" s="24">
        <f t="shared" si="107"/>
        <v>-2.0583832335329235E-3</v>
      </c>
      <c r="H127" s="327">
        <v>166484823.90000001</v>
      </c>
      <c r="I127" s="331">
        <v>106.96</v>
      </c>
      <c r="J127" s="24">
        <f t="shared" si="108"/>
        <v>2.2034426600609871E-3</v>
      </c>
      <c r="K127" s="24">
        <f t="shared" si="109"/>
        <v>2.8126757922369884E-3</v>
      </c>
      <c r="L127" s="327">
        <v>166721008.94</v>
      </c>
      <c r="M127" s="331">
        <v>107.21</v>
      </c>
      <c r="N127" s="24">
        <f t="shared" si="110"/>
        <v>1.4186580762571936E-3</v>
      </c>
      <c r="O127" s="24">
        <f t="shared" si="111"/>
        <v>2.3373223635003741E-3</v>
      </c>
      <c r="P127" s="327">
        <v>166525710.12</v>
      </c>
      <c r="Q127" s="331">
        <v>107.16</v>
      </c>
      <c r="R127" s="24">
        <f t="shared" si="112"/>
        <v>-1.1714109771869094E-3</v>
      </c>
      <c r="S127" s="24">
        <f t="shared" si="113"/>
        <v>-4.6637440537260666E-4</v>
      </c>
      <c r="T127" s="327">
        <v>166714824.49000001</v>
      </c>
      <c r="U127" s="331">
        <v>107.35</v>
      </c>
      <c r="V127" s="24">
        <f t="shared" si="114"/>
        <v>1.1356466810063573E-3</v>
      </c>
      <c r="W127" s="24">
        <f t="shared" si="115"/>
        <v>1.7730496453900498E-3</v>
      </c>
      <c r="X127" s="327">
        <v>166828571.34999999</v>
      </c>
      <c r="Y127" s="331">
        <v>107.39</v>
      </c>
      <c r="Z127" s="24">
        <f t="shared" si="116"/>
        <v>6.8228401612123782E-4</v>
      </c>
      <c r="AA127" s="24">
        <f t="shared" si="117"/>
        <v>3.7261294830001168E-4</v>
      </c>
      <c r="AB127" s="327">
        <v>166962610.19</v>
      </c>
      <c r="AC127" s="331">
        <v>107.64</v>
      </c>
      <c r="AD127" s="24">
        <f t="shared" si="118"/>
        <v>8.0345254362213046E-4</v>
      </c>
      <c r="AE127" s="24">
        <f t="shared" si="119"/>
        <v>2.3279634975323588E-3</v>
      </c>
      <c r="AF127" s="327">
        <v>167061363.49000001</v>
      </c>
      <c r="AG127" s="331">
        <v>107.72</v>
      </c>
      <c r="AH127" s="24">
        <f t="shared" si="120"/>
        <v>5.9146955050374877E-4</v>
      </c>
      <c r="AI127" s="24">
        <f t="shared" si="121"/>
        <v>7.4321813452246654E-4</v>
      </c>
      <c r="AJ127" s="25">
        <f t="shared" si="56"/>
        <v>9.1330237299089138E-4</v>
      </c>
      <c r="AK127" s="25">
        <f t="shared" si="57"/>
        <v>9.8026059282208997E-4</v>
      </c>
      <c r="AL127" s="26">
        <f t="shared" si="58"/>
        <v>5.6740891033361307E-3</v>
      </c>
      <c r="AM127" s="26">
        <f t="shared" si="59"/>
        <v>9.9381211325708079E-3</v>
      </c>
      <c r="AN127" s="27">
        <f t="shared" si="60"/>
        <v>1.0011853141255152E-3</v>
      </c>
      <c r="AO127" s="79">
        <f t="shared" si="61"/>
        <v>1.6645768927051909E-3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08" t="s">
        <v>288</v>
      </c>
      <c r="B128" s="332">
        <v>226270020.63999999</v>
      </c>
      <c r="C128" s="331">
        <v>1.1276999999999999</v>
      </c>
      <c r="D128" s="332">
        <v>227074580.55000001</v>
      </c>
      <c r="E128" s="331">
        <v>1.1315999999999999</v>
      </c>
      <c r="F128" s="24">
        <f t="shared" si="106"/>
        <v>3.5557512556208086E-3</v>
      </c>
      <c r="G128" s="24">
        <f t="shared" si="107"/>
        <v>3.4583665868582201E-3</v>
      </c>
      <c r="H128" s="332">
        <v>233704167.53999999</v>
      </c>
      <c r="I128" s="331">
        <v>1.163</v>
      </c>
      <c r="J128" s="24">
        <f t="shared" si="108"/>
        <v>2.9195636842936711E-2</v>
      </c>
      <c r="K128" s="24">
        <f t="shared" si="109"/>
        <v>2.774832096147057E-2</v>
      </c>
      <c r="L128" s="332">
        <v>232725122.63</v>
      </c>
      <c r="M128" s="331">
        <v>1.1575</v>
      </c>
      <c r="N128" s="24">
        <f t="shared" si="110"/>
        <v>-4.1892488281469204E-3</v>
      </c>
      <c r="O128" s="24">
        <f t="shared" si="111"/>
        <v>-4.7291487532244714E-3</v>
      </c>
      <c r="P128" s="332">
        <v>228405189.28</v>
      </c>
      <c r="Q128" s="331">
        <v>1.1359999999999999</v>
      </c>
      <c r="R128" s="24">
        <f t="shared" si="112"/>
        <v>-1.8562385105573998E-2</v>
      </c>
      <c r="S128" s="24">
        <f t="shared" si="113"/>
        <v>-1.8574514038876954E-2</v>
      </c>
      <c r="T128" s="332">
        <v>232107835.13</v>
      </c>
      <c r="U128" s="331">
        <v>1.1345000000000001</v>
      </c>
      <c r="V128" s="24">
        <f t="shared" si="114"/>
        <v>1.6210865706124355E-2</v>
      </c>
      <c r="W128" s="24">
        <f t="shared" si="115"/>
        <v>-1.3204225352111223E-3</v>
      </c>
      <c r="X128" s="332">
        <v>233052381.19999999</v>
      </c>
      <c r="Y128" s="331">
        <v>1.139</v>
      </c>
      <c r="Z128" s="24">
        <f t="shared" si="116"/>
        <v>4.0694277703765026E-3</v>
      </c>
      <c r="AA128" s="24">
        <f t="shared" si="117"/>
        <v>3.9665050683119858E-3</v>
      </c>
      <c r="AB128" s="332">
        <v>231726744.71000001</v>
      </c>
      <c r="AC128" s="331">
        <v>1.1309</v>
      </c>
      <c r="AD128" s="24">
        <f t="shared" si="118"/>
        <v>-5.6881482316301678E-3</v>
      </c>
      <c r="AE128" s="24">
        <f t="shared" si="119"/>
        <v>-7.111501316944685E-3</v>
      </c>
      <c r="AF128" s="332">
        <v>231187305</v>
      </c>
      <c r="AG128" s="331">
        <v>1.1258999999999999</v>
      </c>
      <c r="AH128" s="24">
        <f t="shared" si="120"/>
        <v>-2.3279130368620295E-3</v>
      </c>
      <c r="AI128" s="24">
        <f t="shared" si="121"/>
        <v>-4.4212574056062565E-3</v>
      </c>
      <c r="AJ128" s="25">
        <f t="shared" si="56"/>
        <v>2.7829982966056576E-3</v>
      </c>
      <c r="AK128" s="25">
        <f t="shared" si="57"/>
        <v>-1.2295642915283937E-4</v>
      </c>
      <c r="AL128" s="26">
        <f t="shared" si="58"/>
        <v>1.8111778253816477E-2</v>
      </c>
      <c r="AM128" s="26">
        <f t="shared" si="59"/>
        <v>-5.037115588547224E-3</v>
      </c>
      <c r="AN128" s="27">
        <f t="shared" si="60"/>
        <v>1.4551909579106685E-2</v>
      </c>
      <c r="AO128" s="79">
        <f t="shared" si="61"/>
        <v>1.3292230465461812E-2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09" t="s">
        <v>131</v>
      </c>
      <c r="B129" s="331">
        <v>5119736472.96</v>
      </c>
      <c r="C129" s="331">
        <v>210.87</v>
      </c>
      <c r="D129" s="331">
        <v>5152315012.2700005</v>
      </c>
      <c r="E129" s="331">
        <v>212.23</v>
      </c>
      <c r="F129" s="24">
        <f t="shared" si="106"/>
        <v>6.3633234800393899E-3</v>
      </c>
      <c r="G129" s="24">
        <f t="shared" si="107"/>
        <v>6.4494712382035619E-3</v>
      </c>
      <c r="H129" s="331">
        <v>5159284196.9799995</v>
      </c>
      <c r="I129" s="331">
        <v>212.48</v>
      </c>
      <c r="J129" s="24">
        <f t="shared" si="108"/>
        <v>1.3526317186356605E-3</v>
      </c>
      <c r="K129" s="24">
        <f t="shared" si="109"/>
        <v>1.1779672996277623E-3</v>
      </c>
      <c r="L129" s="331">
        <v>5169957484.2600002</v>
      </c>
      <c r="M129" s="331">
        <v>212.92</v>
      </c>
      <c r="N129" s="24">
        <f t="shared" si="110"/>
        <v>2.0687535077537158E-3</v>
      </c>
      <c r="O129" s="24">
        <f t="shared" si="111"/>
        <v>2.0707831325301098E-3</v>
      </c>
      <c r="P129" s="331">
        <v>5105017764.8400002</v>
      </c>
      <c r="Q129" s="331">
        <v>210.66</v>
      </c>
      <c r="R129" s="24">
        <f t="shared" si="112"/>
        <v>-1.2560977458269213E-2</v>
      </c>
      <c r="S129" s="24">
        <f t="shared" si="113"/>
        <v>-1.0614315235769261E-2</v>
      </c>
      <c r="T129" s="331">
        <v>5112204220.3800001</v>
      </c>
      <c r="U129" s="331">
        <v>210.94</v>
      </c>
      <c r="V129" s="24">
        <f t="shared" si="114"/>
        <v>1.4077239044094096E-3</v>
      </c>
      <c r="W129" s="24">
        <f t="shared" si="115"/>
        <v>1.3291559859489278E-3</v>
      </c>
      <c r="X129" s="331">
        <v>5130939950.1099997</v>
      </c>
      <c r="Y129" s="331">
        <v>211.85</v>
      </c>
      <c r="Z129" s="24">
        <f t="shared" si="116"/>
        <v>3.6649024417508263E-3</v>
      </c>
      <c r="AA129" s="24">
        <f t="shared" si="117"/>
        <v>4.3140229449132291E-3</v>
      </c>
      <c r="AB129" s="331">
        <v>5100262401.0699997</v>
      </c>
      <c r="AC129" s="331">
        <v>210.71</v>
      </c>
      <c r="AD129" s="24">
        <f t="shared" si="118"/>
        <v>-5.9789335557010916E-3</v>
      </c>
      <c r="AE129" s="24">
        <f t="shared" si="119"/>
        <v>-5.3811659192824473E-3</v>
      </c>
      <c r="AF129" s="331">
        <v>5077741522.0200005</v>
      </c>
      <c r="AG129" s="331">
        <v>209.72</v>
      </c>
      <c r="AH129" s="24">
        <f t="shared" si="120"/>
        <v>-4.4156314477612982E-3</v>
      </c>
      <c r="AI129" s="24">
        <f t="shared" si="121"/>
        <v>-4.6984006454368994E-3</v>
      </c>
      <c r="AJ129" s="25">
        <f t="shared" si="56"/>
        <v>-1.0122759261428252E-3</v>
      </c>
      <c r="AK129" s="25">
        <f t="shared" si="57"/>
        <v>-6.6906014990812722E-4</v>
      </c>
      <c r="AL129" s="26">
        <f t="shared" si="58"/>
        <v>-1.4473783158135066E-2</v>
      </c>
      <c r="AM129" s="26">
        <f t="shared" si="59"/>
        <v>-1.1826791688262691E-2</v>
      </c>
      <c r="AN129" s="27">
        <f t="shared" si="60"/>
        <v>6.1741444485419296E-3</v>
      </c>
      <c r="AO129" s="79">
        <f t="shared" si="61"/>
        <v>5.7041757877667595E-3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 s="382" customFormat="1">
      <c r="A130" s="208" t="s">
        <v>289</v>
      </c>
      <c r="B130" s="331">
        <v>1934562564.0599999</v>
      </c>
      <c r="C130" s="331">
        <v>1.3504</v>
      </c>
      <c r="D130" s="331">
        <v>1938242813.6400001</v>
      </c>
      <c r="E130" s="331">
        <v>1.353</v>
      </c>
      <c r="F130" s="24">
        <f>((D130-B130)/B130)</f>
        <v>1.9023678263868338E-3</v>
      </c>
      <c r="G130" s="24">
        <f>((E130-C130)/C130)</f>
        <v>1.925355450236919E-3</v>
      </c>
      <c r="H130" s="331">
        <v>1945432296.27</v>
      </c>
      <c r="I130" s="331">
        <v>1.3581000000000001</v>
      </c>
      <c r="J130" s="24">
        <f>((H130-D130)/D130)</f>
        <v>3.7092786205140632E-3</v>
      </c>
      <c r="K130" s="24">
        <f>((I130-E130)/E130)</f>
        <v>3.7694013303770173E-3</v>
      </c>
      <c r="L130" s="331">
        <v>1943302488.6099999</v>
      </c>
      <c r="M130" s="331">
        <v>1.3566</v>
      </c>
      <c r="N130" s="24">
        <f>((L130-H130)/H130)</f>
        <v>-1.0947734671021916E-3</v>
      </c>
      <c r="O130" s="24">
        <f>((M130-I130)/I130)</f>
        <v>-1.1044842058758977E-3</v>
      </c>
      <c r="P130" s="331">
        <v>1921889025.23</v>
      </c>
      <c r="Q130" s="331">
        <v>1.3481000000000001</v>
      </c>
      <c r="R130" s="24">
        <f>((P130-L130)/L130)</f>
        <v>-1.1019109739995465E-2</v>
      </c>
      <c r="S130" s="24">
        <f>((Q130-M130)/M130)</f>
        <v>-6.2656641604009666E-3</v>
      </c>
      <c r="T130" s="331">
        <v>1923154245.5</v>
      </c>
      <c r="U130" s="331">
        <v>1.3489</v>
      </c>
      <c r="V130" s="24">
        <f>((T130-P130)/P130)</f>
        <v>6.5832118992852203E-4</v>
      </c>
      <c r="W130" s="24">
        <f>((U130-Q130)/Q130)</f>
        <v>5.9342778725607283E-4</v>
      </c>
      <c r="X130" s="331">
        <v>1923154245.5</v>
      </c>
      <c r="Y130" s="331">
        <v>1.3484</v>
      </c>
      <c r="Z130" s="24">
        <f>((X130-T130)/T130)</f>
        <v>0</v>
      </c>
      <c r="AA130" s="24">
        <f>((Y130-U130)/U130)</f>
        <v>-3.7067239973307504E-4</v>
      </c>
      <c r="AB130" s="331">
        <v>1921703235.22</v>
      </c>
      <c r="AC130" s="331">
        <v>1.3478000000000001</v>
      </c>
      <c r="AD130" s="24">
        <f>((AB130-X130)/X130)</f>
        <v>-7.5449500912118665E-4</v>
      </c>
      <c r="AE130" s="24">
        <f>((AC130-Y130)/Y130)</f>
        <v>-4.4497181845144904E-4</v>
      </c>
      <c r="AF130" s="331">
        <v>1918209376.6500001</v>
      </c>
      <c r="AG130" s="331">
        <v>1.3452999999999999</v>
      </c>
      <c r="AH130" s="24">
        <f>((AF130-AB130)/AB130)</f>
        <v>-1.8181051610707988E-3</v>
      </c>
      <c r="AI130" s="24">
        <f>((AG130-AC130)/AC130)</f>
        <v>-1.8548746104764568E-3</v>
      </c>
      <c r="AJ130" s="25">
        <f>AVERAGE(F130,J130,N130,R130,V130,Z130,AD130,AH130)</f>
        <v>-1.0520644675575278E-3</v>
      </c>
      <c r="AK130" s="25">
        <f>AVERAGE(G130,K130,O130,S130,W130,AA130,AE130,AI130)</f>
        <v>-4.6906032838347936E-4</v>
      </c>
      <c r="AL130" s="26">
        <f>((AF130-D130)/D130)</f>
        <v>-1.0335875798954942E-2</v>
      </c>
      <c r="AM130" s="26">
        <f>((AG130-E130)/E130)</f>
        <v>-5.6910569105691356E-3</v>
      </c>
      <c r="AN130" s="27">
        <f>STDEV(F130,J130,N130,R130,V130,Z130,AD130,AH130)</f>
        <v>4.3988715821096256E-3</v>
      </c>
      <c r="AO130" s="79">
        <f>STDEV(G130,K130,O130,S130,W130,AA130,AE130,AI130)</f>
        <v>2.946227280154339E-3</v>
      </c>
      <c r="AP130" s="31"/>
      <c r="AQ130" s="54"/>
      <c r="AR130" s="48"/>
      <c r="AS130" s="30"/>
      <c r="AT130" s="30"/>
    </row>
    <row r="131" spans="1:46" s="382" customFormat="1">
      <c r="A131" s="208" t="s">
        <v>270</v>
      </c>
      <c r="B131" s="331">
        <v>170303624.25</v>
      </c>
      <c r="C131" s="331">
        <v>115.04</v>
      </c>
      <c r="D131" s="331">
        <v>171575379.60998401</v>
      </c>
      <c r="E131" s="331">
        <v>115.92</v>
      </c>
      <c r="F131" s="24">
        <f>((D131-B131)/B131)</f>
        <v>7.4675766037551631E-3</v>
      </c>
      <c r="G131" s="24">
        <f>((E131-C131)/C131)</f>
        <v>7.6495132127955097E-3</v>
      </c>
      <c r="H131" s="331">
        <v>172845585.55000001</v>
      </c>
      <c r="I131" s="331">
        <v>116.79</v>
      </c>
      <c r="J131" s="24">
        <f>((H131-D131)/D131)</f>
        <v>7.4031946943866056E-3</v>
      </c>
      <c r="K131" s="24">
        <f>((I131-E131)/E131)</f>
        <v>7.505175983436892E-3</v>
      </c>
      <c r="L131" s="331">
        <v>171846788.96000001</v>
      </c>
      <c r="M131" s="331">
        <v>116.18</v>
      </c>
      <c r="N131" s="24">
        <f>((L131-H131)/H131)</f>
        <v>-5.7785484472849093E-3</v>
      </c>
      <c r="O131" s="24">
        <f>((M131-I131)/I131)</f>
        <v>-5.2230499186574145E-3</v>
      </c>
      <c r="P131" s="331">
        <v>133896010.43000001</v>
      </c>
      <c r="Q131" s="331">
        <v>91.43</v>
      </c>
      <c r="R131" s="24">
        <f>((P131-L131)/L131)</f>
        <v>-0.22084077776299696</v>
      </c>
      <c r="S131" s="24">
        <f>((Q131-M131)/M131)</f>
        <v>-0.21303150284042002</v>
      </c>
      <c r="T131" s="331">
        <v>133856820.12057699</v>
      </c>
      <c r="U131" s="331">
        <v>91.44</v>
      </c>
      <c r="V131" s="24">
        <f>((T131-P131)/P131)</f>
        <v>-2.9269213695880036E-4</v>
      </c>
      <c r="W131" s="24">
        <f>((U131-Q131)/Q131)</f>
        <v>1.0937329104222798E-4</v>
      </c>
      <c r="X131" s="331">
        <v>134893707.38644087</v>
      </c>
      <c r="Y131" s="331">
        <v>92.15</v>
      </c>
      <c r="Z131" s="24">
        <f>((X131-T131)/T131)</f>
        <v>7.7462415805923225E-3</v>
      </c>
      <c r="AA131" s="24">
        <f>((Y131-U131)/U131)</f>
        <v>7.7646544181978125E-3</v>
      </c>
      <c r="AB131" s="331">
        <v>134609616.28622717</v>
      </c>
      <c r="AC131" s="331">
        <v>92</v>
      </c>
      <c r="AD131" s="24">
        <f>((AB131-X131)/X131)</f>
        <v>-2.1060367137797453E-3</v>
      </c>
      <c r="AE131" s="24">
        <f>((AC131-Y131)/Y131)</f>
        <v>-1.6277807921867137E-3</v>
      </c>
      <c r="AF131" s="331">
        <v>133761340.7388152</v>
      </c>
      <c r="AG131" s="331">
        <v>91.49</v>
      </c>
      <c r="AH131" s="24">
        <f>((AF131-AB131)/AB131)</f>
        <v>-6.3017455276615049E-3</v>
      </c>
      <c r="AI131" s="24">
        <f>((AG131-AC131)/AC131)</f>
        <v>-5.5434782608696212E-3</v>
      </c>
      <c r="AJ131" s="25">
        <f>AVERAGE(F131,J131,N131,R131,V131,Z131,AD131,AH131)</f>
        <v>-2.6587848463743475E-2</v>
      </c>
      <c r="AK131" s="25">
        <f>AVERAGE(G131,K131,O131,S131,W131,AA131,AE131,AI131)</f>
        <v>-2.5299636863332663E-2</v>
      </c>
      <c r="AL131" s="26">
        <f>((AF131-D131)/D131)</f>
        <v>-0.22039315289364744</v>
      </c>
      <c r="AM131" s="26">
        <f>((AG131-E131)/E131)</f>
        <v>-0.21074879227053145</v>
      </c>
      <c r="AN131" s="27">
        <f>STDEV(F131,J131,N131,R131,V131,Z131,AD131,AH131)</f>
        <v>7.8706997841304902E-2</v>
      </c>
      <c r="AO131" s="79">
        <f>STDEV(G131,K131,O131,S131,W131,AA131,AE131,AI131)</f>
        <v>7.6061678741466812E-2</v>
      </c>
      <c r="AP131" s="31"/>
      <c r="AQ131" s="54"/>
      <c r="AR131" s="48"/>
      <c r="AS131" s="30"/>
      <c r="AT131" s="30"/>
    </row>
    <row r="132" spans="1:46">
      <c r="A132" s="208" t="s">
        <v>134</v>
      </c>
      <c r="B132" s="332">
        <v>162472511.31</v>
      </c>
      <c r="C132" s="331">
        <v>153.949882</v>
      </c>
      <c r="D132" s="332">
        <v>162812831.5</v>
      </c>
      <c r="E132" s="331">
        <v>154.34860599999999</v>
      </c>
      <c r="F132" s="24">
        <f t="shared" si="106"/>
        <v>2.0946324227774232E-3</v>
      </c>
      <c r="G132" s="24">
        <f t="shared" si="107"/>
        <v>2.5899597636585858E-3</v>
      </c>
      <c r="H132" s="332">
        <v>166231550.88</v>
      </c>
      <c r="I132" s="331">
        <v>155.204553</v>
      </c>
      <c r="J132" s="24">
        <f t="shared" si="108"/>
        <v>2.099784979171003E-2</v>
      </c>
      <c r="K132" s="24">
        <f t="shared" si="109"/>
        <v>5.5455440912761771E-3</v>
      </c>
      <c r="L132" s="332">
        <v>165662743.53</v>
      </c>
      <c r="M132" s="331">
        <v>154.750654</v>
      </c>
      <c r="N132" s="24">
        <f t="shared" si="110"/>
        <v>-3.4217773159717878E-3</v>
      </c>
      <c r="O132" s="24">
        <f t="shared" si="111"/>
        <v>-2.9245211640151233E-3</v>
      </c>
      <c r="P132" s="332">
        <v>163101395.71000001</v>
      </c>
      <c r="Q132" s="331">
        <v>151.7449</v>
      </c>
      <c r="R132" s="24">
        <f t="shared" si="112"/>
        <v>-1.5461218167838421E-2</v>
      </c>
      <c r="S132" s="24">
        <f t="shared" si="113"/>
        <v>-1.9423207090291172E-2</v>
      </c>
      <c r="T132" s="332">
        <v>162888158.83000001</v>
      </c>
      <c r="U132" s="331">
        <v>151.64154199999999</v>
      </c>
      <c r="V132" s="24">
        <f t="shared" si="114"/>
        <v>-1.3073884442971774E-3</v>
      </c>
      <c r="W132" s="24">
        <f t="shared" si="115"/>
        <v>-6.8112997537323676E-4</v>
      </c>
      <c r="X132" s="332">
        <v>162231912.21000001</v>
      </c>
      <c r="Y132" s="331">
        <v>151.13761099999999</v>
      </c>
      <c r="Z132" s="24">
        <f t="shared" si="116"/>
        <v>-4.0288172247370272E-3</v>
      </c>
      <c r="AA132" s="24">
        <f t="shared" si="117"/>
        <v>-3.3231724852810741E-3</v>
      </c>
      <c r="AB132" s="332">
        <v>162044198.03999999</v>
      </c>
      <c r="AC132" s="331">
        <v>150.74810199999999</v>
      </c>
      <c r="AD132" s="24">
        <f t="shared" si="118"/>
        <v>-1.1570730286223302E-3</v>
      </c>
      <c r="AE132" s="24">
        <f t="shared" si="119"/>
        <v>-2.5771811359384523E-3</v>
      </c>
      <c r="AF132" s="332">
        <v>162487765.78999999</v>
      </c>
      <c r="AG132" s="331">
        <v>151.22424000000001</v>
      </c>
      <c r="AH132" s="24">
        <f t="shared" si="120"/>
        <v>2.7373257133865847E-3</v>
      </c>
      <c r="AI132" s="24">
        <f t="shared" si="121"/>
        <v>3.1585007949222485E-3</v>
      </c>
      <c r="AJ132" s="25">
        <f t="shared" si="56"/>
        <v>5.6691718300911796E-5</v>
      </c>
      <c r="AK132" s="25">
        <f t="shared" si="57"/>
        <v>-2.2044009001302559E-3</v>
      </c>
      <c r="AL132" s="26">
        <f t="shared" si="58"/>
        <v>-1.996560756330857E-3</v>
      </c>
      <c r="AM132" s="26">
        <f t="shared" si="59"/>
        <v>-2.0242268984275641E-2</v>
      </c>
      <c r="AN132" s="27">
        <f t="shared" si="60"/>
        <v>1.0161564132394215E-2</v>
      </c>
      <c r="AO132" s="79">
        <f t="shared" si="61"/>
        <v>7.6767281462319622E-3</v>
      </c>
      <c r="AP132" s="31"/>
      <c r="AQ132" s="54">
        <v>82672021.189999998</v>
      </c>
      <c r="AR132" s="48">
        <v>18.53</v>
      </c>
      <c r="AS132" s="30" t="e">
        <f>(#REF!/AQ132)-1</f>
        <v>#REF!</v>
      </c>
      <c r="AT132" s="30" t="e">
        <f>(#REF!/AR132)-1</f>
        <v>#REF!</v>
      </c>
    </row>
    <row r="133" spans="1:46">
      <c r="A133" s="208" t="s">
        <v>27</v>
      </c>
      <c r="B133" s="332">
        <v>1154836540</v>
      </c>
      <c r="C133" s="331">
        <v>552.20000000000005</v>
      </c>
      <c r="D133" s="332">
        <v>1153986488</v>
      </c>
      <c r="E133" s="331">
        <v>552.20000000000005</v>
      </c>
      <c r="F133" s="24">
        <f t="shared" si="106"/>
        <v>-7.3607993041162345E-4</v>
      </c>
      <c r="G133" s="24">
        <f t="shared" si="107"/>
        <v>0</v>
      </c>
      <c r="H133" s="332">
        <v>1168907944</v>
      </c>
      <c r="I133" s="331">
        <v>552.20000000000005</v>
      </c>
      <c r="J133" s="24">
        <f t="shared" si="108"/>
        <v>1.293035590551906E-2</v>
      </c>
      <c r="K133" s="24">
        <f t="shared" si="109"/>
        <v>0</v>
      </c>
      <c r="L133" s="332">
        <v>1183107178</v>
      </c>
      <c r="M133" s="331">
        <v>552.20000000000005</v>
      </c>
      <c r="N133" s="24">
        <f t="shared" si="110"/>
        <v>1.2147435623895461E-2</v>
      </c>
      <c r="O133" s="24">
        <f t="shared" si="111"/>
        <v>0</v>
      </c>
      <c r="P133" s="332">
        <v>1178392986</v>
      </c>
      <c r="Q133" s="331">
        <v>552.20000000000005</v>
      </c>
      <c r="R133" s="24">
        <f t="shared" si="112"/>
        <v>-3.9845857481561149E-3</v>
      </c>
      <c r="S133" s="24">
        <f t="shared" si="113"/>
        <v>0</v>
      </c>
      <c r="T133" s="332">
        <v>1182012382</v>
      </c>
      <c r="U133" s="331">
        <v>552.20000000000005</v>
      </c>
      <c r="V133" s="24">
        <f t="shared" si="114"/>
        <v>3.071467704747523E-3</v>
      </c>
      <c r="W133" s="24">
        <f t="shared" si="115"/>
        <v>0</v>
      </c>
      <c r="X133" s="332">
        <v>1203004205</v>
      </c>
      <c r="Y133" s="331">
        <v>552.20000000000005</v>
      </c>
      <c r="Z133" s="24">
        <f t="shared" si="116"/>
        <v>1.7759393488316268E-2</v>
      </c>
      <c r="AA133" s="24">
        <f t="shared" si="117"/>
        <v>0</v>
      </c>
      <c r="AB133" s="332">
        <v>1202332925</v>
      </c>
      <c r="AC133" s="331">
        <v>552.20000000000005</v>
      </c>
      <c r="AD133" s="24">
        <f t="shared" si="118"/>
        <v>-5.5800303707167836E-4</v>
      </c>
      <c r="AE133" s="24">
        <f t="shared" si="119"/>
        <v>0</v>
      </c>
      <c r="AF133" s="332">
        <v>1202730006</v>
      </c>
      <c r="AG133" s="331">
        <v>552.20000000000005</v>
      </c>
      <c r="AH133" s="24">
        <f t="shared" si="120"/>
        <v>3.3025877587108412E-4</v>
      </c>
      <c r="AI133" s="24">
        <f t="shared" si="121"/>
        <v>0</v>
      </c>
      <c r="AJ133" s="25">
        <f t="shared" si="56"/>
        <v>5.1200303478387468E-3</v>
      </c>
      <c r="AK133" s="25">
        <f t="shared" si="57"/>
        <v>0</v>
      </c>
      <c r="AL133" s="26">
        <f t="shared" si="58"/>
        <v>4.2239245005787275E-2</v>
      </c>
      <c r="AM133" s="26">
        <f t="shared" si="59"/>
        <v>0</v>
      </c>
      <c r="AN133" s="27">
        <f t="shared" si="60"/>
        <v>7.9884358956172213E-3</v>
      </c>
      <c r="AO133" s="79">
        <f t="shared" si="61"/>
        <v>0</v>
      </c>
      <c r="AP133" s="31"/>
      <c r="AQ133" s="54">
        <v>541500000</v>
      </c>
      <c r="AR133" s="48">
        <v>3610</v>
      </c>
      <c r="AS133" s="30" t="e">
        <f>(#REF!/AQ133)-1</f>
        <v>#REF!</v>
      </c>
      <c r="AT133" s="30" t="e">
        <f>(#REF!/AR133)-1</f>
        <v>#REF!</v>
      </c>
    </row>
    <row r="134" spans="1:46">
      <c r="A134" s="208" t="s">
        <v>194</v>
      </c>
      <c r="B134" s="332">
        <v>20028426.649999999</v>
      </c>
      <c r="C134" s="331">
        <v>1.26</v>
      </c>
      <c r="D134" s="332">
        <v>20098016.48</v>
      </c>
      <c r="E134" s="331">
        <v>1.26</v>
      </c>
      <c r="F134" s="24">
        <f t="shared" si="106"/>
        <v>3.4745530048912723E-3</v>
      </c>
      <c r="G134" s="24">
        <f t="shared" si="107"/>
        <v>0</v>
      </c>
      <c r="H134" s="332">
        <v>20492581.82</v>
      </c>
      <c r="I134" s="331">
        <v>1.28</v>
      </c>
      <c r="J134" s="24">
        <f t="shared" si="108"/>
        <v>1.9632053759764845E-2</v>
      </c>
      <c r="K134" s="24">
        <f t="shared" si="109"/>
        <v>1.5873015873015886E-2</v>
      </c>
      <c r="L134" s="332">
        <v>20482246.43</v>
      </c>
      <c r="M134" s="331">
        <v>1.28</v>
      </c>
      <c r="N134" s="24">
        <f t="shared" si="110"/>
        <v>-5.0434787040418887E-4</v>
      </c>
      <c r="O134" s="24">
        <f t="shared" si="111"/>
        <v>0</v>
      </c>
      <c r="P134" s="332">
        <v>20111025.239999998</v>
      </c>
      <c r="Q134" s="331">
        <v>1.26</v>
      </c>
      <c r="R134" s="24">
        <f t="shared" si="112"/>
        <v>-1.8124046660051896E-2</v>
      </c>
      <c r="S134" s="24">
        <f t="shared" si="113"/>
        <v>-1.5625000000000014E-2</v>
      </c>
      <c r="T134" s="332">
        <v>20158363.510000002</v>
      </c>
      <c r="U134" s="331">
        <v>1.26</v>
      </c>
      <c r="V134" s="24">
        <f t="shared" si="114"/>
        <v>2.3538466803696024E-3</v>
      </c>
      <c r="W134" s="24">
        <f t="shared" si="115"/>
        <v>0</v>
      </c>
      <c r="X134" s="332">
        <v>20329465.870000001</v>
      </c>
      <c r="Y134" s="331">
        <v>1.26</v>
      </c>
      <c r="Z134" s="24">
        <f t="shared" si="116"/>
        <v>8.487909244970223E-3</v>
      </c>
      <c r="AA134" s="24">
        <f t="shared" si="117"/>
        <v>0</v>
      </c>
      <c r="AB134" s="332">
        <v>20020697.940000001</v>
      </c>
      <c r="AC134" s="331">
        <v>1.25</v>
      </c>
      <c r="AD134" s="24">
        <f t="shared" si="118"/>
        <v>-1.5188196875140021E-2</v>
      </c>
      <c r="AE134" s="24">
        <f t="shared" si="119"/>
        <v>-7.936507936507943E-3</v>
      </c>
      <c r="AF134" s="332">
        <v>19897445.559999999</v>
      </c>
      <c r="AG134" s="331">
        <v>1.25</v>
      </c>
      <c r="AH134" s="24">
        <f t="shared" si="120"/>
        <v>-6.1562479174990577E-3</v>
      </c>
      <c r="AI134" s="24">
        <f t="shared" si="121"/>
        <v>0</v>
      </c>
      <c r="AJ134" s="25">
        <f t="shared" si="56"/>
        <v>-7.5305957913740246E-4</v>
      </c>
      <c r="AK134" s="25">
        <f t="shared" si="57"/>
        <v>-9.6106150793650886E-4</v>
      </c>
      <c r="AL134" s="26">
        <f t="shared" si="58"/>
        <v>-9.9796375527701712E-3</v>
      </c>
      <c r="AM134" s="26">
        <f t="shared" si="59"/>
        <v>-7.936507936507943E-3</v>
      </c>
      <c r="AN134" s="27">
        <f t="shared" si="60"/>
        <v>1.2351139958768603E-2</v>
      </c>
      <c r="AO134" s="79">
        <f t="shared" si="61"/>
        <v>8.8776790914467107E-3</v>
      </c>
      <c r="AP134" s="31"/>
      <c r="AQ134" s="29">
        <v>913647681</v>
      </c>
      <c r="AR134" s="33">
        <v>81</v>
      </c>
      <c r="AS134" s="30" t="e">
        <f>(#REF!/AQ134)-1</f>
        <v>#REF!</v>
      </c>
      <c r="AT134" s="30" t="e">
        <f>(#REF!/AR134)-1</f>
        <v>#REF!</v>
      </c>
    </row>
    <row r="135" spans="1:46">
      <c r="A135" s="209" t="s">
        <v>48</v>
      </c>
      <c r="B135" s="331">
        <v>159163947.28999999</v>
      </c>
      <c r="C135" s="331">
        <v>1.668658</v>
      </c>
      <c r="D135" s="331">
        <v>163819773.25</v>
      </c>
      <c r="E135" s="331">
        <v>1.71</v>
      </c>
      <c r="F135" s="24">
        <f t="shared" si="106"/>
        <v>2.9251762344879507E-2</v>
      </c>
      <c r="G135" s="24">
        <f t="shared" si="107"/>
        <v>2.477559811537175E-2</v>
      </c>
      <c r="H135" s="331">
        <v>165565654.47999999</v>
      </c>
      <c r="I135" s="331">
        <v>1.73</v>
      </c>
      <c r="J135" s="24">
        <f t="shared" si="108"/>
        <v>1.0657329059634681E-2</v>
      </c>
      <c r="K135" s="24">
        <f t="shared" si="109"/>
        <v>1.169590643274855E-2</v>
      </c>
      <c r="L135" s="331">
        <v>166719289.95000002</v>
      </c>
      <c r="M135" s="331">
        <v>1.74</v>
      </c>
      <c r="N135" s="24">
        <f t="shared" si="110"/>
        <v>6.9678428996841589E-3</v>
      </c>
      <c r="O135" s="24">
        <f t="shared" si="111"/>
        <v>5.7803468208092535E-3</v>
      </c>
      <c r="P135" s="331">
        <v>163707654.36000001</v>
      </c>
      <c r="Q135" s="331">
        <v>1.7</v>
      </c>
      <c r="R135" s="24">
        <f t="shared" si="112"/>
        <v>-1.8064109983333115E-2</v>
      </c>
      <c r="S135" s="24">
        <f t="shared" si="113"/>
        <v>-2.2988505747126457E-2</v>
      </c>
      <c r="T135" s="331">
        <v>164236785.69999999</v>
      </c>
      <c r="U135" s="331">
        <v>1.71</v>
      </c>
      <c r="V135" s="24">
        <f t="shared" si="114"/>
        <v>3.2321722650572693E-3</v>
      </c>
      <c r="W135" s="24">
        <f t="shared" si="115"/>
        <v>5.8823529411764757E-3</v>
      </c>
      <c r="X135" s="331">
        <v>164694733.72999999</v>
      </c>
      <c r="Y135" s="331">
        <v>1.72</v>
      </c>
      <c r="Z135" s="24">
        <f t="shared" si="116"/>
        <v>2.7883401885160082E-3</v>
      </c>
      <c r="AA135" s="24">
        <f t="shared" si="117"/>
        <v>5.8479532163742748E-3</v>
      </c>
      <c r="AB135" s="331">
        <v>164694177.12</v>
      </c>
      <c r="AC135" s="331">
        <v>1.7176720000000001</v>
      </c>
      <c r="AD135" s="24">
        <f t="shared" si="118"/>
        <v>-3.3796466187984337E-6</v>
      </c>
      <c r="AE135" s="24">
        <f t="shared" si="119"/>
        <v>-1.3534883720929568E-3</v>
      </c>
      <c r="AF135" s="331">
        <v>164482079.80000001</v>
      </c>
      <c r="AG135" s="331">
        <v>1.715206</v>
      </c>
      <c r="AH135" s="24">
        <f t="shared" si="120"/>
        <v>-1.2878252510740184E-3</v>
      </c>
      <c r="AI135" s="24">
        <f t="shared" si="121"/>
        <v>-1.4356640848777176E-3</v>
      </c>
      <c r="AJ135" s="25">
        <f t="shared" ref="AJ135:AJ169" si="138">AVERAGE(F135,J135,N135,R135,V135,Z135,AD135,AH135)</f>
        <v>4.1927664845932116E-3</v>
      </c>
      <c r="AK135" s="25">
        <f t="shared" ref="AK135:AK169" si="139">AVERAGE(G135,K135,O135,S135,W135,AA135,AE135,AI135)</f>
        <v>3.5255624152978966E-3</v>
      </c>
      <c r="AL135" s="26">
        <f t="shared" ref="AL135:AL169" si="140">((AF135-D135)/D135)</f>
        <v>4.0428974894824669E-3</v>
      </c>
      <c r="AM135" s="26">
        <f t="shared" ref="AM135:AM169" si="141">((AG135-E135)/E135)</f>
        <v>3.0444444444444703E-3</v>
      </c>
      <c r="AN135" s="27">
        <f t="shared" ref="AN135:AN169" si="142">STDEV(F135,J135,N135,R135,V135,Z135,AD135,AH135)</f>
        <v>1.3219861273498773E-2</v>
      </c>
      <c r="AO135" s="79">
        <f t="shared" ref="AO135:AO169" si="143">STDEV(G135,K135,O135,S135,W135,AA135,AE135,AI135)</f>
        <v>1.3552887238216627E-2</v>
      </c>
      <c r="AP135" s="31"/>
      <c r="AQ135" s="62">
        <f>SUM(AQ127:AQ134)</f>
        <v>3629819788.79</v>
      </c>
      <c r="AR135" s="63"/>
      <c r="AS135" s="30" t="e">
        <f>(#REF!/AQ135)-1</f>
        <v>#REF!</v>
      </c>
      <c r="AT135" s="30" t="e">
        <f>(#REF!/AR135)-1</f>
        <v>#REF!</v>
      </c>
    </row>
    <row r="136" spans="1:46">
      <c r="A136" s="208" t="s">
        <v>22</v>
      </c>
      <c r="B136" s="332">
        <v>1590920059.3499999</v>
      </c>
      <c r="C136" s="331">
        <v>3829.87</v>
      </c>
      <c r="D136" s="332">
        <v>1603137478.3099999</v>
      </c>
      <c r="E136" s="331">
        <v>3850.48</v>
      </c>
      <c r="F136" s="24">
        <f t="shared" si="106"/>
        <v>7.6794675434488473E-3</v>
      </c>
      <c r="G136" s="24">
        <f t="shared" si="107"/>
        <v>5.3813837023189114E-3</v>
      </c>
      <c r="H136" s="332">
        <v>1675072537.7</v>
      </c>
      <c r="I136" s="331">
        <v>3881.69</v>
      </c>
      <c r="J136" s="24">
        <f t="shared" si="108"/>
        <v>4.4871422671643117E-2</v>
      </c>
      <c r="K136" s="24">
        <f t="shared" si="109"/>
        <v>8.1054829527747278E-3</v>
      </c>
      <c r="L136" s="332">
        <v>1679122736.01</v>
      </c>
      <c r="M136" s="331">
        <v>3890.13</v>
      </c>
      <c r="N136" s="24">
        <f t="shared" si="110"/>
        <v>2.4179241309520648E-3</v>
      </c>
      <c r="O136" s="24">
        <f t="shared" si="111"/>
        <v>2.1743106739590371E-3</v>
      </c>
      <c r="P136" s="332">
        <v>1655284774.4100001</v>
      </c>
      <c r="Q136" s="331">
        <v>3840.8</v>
      </c>
      <c r="R136" s="24">
        <f t="shared" si="112"/>
        <v>-1.4196676090900086E-2</v>
      </c>
      <c r="S136" s="24">
        <f t="shared" si="113"/>
        <v>-1.2680810152874049E-2</v>
      </c>
      <c r="T136" s="332">
        <v>1667769510.96</v>
      </c>
      <c r="U136" s="331">
        <v>3853.29</v>
      </c>
      <c r="V136" s="24">
        <f t="shared" si="114"/>
        <v>7.5423496566927213E-3</v>
      </c>
      <c r="W136" s="24">
        <f t="shared" si="115"/>
        <v>3.2519266819412054E-3</v>
      </c>
      <c r="X136" s="332">
        <v>1674575343.8099999</v>
      </c>
      <c r="Y136" s="331">
        <v>3850.97</v>
      </c>
      <c r="Z136" s="24">
        <f t="shared" si="116"/>
        <v>4.0807994181895893E-3</v>
      </c>
      <c r="AA136" s="24">
        <f t="shared" si="117"/>
        <v>-6.0208289539592493E-4</v>
      </c>
      <c r="AB136" s="332">
        <v>1682686027.4200001</v>
      </c>
      <c r="AC136" s="331">
        <v>3857.35</v>
      </c>
      <c r="AD136" s="24">
        <f t="shared" si="118"/>
        <v>4.843427105254444E-3</v>
      </c>
      <c r="AE136" s="24">
        <f t="shared" si="119"/>
        <v>1.6567254483935501E-3</v>
      </c>
      <c r="AF136" s="332">
        <v>1678010875.3800001</v>
      </c>
      <c r="AG136" s="331">
        <v>3842.68</v>
      </c>
      <c r="AH136" s="24">
        <f t="shared" si="120"/>
        <v>-2.7783864391910345E-3</v>
      </c>
      <c r="AI136" s="24">
        <f t="shared" si="121"/>
        <v>-3.8031290912154906E-3</v>
      </c>
      <c r="AJ136" s="25">
        <f t="shared" si="138"/>
        <v>6.8075409995112081E-3</v>
      </c>
      <c r="AK136" s="25">
        <f t="shared" si="139"/>
        <v>4.3547591498774578E-4</v>
      </c>
      <c r="AL136" s="26">
        <f t="shared" si="140"/>
        <v>4.6704289608980029E-2</v>
      </c>
      <c r="AM136" s="26">
        <f t="shared" si="141"/>
        <v>-2.0257214684922874E-3</v>
      </c>
      <c r="AN136" s="27">
        <f t="shared" si="142"/>
        <v>1.6961250069099109E-2</v>
      </c>
      <c r="AO136" s="79">
        <f t="shared" si="143"/>
        <v>6.4010899112417865E-3</v>
      </c>
      <c r="AP136" s="31"/>
      <c r="AQ136" s="80"/>
      <c r="AR136" s="81"/>
      <c r="AS136" s="30"/>
      <c r="AT136" s="30"/>
    </row>
    <row r="137" spans="1:46" s="89" customFormat="1">
      <c r="A137" s="208" t="s">
        <v>257</v>
      </c>
      <c r="B137" s="327">
        <v>56915477.640000001</v>
      </c>
      <c r="C137" s="331">
        <v>106.6681</v>
      </c>
      <c r="D137" s="327">
        <v>57412139.229999997</v>
      </c>
      <c r="E137" s="331">
        <v>107.422</v>
      </c>
      <c r="F137" s="24">
        <f t="shared" si="106"/>
        <v>8.726301009744036E-3</v>
      </c>
      <c r="G137" s="24">
        <f t="shared" si="107"/>
        <v>7.0677175275457383E-3</v>
      </c>
      <c r="H137" s="327">
        <v>57937354.399999999</v>
      </c>
      <c r="I137" s="331">
        <v>108.1279</v>
      </c>
      <c r="J137" s="24">
        <f t="shared" si="108"/>
        <v>9.1481553734816621E-3</v>
      </c>
      <c r="K137" s="24">
        <f t="shared" si="109"/>
        <v>6.5712796261473416E-3</v>
      </c>
      <c r="L137" s="327">
        <v>57892410.740000002</v>
      </c>
      <c r="M137" s="331">
        <v>108.0787</v>
      </c>
      <c r="N137" s="24">
        <f t="shared" si="110"/>
        <v>-7.7572855138853948E-4</v>
      </c>
      <c r="O137" s="24">
        <f t="shared" si="111"/>
        <v>-4.5501669781803793E-4</v>
      </c>
      <c r="P137" s="327">
        <v>57257677.07</v>
      </c>
      <c r="Q137" s="331">
        <v>106.852</v>
      </c>
      <c r="R137" s="24">
        <f t="shared" si="112"/>
        <v>-1.096402208660212E-2</v>
      </c>
      <c r="S137" s="24">
        <f t="shared" si="113"/>
        <v>-1.135006250075171E-2</v>
      </c>
      <c r="T137" s="327">
        <v>57378819.380000003</v>
      </c>
      <c r="U137" s="331">
        <v>107.01300000000001</v>
      </c>
      <c r="V137" s="24">
        <f t="shared" si="114"/>
        <v>2.115739167201992E-3</v>
      </c>
      <c r="W137" s="24">
        <f t="shared" si="115"/>
        <v>1.5067570096956664E-3</v>
      </c>
      <c r="X137" s="327">
        <v>57875930.520000003</v>
      </c>
      <c r="Y137" s="331">
        <v>107.50660000000001</v>
      </c>
      <c r="Z137" s="24">
        <f t="shared" si="116"/>
        <v>8.6636697194448376E-3</v>
      </c>
      <c r="AA137" s="24">
        <f t="shared" si="117"/>
        <v>4.612523712072371E-3</v>
      </c>
      <c r="AB137" s="327">
        <v>57662394.420000002</v>
      </c>
      <c r="AC137" s="331">
        <v>107.0796</v>
      </c>
      <c r="AD137" s="24">
        <f t="shared" si="118"/>
        <v>-3.6895493183683758E-3</v>
      </c>
      <c r="AE137" s="24">
        <f t="shared" si="119"/>
        <v>-3.9718491701905435E-3</v>
      </c>
      <c r="AF137" s="327">
        <v>57617404.770000003</v>
      </c>
      <c r="AG137" s="331">
        <v>106.9949</v>
      </c>
      <c r="AH137" s="24">
        <f t="shared" si="120"/>
        <v>-7.8022514417809205E-4</v>
      </c>
      <c r="AI137" s="24">
        <f t="shared" si="121"/>
        <v>-7.9100033993401175E-4</v>
      </c>
      <c r="AJ137" s="25">
        <f t="shared" si="138"/>
        <v>1.555542521166925E-3</v>
      </c>
      <c r="AK137" s="25">
        <f t="shared" si="139"/>
        <v>3.9879364584585156E-4</v>
      </c>
      <c r="AL137" s="26">
        <f t="shared" si="140"/>
        <v>3.5752985823727609E-3</v>
      </c>
      <c r="AM137" s="26">
        <f t="shared" si="141"/>
        <v>-3.9759081007614437E-3</v>
      </c>
      <c r="AN137" s="27">
        <f t="shared" si="142"/>
        <v>7.1218773763787784E-3</v>
      </c>
      <c r="AO137" s="79">
        <f t="shared" si="143"/>
        <v>6.1043307111068928E-3</v>
      </c>
      <c r="AP137" s="31"/>
      <c r="AQ137" s="80"/>
      <c r="AR137" s="81"/>
      <c r="AS137" s="30"/>
      <c r="AT137" s="30"/>
    </row>
    <row r="138" spans="1:46" s="109" customFormat="1">
      <c r="A138" s="208" t="s">
        <v>76</v>
      </c>
      <c r="B138" s="331">
        <v>1205754879.04</v>
      </c>
      <c r="C138" s="331">
        <v>1.5676000000000001</v>
      </c>
      <c r="D138" s="331">
        <v>1221425282.1300001</v>
      </c>
      <c r="E138" s="331">
        <v>1.5867</v>
      </c>
      <c r="F138" s="24">
        <f t="shared" si="106"/>
        <v>1.299634226027486E-2</v>
      </c>
      <c r="G138" s="24">
        <f t="shared" si="107"/>
        <v>1.2184230671089495E-2</v>
      </c>
      <c r="H138" s="331">
        <v>1247786221.75</v>
      </c>
      <c r="I138" s="331">
        <v>1.6195999999999999</v>
      </c>
      <c r="J138" s="24">
        <f t="shared" si="108"/>
        <v>2.1582113949721083E-2</v>
      </c>
      <c r="K138" s="24">
        <f t="shared" si="109"/>
        <v>2.0734858511375766E-2</v>
      </c>
      <c r="L138" s="331">
        <v>1247359013.1199999</v>
      </c>
      <c r="M138" s="331">
        <v>1.6188</v>
      </c>
      <c r="N138" s="24">
        <f t="shared" si="110"/>
        <v>-3.423732547719282E-4</v>
      </c>
      <c r="O138" s="24">
        <f t="shared" si="111"/>
        <v>-4.9394912324025192E-4</v>
      </c>
      <c r="P138" s="331">
        <v>1226351025.71</v>
      </c>
      <c r="Q138" s="331">
        <v>1.5911999999999999</v>
      </c>
      <c r="R138" s="24">
        <f t="shared" si="112"/>
        <v>-1.6841973472779815E-2</v>
      </c>
      <c r="S138" s="24">
        <f t="shared" si="113"/>
        <v>-1.7049666419570095E-2</v>
      </c>
      <c r="T138" s="331">
        <v>1236999883.1600001</v>
      </c>
      <c r="U138" s="331">
        <v>1.6063000000000001</v>
      </c>
      <c r="V138" s="24">
        <f t="shared" si="114"/>
        <v>8.6833681602988474E-3</v>
      </c>
      <c r="W138" s="24">
        <f t="shared" si="115"/>
        <v>9.4896933132227971E-3</v>
      </c>
      <c r="X138" s="331">
        <v>1230226342.0599999</v>
      </c>
      <c r="Y138" s="331">
        <v>1.5974999999999999</v>
      </c>
      <c r="Z138" s="24">
        <f t="shared" si="116"/>
        <v>-5.4757815196365845E-3</v>
      </c>
      <c r="AA138" s="24">
        <f t="shared" si="117"/>
        <v>-5.4784286870448486E-3</v>
      </c>
      <c r="AB138" s="331">
        <v>1229899208.8599999</v>
      </c>
      <c r="AC138" s="331">
        <v>1.5959000000000001</v>
      </c>
      <c r="AD138" s="24">
        <f t="shared" si="118"/>
        <v>-2.6591301845501605E-4</v>
      </c>
      <c r="AE138" s="24">
        <f t="shared" si="119"/>
        <v>-1.0015649452268069E-3</v>
      </c>
      <c r="AF138" s="331">
        <v>1220075404.24</v>
      </c>
      <c r="AG138" s="331">
        <v>1.5828</v>
      </c>
      <c r="AH138" s="24">
        <f t="shared" si="120"/>
        <v>-7.9874875511999257E-3</v>
      </c>
      <c r="AI138" s="24">
        <f t="shared" si="121"/>
        <v>-8.2085343693214553E-3</v>
      </c>
      <c r="AJ138" s="25">
        <f t="shared" si="138"/>
        <v>1.5435369441814406E-3</v>
      </c>
      <c r="AK138" s="25">
        <f t="shared" si="139"/>
        <v>1.2720798689105756E-3</v>
      </c>
      <c r="AL138" s="26">
        <f t="shared" si="140"/>
        <v>-1.1051661610001235E-3</v>
      </c>
      <c r="AM138" s="26">
        <f t="shared" si="141"/>
        <v>-2.457931556059756E-3</v>
      </c>
      <c r="AN138" s="27">
        <f t="shared" si="142"/>
        <v>1.2355782493437596E-2</v>
      </c>
      <c r="AO138" s="79">
        <f t="shared" si="143"/>
        <v>1.2217259902255707E-2</v>
      </c>
      <c r="AP138" s="31"/>
      <c r="AQ138" s="80"/>
      <c r="AR138" s="81"/>
      <c r="AS138" s="30"/>
      <c r="AT138" s="30"/>
    </row>
    <row r="139" spans="1:46" s="109" customFormat="1">
      <c r="A139" s="208" t="s">
        <v>217</v>
      </c>
      <c r="B139" s="331">
        <v>675713196.88</v>
      </c>
      <c r="C139" s="331">
        <v>1.2397</v>
      </c>
      <c r="D139" s="331">
        <v>687598259.32000005</v>
      </c>
      <c r="E139" s="331">
        <v>1.2605999999999999</v>
      </c>
      <c r="F139" s="24">
        <f t="shared" si="106"/>
        <v>1.7588915674397767E-2</v>
      </c>
      <c r="G139" s="24">
        <f t="shared" si="107"/>
        <v>1.6858917480035426E-2</v>
      </c>
      <c r="H139" s="331">
        <v>711682814.33000004</v>
      </c>
      <c r="I139" s="331">
        <v>1.3053999999999999</v>
      </c>
      <c r="J139" s="24">
        <f t="shared" si="108"/>
        <v>3.5027073852424234E-2</v>
      </c>
      <c r="K139" s="24">
        <f t="shared" si="109"/>
        <v>3.5538632397271105E-2</v>
      </c>
      <c r="L139" s="331">
        <v>713934689.12</v>
      </c>
      <c r="M139" s="331">
        <v>1.3097000000000001</v>
      </c>
      <c r="N139" s="24">
        <f t="shared" si="110"/>
        <v>3.1641550767527605E-3</v>
      </c>
      <c r="O139" s="24">
        <f t="shared" si="111"/>
        <v>3.2940094990042846E-3</v>
      </c>
      <c r="P139" s="331">
        <v>702054403.38999999</v>
      </c>
      <c r="Q139" s="331">
        <v>1.2876000000000001</v>
      </c>
      <c r="R139" s="24">
        <f t="shared" si="112"/>
        <v>-1.6640577788205987E-2</v>
      </c>
      <c r="S139" s="24">
        <f t="shared" si="113"/>
        <v>-1.6874093303810039E-2</v>
      </c>
      <c r="T139" s="331">
        <v>706025762.05999994</v>
      </c>
      <c r="U139" s="331">
        <v>1.2937000000000001</v>
      </c>
      <c r="V139" s="24">
        <f t="shared" si="114"/>
        <v>5.6567676960980725E-3</v>
      </c>
      <c r="W139" s="24">
        <f t="shared" si="115"/>
        <v>4.7374961168064568E-3</v>
      </c>
      <c r="X139" s="331">
        <v>704549349.99000001</v>
      </c>
      <c r="Y139" s="331">
        <v>1.2906</v>
      </c>
      <c r="Z139" s="24">
        <f t="shared" si="116"/>
        <v>-2.0911589198843766E-3</v>
      </c>
      <c r="AA139" s="24">
        <f t="shared" si="117"/>
        <v>-2.3962278735410857E-3</v>
      </c>
      <c r="AB139" s="331">
        <v>704662425.39999998</v>
      </c>
      <c r="AC139" s="331">
        <v>1.2907999999999999</v>
      </c>
      <c r="AD139" s="24">
        <f t="shared" si="118"/>
        <v>1.6049324295249376E-4</v>
      </c>
      <c r="AE139" s="24">
        <f t="shared" si="119"/>
        <v>1.5496668216331781E-4</v>
      </c>
      <c r="AF139" s="331">
        <v>702600576.89999998</v>
      </c>
      <c r="AG139" s="331">
        <v>1.2889999999999999</v>
      </c>
      <c r="AH139" s="24">
        <f t="shared" si="120"/>
        <v>-2.9260088599581515E-3</v>
      </c>
      <c r="AI139" s="24">
        <f t="shared" si="121"/>
        <v>-1.3944840409048837E-3</v>
      </c>
      <c r="AJ139" s="25">
        <f t="shared" si="138"/>
        <v>4.9924574968221013E-3</v>
      </c>
      <c r="AK139" s="25">
        <f t="shared" si="139"/>
        <v>4.9899021196280723E-3</v>
      </c>
      <c r="AL139" s="26">
        <f t="shared" si="140"/>
        <v>2.1818434495218846E-2</v>
      </c>
      <c r="AM139" s="26">
        <f t="shared" si="141"/>
        <v>2.2528954466127227E-2</v>
      </c>
      <c r="AN139" s="27">
        <f t="shared" si="142"/>
        <v>1.5439970212795782E-2</v>
      </c>
      <c r="AO139" s="79">
        <f t="shared" si="143"/>
        <v>1.5463156244330723E-2</v>
      </c>
      <c r="AP139" s="31"/>
      <c r="AQ139" s="80"/>
      <c r="AR139" s="81"/>
      <c r="AS139" s="30"/>
      <c r="AT139" s="30"/>
    </row>
    <row r="140" spans="1:46" ht="15.75" customHeight="1" thickBot="1">
      <c r="A140" s="208" t="s">
        <v>129</v>
      </c>
      <c r="B140" s="331">
        <v>4378246882.5299997</v>
      </c>
      <c r="C140" s="331">
        <v>197.9828</v>
      </c>
      <c r="D140" s="331">
        <v>4410050524.1099997</v>
      </c>
      <c r="E140" s="331">
        <v>199.42840000000001</v>
      </c>
      <c r="F140" s="24">
        <f t="shared" si="106"/>
        <v>7.264012841967005E-3</v>
      </c>
      <c r="G140" s="24">
        <f t="shared" si="107"/>
        <v>7.3016443852698979E-3</v>
      </c>
      <c r="H140" s="331">
        <v>4306244928.5799999</v>
      </c>
      <c r="I140" s="331">
        <v>194.71430000000001</v>
      </c>
      <c r="J140" s="24">
        <f t="shared" si="108"/>
        <v>-2.3538414120765416E-2</v>
      </c>
      <c r="K140" s="24">
        <f t="shared" si="109"/>
        <v>-2.3638057568530869E-2</v>
      </c>
      <c r="L140" s="331">
        <v>4428312204.2799997</v>
      </c>
      <c r="M140" s="331">
        <v>200.2577</v>
      </c>
      <c r="N140" s="24">
        <f t="shared" si="110"/>
        <v>2.8346570556136933E-2</v>
      </c>
      <c r="O140" s="24">
        <f t="shared" si="111"/>
        <v>2.8469403633939527E-2</v>
      </c>
      <c r="P140" s="331">
        <v>4354648635.3699999</v>
      </c>
      <c r="Q140" s="331">
        <v>196.9196</v>
      </c>
      <c r="R140" s="24">
        <f t="shared" si="112"/>
        <v>-1.6634682811840461E-2</v>
      </c>
      <c r="S140" s="24">
        <f t="shared" si="113"/>
        <v>-1.6669021965197827E-2</v>
      </c>
      <c r="T140" s="331">
        <v>4366708962.9099998</v>
      </c>
      <c r="U140" s="331">
        <v>197.46610000000001</v>
      </c>
      <c r="V140" s="24">
        <f t="shared" si="114"/>
        <v>2.7695294270223565E-3</v>
      </c>
      <c r="W140" s="24">
        <f t="shared" si="115"/>
        <v>2.7752443129074448E-3</v>
      </c>
      <c r="X140" s="331">
        <v>4402555112.5799999</v>
      </c>
      <c r="Y140" s="331">
        <v>199.09</v>
      </c>
      <c r="Z140" s="24">
        <f t="shared" si="116"/>
        <v>8.2089623958158178E-3</v>
      </c>
      <c r="AA140" s="24">
        <f t="shared" si="117"/>
        <v>8.2236900409740805E-3</v>
      </c>
      <c r="AB140" s="331">
        <v>4375790008.4200001</v>
      </c>
      <c r="AC140" s="331">
        <v>197.85</v>
      </c>
      <c r="AD140" s="24">
        <f t="shared" si="118"/>
        <v>-6.0794478378068213E-3</v>
      </c>
      <c r="AE140" s="24">
        <f t="shared" si="119"/>
        <v>-6.2283389421869959E-3</v>
      </c>
      <c r="AF140" s="331">
        <v>4339064727.4099998</v>
      </c>
      <c r="AG140" s="331">
        <v>196.19</v>
      </c>
      <c r="AH140" s="24">
        <f t="shared" si="120"/>
        <v>-8.3928344228887952E-3</v>
      </c>
      <c r="AI140" s="24">
        <f t="shared" si="121"/>
        <v>-8.3901945918625053E-3</v>
      </c>
      <c r="AJ140" s="25">
        <f t="shared" si="138"/>
        <v>-1.0070379965449222E-3</v>
      </c>
      <c r="AK140" s="25">
        <f t="shared" si="139"/>
        <v>-1.0194538368359057E-3</v>
      </c>
      <c r="AL140" s="26">
        <f t="shared" si="140"/>
        <v>-1.6096368128191815E-2</v>
      </c>
      <c r="AM140" s="26">
        <f t="shared" si="141"/>
        <v>-1.6238409373990931E-2</v>
      </c>
      <c r="AN140" s="27">
        <f t="shared" si="142"/>
        <v>1.6306910300094606E-2</v>
      </c>
      <c r="AO140" s="79">
        <f t="shared" si="143"/>
        <v>1.6373494932104E-2</v>
      </c>
      <c r="AP140" s="31"/>
      <c r="AQ140" s="65" t="e">
        <f>SUM(AQ123,AQ135)</f>
        <v>#REF!</v>
      </c>
      <c r="AR140" s="66"/>
      <c r="AS140" s="30" t="e">
        <f>(#REF!/AQ140)-1</f>
        <v>#REF!</v>
      </c>
      <c r="AT140" s="30" t="e">
        <f>(#REF!/AR140)-1</f>
        <v>#REF!</v>
      </c>
    </row>
    <row r="141" spans="1:46" s="308" customFormat="1" ht="15.75" customHeight="1">
      <c r="A141" s="208" t="s">
        <v>52</v>
      </c>
      <c r="B141" s="332">
        <v>2262518547</v>
      </c>
      <c r="C141" s="331">
        <v>3.25</v>
      </c>
      <c r="D141" s="332">
        <v>2260957983.6300001</v>
      </c>
      <c r="E141" s="331">
        <v>3.25</v>
      </c>
      <c r="F141" s="24">
        <f t="shared" si="106"/>
        <v>-6.8974611150442232E-4</v>
      </c>
      <c r="G141" s="24">
        <f t="shared" si="107"/>
        <v>0</v>
      </c>
      <c r="H141" s="332">
        <v>2103889187.6400001</v>
      </c>
      <c r="I141" s="331">
        <v>3.02</v>
      </c>
      <c r="J141" s="24">
        <f t="shared" si="108"/>
        <v>-6.9470019844342187E-2</v>
      </c>
      <c r="K141" s="24">
        <f t="shared" si="109"/>
        <v>-7.0769230769230765E-2</v>
      </c>
      <c r="L141" s="332">
        <v>2292045097.4499998</v>
      </c>
      <c r="M141" s="331">
        <v>3.29</v>
      </c>
      <c r="N141" s="24">
        <f t="shared" si="110"/>
        <v>8.9432423967661628E-2</v>
      </c>
      <c r="O141" s="24">
        <f t="shared" si="111"/>
        <v>8.9403973509933773E-2</v>
      </c>
      <c r="P141" s="332">
        <v>2261786761.5700002</v>
      </c>
      <c r="Q141" s="331">
        <v>3.25</v>
      </c>
      <c r="R141" s="24">
        <f t="shared" si="112"/>
        <v>-1.3201457472919427E-2</v>
      </c>
      <c r="S141" s="24">
        <f t="shared" si="113"/>
        <v>-1.2158054711246211E-2</v>
      </c>
      <c r="T141" s="332">
        <v>2261786761.5700002</v>
      </c>
      <c r="U141" s="331">
        <v>3.24</v>
      </c>
      <c r="V141" s="24">
        <f t="shared" si="114"/>
        <v>0</v>
      </c>
      <c r="W141" s="24">
        <f t="shared" si="115"/>
        <v>-3.0769230769230114E-3</v>
      </c>
      <c r="X141" s="332">
        <v>2270030320.8400002</v>
      </c>
      <c r="Y141" s="331">
        <v>3.26</v>
      </c>
      <c r="Z141" s="24">
        <f t="shared" si="116"/>
        <v>3.6447110797826867E-3</v>
      </c>
      <c r="AA141" s="24">
        <f t="shared" si="117"/>
        <v>6.1728395061727073E-3</v>
      </c>
      <c r="AB141" s="332">
        <v>2262318178.27</v>
      </c>
      <c r="AC141" s="331">
        <v>3.25</v>
      </c>
      <c r="AD141" s="24">
        <f t="shared" si="118"/>
        <v>-3.3973742549598973E-3</v>
      </c>
      <c r="AE141" s="24">
        <f t="shared" si="119"/>
        <v>-3.0674846625766221E-3</v>
      </c>
      <c r="AF141" s="332">
        <v>2255379209.2399998</v>
      </c>
      <c r="AG141" s="331">
        <v>3.24</v>
      </c>
      <c r="AH141" s="24">
        <f t="shared" si="120"/>
        <v>-3.067194127090671E-3</v>
      </c>
      <c r="AI141" s="24">
        <f t="shared" si="121"/>
        <v>-3.0769230769230114E-3</v>
      </c>
      <c r="AJ141" s="25">
        <f t="shared" si="138"/>
        <v>4.0641790457846395E-4</v>
      </c>
      <c r="AK141" s="25">
        <f t="shared" si="139"/>
        <v>4.2852458990085739E-4</v>
      </c>
      <c r="AL141" s="26">
        <f t="shared" si="140"/>
        <v>-2.467438329412713E-3</v>
      </c>
      <c r="AM141" s="26">
        <f t="shared" si="141"/>
        <v>-3.0769230769230114E-3</v>
      </c>
      <c r="AN141" s="27">
        <f t="shared" si="142"/>
        <v>4.3147436092349729E-2</v>
      </c>
      <c r="AO141" s="79">
        <f t="shared" si="143"/>
        <v>4.3448084047464454E-2</v>
      </c>
      <c r="AP141" s="31"/>
      <c r="AQ141" s="342"/>
      <c r="AR141" s="343"/>
      <c r="AS141" s="30"/>
      <c r="AT141" s="30"/>
    </row>
    <row r="142" spans="1:46" s="308" customFormat="1" ht="15.75" customHeight="1">
      <c r="A142" s="208" t="s">
        <v>242</v>
      </c>
      <c r="B142" s="332">
        <v>204789699.62</v>
      </c>
      <c r="C142" s="331">
        <v>158.81</v>
      </c>
      <c r="D142" s="332">
        <v>206022819.99000001</v>
      </c>
      <c r="E142" s="331">
        <v>156.65</v>
      </c>
      <c r="F142" s="24">
        <f t="shared" si="106"/>
        <v>6.0213984018148183E-3</v>
      </c>
      <c r="G142" s="24">
        <f t="shared" si="107"/>
        <v>-1.3601158617215519E-2</v>
      </c>
      <c r="H142" s="332">
        <v>203305133.88999999</v>
      </c>
      <c r="I142" s="331">
        <v>159.66</v>
      </c>
      <c r="J142" s="24">
        <f t="shared" si="108"/>
        <v>-1.3191189695063565E-2</v>
      </c>
      <c r="K142" s="24">
        <f t="shared" si="109"/>
        <v>1.9214810086179323E-2</v>
      </c>
      <c r="L142" s="332">
        <v>205436928.25999999</v>
      </c>
      <c r="M142" s="331">
        <v>159.32</v>
      </c>
      <c r="N142" s="24">
        <f t="shared" si="110"/>
        <v>1.0485688822562792E-2</v>
      </c>
      <c r="O142" s="24">
        <f t="shared" si="111"/>
        <v>-2.1295252411374383E-3</v>
      </c>
      <c r="P142" s="332">
        <v>200798978.24000001</v>
      </c>
      <c r="Q142" s="331">
        <v>155.84</v>
      </c>
      <c r="R142" s="24">
        <f t="shared" si="112"/>
        <v>-2.2576028853635379E-2</v>
      </c>
      <c r="S142" s="24">
        <f t="shared" si="113"/>
        <v>-2.184283203615359E-2</v>
      </c>
      <c r="T142" s="332">
        <v>202521215.75999999</v>
      </c>
      <c r="U142" s="331">
        <v>157.19</v>
      </c>
      <c r="V142" s="24">
        <f t="shared" si="114"/>
        <v>8.5769237228962344E-3</v>
      </c>
      <c r="W142" s="24">
        <f t="shared" si="115"/>
        <v>8.6627310061601279E-3</v>
      </c>
      <c r="X142" s="332">
        <v>200847717.59</v>
      </c>
      <c r="Y142" s="331">
        <v>155.62</v>
      </c>
      <c r="Z142" s="24">
        <f t="shared" si="116"/>
        <v>-8.2633227522354216E-3</v>
      </c>
      <c r="AA142" s="24">
        <f t="shared" si="117"/>
        <v>-9.9879127170939188E-3</v>
      </c>
      <c r="AB142" s="332">
        <v>202794728.06</v>
      </c>
      <c r="AC142" s="331">
        <v>155.21</v>
      </c>
      <c r="AD142" s="24">
        <f t="shared" si="118"/>
        <v>9.6939636325592896E-3</v>
      </c>
      <c r="AE142" s="24">
        <f t="shared" si="119"/>
        <v>-2.6346227991260545E-3</v>
      </c>
      <c r="AF142" s="332">
        <v>187572810.06</v>
      </c>
      <c r="AG142" s="331">
        <v>155.21</v>
      </c>
      <c r="AH142" s="24">
        <f t="shared" si="120"/>
        <v>-7.5060718518759312E-2</v>
      </c>
      <c r="AI142" s="24">
        <f t="shared" si="121"/>
        <v>0</v>
      </c>
      <c r="AJ142" s="25">
        <f t="shared" si="138"/>
        <v>-1.0539160654982567E-2</v>
      </c>
      <c r="AK142" s="25">
        <f t="shared" si="139"/>
        <v>-2.7898137897983833E-3</v>
      </c>
      <c r="AL142" s="26">
        <f t="shared" si="140"/>
        <v>-8.9553234592631717E-2</v>
      </c>
      <c r="AM142" s="26">
        <f t="shared" si="141"/>
        <v>-9.1924672837535755E-3</v>
      </c>
      <c r="AN142" s="27">
        <f t="shared" si="142"/>
        <v>2.8812771804962403E-2</v>
      </c>
      <c r="AO142" s="79">
        <f t="shared" si="143"/>
        <v>1.2847026837031813E-2</v>
      </c>
      <c r="AP142" s="31"/>
      <c r="AQ142" s="342"/>
      <c r="AR142" s="343"/>
      <c r="AS142" s="30"/>
      <c r="AT142" s="30"/>
    </row>
    <row r="143" spans="1:46">
      <c r="A143" s="210" t="s">
        <v>42</v>
      </c>
      <c r="B143" s="222">
        <f>SUM(B119:B142)</f>
        <v>31120048445.681793</v>
      </c>
      <c r="C143" s="88"/>
      <c r="D143" s="222">
        <f>SUM(D119:D142)</f>
        <v>31292470255.43129</v>
      </c>
      <c r="E143" s="88"/>
      <c r="F143" s="24">
        <f>((D143-B143)/B143)</f>
        <v>5.5405379606155991E-3</v>
      </c>
      <c r="G143" s="24"/>
      <c r="H143" s="222">
        <f>SUM(H119:H142)</f>
        <v>31275370993.764252</v>
      </c>
      <c r="I143" s="88"/>
      <c r="J143" s="24">
        <f>((H143-D143)/D143)</f>
        <v>-5.4643374356392086E-4</v>
      </c>
      <c r="K143" s="24"/>
      <c r="L143" s="222">
        <f>SUM(L119:L142)</f>
        <v>31644276857.633724</v>
      </c>
      <c r="M143" s="88"/>
      <c r="N143" s="24">
        <f>((L143-H143)/H143)</f>
        <v>1.179541128202846E-2</v>
      </c>
      <c r="O143" s="24"/>
      <c r="P143" s="222">
        <f>SUM(P119:P142)</f>
        <v>31193956823.055725</v>
      </c>
      <c r="Q143" s="88"/>
      <c r="R143" s="24">
        <f>((P143-L143)/L143)</f>
        <v>-1.4230694435014903E-2</v>
      </c>
      <c r="S143" s="24"/>
      <c r="T143" s="222">
        <f>SUM(T119:T142)</f>
        <v>31270923143.61771</v>
      </c>
      <c r="U143" s="88"/>
      <c r="V143" s="24">
        <f>((T143-P143)/P143)</f>
        <v>2.4673471531222527E-3</v>
      </c>
      <c r="W143" s="24"/>
      <c r="X143" s="222">
        <f>SUM(X119:X142)</f>
        <v>31357580652.946274</v>
      </c>
      <c r="Y143" s="88"/>
      <c r="Z143" s="24">
        <f>((X143-T143)/T143)</f>
        <v>2.7711848777400164E-3</v>
      </c>
      <c r="AA143" s="24"/>
      <c r="AB143" s="222">
        <f>SUM(AB119:AB142)</f>
        <v>31214054403.725143</v>
      </c>
      <c r="AC143" s="88"/>
      <c r="AD143" s="24">
        <f>((AB143-X143)/X143)</f>
        <v>-4.5770829966005379E-3</v>
      </c>
      <c r="AE143" s="24"/>
      <c r="AF143" s="222">
        <f>SUM(AF119:AF142)</f>
        <v>31040700634.661449</v>
      </c>
      <c r="AG143" s="88"/>
      <c r="AH143" s="24">
        <f>((AF143-AB143)/AB143)</f>
        <v>-5.5537088140336435E-3</v>
      </c>
      <c r="AI143" s="24"/>
      <c r="AJ143" s="25">
        <f t="shared" si="138"/>
        <v>-2.9167983946333487E-4</v>
      </c>
      <c r="AK143" s="25"/>
      <c r="AL143" s="26">
        <f t="shared" si="140"/>
        <v>-8.0456933797401868E-3</v>
      </c>
      <c r="AM143" s="26"/>
      <c r="AN143" s="27">
        <f t="shared" si="142"/>
        <v>7.9058799371424585E-3</v>
      </c>
      <c r="AO143" s="79"/>
    </row>
    <row r="144" spans="1:46" s="112" customFormat="1" ht="8.25" customHeight="1">
      <c r="A144" s="210"/>
      <c r="B144" s="88"/>
      <c r="C144" s="88"/>
      <c r="D144" s="88"/>
      <c r="E144" s="88"/>
      <c r="F144" s="24"/>
      <c r="G144" s="24"/>
      <c r="H144" s="88"/>
      <c r="I144" s="88"/>
      <c r="J144" s="24"/>
      <c r="K144" s="24"/>
      <c r="L144" s="88"/>
      <c r="M144" s="88"/>
      <c r="N144" s="24"/>
      <c r="O144" s="24"/>
      <c r="P144" s="88"/>
      <c r="Q144" s="88"/>
      <c r="R144" s="24"/>
      <c r="S144" s="24"/>
      <c r="T144" s="88"/>
      <c r="U144" s="88"/>
      <c r="V144" s="24"/>
      <c r="W144" s="24"/>
      <c r="X144" s="88"/>
      <c r="Y144" s="88"/>
      <c r="Z144" s="24"/>
      <c r="AA144" s="24"/>
      <c r="AB144" s="88"/>
      <c r="AC144" s="88"/>
      <c r="AD144" s="24"/>
      <c r="AE144" s="24"/>
      <c r="AF144" s="88"/>
      <c r="AG144" s="88"/>
      <c r="AH144" s="24"/>
      <c r="AI144" s="24"/>
      <c r="AJ144" s="25"/>
      <c r="AK144" s="25"/>
      <c r="AL144" s="26"/>
      <c r="AM144" s="26"/>
      <c r="AN144" s="27"/>
      <c r="AO144" s="79"/>
    </row>
    <row r="145" spans="1:41" s="112" customFormat="1">
      <c r="A145" s="212" t="s">
        <v>67</v>
      </c>
      <c r="B145" s="88"/>
      <c r="C145" s="88"/>
      <c r="D145" s="88"/>
      <c r="E145" s="88"/>
      <c r="F145" s="24"/>
      <c r="G145" s="24"/>
      <c r="H145" s="88"/>
      <c r="I145" s="88"/>
      <c r="J145" s="24"/>
      <c r="K145" s="24"/>
      <c r="L145" s="88"/>
      <c r="M145" s="88"/>
      <c r="N145" s="24"/>
      <c r="O145" s="24"/>
      <c r="P145" s="88"/>
      <c r="Q145" s="88"/>
      <c r="R145" s="24"/>
      <c r="S145" s="24"/>
      <c r="T145" s="88"/>
      <c r="U145" s="88"/>
      <c r="V145" s="24"/>
      <c r="W145" s="24"/>
      <c r="X145" s="88"/>
      <c r="Y145" s="88"/>
      <c r="Z145" s="24"/>
      <c r="AA145" s="24"/>
      <c r="AB145" s="88"/>
      <c r="AC145" s="88"/>
      <c r="AD145" s="24"/>
      <c r="AE145" s="24"/>
      <c r="AF145" s="88"/>
      <c r="AG145" s="88"/>
      <c r="AH145" s="24"/>
      <c r="AI145" s="24"/>
      <c r="AJ145" s="25"/>
      <c r="AK145" s="25"/>
      <c r="AL145" s="26"/>
      <c r="AM145" s="26"/>
      <c r="AN145" s="27"/>
      <c r="AO145" s="79"/>
    </row>
    <row r="146" spans="1:41" s="112" customFormat="1">
      <c r="A146" s="209" t="s">
        <v>26</v>
      </c>
      <c r="B146" s="328">
        <v>539932251.79999995</v>
      </c>
      <c r="C146" s="328">
        <v>47.759900000000002</v>
      </c>
      <c r="D146" s="328">
        <v>628456335.75</v>
      </c>
      <c r="E146" s="328">
        <v>48.363199999999999</v>
      </c>
      <c r="F146" s="24">
        <f t="shared" ref="F146:G148" si="144">((D146-B146)/B146)</f>
        <v>0.16395405841174102</v>
      </c>
      <c r="G146" s="24">
        <f t="shared" si="144"/>
        <v>1.2631935996515848E-2</v>
      </c>
      <c r="H146" s="328">
        <v>633563041.38</v>
      </c>
      <c r="I146" s="328">
        <v>48.736899999999999</v>
      </c>
      <c r="J146" s="24">
        <f t="shared" ref="J146:K148" si="145">((H146-D146)/D146)</f>
        <v>8.125792261932805E-3</v>
      </c>
      <c r="K146" s="24">
        <f t="shared" si="145"/>
        <v>7.7269494160849463E-3</v>
      </c>
      <c r="L146" s="328">
        <v>636659148.11000001</v>
      </c>
      <c r="M146" s="328">
        <v>48.968600000000002</v>
      </c>
      <c r="N146" s="24">
        <f t="shared" ref="N146:O148" si="146">((L146-H146)/H146)</f>
        <v>4.8868171401794704E-3</v>
      </c>
      <c r="O146" s="24">
        <f t="shared" si="146"/>
        <v>4.754098024289677E-3</v>
      </c>
      <c r="P146" s="328">
        <v>634569310.63</v>
      </c>
      <c r="Q146" s="328">
        <v>48.831899999999997</v>
      </c>
      <c r="R146" s="24">
        <f t="shared" ref="R146:S148" si="147">((P146-L146)/L146)</f>
        <v>-3.2825060100117234E-3</v>
      </c>
      <c r="S146" s="24">
        <f t="shared" si="147"/>
        <v>-2.7915848114915417E-3</v>
      </c>
      <c r="T146" s="328">
        <v>549945703.21000004</v>
      </c>
      <c r="U146" s="328">
        <v>48.862400000000001</v>
      </c>
      <c r="V146" s="24">
        <f t="shared" ref="V146:W148" si="148">((T146-P146)/P146)</f>
        <v>-0.13335597231449106</v>
      </c>
      <c r="W146" s="24">
        <f t="shared" si="148"/>
        <v>6.2459171156566769E-4</v>
      </c>
      <c r="X146" s="328">
        <v>549272911.86000001</v>
      </c>
      <c r="Y146" s="328">
        <v>48.790199999999999</v>
      </c>
      <c r="Z146" s="24">
        <f t="shared" ref="Z146:AA148" si="149">((X146-T146)/T146)</f>
        <v>-1.2233777736110694E-3</v>
      </c>
      <c r="AA146" s="24">
        <f t="shared" si="149"/>
        <v>-1.4776187825404044E-3</v>
      </c>
      <c r="AB146" s="328">
        <v>535695586.55000001</v>
      </c>
      <c r="AC146" s="328">
        <v>47.569400000000002</v>
      </c>
      <c r="AD146" s="24">
        <f t="shared" ref="AD146:AE148" si="150">((AB146-X146)/X146)</f>
        <v>-2.4718723637805431E-2</v>
      </c>
      <c r="AE146" s="24">
        <f t="shared" si="150"/>
        <v>-2.5021418235629225E-2</v>
      </c>
      <c r="AF146" s="328">
        <v>529813279.63999999</v>
      </c>
      <c r="AG146" s="328">
        <v>47.0655</v>
      </c>
      <c r="AH146" s="24">
        <f t="shared" ref="AH146:AI148" si="151">((AF146-AB146)/AB146)</f>
        <v>-1.0980689514138813E-2</v>
      </c>
      <c r="AI146" s="24">
        <f t="shared" si="151"/>
        <v>-1.0592944203626734E-2</v>
      </c>
      <c r="AJ146" s="25">
        <f t="shared" si="138"/>
        <v>4.2567482047439721E-4</v>
      </c>
      <c r="AK146" s="25">
        <f t="shared" si="139"/>
        <v>-1.7682488606039705E-3</v>
      </c>
      <c r="AL146" s="26">
        <f t="shared" si="140"/>
        <v>-0.15696087460440566</v>
      </c>
      <c r="AM146" s="26">
        <f t="shared" si="141"/>
        <v>-2.6832384953849188E-2</v>
      </c>
      <c r="AN146" s="27">
        <f t="shared" si="142"/>
        <v>8.0619982324676528E-2</v>
      </c>
      <c r="AO146" s="79">
        <f t="shared" si="143"/>
        <v>1.1744345905978979E-2</v>
      </c>
    </row>
    <row r="147" spans="1:41">
      <c r="A147" s="209" t="s">
        <v>196</v>
      </c>
      <c r="B147" s="327">
        <v>604647092.69000006</v>
      </c>
      <c r="C147" s="328">
        <v>16.607099999999999</v>
      </c>
      <c r="D147" s="327">
        <v>606551001.63</v>
      </c>
      <c r="E147" s="328">
        <v>16.530100000000001</v>
      </c>
      <c r="F147" s="24">
        <f t="shared" si="144"/>
        <v>3.1487936732312446E-3</v>
      </c>
      <c r="G147" s="24">
        <f t="shared" si="144"/>
        <v>-4.6365711051296245E-3</v>
      </c>
      <c r="H147" s="327">
        <v>609902852.71000004</v>
      </c>
      <c r="I147" s="328">
        <v>16.796399999999998</v>
      </c>
      <c r="J147" s="24">
        <f t="shared" si="145"/>
        <v>5.5260828372099427E-3</v>
      </c>
      <c r="K147" s="24">
        <f t="shared" si="145"/>
        <v>1.6110005384117308E-2</v>
      </c>
      <c r="L147" s="327">
        <v>613676815.48000002</v>
      </c>
      <c r="M147" s="328">
        <v>16.839200000000002</v>
      </c>
      <c r="N147" s="24">
        <f t="shared" si="146"/>
        <v>6.1878096703942547E-3</v>
      </c>
      <c r="O147" s="24">
        <f t="shared" si="146"/>
        <v>2.5481650829941704E-3</v>
      </c>
      <c r="P147" s="327">
        <v>606564709.72000003</v>
      </c>
      <c r="Q147" s="328">
        <v>16.714099999999998</v>
      </c>
      <c r="R147" s="24">
        <f t="shared" si="147"/>
        <v>-1.1589334288989082E-2</v>
      </c>
      <c r="S147" s="24">
        <f t="shared" si="147"/>
        <v>-7.429094018718425E-3</v>
      </c>
      <c r="T147" s="327">
        <v>607964722.22000003</v>
      </c>
      <c r="U147" s="328">
        <v>16.6525</v>
      </c>
      <c r="V147" s="24">
        <f t="shared" si="148"/>
        <v>2.308100813590471E-3</v>
      </c>
      <c r="W147" s="24">
        <f t="shared" si="148"/>
        <v>-3.6855110355926163E-3</v>
      </c>
      <c r="X147" s="327">
        <v>606894083.29999995</v>
      </c>
      <c r="Y147" s="328">
        <v>16.6816</v>
      </c>
      <c r="Z147" s="24">
        <f t="shared" si="149"/>
        <v>-1.7610214554729566E-3</v>
      </c>
      <c r="AA147" s="24">
        <f t="shared" si="149"/>
        <v>1.7474853625581554E-3</v>
      </c>
      <c r="AB147" s="327">
        <v>606641779.87</v>
      </c>
      <c r="AC147" s="328">
        <v>16.731100000000001</v>
      </c>
      <c r="AD147" s="24">
        <f t="shared" si="150"/>
        <v>-4.1572893350358945E-4</v>
      </c>
      <c r="AE147" s="24">
        <f t="shared" si="150"/>
        <v>2.9673412622291551E-3</v>
      </c>
      <c r="AF147" s="327">
        <v>607464513.48000002</v>
      </c>
      <c r="AG147" s="328">
        <v>16.692299999999999</v>
      </c>
      <c r="AH147" s="24">
        <f t="shared" si="151"/>
        <v>1.3562099369026669E-3</v>
      </c>
      <c r="AI147" s="24">
        <f t="shared" si="151"/>
        <v>-2.3190346121893923E-3</v>
      </c>
      <c r="AJ147" s="25">
        <f t="shared" si="138"/>
        <v>5.9511403167036901E-4</v>
      </c>
      <c r="AK147" s="25">
        <f t="shared" si="139"/>
        <v>6.6284829003359128E-4</v>
      </c>
      <c r="AL147" s="26">
        <f t="shared" si="140"/>
        <v>1.5060759071291946E-3</v>
      </c>
      <c r="AM147" s="26">
        <f t="shared" si="141"/>
        <v>9.8124028287789287E-3</v>
      </c>
      <c r="AN147" s="27">
        <f t="shared" si="142"/>
        <v>5.6145414147444096E-3</v>
      </c>
      <c r="AO147" s="79">
        <f t="shared" si="143"/>
        <v>7.2704827689819744E-3</v>
      </c>
    </row>
    <row r="148" spans="1:41">
      <c r="A148" s="209" t="s">
        <v>25</v>
      </c>
      <c r="B148" s="327">
        <v>1917112639.5699999</v>
      </c>
      <c r="C148" s="328">
        <v>1.53</v>
      </c>
      <c r="D148" s="327">
        <v>1923400383.8399999</v>
      </c>
      <c r="E148" s="328">
        <v>1.53</v>
      </c>
      <c r="F148" s="24">
        <f t="shared" si="144"/>
        <v>3.2797990792081443E-3</v>
      </c>
      <c r="G148" s="24">
        <f t="shared" si="144"/>
        <v>0</v>
      </c>
      <c r="H148" s="327">
        <v>1934084517.97</v>
      </c>
      <c r="I148" s="328">
        <v>1.54</v>
      </c>
      <c r="J148" s="24">
        <f t="shared" si="145"/>
        <v>5.5548154298844547E-3</v>
      </c>
      <c r="K148" s="24">
        <f t="shared" si="145"/>
        <v>6.5359477124183061E-3</v>
      </c>
      <c r="L148" s="327">
        <v>1934084517.97</v>
      </c>
      <c r="M148" s="328">
        <v>1.54</v>
      </c>
      <c r="N148" s="24">
        <f t="shared" si="146"/>
        <v>0</v>
      </c>
      <c r="O148" s="24">
        <f t="shared" si="146"/>
        <v>0</v>
      </c>
      <c r="P148" s="327">
        <v>1896919676.9100001</v>
      </c>
      <c r="Q148" s="328">
        <v>1.51</v>
      </c>
      <c r="R148" s="24">
        <f t="shared" si="147"/>
        <v>-1.9215727500372048E-2</v>
      </c>
      <c r="S148" s="24">
        <f t="shared" si="147"/>
        <v>-1.9480519480519497E-2</v>
      </c>
      <c r="T148" s="327">
        <v>1904826585.9400001</v>
      </c>
      <c r="U148" s="328">
        <v>1.52</v>
      </c>
      <c r="V148" s="24">
        <f t="shared" si="148"/>
        <v>4.1682887927442366E-3</v>
      </c>
      <c r="W148" s="24">
        <f t="shared" si="148"/>
        <v>6.6225165562913968E-3</v>
      </c>
      <c r="X148" s="327">
        <v>1909452911.46</v>
      </c>
      <c r="Y148" s="328">
        <v>1.52</v>
      </c>
      <c r="Z148" s="24">
        <f t="shared" si="149"/>
        <v>2.4287384238271571E-3</v>
      </c>
      <c r="AA148" s="24">
        <f t="shared" si="149"/>
        <v>0</v>
      </c>
      <c r="AB148" s="327">
        <v>1902635686.27</v>
      </c>
      <c r="AC148" s="328">
        <v>1.52</v>
      </c>
      <c r="AD148" s="24">
        <f t="shared" si="150"/>
        <v>-3.5702504885483095E-3</v>
      </c>
      <c r="AE148" s="24">
        <f t="shared" si="150"/>
        <v>0</v>
      </c>
      <c r="AF148" s="327">
        <v>1260332552.6700001</v>
      </c>
      <c r="AG148" s="328">
        <v>1.52</v>
      </c>
      <c r="AH148" s="24">
        <f t="shared" si="151"/>
        <v>-0.33758598045598293</v>
      </c>
      <c r="AI148" s="24">
        <f t="shared" si="151"/>
        <v>0</v>
      </c>
      <c r="AJ148" s="25">
        <f t="shared" si="138"/>
        <v>-4.3117539589904913E-2</v>
      </c>
      <c r="AK148" s="25">
        <f t="shared" si="139"/>
        <v>-7.9025690147622443E-4</v>
      </c>
      <c r="AL148" s="26">
        <f t="shared" si="140"/>
        <v>-0.34473728753563448</v>
      </c>
      <c r="AM148" s="26">
        <f t="shared" si="141"/>
        <v>-6.5359477124183061E-3</v>
      </c>
      <c r="AN148" s="27">
        <f t="shared" si="142"/>
        <v>0.11924655956001523</v>
      </c>
      <c r="AO148" s="79">
        <f t="shared" si="143"/>
        <v>8.1158656743273369E-3</v>
      </c>
    </row>
    <row r="149" spans="1:41">
      <c r="A149" s="210" t="s">
        <v>42</v>
      </c>
      <c r="B149" s="222">
        <f>SUM(B146:B148)</f>
        <v>3061691984.0599999</v>
      </c>
      <c r="C149" s="88"/>
      <c r="D149" s="222">
        <f>SUM(D146:D148)</f>
        <v>3158407721.2200003</v>
      </c>
      <c r="E149" s="88"/>
      <c r="F149" s="24">
        <f>((D149-B149)/B149)</f>
        <v>3.1588983367212872E-2</v>
      </c>
      <c r="G149" s="24"/>
      <c r="H149" s="222">
        <f>SUM(H146:H148)</f>
        <v>3177550412.0600004</v>
      </c>
      <c r="I149" s="88"/>
      <c r="J149" s="24">
        <f>((H149-D149)/D149)</f>
        <v>6.0608675413843949E-3</v>
      </c>
      <c r="K149" s="24"/>
      <c r="L149" s="222">
        <f>SUM(L146:L148)</f>
        <v>3184420481.5600004</v>
      </c>
      <c r="M149" s="88"/>
      <c r="N149" s="24">
        <f>((L149-H149)/H149)</f>
        <v>2.1620646753315069E-3</v>
      </c>
      <c r="O149" s="24"/>
      <c r="P149" s="222">
        <f>SUM(P146:P148)</f>
        <v>3138053697.2600002</v>
      </c>
      <c r="Q149" s="88"/>
      <c r="R149" s="24">
        <f>((P149-L149)/L149)</f>
        <v>-1.4560509382632092E-2</v>
      </c>
      <c r="S149" s="24"/>
      <c r="T149" s="222">
        <f>SUM(T146:T148)</f>
        <v>3062737011.3699999</v>
      </c>
      <c r="U149" s="88"/>
      <c r="V149" s="24">
        <f>((T149-P149)/P149)</f>
        <v>-2.4001082567759534E-2</v>
      </c>
      <c r="W149" s="24"/>
      <c r="X149" s="222">
        <f>SUM(X146:X148)</f>
        <v>3065619906.6199999</v>
      </c>
      <c r="Y149" s="88"/>
      <c r="Z149" s="24">
        <f>((X149-T149)/T149)</f>
        <v>9.4128070392516183E-4</v>
      </c>
      <c r="AA149" s="24"/>
      <c r="AB149" s="222">
        <f>SUM(AB146:AB148)</f>
        <v>3044973052.6900001</v>
      </c>
      <c r="AC149" s="88"/>
      <c r="AD149" s="24">
        <f>((AB149-X149)/X149)</f>
        <v>-6.7349686389412914E-3</v>
      </c>
      <c r="AE149" s="24"/>
      <c r="AF149" s="222">
        <f>SUM(AF146:AF148)</f>
        <v>2397610345.79</v>
      </c>
      <c r="AG149" s="88"/>
      <c r="AH149" s="24">
        <f>((AF149-AB149)/AB149)</f>
        <v>-0.21260047156348552</v>
      </c>
      <c r="AI149" s="24"/>
      <c r="AJ149" s="25">
        <f t="shared" si="138"/>
        <v>-2.7142979483120562E-2</v>
      </c>
      <c r="AK149" s="25"/>
      <c r="AL149" s="26">
        <f t="shared" si="140"/>
        <v>-0.240880039115446</v>
      </c>
      <c r="AM149" s="26"/>
      <c r="AN149" s="27">
        <f t="shared" si="142"/>
        <v>7.6698489970489905E-2</v>
      </c>
      <c r="AO149" s="79"/>
    </row>
    <row r="150" spans="1:41" ht="8.25" customHeight="1">
      <c r="A150" s="210"/>
      <c r="B150" s="88"/>
      <c r="C150" s="88"/>
      <c r="D150" s="88"/>
      <c r="E150" s="88"/>
      <c r="F150" s="24"/>
      <c r="G150" s="24"/>
      <c r="H150" s="88"/>
      <c r="I150" s="88"/>
      <c r="J150" s="24"/>
      <c r="K150" s="24"/>
      <c r="L150" s="88"/>
      <c r="M150" s="88"/>
      <c r="N150" s="24"/>
      <c r="O150" s="24"/>
      <c r="P150" s="88"/>
      <c r="Q150" s="88"/>
      <c r="R150" s="24"/>
      <c r="S150" s="24"/>
      <c r="T150" s="88"/>
      <c r="U150" s="88"/>
      <c r="V150" s="24"/>
      <c r="W150" s="24"/>
      <c r="X150" s="88"/>
      <c r="Y150" s="88"/>
      <c r="Z150" s="24"/>
      <c r="AA150" s="24"/>
      <c r="AB150" s="88"/>
      <c r="AC150" s="88"/>
      <c r="AD150" s="24"/>
      <c r="AE150" s="24"/>
      <c r="AF150" s="88"/>
      <c r="AG150" s="88"/>
      <c r="AH150" s="24"/>
      <c r="AI150" s="24"/>
      <c r="AJ150" s="25"/>
      <c r="AK150" s="25"/>
      <c r="AL150" s="26"/>
      <c r="AM150" s="26"/>
      <c r="AN150" s="27"/>
      <c r="AO150" s="79"/>
    </row>
    <row r="151" spans="1:41">
      <c r="A151" s="213" t="s">
        <v>205</v>
      </c>
      <c r="B151" s="88"/>
      <c r="C151" s="88"/>
      <c r="D151" s="88"/>
      <c r="E151" s="88"/>
      <c r="F151" s="24"/>
      <c r="G151" s="24"/>
      <c r="H151" s="88"/>
      <c r="I151" s="88"/>
      <c r="J151" s="24"/>
      <c r="K151" s="24"/>
      <c r="L151" s="88"/>
      <c r="M151" s="88"/>
      <c r="N151" s="24"/>
      <c r="O151" s="24"/>
      <c r="P151" s="88"/>
      <c r="Q151" s="88"/>
      <c r="R151" s="24"/>
      <c r="S151" s="24"/>
      <c r="T151" s="88"/>
      <c r="U151" s="88"/>
      <c r="V151" s="24"/>
      <c r="W151" s="24"/>
      <c r="X151" s="88"/>
      <c r="Y151" s="88"/>
      <c r="Z151" s="24"/>
      <c r="AA151" s="24"/>
      <c r="AB151" s="88"/>
      <c r="AC151" s="88"/>
      <c r="AD151" s="24"/>
      <c r="AE151" s="24"/>
      <c r="AF151" s="88"/>
      <c r="AG151" s="88"/>
      <c r="AH151" s="24"/>
      <c r="AI151" s="24"/>
      <c r="AJ151" s="25"/>
      <c r="AK151" s="25"/>
      <c r="AL151" s="26"/>
      <c r="AM151" s="26"/>
      <c r="AN151" s="27"/>
      <c r="AO151" s="79"/>
    </row>
    <row r="152" spans="1:41">
      <c r="A152" s="214" t="s">
        <v>206</v>
      </c>
      <c r="B152" s="88"/>
      <c r="C152" s="88"/>
      <c r="D152" s="88"/>
      <c r="E152" s="88"/>
      <c r="F152" s="24"/>
      <c r="G152" s="24"/>
      <c r="H152" s="88"/>
      <c r="I152" s="88"/>
      <c r="J152" s="24"/>
      <c r="K152" s="24"/>
      <c r="L152" s="88"/>
      <c r="M152" s="88"/>
      <c r="N152" s="24"/>
      <c r="O152" s="24"/>
      <c r="P152" s="88"/>
      <c r="Q152" s="88"/>
      <c r="R152" s="24"/>
      <c r="S152" s="24"/>
      <c r="T152" s="88"/>
      <c r="U152" s="88"/>
      <c r="V152" s="24"/>
      <c r="W152" s="24"/>
      <c r="X152" s="88"/>
      <c r="Y152" s="88"/>
      <c r="Z152" s="24"/>
      <c r="AA152" s="24"/>
      <c r="AB152" s="88"/>
      <c r="AC152" s="88"/>
      <c r="AD152" s="24"/>
      <c r="AE152" s="24"/>
      <c r="AF152" s="88"/>
      <c r="AG152" s="88"/>
      <c r="AH152" s="24"/>
      <c r="AI152" s="24"/>
      <c r="AJ152" s="25"/>
      <c r="AK152" s="25"/>
      <c r="AL152" s="26"/>
      <c r="AM152" s="26"/>
      <c r="AN152" s="27"/>
      <c r="AO152" s="79"/>
    </row>
    <row r="153" spans="1:41">
      <c r="A153" s="209" t="s">
        <v>24</v>
      </c>
      <c r="B153" s="322">
        <v>3694196489.5900002</v>
      </c>
      <c r="C153" s="323">
        <v>1.84</v>
      </c>
      <c r="D153" s="322">
        <v>3704052082.0500002</v>
      </c>
      <c r="E153" s="323">
        <v>1.85</v>
      </c>
      <c r="F153" s="24">
        <f>((D146-B153)/B153)</f>
        <v>-0.82988010044377769</v>
      </c>
      <c r="G153" s="24">
        <f>((E153-C153)/C153)</f>
        <v>5.4347826086956564E-3</v>
      </c>
      <c r="H153" s="322">
        <v>3729180385.1900001</v>
      </c>
      <c r="I153" s="323">
        <v>1.86</v>
      </c>
      <c r="J153" s="24">
        <f>((H146-D153)/D153)</f>
        <v>-0.82895406777613234</v>
      </c>
      <c r="K153" s="24">
        <f>((I153-E153)/E153)</f>
        <v>5.40540540540541E-3</v>
      </c>
      <c r="L153" s="322">
        <v>3735111784.6900001</v>
      </c>
      <c r="M153" s="323">
        <v>1.86</v>
      </c>
      <c r="N153" s="24">
        <f>((L146-H153)/H153)</f>
        <v>-0.82927638720872376</v>
      </c>
      <c r="O153" s="24">
        <f>((M153-I153)/I153)</f>
        <v>0</v>
      </c>
      <c r="P153" s="322">
        <v>3745618807.2600002</v>
      </c>
      <c r="Q153" s="323">
        <v>1.86</v>
      </c>
      <c r="R153" s="24">
        <f>((P146-L153)/L153)</f>
        <v>-0.8301070095864167</v>
      </c>
      <c r="S153" s="24">
        <f>((Q153-M153)/M153)</f>
        <v>0</v>
      </c>
      <c r="T153" s="322">
        <v>3724875608.98</v>
      </c>
      <c r="U153" s="323">
        <v>1.85</v>
      </c>
      <c r="V153" s="24">
        <f>((T146-P153)/P153)</f>
        <v>-0.85317627566797249</v>
      </c>
      <c r="W153" s="24">
        <f>((U153-Q153)/Q153)</f>
        <v>-5.3763440860215101E-3</v>
      </c>
      <c r="X153" s="322">
        <v>3701217416.4699998</v>
      </c>
      <c r="Y153" s="323">
        <v>1.84</v>
      </c>
      <c r="Z153" s="24">
        <f>((X146-T153)/T153)</f>
        <v>-0.85253926049616191</v>
      </c>
      <c r="AA153" s="24">
        <f>((Y153-U153)/U153)</f>
        <v>-5.40540540540541E-3</v>
      </c>
      <c r="AB153" s="322">
        <v>3701217416.4699998</v>
      </c>
      <c r="AC153" s="323">
        <v>1.84</v>
      </c>
      <c r="AD153" s="24">
        <f>((AB146-X153)/X153)</f>
        <v>-0.85526503140123156</v>
      </c>
      <c r="AE153" s="24">
        <f>((AC153-Y153)/Y153)</f>
        <v>0</v>
      </c>
      <c r="AF153" s="322">
        <v>3475846099.6700001</v>
      </c>
      <c r="AG153" s="323">
        <v>1.73</v>
      </c>
      <c r="AH153" s="24">
        <f>((AF146-AB153)/AB153)</f>
        <v>-0.85685432115325333</v>
      </c>
      <c r="AI153" s="24">
        <f>((AG153-AC153)/AC153)</f>
        <v>-5.9782608695652224E-2</v>
      </c>
      <c r="AJ153" s="25">
        <f t="shared" si="138"/>
        <v>-0.84200655671670877</v>
      </c>
      <c r="AK153" s="25">
        <f t="shared" si="139"/>
        <v>-7.4655212716222595E-3</v>
      </c>
      <c r="AL153" s="26">
        <f t="shared" si="140"/>
        <v>-6.1609820090245591E-2</v>
      </c>
      <c r="AM153" s="26">
        <f t="shared" si="141"/>
        <v>-6.4864864864864924E-2</v>
      </c>
      <c r="AN153" s="27">
        <f t="shared" si="142"/>
        <v>1.3379187339032155E-2</v>
      </c>
      <c r="AO153" s="79">
        <f t="shared" si="143"/>
        <v>2.1530599462591338E-2</v>
      </c>
    </row>
    <row r="154" spans="1:41">
      <c r="A154" s="208" t="s">
        <v>66</v>
      </c>
      <c r="B154" s="322">
        <v>316063836.01999998</v>
      </c>
      <c r="C154" s="323">
        <v>279.16000000000003</v>
      </c>
      <c r="D154" s="322">
        <v>315831733.38</v>
      </c>
      <c r="E154" s="323">
        <v>279.20999999999998</v>
      </c>
      <c r="F154" s="24">
        <f>((D147-B154)/B154)</f>
        <v>0.9190775169596388</v>
      </c>
      <c r="G154" s="24">
        <f>((E154-C154)/C154)</f>
        <v>1.7910875483577346E-4</v>
      </c>
      <c r="H154" s="322">
        <v>315771008.35000002</v>
      </c>
      <c r="I154" s="323">
        <v>284.22000000000003</v>
      </c>
      <c r="J154" s="24">
        <f>((H147-D154)/D154)</f>
        <v>0.93110060912144577</v>
      </c>
      <c r="K154" s="24">
        <f>((I154-E154)/E154)</f>
        <v>1.7943483399591877E-2</v>
      </c>
      <c r="L154" s="322">
        <v>316733964.77999997</v>
      </c>
      <c r="M154" s="323">
        <v>285.5</v>
      </c>
      <c r="N154" s="24">
        <f>((L147-H154)/H154)</f>
        <v>0.94342355457725158</v>
      </c>
      <c r="O154" s="24">
        <f>((M154-I154)/I154)</f>
        <v>4.5035535852507658E-3</v>
      </c>
      <c r="P154" s="322">
        <v>315651675.77999997</v>
      </c>
      <c r="Q154" s="323">
        <v>281.76</v>
      </c>
      <c r="R154" s="24">
        <f>((P147-L154)/L154)</f>
        <v>0.91506051503290275</v>
      </c>
      <c r="S154" s="24">
        <f>((Q154-M154)/M154)</f>
        <v>-1.309982486865152E-2</v>
      </c>
      <c r="T154" s="322">
        <v>311592445.26999998</v>
      </c>
      <c r="U154" s="323">
        <v>281.85000000000002</v>
      </c>
      <c r="V154" s="24">
        <f>((T147-P154)/P154)</f>
        <v>0.92606207686897801</v>
      </c>
      <c r="W154" s="24">
        <f>((U154-Q154)/Q154)</f>
        <v>3.1942078364576888E-4</v>
      </c>
      <c r="X154" s="322">
        <v>309021966.91000003</v>
      </c>
      <c r="Y154" s="323">
        <v>278.35000000000002</v>
      </c>
      <c r="Z154" s="24">
        <f>((X147-T154)/T154)</f>
        <v>0.94771757952641067</v>
      </c>
      <c r="AA154" s="24">
        <f>((Y154-U154)/U154)</f>
        <v>-1.2417952811779313E-2</v>
      </c>
      <c r="AB154" s="322">
        <v>313334241.54000002</v>
      </c>
      <c r="AC154" s="323">
        <v>290.57</v>
      </c>
      <c r="AD154" s="24">
        <f>((AB147-X154)/X154)</f>
        <v>0.96310244846341031</v>
      </c>
      <c r="AE154" s="24">
        <f>((AC154-Y154)/Y154)</f>
        <v>4.3901562780671706E-2</v>
      </c>
      <c r="AF154" s="322">
        <v>314258086.06999999</v>
      </c>
      <c r="AG154" s="323">
        <v>278.49</v>
      </c>
      <c r="AH154" s="24">
        <f>((AF147-AB154)/AB154)</f>
        <v>0.93871091296752363</v>
      </c>
      <c r="AI154" s="24">
        <f>((AG154-AC154)/AC154)</f>
        <v>-4.1573459063220512E-2</v>
      </c>
      <c r="AJ154" s="25">
        <f t="shared" si="138"/>
        <v>0.93553190168969513</v>
      </c>
      <c r="AK154" s="25">
        <f t="shared" si="139"/>
        <v>-3.0513429956931411E-5</v>
      </c>
      <c r="AL154" s="26">
        <f t="shared" si="140"/>
        <v>-4.9825497050565012E-3</v>
      </c>
      <c r="AM154" s="26">
        <f t="shared" si="141"/>
        <v>-2.578704201138822E-3</v>
      </c>
      <c r="AN154" s="27">
        <f t="shared" si="142"/>
        <v>1.5947003642427515E-2</v>
      </c>
      <c r="AO154" s="79">
        <f t="shared" si="143"/>
        <v>2.4853536480537695E-2</v>
      </c>
    </row>
    <row r="155" spans="1:41" ht="8.25" customHeight="1">
      <c r="A155" s="210"/>
      <c r="B155" s="88"/>
      <c r="C155" s="88"/>
      <c r="D155" s="88"/>
      <c r="E155" s="88"/>
      <c r="F155" s="24"/>
      <c r="G155" s="24"/>
      <c r="H155" s="88"/>
      <c r="I155" s="88"/>
      <c r="J155" s="24"/>
      <c r="K155" s="24"/>
      <c r="L155" s="88"/>
      <c r="M155" s="88"/>
      <c r="N155" s="24"/>
      <c r="O155" s="24"/>
      <c r="P155" s="88"/>
      <c r="Q155" s="88"/>
      <c r="R155" s="24"/>
      <c r="S155" s="24"/>
      <c r="T155" s="88"/>
      <c r="U155" s="88"/>
      <c r="V155" s="24"/>
      <c r="W155" s="24"/>
      <c r="X155" s="88"/>
      <c r="Y155" s="88"/>
      <c r="Z155" s="24"/>
      <c r="AA155" s="24"/>
      <c r="AB155" s="88"/>
      <c r="AC155" s="88"/>
      <c r="AD155" s="24"/>
      <c r="AE155" s="24"/>
      <c r="AF155" s="88"/>
      <c r="AG155" s="88"/>
      <c r="AH155" s="24"/>
      <c r="AI155" s="24"/>
      <c r="AJ155" s="25"/>
      <c r="AK155" s="25"/>
      <c r="AL155" s="26"/>
      <c r="AM155" s="26"/>
      <c r="AN155" s="27"/>
      <c r="AO155" s="79"/>
    </row>
    <row r="156" spans="1:41">
      <c r="A156" s="214" t="s">
        <v>207</v>
      </c>
      <c r="B156" s="88"/>
      <c r="C156" s="88"/>
      <c r="D156" s="88"/>
      <c r="E156" s="88"/>
      <c r="F156" s="24"/>
      <c r="G156" s="24"/>
      <c r="H156" s="88"/>
      <c r="I156" s="88"/>
      <c r="J156" s="24"/>
      <c r="K156" s="24"/>
      <c r="L156" s="88"/>
      <c r="M156" s="88"/>
      <c r="N156" s="24"/>
      <c r="O156" s="24"/>
      <c r="P156" s="88"/>
      <c r="Q156" s="88"/>
      <c r="R156" s="24"/>
      <c r="S156" s="24"/>
      <c r="T156" s="88"/>
      <c r="U156" s="88"/>
      <c r="V156" s="24"/>
      <c r="W156" s="24"/>
      <c r="X156" s="88"/>
      <c r="Y156" s="88"/>
      <c r="Z156" s="24"/>
      <c r="AA156" s="24"/>
      <c r="AB156" s="88"/>
      <c r="AC156" s="88"/>
      <c r="AD156" s="24"/>
      <c r="AE156" s="24"/>
      <c r="AF156" s="88"/>
      <c r="AG156" s="88"/>
      <c r="AH156" s="24"/>
      <c r="AI156" s="24"/>
      <c r="AJ156" s="25"/>
      <c r="AK156" s="25"/>
      <c r="AL156" s="26"/>
      <c r="AM156" s="26"/>
      <c r="AN156" s="27"/>
      <c r="AO156" s="79"/>
    </row>
    <row r="157" spans="1:41">
      <c r="A157" s="208" t="s">
        <v>237</v>
      </c>
      <c r="B157" s="332">
        <v>499525503.55000001</v>
      </c>
      <c r="C157" s="332">
        <v>1046.75</v>
      </c>
      <c r="D157" s="332">
        <v>500039594.88999999</v>
      </c>
      <c r="E157" s="332">
        <v>1047.83</v>
      </c>
      <c r="F157" s="24">
        <f t="shared" ref="F157:G165" si="152">((D157-B157)/B157)</f>
        <v>1.0291593449112369E-3</v>
      </c>
      <c r="G157" s="24">
        <f t="shared" si="152"/>
        <v>1.0317649868640338E-3</v>
      </c>
      <c r="H157" s="332">
        <v>501142243.58999997</v>
      </c>
      <c r="I157" s="332">
        <v>1050.1400000000001</v>
      </c>
      <c r="J157" s="24">
        <f t="shared" ref="J157:K165" si="153">((H157-D157)/D157)</f>
        <v>2.2051227768124073E-3</v>
      </c>
      <c r="K157" s="24">
        <f t="shared" si="153"/>
        <v>2.2045560825708112E-3</v>
      </c>
      <c r="L157" s="332">
        <v>502547123.88999999</v>
      </c>
      <c r="M157" s="332">
        <v>1053.0899999999999</v>
      </c>
      <c r="N157" s="24">
        <f t="shared" ref="N157:O165" si="154">((L157-H157)/H157)</f>
        <v>2.8033563683156357E-3</v>
      </c>
      <c r="O157" s="24">
        <f t="shared" si="154"/>
        <v>2.809149256289464E-3</v>
      </c>
      <c r="P157" s="332">
        <v>503284232.76999998</v>
      </c>
      <c r="Q157" s="332">
        <v>1053.0899999999999</v>
      </c>
      <c r="R157" s="24">
        <f t="shared" ref="R157:S165" si="155">((P157-L157)/L157)</f>
        <v>1.4667457934976408E-3</v>
      </c>
      <c r="S157" s="24">
        <f t="shared" si="155"/>
        <v>0</v>
      </c>
      <c r="T157" s="332">
        <v>504384370.08999997</v>
      </c>
      <c r="U157" s="332">
        <v>1057.78</v>
      </c>
      <c r="V157" s="24">
        <f t="shared" ref="V157:W165" si="156">((T157-P157)/P157)</f>
        <v>2.1859165226476582E-3</v>
      </c>
      <c r="W157" s="24">
        <f t="shared" si="156"/>
        <v>4.4535604744134448E-3</v>
      </c>
      <c r="X157" s="332">
        <v>504119730.38999999</v>
      </c>
      <c r="Y157" s="332">
        <v>1057.54</v>
      </c>
      <c r="Z157" s="24">
        <f t="shared" ref="Z157:AA165" si="157">((X157-T157)/T157)</f>
        <v>-5.2467862942058856E-4</v>
      </c>
      <c r="AA157" s="24">
        <f t="shared" si="157"/>
        <v>-2.2689027964227826E-4</v>
      </c>
      <c r="AB157" s="332">
        <v>505216746.68000001</v>
      </c>
      <c r="AC157" s="332">
        <v>1059.8399999999999</v>
      </c>
      <c r="AD157" s="24">
        <f t="shared" ref="AD157:AE165" si="158">((AB157-X157)/X157)</f>
        <v>2.176102667418594E-3</v>
      </c>
      <c r="AE157" s="24">
        <f t="shared" si="158"/>
        <v>2.1748586341887349E-3</v>
      </c>
      <c r="AF157" s="332">
        <v>506151844.31</v>
      </c>
      <c r="AG157" s="332">
        <v>1061.8</v>
      </c>
      <c r="AH157" s="24">
        <f t="shared" ref="AH157:AI165" si="159">((AF157-AB157)/AB157)</f>
        <v>1.8508840733109707E-3</v>
      </c>
      <c r="AI157" s="24">
        <f t="shared" si="159"/>
        <v>1.849335748792305E-3</v>
      </c>
      <c r="AJ157" s="25">
        <f t="shared" si="138"/>
        <v>1.6490761146866944E-3</v>
      </c>
      <c r="AK157" s="25">
        <f t="shared" si="139"/>
        <v>1.7870418629345644E-3</v>
      </c>
      <c r="AL157" s="26">
        <f t="shared" si="140"/>
        <v>1.2223530861280306E-2</v>
      </c>
      <c r="AM157" s="26">
        <f t="shared" si="141"/>
        <v>1.3332315356498696E-2</v>
      </c>
      <c r="AN157" s="27">
        <f t="shared" si="142"/>
        <v>1.0275478919982105E-3</v>
      </c>
      <c r="AO157" s="79">
        <f t="shared" si="143"/>
        <v>1.5261300254989223E-3</v>
      </c>
    </row>
    <row r="158" spans="1:41">
      <c r="A158" s="208" t="s">
        <v>240</v>
      </c>
      <c r="B158" s="332">
        <v>54625839.579999998</v>
      </c>
      <c r="C158" s="332">
        <v>104.13</v>
      </c>
      <c r="D158" s="332">
        <v>54736038.090000004</v>
      </c>
      <c r="E158" s="332">
        <v>104.24</v>
      </c>
      <c r="F158" s="24">
        <f t="shared" si="152"/>
        <v>2.0173330212823314E-3</v>
      </c>
      <c r="G158" s="24">
        <f t="shared" si="152"/>
        <v>1.0563718428886913E-3</v>
      </c>
      <c r="H158" s="332">
        <v>55007752.780000001</v>
      </c>
      <c r="I158" s="332">
        <v>104.35</v>
      </c>
      <c r="J158" s="24">
        <f t="shared" si="153"/>
        <v>4.9640912912481787E-3</v>
      </c>
      <c r="K158" s="24">
        <f t="shared" si="153"/>
        <v>1.055257099002297E-3</v>
      </c>
      <c r="L158" s="332">
        <v>55133774.630000003</v>
      </c>
      <c r="M158" s="332">
        <v>104.47</v>
      </c>
      <c r="N158" s="24">
        <f t="shared" si="154"/>
        <v>2.2909834274455428E-3</v>
      </c>
      <c r="O158" s="24">
        <f t="shared" si="154"/>
        <v>1.1499760421658318E-3</v>
      </c>
      <c r="P158" s="332">
        <v>59734399.329999998</v>
      </c>
      <c r="Q158" s="332">
        <v>104.56</v>
      </c>
      <c r="R158" s="24">
        <f t="shared" si="155"/>
        <v>8.3444761960786415E-2</v>
      </c>
      <c r="S158" s="24">
        <f t="shared" si="155"/>
        <v>8.6149133722603056E-4</v>
      </c>
      <c r="T158" s="332">
        <v>59786106.200000003</v>
      </c>
      <c r="U158" s="332">
        <v>104.67</v>
      </c>
      <c r="V158" s="24">
        <f t="shared" si="156"/>
        <v>8.6561295635287957E-4</v>
      </c>
      <c r="W158" s="24">
        <f t="shared" si="156"/>
        <v>1.0520275439938737E-3</v>
      </c>
      <c r="X158" s="332">
        <v>59919011.560000002</v>
      </c>
      <c r="Y158" s="332">
        <v>104.75</v>
      </c>
      <c r="Z158" s="24">
        <f t="shared" si="157"/>
        <v>2.2230141490632719E-3</v>
      </c>
      <c r="AA158" s="24">
        <f t="shared" si="157"/>
        <v>7.6430686920797065E-4</v>
      </c>
      <c r="AB158" s="332">
        <v>60554726.810000002</v>
      </c>
      <c r="AC158" s="332">
        <v>104.91</v>
      </c>
      <c r="AD158" s="24">
        <f t="shared" si="158"/>
        <v>1.0609575048871183E-2</v>
      </c>
      <c r="AE158" s="24">
        <f t="shared" si="158"/>
        <v>1.5274463007159578E-3</v>
      </c>
      <c r="AF158" s="332">
        <v>60658610.350000001</v>
      </c>
      <c r="AG158" s="332">
        <v>105.01</v>
      </c>
      <c r="AH158" s="24">
        <f t="shared" si="159"/>
        <v>1.7155314782601543E-3</v>
      </c>
      <c r="AI158" s="24">
        <f t="shared" si="159"/>
        <v>9.5319797922036541E-4</v>
      </c>
      <c r="AJ158" s="25">
        <f t="shared" si="138"/>
        <v>1.3516362916663744E-2</v>
      </c>
      <c r="AK158" s="25">
        <f t="shared" si="139"/>
        <v>1.0525093768026274E-3</v>
      </c>
      <c r="AL158" s="26">
        <f t="shared" si="140"/>
        <v>0.10820242872276907</v>
      </c>
      <c r="AM158" s="26">
        <f t="shared" si="141"/>
        <v>7.386799693016215E-3</v>
      </c>
      <c r="AN158" s="27">
        <f t="shared" si="142"/>
        <v>2.8426972642524136E-2</v>
      </c>
      <c r="AO158" s="79">
        <f t="shared" si="143"/>
        <v>2.2819129314019605E-4</v>
      </c>
    </row>
    <row r="159" spans="1:41">
      <c r="A159" s="208" t="s">
        <v>244</v>
      </c>
      <c r="B159" s="327">
        <v>51349603.399999999</v>
      </c>
      <c r="C159" s="328">
        <v>101.56</v>
      </c>
      <c r="D159" s="327">
        <v>51349603.399999999</v>
      </c>
      <c r="E159" s="328">
        <v>101.46</v>
      </c>
      <c r="F159" s="24">
        <f t="shared" si="152"/>
        <v>0</v>
      </c>
      <c r="G159" s="24">
        <f t="shared" si="152"/>
        <v>-9.8463962189846918E-4</v>
      </c>
      <c r="H159" s="327">
        <v>51441969.899999999</v>
      </c>
      <c r="I159" s="328">
        <v>101.67</v>
      </c>
      <c r="J159" s="24">
        <f t="shared" si="153"/>
        <v>1.79877728130613E-3</v>
      </c>
      <c r="K159" s="24">
        <f t="shared" si="153"/>
        <v>2.069781194559511E-3</v>
      </c>
      <c r="L159" s="327">
        <v>51498033.109999999</v>
      </c>
      <c r="M159" s="328">
        <v>101.89</v>
      </c>
      <c r="N159" s="24">
        <f t="shared" si="154"/>
        <v>1.0898340423001742E-3</v>
      </c>
      <c r="O159" s="24">
        <f t="shared" si="154"/>
        <v>2.1638634798858943E-3</v>
      </c>
      <c r="P159" s="327">
        <v>51559080.990000002</v>
      </c>
      <c r="Q159" s="328">
        <v>102.13</v>
      </c>
      <c r="R159" s="24">
        <f t="shared" si="155"/>
        <v>1.1854410025641984E-3</v>
      </c>
      <c r="S159" s="24">
        <f t="shared" si="155"/>
        <v>2.3554814015113836E-3</v>
      </c>
      <c r="T159" s="327">
        <v>51623856.520000003</v>
      </c>
      <c r="U159" s="328">
        <v>102.37</v>
      </c>
      <c r="V159" s="24">
        <f t="shared" si="156"/>
        <v>1.256336008249731E-3</v>
      </c>
      <c r="W159" s="24">
        <f t="shared" si="156"/>
        <v>2.349946147067552E-3</v>
      </c>
      <c r="X159" s="327">
        <v>51689431.939999998</v>
      </c>
      <c r="Y159" s="328">
        <v>102.37</v>
      </c>
      <c r="Z159" s="24">
        <f t="shared" si="157"/>
        <v>1.2702541890606187E-3</v>
      </c>
      <c r="AA159" s="24">
        <f t="shared" si="157"/>
        <v>0</v>
      </c>
      <c r="AB159" s="327">
        <v>51756086.100000001</v>
      </c>
      <c r="AC159" s="328">
        <v>102.87</v>
      </c>
      <c r="AD159" s="24">
        <f t="shared" si="158"/>
        <v>1.2895123335341472E-3</v>
      </c>
      <c r="AE159" s="24">
        <f t="shared" si="158"/>
        <v>4.8842434306925857E-3</v>
      </c>
      <c r="AF159" s="327">
        <v>51822704.93</v>
      </c>
      <c r="AG159" s="328">
        <v>103.04</v>
      </c>
      <c r="AH159" s="24">
        <f t="shared" si="159"/>
        <v>1.2871690079362128E-3</v>
      </c>
      <c r="AI159" s="24">
        <f t="shared" si="159"/>
        <v>1.6525712063769971E-3</v>
      </c>
      <c r="AJ159" s="25">
        <f t="shared" si="138"/>
        <v>1.1471654831189016E-3</v>
      </c>
      <c r="AK159" s="25">
        <f t="shared" si="139"/>
        <v>1.8114059047744319E-3</v>
      </c>
      <c r="AL159" s="26">
        <f t="shared" si="140"/>
        <v>9.2133434082180502E-3</v>
      </c>
      <c r="AM159" s="26">
        <f t="shared" si="141"/>
        <v>1.5572639463828234E-2</v>
      </c>
      <c r="AN159" s="27">
        <f t="shared" si="142"/>
        <v>5.088181174564575E-4</v>
      </c>
      <c r="AO159" s="79">
        <f t="shared" si="143"/>
        <v>1.7461651342514908E-3</v>
      </c>
    </row>
    <row r="160" spans="1:41" s="294" customFormat="1">
      <c r="A160" s="208" t="s">
        <v>193</v>
      </c>
      <c r="B160" s="332">
        <v>8149133404.1099997</v>
      </c>
      <c r="C160" s="332">
        <v>124.99</v>
      </c>
      <c r="D160" s="332">
        <v>8098892740.7600002</v>
      </c>
      <c r="E160" s="332">
        <v>125.3</v>
      </c>
      <c r="F160" s="24">
        <f t="shared" si="152"/>
        <v>-6.165154116223039E-3</v>
      </c>
      <c r="G160" s="24">
        <f>((E160-C160)/C160)</f>
        <v>2.4801984158732884E-3</v>
      </c>
      <c r="H160" s="332">
        <v>8135815634.6999998</v>
      </c>
      <c r="I160" s="332">
        <v>125.6</v>
      </c>
      <c r="J160" s="24">
        <f t="shared" si="153"/>
        <v>4.5590051778528354E-3</v>
      </c>
      <c r="K160" s="24">
        <f>((I160-E160)/E160)</f>
        <v>2.3942537909018131E-3</v>
      </c>
      <c r="L160" s="332">
        <v>9569206492.7600002</v>
      </c>
      <c r="M160" s="332">
        <v>125.86</v>
      </c>
      <c r="N160" s="24">
        <f t="shared" si="154"/>
        <v>0.17618280974146672</v>
      </c>
      <c r="O160" s="24">
        <f>((M160-I160)/I160)</f>
        <v>2.0700636942675567E-3</v>
      </c>
      <c r="P160" s="332">
        <v>9585802507.4300003</v>
      </c>
      <c r="Q160" s="332">
        <v>126.06</v>
      </c>
      <c r="R160" s="24">
        <f t="shared" si="155"/>
        <v>1.7343146145457843E-3</v>
      </c>
      <c r="S160" s="24">
        <f>((Q160-M160)/M160)</f>
        <v>1.5890672175433247E-3</v>
      </c>
      <c r="T160" s="332">
        <v>9572672977.6900005</v>
      </c>
      <c r="U160" s="332">
        <v>126.29</v>
      </c>
      <c r="V160" s="24">
        <f t="shared" si="156"/>
        <v>-1.36968498253777E-3</v>
      </c>
      <c r="W160" s="24">
        <f>((U160-Q160)/Q160)</f>
        <v>1.8245280025385052E-3</v>
      </c>
      <c r="X160" s="332">
        <v>9707912957.2900009</v>
      </c>
      <c r="Y160" s="332">
        <v>126.56</v>
      </c>
      <c r="Z160" s="24">
        <f t="shared" si="157"/>
        <v>1.4127713326799072E-2</v>
      </c>
      <c r="AA160" s="24">
        <f>((Y160-U160)/U160)</f>
        <v>2.1379364953677728E-3</v>
      </c>
      <c r="AB160" s="332">
        <v>9723574730.7199993</v>
      </c>
      <c r="AC160" s="332">
        <v>126.82</v>
      </c>
      <c r="AD160" s="24">
        <f t="shared" si="158"/>
        <v>1.6132997379459857E-3</v>
      </c>
      <c r="AE160" s="24">
        <f>((AC160-Y160)/Y160)</f>
        <v>2.0543615676358322E-3</v>
      </c>
      <c r="AF160" s="332">
        <v>9747458900.7199993</v>
      </c>
      <c r="AG160" s="332">
        <v>127.17</v>
      </c>
      <c r="AH160" s="24">
        <f t="shared" si="159"/>
        <v>2.4563157749528043E-3</v>
      </c>
      <c r="AI160" s="24">
        <f>((AG160-AC160)/AC160)</f>
        <v>2.7598170635547118E-3</v>
      </c>
      <c r="AJ160" s="25">
        <f t="shared" si="138"/>
        <v>2.4142327409350298E-2</v>
      </c>
      <c r="AK160" s="25">
        <f t="shared" si="139"/>
        <v>2.1637782809603508E-3</v>
      </c>
      <c r="AL160" s="26">
        <f t="shared" si="140"/>
        <v>0.20355451204621061</v>
      </c>
      <c r="AM160" s="26">
        <f t="shared" si="141"/>
        <v>1.4924181963288145E-2</v>
      </c>
      <c r="AN160" s="27">
        <f t="shared" si="142"/>
        <v>6.1701438639366737E-2</v>
      </c>
      <c r="AO160" s="79">
        <f t="shared" si="143"/>
        <v>3.7326908896498498E-4</v>
      </c>
    </row>
    <row r="161" spans="1:41" s="308" customFormat="1">
      <c r="A161" s="208" t="s">
        <v>180</v>
      </c>
      <c r="B161" s="332">
        <v>358893531.20999998</v>
      </c>
      <c r="C161" s="333">
        <v>101.87</v>
      </c>
      <c r="D161" s="332">
        <v>369919581.81</v>
      </c>
      <c r="E161" s="333">
        <v>102.04</v>
      </c>
      <c r="F161" s="24">
        <f t="shared" si="152"/>
        <v>3.072234420839514E-2</v>
      </c>
      <c r="G161" s="24">
        <f>((E161-C161)/C161)</f>
        <v>1.6687935604201599E-3</v>
      </c>
      <c r="H161" s="332">
        <v>381770254.94</v>
      </c>
      <c r="I161" s="333">
        <v>102.2</v>
      </c>
      <c r="J161" s="24">
        <f t="shared" si="153"/>
        <v>3.2035809166995652E-2</v>
      </c>
      <c r="K161" s="24">
        <f>((I161-E161)/E161)</f>
        <v>1.5680125441003192E-3</v>
      </c>
      <c r="L161" s="332">
        <v>403233828.72000003</v>
      </c>
      <c r="M161" s="333">
        <v>102.36</v>
      </c>
      <c r="N161" s="24">
        <f t="shared" si="154"/>
        <v>5.6221178843211088E-2</v>
      </c>
      <c r="O161" s="24">
        <f>((M161-I161)/I161)</f>
        <v>1.5655577299412582E-3</v>
      </c>
      <c r="P161" s="332">
        <v>404148927.02999997</v>
      </c>
      <c r="Q161" s="333">
        <v>102.63</v>
      </c>
      <c r="R161" s="24">
        <f t="shared" si="155"/>
        <v>2.2693986586015688E-3</v>
      </c>
      <c r="S161" s="24">
        <f>((Q161-M161)/M161)</f>
        <v>2.6377491207502544E-3</v>
      </c>
      <c r="T161" s="332">
        <v>407073807.34999996</v>
      </c>
      <c r="U161" s="333">
        <v>102.82</v>
      </c>
      <c r="V161" s="24">
        <f t="shared" si="156"/>
        <v>7.2371349380889955E-3</v>
      </c>
      <c r="W161" s="24">
        <f>((U161-Q161)/Q161)</f>
        <v>1.8513105329825367E-3</v>
      </c>
      <c r="X161" s="332">
        <v>410722600.21999997</v>
      </c>
      <c r="Y161" s="333">
        <v>102.98</v>
      </c>
      <c r="Z161" s="24">
        <f t="shared" si="157"/>
        <v>8.9634675680884367E-3</v>
      </c>
      <c r="AA161" s="24">
        <f>((Y161-U161)/U161)</f>
        <v>1.5561174868703638E-3</v>
      </c>
      <c r="AB161" s="332">
        <v>409662429.07999998</v>
      </c>
      <c r="AC161" s="333">
        <v>101.31</v>
      </c>
      <c r="AD161" s="24">
        <f t="shared" si="158"/>
        <v>-2.5812339993760126E-3</v>
      </c>
      <c r="AE161" s="24">
        <f>((AC161-Y161)/Y161)</f>
        <v>-1.6216741114779585E-2</v>
      </c>
      <c r="AF161" s="332">
        <v>373877591.92000002</v>
      </c>
      <c r="AG161" s="333">
        <v>101.49</v>
      </c>
      <c r="AH161" s="24">
        <f t="shared" si="159"/>
        <v>-8.7352011363023493E-2</v>
      </c>
      <c r="AI161" s="24">
        <f>((AG161-AC161)/AC161)</f>
        <v>1.7767249037606615E-3</v>
      </c>
      <c r="AJ161" s="25">
        <f t="shared" si="138"/>
        <v>5.9395110026226727E-3</v>
      </c>
      <c r="AK161" s="25">
        <f t="shared" si="139"/>
        <v>-4.4905940449425387E-4</v>
      </c>
      <c r="AL161" s="26">
        <f t="shared" si="140"/>
        <v>1.0699650152699804E-2</v>
      </c>
      <c r="AM161" s="26">
        <f t="shared" si="141"/>
        <v>-5.3900431203450739E-3</v>
      </c>
      <c r="AN161" s="27">
        <f t="shared" si="142"/>
        <v>4.2466223261913287E-2</v>
      </c>
      <c r="AO161" s="79">
        <f t="shared" si="143"/>
        <v>6.3810801595177461E-3</v>
      </c>
    </row>
    <row r="162" spans="1:41" s="308" customFormat="1">
      <c r="A162" s="208" t="s">
        <v>135</v>
      </c>
      <c r="B162" s="332">
        <v>8492802062.9399996</v>
      </c>
      <c r="C162" s="333">
        <v>121.99</v>
      </c>
      <c r="D162" s="332">
        <v>8433365972.29</v>
      </c>
      <c r="E162" s="333">
        <v>122.15</v>
      </c>
      <c r="F162" s="24">
        <f t="shared" si="152"/>
        <v>-6.998407617358776E-3</v>
      </c>
      <c r="G162" s="24">
        <f>((E162-C162)/C162)</f>
        <v>1.3115829166325994E-3</v>
      </c>
      <c r="H162" s="332">
        <v>8233645816.1499996</v>
      </c>
      <c r="I162" s="333">
        <v>122.29</v>
      </c>
      <c r="J162" s="24">
        <f t="shared" si="153"/>
        <v>-2.368214029798214E-2</v>
      </c>
      <c r="K162" s="24">
        <f>((I162-E162)/E162)</f>
        <v>1.1461318051575978E-3</v>
      </c>
      <c r="L162" s="332">
        <v>8238333058.6000004</v>
      </c>
      <c r="M162" s="333">
        <v>122.4</v>
      </c>
      <c r="N162" s="24">
        <f t="shared" si="154"/>
        <v>5.6927909636420189E-4</v>
      </c>
      <c r="O162" s="24">
        <f>((M162-I162)/I162)</f>
        <v>8.9950118570610374E-4</v>
      </c>
      <c r="P162" s="332">
        <v>8232753582.1499996</v>
      </c>
      <c r="Q162" s="333">
        <v>122.54</v>
      </c>
      <c r="R162" s="24">
        <f t="shared" si="155"/>
        <v>-6.7725793680753715E-4</v>
      </c>
      <c r="S162" s="24">
        <f>((Q162-M162)/M162)</f>
        <v>1.1437908496732072E-3</v>
      </c>
      <c r="T162" s="332">
        <v>8218760838.6300001</v>
      </c>
      <c r="U162" s="333">
        <v>122.69</v>
      </c>
      <c r="V162" s="24">
        <f t="shared" si="156"/>
        <v>-1.6996431850381305E-3</v>
      </c>
      <c r="W162" s="24">
        <f>((U162-Q162)/Q162)</f>
        <v>1.2240900930307775E-3</v>
      </c>
      <c r="X162" s="332">
        <v>8228345540.79</v>
      </c>
      <c r="Y162" s="333">
        <v>122.84</v>
      </c>
      <c r="Z162" s="24">
        <f t="shared" si="157"/>
        <v>1.1661979644120584E-3</v>
      </c>
      <c r="AA162" s="24">
        <f>((Y162-U162)/U162)</f>
        <v>1.2225935284049694E-3</v>
      </c>
      <c r="AB162" s="332">
        <v>8237761894.7299995</v>
      </c>
      <c r="AC162" s="333">
        <v>122.96</v>
      </c>
      <c r="AD162" s="24">
        <f t="shared" si="158"/>
        <v>1.1443799842046399E-3</v>
      </c>
      <c r="AE162" s="24">
        <f>((AC162-Y162)/Y162)</f>
        <v>9.7688049495270541E-4</v>
      </c>
      <c r="AF162" s="332">
        <v>8245991798.1499996</v>
      </c>
      <c r="AG162" s="333">
        <v>123.12</v>
      </c>
      <c r="AH162" s="24">
        <f t="shared" si="159"/>
        <v>9.9904604250154998E-4</v>
      </c>
      <c r="AI162" s="24">
        <f>((AG162-AC162)/AC162)</f>
        <v>1.3012361743657353E-3</v>
      </c>
      <c r="AJ162" s="25">
        <f t="shared" si="138"/>
        <v>-3.6473182437130169E-3</v>
      </c>
      <c r="AK162" s="25">
        <f t="shared" si="139"/>
        <v>1.1532258809904619E-3</v>
      </c>
      <c r="AL162" s="26">
        <f t="shared" si="140"/>
        <v>-2.2218195529005447E-2</v>
      </c>
      <c r="AM162" s="26">
        <f t="shared" si="141"/>
        <v>7.9410560785918849E-3</v>
      </c>
      <c r="AN162" s="27">
        <f t="shared" si="142"/>
        <v>8.541807231820759E-3</v>
      </c>
      <c r="AO162" s="79">
        <f t="shared" si="143"/>
        <v>1.4756638537095467E-4</v>
      </c>
    </row>
    <row r="163" spans="1:41">
      <c r="A163" s="208" t="s">
        <v>169</v>
      </c>
      <c r="B163" s="332">
        <v>2234100421.8099999</v>
      </c>
      <c r="C163" s="333">
        <v>1.1178999999999999</v>
      </c>
      <c r="D163" s="332">
        <v>2238824612.1500001</v>
      </c>
      <c r="E163" s="333">
        <v>1.1200000000000001</v>
      </c>
      <c r="F163" s="24">
        <f t="shared" si="152"/>
        <v>2.1145828065207372E-3</v>
      </c>
      <c r="G163" s="24">
        <f>((E163-C163)/C163)</f>
        <v>1.8785222291799026E-3</v>
      </c>
      <c r="H163" s="332">
        <v>2242432741.1799998</v>
      </c>
      <c r="I163" s="333">
        <v>1.1217999999999999</v>
      </c>
      <c r="J163" s="24">
        <f t="shared" si="153"/>
        <v>1.6116175471801496E-3</v>
      </c>
      <c r="K163" s="24">
        <f>((I163-E163)/E163)</f>
        <v>1.60714285714268E-3</v>
      </c>
      <c r="L163" s="332">
        <v>2246860621.5</v>
      </c>
      <c r="M163" s="333">
        <v>1.1238999999999999</v>
      </c>
      <c r="N163" s="24">
        <f t="shared" si="154"/>
        <v>1.9745877941784594E-3</v>
      </c>
      <c r="O163" s="24">
        <f>((M163-I163)/I163)</f>
        <v>1.8719914423248271E-3</v>
      </c>
      <c r="P163" s="332">
        <v>2268874287.4099998</v>
      </c>
      <c r="Q163" s="333">
        <v>1.1258999999999999</v>
      </c>
      <c r="R163" s="24">
        <f t="shared" si="155"/>
        <v>9.7975217952342604E-3</v>
      </c>
      <c r="S163" s="24">
        <f>((Q163-M163)/M163)</f>
        <v>1.779517750689565E-3</v>
      </c>
      <c r="T163" s="332">
        <v>2272858774.1500001</v>
      </c>
      <c r="U163" s="333">
        <v>1.1278999999999999</v>
      </c>
      <c r="V163" s="24">
        <f t="shared" si="156"/>
        <v>1.7561513928339681E-3</v>
      </c>
      <c r="W163" s="24">
        <f>((U163-Q163)/Q163)</f>
        <v>1.7763566924238405E-3</v>
      </c>
      <c r="X163" s="332">
        <v>2264145288.5300002</v>
      </c>
      <c r="Y163" s="333">
        <v>1.1299999999999999</v>
      </c>
      <c r="Z163" s="24">
        <f t="shared" si="157"/>
        <v>-3.8337118518322988E-3</v>
      </c>
      <c r="AA163" s="24">
        <f>((Y163-U163)/U163)</f>
        <v>1.861867186807333E-3</v>
      </c>
      <c r="AB163" s="332">
        <v>2305433317.6100001</v>
      </c>
      <c r="AC163" s="333">
        <v>1.1335999999999999</v>
      </c>
      <c r="AD163" s="24">
        <f t="shared" si="158"/>
        <v>1.823559172159232E-2</v>
      </c>
      <c r="AE163" s="24">
        <f>((AC163-Y163)/Y163)</f>
        <v>3.1858407079646441E-3</v>
      </c>
      <c r="AF163" s="332">
        <v>2339088601.1599998</v>
      </c>
      <c r="AG163" s="333">
        <v>1.1384000000000001</v>
      </c>
      <c r="AH163" s="24">
        <f t="shared" si="159"/>
        <v>1.4598246365628792E-2</v>
      </c>
      <c r="AI163" s="24">
        <f>((AG163-AC163)/AC163)</f>
        <v>4.2342978122795853E-3</v>
      </c>
      <c r="AJ163" s="25">
        <f t="shared" si="138"/>
        <v>5.7818234464170485E-3</v>
      </c>
      <c r="AK163" s="25">
        <f t="shared" si="139"/>
        <v>2.2744420848515474E-3</v>
      </c>
      <c r="AL163" s="26">
        <f t="shared" si="140"/>
        <v>4.4784208850426069E-2</v>
      </c>
      <c r="AM163" s="26">
        <f t="shared" si="141"/>
        <v>1.6428571428571404E-2</v>
      </c>
      <c r="AN163" s="27">
        <f t="shared" si="142"/>
        <v>7.5871165197547719E-3</v>
      </c>
      <c r="AO163" s="79">
        <f t="shared" si="143"/>
        <v>9.3342276708763391E-4</v>
      </c>
    </row>
    <row r="164" spans="1:41">
      <c r="A164" s="210" t="s">
        <v>42</v>
      </c>
      <c r="B164" s="77">
        <f>SUM(B153:B163)</f>
        <v>23850690692.209999</v>
      </c>
      <c r="C164" s="88"/>
      <c r="D164" s="77">
        <f>SUM(D153:D163)</f>
        <v>23767011958.82</v>
      </c>
      <c r="E164" s="88"/>
      <c r="F164" s="24">
        <f t="shared" si="152"/>
        <v>-3.5084406766186503E-3</v>
      </c>
      <c r="G164" s="24"/>
      <c r="H164" s="77">
        <f>SUM(H153:H163)</f>
        <v>23646207806.779999</v>
      </c>
      <c r="I164" s="88"/>
      <c r="J164" s="24">
        <f t="shared" si="153"/>
        <v>-5.0828498024620286E-3</v>
      </c>
      <c r="K164" s="24"/>
      <c r="L164" s="77">
        <f>SUM(L153:L163)</f>
        <v>25118658682.68</v>
      </c>
      <c r="M164" s="88"/>
      <c r="N164" s="24">
        <f t="shared" si="154"/>
        <v>6.2270064102109876E-2</v>
      </c>
      <c r="O164" s="24"/>
      <c r="P164" s="77">
        <f>SUM(P153:P163)</f>
        <v>25167427500.149998</v>
      </c>
      <c r="Q164" s="88"/>
      <c r="R164" s="24">
        <f t="shared" si="155"/>
        <v>1.9415374875739219E-3</v>
      </c>
      <c r="S164" s="24"/>
      <c r="T164" s="77">
        <f>SUM(T153:T163)</f>
        <v>25123628784.880001</v>
      </c>
      <c r="U164" s="88"/>
      <c r="V164" s="24">
        <f t="shared" si="156"/>
        <v>-1.7402936899186699E-3</v>
      </c>
      <c r="W164" s="24"/>
      <c r="X164" s="77">
        <f>SUM(X153:X163)</f>
        <v>25237093944.099998</v>
      </c>
      <c r="Y164" s="88"/>
      <c r="Z164" s="24">
        <f t="shared" si="157"/>
        <v>4.5162727164749167E-3</v>
      </c>
      <c r="AA164" s="24"/>
      <c r="AB164" s="77">
        <f>SUM(AB153:AB163)</f>
        <v>25308511589.739998</v>
      </c>
      <c r="AC164" s="88"/>
      <c r="AD164" s="24">
        <f t="shared" si="158"/>
        <v>2.8298680425800616E-3</v>
      </c>
      <c r="AE164" s="24"/>
      <c r="AF164" s="77">
        <f>SUM(AF153:AF163)</f>
        <v>25115154237.279999</v>
      </c>
      <c r="AG164" s="88"/>
      <c r="AH164" s="24">
        <f t="shared" si="159"/>
        <v>-7.6400127986343391E-3</v>
      </c>
      <c r="AI164" s="24"/>
      <c r="AJ164" s="25">
        <f t="shared" si="138"/>
        <v>6.6982681726381358E-3</v>
      </c>
      <c r="AK164" s="25"/>
      <c r="AL164" s="26">
        <f t="shared" si="140"/>
        <v>5.6723254938225415E-2</v>
      </c>
      <c r="AM164" s="26"/>
      <c r="AN164" s="27">
        <f t="shared" si="142"/>
        <v>2.2835886191850726E-2</v>
      </c>
      <c r="AO164" s="79"/>
    </row>
    <row r="165" spans="1:41">
      <c r="A165" s="210" t="s">
        <v>28</v>
      </c>
      <c r="B165" s="309">
        <f>SUM(B21,B53,B86,B110,B117,B143,B149,B164)</f>
        <v>1523158681328.7776</v>
      </c>
      <c r="C165" s="88"/>
      <c r="D165" s="309">
        <f>SUM(D21,D53,D86,D110,D117,D143,D149,D164)</f>
        <v>1547246773235.0869</v>
      </c>
      <c r="E165" s="88"/>
      <c r="F165" s="24">
        <f t="shared" si="152"/>
        <v>1.581456495740502E-2</v>
      </c>
      <c r="G165" s="24"/>
      <c r="H165" s="309">
        <f>SUM(H21,H53,H86,H110,H117,H143,H149,H164)</f>
        <v>1573777700117.2585</v>
      </c>
      <c r="I165" s="88"/>
      <c r="J165" s="24">
        <f t="shared" si="153"/>
        <v>1.7147185142741644E-2</v>
      </c>
      <c r="K165" s="24"/>
      <c r="L165" s="309">
        <f>SUM(L21,L53,L86,L110,L117,L143,L149,L164)</f>
        <v>1590591629138.8459</v>
      </c>
      <c r="M165" s="88"/>
      <c r="N165" s="24">
        <f t="shared" si="154"/>
        <v>1.068380179763294E-2</v>
      </c>
      <c r="O165" s="24"/>
      <c r="P165" s="309">
        <f>SUM(P21,P53,P86,P110,P117,P143,P149,P164)</f>
        <v>1587941753781.4907</v>
      </c>
      <c r="Q165" s="88"/>
      <c r="R165" s="24">
        <f t="shared" si="155"/>
        <v>-1.6659683785648237E-3</v>
      </c>
      <c r="S165" s="24"/>
      <c r="T165" s="309">
        <f>SUM(T21,T53,T86,T110,T117,T143,T149,T164)</f>
        <v>1574933447715.4641</v>
      </c>
      <c r="U165" s="88"/>
      <c r="V165" s="24">
        <f t="shared" si="156"/>
        <v>-8.1919289766447089E-3</v>
      </c>
      <c r="W165" s="24"/>
      <c r="X165" s="309">
        <f>SUM(X21,X53,X86,X110,X117,X143,X149,X164)</f>
        <v>1570379557163.522</v>
      </c>
      <c r="Y165" s="88"/>
      <c r="Z165" s="24">
        <f t="shared" si="157"/>
        <v>-2.891481261349698E-3</v>
      </c>
      <c r="AA165" s="24"/>
      <c r="AB165" s="309">
        <f>SUM(AB21,AB53,AB86,AB110,AB117,AB143,AB149,AB164)</f>
        <v>1585406389332.5886</v>
      </c>
      <c r="AC165" s="88"/>
      <c r="AD165" s="24">
        <f t="shared" si="158"/>
        <v>9.5689173362703949E-3</v>
      </c>
      <c r="AE165" s="24"/>
      <c r="AF165" s="309">
        <f>SUM(AF21,AF53,AF86,AF110,AF117,AF143,AF149,AF164)</f>
        <v>1589874095297.8513</v>
      </c>
      <c r="AG165" s="88"/>
      <c r="AH165" s="24">
        <f t="shared" si="159"/>
        <v>2.8180194020433294E-3</v>
      </c>
      <c r="AI165" s="24"/>
      <c r="AJ165" s="25">
        <f t="shared" si="138"/>
        <v>5.410388752441762E-3</v>
      </c>
      <c r="AK165" s="25"/>
      <c r="AL165" s="26">
        <f t="shared" si="140"/>
        <v>2.7550435263559381E-2</v>
      </c>
      <c r="AM165" s="26"/>
      <c r="AN165" s="27">
        <f t="shared" si="142"/>
        <v>9.2723923524339977E-3</v>
      </c>
      <c r="AO165" s="79"/>
    </row>
    <row r="166" spans="1:41" s="112" customFormat="1" ht="6" customHeight="1">
      <c r="A166" s="210"/>
      <c r="B166" s="88"/>
      <c r="C166" s="88"/>
      <c r="D166" s="88"/>
      <c r="E166" s="88"/>
      <c r="F166" s="24"/>
      <c r="G166" s="24"/>
      <c r="H166" s="88"/>
      <c r="I166" s="88"/>
      <c r="J166" s="24"/>
      <c r="K166" s="24"/>
      <c r="L166" s="88"/>
      <c r="M166" s="88"/>
      <c r="N166" s="24"/>
      <c r="O166" s="24"/>
      <c r="P166" s="88"/>
      <c r="Q166" s="88"/>
      <c r="R166" s="24"/>
      <c r="S166" s="24"/>
      <c r="T166" s="88"/>
      <c r="U166" s="88"/>
      <c r="V166" s="24"/>
      <c r="W166" s="24"/>
      <c r="X166" s="88"/>
      <c r="Y166" s="88"/>
      <c r="Z166" s="24"/>
      <c r="AA166" s="24"/>
      <c r="AB166" s="88"/>
      <c r="AC166" s="88"/>
      <c r="AD166" s="24"/>
      <c r="AE166" s="24"/>
      <c r="AF166" s="88"/>
      <c r="AG166" s="88"/>
      <c r="AH166" s="24"/>
      <c r="AI166" s="24"/>
      <c r="AJ166" s="25"/>
      <c r="AK166" s="25"/>
      <c r="AL166" s="26"/>
      <c r="AM166" s="26"/>
      <c r="AN166" s="27"/>
      <c r="AO166" s="79"/>
    </row>
    <row r="167" spans="1:41" s="112" customFormat="1">
      <c r="A167" s="214" t="s">
        <v>208</v>
      </c>
      <c r="B167" s="88"/>
      <c r="C167" s="88"/>
      <c r="D167" s="88"/>
      <c r="E167" s="88"/>
      <c r="F167" s="24"/>
      <c r="G167" s="24"/>
      <c r="H167" s="88"/>
      <c r="I167" s="88"/>
      <c r="J167" s="24"/>
      <c r="K167" s="24"/>
      <c r="L167" s="88"/>
      <c r="M167" s="88"/>
      <c r="N167" s="24"/>
      <c r="O167" s="24"/>
      <c r="P167" s="88"/>
      <c r="Q167" s="88"/>
      <c r="R167" s="24"/>
      <c r="S167" s="24"/>
      <c r="T167" s="88"/>
      <c r="U167" s="88"/>
      <c r="V167" s="24"/>
      <c r="W167" s="24"/>
      <c r="X167" s="88"/>
      <c r="Y167" s="88"/>
      <c r="Z167" s="24"/>
      <c r="AA167" s="24"/>
      <c r="AB167" s="88"/>
      <c r="AC167" s="88"/>
      <c r="AD167" s="24"/>
      <c r="AE167" s="24"/>
      <c r="AF167" s="88"/>
      <c r="AG167" s="88"/>
      <c r="AH167" s="24"/>
      <c r="AI167" s="24"/>
      <c r="AJ167" s="25"/>
      <c r="AK167" s="25"/>
      <c r="AL167" s="26"/>
      <c r="AM167" s="26"/>
      <c r="AN167" s="27"/>
      <c r="AO167" s="79"/>
    </row>
    <row r="168" spans="1:41" s="112" customFormat="1">
      <c r="A168" s="215" t="s">
        <v>121</v>
      </c>
      <c r="B168" s="332">
        <v>91117290437</v>
      </c>
      <c r="C168" s="333">
        <v>107.59</v>
      </c>
      <c r="D168" s="332">
        <v>91117290437</v>
      </c>
      <c r="E168" s="333">
        <v>107.59</v>
      </c>
      <c r="F168" s="24">
        <f>((D168-B168)/B168)</f>
        <v>0</v>
      </c>
      <c r="G168" s="24">
        <f>((E168-C168)/C168)</f>
        <v>0</v>
      </c>
      <c r="H168" s="332">
        <v>91117290437</v>
      </c>
      <c r="I168" s="333">
        <v>107.59</v>
      </c>
      <c r="J168" s="24">
        <f t="shared" ref="J168" si="160">((H168-D168)/D168)</f>
        <v>0</v>
      </c>
      <c r="K168" s="24">
        <f t="shared" ref="K168" si="161">((I168-E168)/E168)</f>
        <v>0</v>
      </c>
      <c r="L168" s="332">
        <v>91117290437</v>
      </c>
      <c r="M168" s="333">
        <v>107.59</v>
      </c>
      <c r="N168" s="24">
        <f t="shared" ref="N168" si="162">((L168-H168)/H168)</f>
        <v>0</v>
      </c>
      <c r="O168" s="24">
        <f t="shared" ref="O168" si="163">((M168-I168)/I168)</f>
        <v>0</v>
      </c>
      <c r="P168" s="332">
        <v>91117290437</v>
      </c>
      <c r="Q168" s="333">
        <v>107.59</v>
      </c>
      <c r="R168" s="24">
        <f t="shared" ref="R168" si="164">((P168-L168)/L168)</f>
        <v>0</v>
      </c>
      <c r="S168" s="24">
        <f t="shared" ref="S168" si="165">((Q168-M168)/M168)</f>
        <v>0</v>
      </c>
      <c r="T168" s="332">
        <v>91117290437</v>
      </c>
      <c r="U168" s="333">
        <v>107.59</v>
      </c>
      <c r="V168" s="24">
        <f t="shared" ref="V168" si="166">((T168-P168)/P168)</f>
        <v>0</v>
      </c>
      <c r="W168" s="24">
        <f t="shared" ref="W168" si="167">((U168-Q168)/Q168)</f>
        <v>0</v>
      </c>
      <c r="X168" s="332">
        <v>91117290437</v>
      </c>
      <c r="Y168" s="333">
        <v>107.59</v>
      </c>
      <c r="Z168" s="24">
        <f t="shared" ref="Z168" si="168">((X168-T168)/T168)</f>
        <v>0</v>
      </c>
      <c r="AA168" s="24">
        <f t="shared" ref="AA168" si="169">((Y168-U168)/U168)</f>
        <v>0</v>
      </c>
      <c r="AB168" s="332">
        <v>91117290437</v>
      </c>
      <c r="AC168" s="333">
        <v>107.59</v>
      </c>
      <c r="AD168" s="24">
        <f>((AB168-X168)/X168)</f>
        <v>0</v>
      </c>
      <c r="AE168" s="24">
        <f>((AC168-Y168)/Y168)</f>
        <v>0</v>
      </c>
      <c r="AF168" s="332">
        <v>91117290437</v>
      </c>
      <c r="AG168" s="333">
        <v>107.59</v>
      </c>
      <c r="AH168" s="24">
        <f>((AF168-AB168)/AB168)</f>
        <v>0</v>
      </c>
      <c r="AI168" s="24">
        <f>((AG168-AC168)/AC168)</f>
        <v>0</v>
      </c>
      <c r="AJ168" s="25">
        <f t="shared" si="138"/>
        <v>0</v>
      </c>
      <c r="AK168" s="25">
        <f t="shared" si="139"/>
        <v>0</v>
      </c>
      <c r="AL168" s="26">
        <f t="shared" si="140"/>
        <v>0</v>
      </c>
      <c r="AM168" s="26">
        <f t="shared" si="141"/>
        <v>0</v>
      </c>
      <c r="AN168" s="27">
        <f t="shared" si="142"/>
        <v>0</v>
      </c>
      <c r="AO168" s="79">
        <f t="shared" si="143"/>
        <v>0</v>
      </c>
    </row>
    <row r="169" spans="1:41" s="112" customFormat="1">
      <c r="A169" s="215" t="s">
        <v>253</v>
      </c>
      <c r="B169" s="332">
        <v>2157122762</v>
      </c>
      <c r="C169" s="334">
        <v>1000000</v>
      </c>
      <c r="D169" s="332">
        <v>2173399559</v>
      </c>
      <c r="E169" s="334">
        <v>1000000</v>
      </c>
      <c r="F169" s="24">
        <f>((D169-B169)/B169)</f>
        <v>7.5456053251734215E-3</v>
      </c>
      <c r="G169" s="24">
        <f>((E169-C169)/C169)</f>
        <v>0</v>
      </c>
      <c r="H169" s="332">
        <v>2179352333</v>
      </c>
      <c r="I169" s="334">
        <v>1000000</v>
      </c>
      <c r="J169" s="24">
        <f t="shared" ref="J169" si="170">((H169-D169)/D169)</f>
        <v>2.7389229814415361E-3</v>
      </c>
      <c r="K169" s="24">
        <f t="shared" ref="K169" si="171">((I169-E169)/E169)</f>
        <v>0</v>
      </c>
      <c r="L169" s="332">
        <v>2185305107</v>
      </c>
      <c r="M169" s="334">
        <v>1000000</v>
      </c>
      <c r="N169" s="24">
        <f t="shared" ref="N169" si="172">((L169-H169)/H169)</f>
        <v>2.7314417727975515E-3</v>
      </c>
      <c r="O169" s="24">
        <f t="shared" ref="O169" si="173">((M169-I169)/I169)</f>
        <v>0</v>
      </c>
      <c r="P169" s="332">
        <v>2191257881</v>
      </c>
      <c r="Q169" s="334">
        <v>1000000</v>
      </c>
      <c r="R169" s="24">
        <f t="shared" ref="R169" si="174">((P169-L169)/L169)</f>
        <v>2.7240013217980368E-3</v>
      </c>
      <c r="S169" s="24">
        <f t="shared" ref="S169" si="175">((Q169-M169)/M169)</f>
        <v>0</v>
      </c>
      <c r="T169" s="332">
        <v>2197210654</v>
      </c>
      <c r="U169" s="334">
        <v>1000000</v>
      </c>
      <c r="V169" s="24">
        <f t="shared" ref="V169" si="176">((T169-P169)/P169)</f>
        <v>2.7166008399172985E-3</v>
      </c>
      <c r="W169" s="24">
        <f t="shared" ref="W169" si="177">((U169-Q169)/Q169)</f>
        <v>0</v>
      </c>
      <c r="X169" s="332">
        <v>2203163427.9299998</v>
      </c>
      <c r="Y169" s="334">
        <v>1000000</v>
      </c>
      <c r="Z169" s="24">
        <f t="shared" ref="Z169" si="178">((X169-T169)/T169)</f>
        <v>2.7092413370392423E-3</v>
      </c>
      <c r="AA169" s="24">
        <f t="shared" ref="AA169" si="179">((Y169-U169)/U169)</f>
        <v>0</v>
      </c>
      <c r="AB169" s="332">
        <v>2209966597.8499999</v>
      </c>
      <c r="AC169" s="334">
        <v>1000000</v>
      </c>
      <c r="AD169" s="24">
        <f>((AB169-X169)/X169)</f>
        <v>3.0879097908737755E-3</v>
      </c>
      <c r="AE169" s="24">
        <f>((AC169-Y169)/Y169)</f>
        <v>0</v>
      </c>
      <c r="AF169" s="332">
        <v>2215068975.3000002</v>
      </c>
      <c r="AG169" s="334">
        <v>1000000</v>
      </c>
      <c r="AH169" s="24">
        <f>((AF169-AB169)/AB169)</f>
        <v>2.3088029723907196E-3</v>
      </c>
      <c r="AI169" s="24">
        <f>((AG169-AC169)/AC169)</f>
        <v>0</v>
      </c>
      <c r="AJ169" s="25">
        <f t="shared" si="138"/>
        <v>3.3203157926789476E-3</v>
      </c>
      <c r="AK169" s="25">
        <f t="shared" si="139"/>
        <v>0</v>
      </c>
      <c r="AL169" s="26">
        <f t="shared" si="140"/>
        <v>1.9172460087906087E-2</v>
      </c>
      <c r="AM169" s="26">
        <f t="shared" si="141"/>
        <v>0</v>
      </c>
      <c r="AN169" s="27">
        <f t="shared" si="142"/>
        <v>1.7199878431316657E-3</v>
      </c>
      <c r="AO169" s="79">
        <f t="shared" si="143"/>
        <v>0</v>
      </c>
    </row>
    <row r="170" spans="1:41" s="112" customFormat="1">
      <c r="A170" s="210" t="s">
        <v>42</v>
      </c>
      <c r="B170" s="78">
        <f>SUM(B168:B169)</f>
        <v>93274413199</v>
      </c>
      <c r="C170" s="88"/>
      <c r="D170" s="78">
        <f>SUM(D168:D169)</f>
        <v>93290689996</v>
      </c>
      <c r="E170" s="88"/>
      <c r="F170" s="24"/>
      <c r="G170" s="24"/>
      <c r="H170" s="78">
        <f>SUM(H168:H169)</f>
        <v>93296642770</v>
      </c>
      <c r="I170" s="88"/>
      <c r="J170" s="24"/>
      <c r="K170" s="24"/>
      <c r="L170" s="78">
        <f>SUM(L168:L169)</f>
        <v>93302595544</v>
      </c>
      <c r="M170" s="88"/>
      <c r="N170" s="24"/>
      <c r="O170" s="24"/>
      <c r="P170" s="78">
        <f>SUM(P168:P169)</f>
        <v>93308548318</v>
      </c>
      <c r="Q170" s="88"/>
      <c r="R170" s="24"/>
      <c r="S170" s="24"/>
      <c r="T170" s="78">
        <f>SUM(T168:T169)</f>
        <v>93314501091</v>
      </c>
      <c r="U170" s="88"/>
      <c r="V170" s="24"/>
      <c r="W170" s="24"/>
      <c r="X170" s="78">
        <f>SUM(X168:X169)</f>
        <v>93320453864.929993</v>
      </c>
      <c r="Y170" s="88"/>
      <c r="Z170" s="24"/>
      <c r="AA170" s="24"/>
      <c r="AB170" s="78">
        <f>SUM(AB168:AB169)</f>
        <v>93327257034.850006</v>
      </c>
      <c r="AC170" s="88"/>
      <c r="AD170" s="24"/>
      <c r="AE170" s="24"/>
      <c r="AF170" s="78">
        <f>SUM(AF168:AF169)</f>
        <v>93332359412.300003</v>
      </c>
      <c r="AG170" s="88"/>
      <c r="AH170" s="24"/>
      <c r="AI170" s="24"/>
      <c r="AJ170" s="25"/>
      <c r="AK170" s="25"/>
      <c r="AL170" s="26"/>
      <c r="AM170" s="26"/>
      <c r="AN170" s="27"/>
      <c r="AO170" s="79"/>
    </row>
    <row r="171" spans="1:41" ht="6" customHeight="1">
      <c r="A171" s="209"/>
      <c r="B171" s="88"/>
      <c r="C171" s="88"/>
      <c r="D171" s="88"/>
      <c r="E171" s="88"/>
      <c r="F171" s="24"/>
      <c r="G171" s="24"/>
      <c r="H171" s="88"/>
      <c r="I171" s="88"/>
      <c r="J171" s="24"/>
      <c r="K171" s="24"/>
      <c r="L171" s="88"/>
      <c r="M171" s="88"/>
      <c r="N171" s="24"/>
      <c r="O171" s="24"/>
      <c r="P171" s="88"/>
      <c r="Q171" s="88"/>
      <c r="R171" s="24"/>
      <c r="S171" s="24"/>
      <c r="T171" s="88"/>
      <c r="U171" s="88"/>
      <c r="V171" s="24"/>
      <c r="W171" s="24"/>
      <c r="X171" s="88"/>
      <c r="Y171" s="88"/>
      <c r="Z171" s="24"/>
      <c r="AA171" s="24"/>
      <c r="AB171" s="88"/>
      <c r="AC171" s="88"/>
      <c r="AD171" s="24"/>
      <c r="AE171" s="24"/>
      <c r="AF171" s="88"/>
      <c r="AG171" s="88"/>
      <c r="AH171" s="24"/>
      <c r="AI171" s="24"/>
      <c r="AJ171" s="25"/>
      <c r="AK171" s="25"/>
      <c r="AL171" s="26"/>
      <c r="AM171" s="26"/>
      <c r="AN171" s="27"/>
      <c r="AO171" s="79"/>
    </row>
    <row r="172" spans="1:41" ht="25.5">
      <c r="A172" s="205" t="s">
        <v>46</v>
      </c>
      <c r="B172" s="82" t="s">
        <v>74</v>
      </c>
      <c r="C172" s="83" t="s">
        <v>75</v>
      </c>
      <c r="D172" s="82" t="s">
        <v>74</v>
      </c>
      <c r="E172" s="83" t="s">
        <v>75</v>
      </c>
      <c r="F172" s="369" t="s">
        <v>73</v>
      </c>
      <c r="G172" s="369" t="s">
        <v>3</v>
      </c>
      <c r="H172" s="82" t="s">
        <v>74</v>
      </c>
      <c r="I172" s="83" t="s">
        <v>75</v>
      </c>
      <c r="J172" s="370" t="s">
        <v>73</v>
      </c>
      <c r="K172" s="370" t="s">
        <v>3</v>
      </c>
      <c r="L172" s="82" t="s">
        <v>74</v>
      </c>
      <c r="M172" s="83" t="s">
        <v>75</v>
      </c>
      <c r="N172" s="371" t="s">
        <v>73</v>
      </c>
      <c r="O172" s="371" t="s">
        <v>3</v>
      </c>
      <c r="P172" s="82" t="s">
        <v>74</v>
      </c>
      <c r="Q172" s="83" t="s">
        <v>75</v>
      </c>
      <c r="R172" s="372" t="s">
        <v>73</v>
      </c>
      <c r="S172" s="372" t="s">
        <v>3</v>
      </c>
      <c r="T172" s="82" t="s">
        <v>74</v>
      </c>
      <c r="U172" s="83" t="s">
        <v>75</v>
      </c>
      <c r="V172" s="373" t="s">
        <v>59</v>
      </c>
      <c r="W172" s="373" t="s">
        <v>3</v>
      </c>
      <c r="X172" s="456" t="s">
        <v>275</v>
      </c>
      <c r="Y172" s="456"/>
      <c r="Z172" s="383" t="s">
        <v>59</v>
      </c>
      <c r="AA172" s="383" t="s">
        <v>3</v>
      </c>
      <c r="AB172" s="456" t="s">
        <v>277</v>
      </c>
      <c r="AC172" s="456"/>
      <c r="AD172" s="385" t="s">
        <v>59</v>
      </c>
      <c r="AE172" s="385" t="s">
        <v>3</v>
      </c>
      <c r="AF172" s="456" t="s">
        <v>287</v>
      </c>
      <c r="AG172" s="456"/>
      <c r="AH172" s="403" t="s">
        <v>59</v>
      </c>
      <c r="AI172" s="403" t="s">
        <v>3</v>
      </c>
      <c r="AJ172" s="311" t="s">
        <v>79</v>
      </c>
      <c r="AK172" s="311" t="s">
        <v>79</v>
      </c>
      <c r="AL172" s="311" t="s">
        <v>79</v>
      </c>
      <c r="AM172" s="311" t="s">
        <v>79</v>
      </c>
      <c r="AN172" s="16" t="s">
        <v>79</v>
      </c>
      <c r="AO172" s="17" t="s">
        <v>79</v>
      </c>
    </row>
    <row r="173" spans="1:41">
      <c r="A173" s="209" t="s">
        <v>146</v>
      </c>
      <c r="B173" s="330">
        <v>545831609.86000001</v>
      </c>
      <c r="C173" s="334">
        <v>128.63999999999999</v>
      </c>
      <c r="D173" s="330">
        <v>555811702.81756568</v>
      </c>
      <c r="E173" s="334">
        <v>130.93</v>
      </c>
      <c r="F173" s="24">
        <f t="shared" ref="F173:F184" si="180">((D173-B173)/B173)</f>
        <v>1.8284197502093095E-2</v>
      </c>
      <c r="G173" s="24">
        <f t="shared" ref="G173:G184" si="181">((E173-C173)/C173)</f>
        <v>1.7801616915423046E-2</v>
      </c>
      <c r="H173" s="330">
        <v>558456812.69000006</v>
      </c>
      <c r="I173" s="334">
        <v>131.54</v>
      </c>
      <c r="J173" s="24">
        <f t="shared" ref="J173:J184" si="182">((H173-D173)/D173)</f>
        <v>4.759003560064627E-3</v>
      </c>
      <c r="K173" s="24">
        <f t="shared" ref="K173:K184" si="183">((I173-E173)/E173)</f>
        <v>4.6589780798899048E-3</v>
      </c>
      <c r="L173" s="330">
        <v>561597585.58000004</v>
      </c>
      <c r="M173" s="334">
        <v>131.54</v>
      </c>
      <c r="N173" s="24">
        <f t="shared" ref="N173:N184" si="184">((L173-H173)/H173)</f>
        <v>5.6240210856616981E-3</v>
      </c>
      <c r="O173" s="24">
        <f t="shared" ref="O173:O184" si="185">((M173-I173)/I173)</f>
        <v>0</v>
      </c>
      <c r="P173" s="330">
        <v>553404962.46000004</v>
      </c>
      <c r="Q173" s="334">
        <v>130.38</v>
      </c>
      <c r="R173" s="24">
        <f t="shared" ref="R173:R184" si="186">((P173-L173)/L173)</f>
        <v>-1.458806684779267E-2</v>
      </c>
      <c r="S173" s="24">
        <f t="shared" ref="S173:S184" si="187">((Q173-M173)/M173)</f>
        <v>-8.8186103086513347E-3</v>
      </c>
      <c r="T173" s="330">
        <v>553131704.53999996</v>
      </c>
      <c r="U173" s="334">
        <v>132.32</v>
      </c>
      <c r="V173" s="24">
        <f t="shared" ref="V173:V184" si="188">((T173-P173)/P173)</f>
        <v>-4.9377569508120788E-4</v>
      </c>
      <c r="W173" s="24">
        <f t="shared" ref="W173:W184" si="189">((U173-Q173)/Q173)</f>
        <v>1.4879582758091715E-2</v>
      </c>
      <c r="X173" s="330">
        <v>534424296.64041394</v>
      </c>
      <c r="Y173" s="334">
        <v>126.01</v>
      </c>
      <c r="Z173" s="24">
        <f t="shared" ref="Z173:Z184" si="190">((X173-T173)/T173)</f>
        <v>-3.3820892467452457E-2</v>
      </c>
      <c r="AA173" s="24">
        <f t="shared" ref="AA173:AA184" si="191">((Y173-U173)/U173)</f>
        <v>-4.7687424425634735E-2</v>
      </c>
      <c r="AB173" s="330">
        <v>522593453.18064034</v>
      </c>
      <c r="AC173" s="334">
        <v>123.28</v>
      </c>
      <c r="AD173" s="24">
        <f t="shared" ref="AD173:AD184" si="192">((AB173-X173)/X173)</f>
        <v>-2.2137547888721746E-2</v>
      </c>
      <c r="AE173" s="24">
        <f t="shared" ref="AE173:AE184" si="193">((AC173-Y173)/Y173)</f>
        <v>-2.1664947226410634E-2</v>
      </c>
      <c r="AF173" s="330">
        <v>513771136.80759794</v>
      </c>
      <c r="AG173" s="334">
        <v>121.25</v>
      </c>
      <c r="AH173" s="24">
        <f t="shared" ref="AH173:AH184" si="194">((AF173-AB173)/AB173)</f>
        <v>-1.6881796584606028E-2</v>
      </c>
      <c r="AI173" s="24">
        <f t="shared" ref="AI173:AI184" si="195">((AG173-AC173)/AC173)</f>
        <v>-1.6466580142764448E-2</v>
      </c>
      <c r="AJ173" s="25">
        <f t="shared" ref="AJ173" si="196">AVERAGE(F173,J173,N173,R173,V173,Z173,AD173,AH173)</f>
        <v>-7.4068571669793351E-3</v>
      </c>
      <c r="AK173" s="25">
        <f t="shared" ref="AK173" si="197">AVERAGE(G173,K173,O173,S173,W173,AA173,AE173,AI173)</f>
        <v>-7.1621730437570613E-3</v>
      </c>
      <c r="AL173" s="26">
        <f t="shared" ref="AL173" si="198">((AF173-D173)/D173)</f>
        <v>-7.5638144711333538E-2</v>
      </c>
      <c r="AM173" s="26">
        <f t="shared" ref="AM173" si="199">((AG173-E173)/E173)</f>
        <v>-7.3932635759566226E-2</v>
      </c>
      <c r="AN173" s="27">
        <f t="shared" ref="AN173" si="200">STDEV(F173,J173,N173,R173,V173,Z173,AD173,AH173)</f>
        <v>1.724475779622452E-2</v>
      </c>
      <c r="AO173" s="79">
        <f t="shared" ref="AO173" si="201">STDEV(G173,K173,O173,S173,W173,AA173,AE173,AI173)</f>
        <v>2.1520781912856852E-2</v>
      </c>
    </row>
    <row r="174" spans="1:41">
      <c r="A174" s="209" t="s">
        <v>47</v>
      </c>
      <c r="B174" s="330">
        <v>547986915.36000001</v>
      </c>
      <c r="C174" s="334">
        <v>16.41</v>
      </c>
      <c r="D174" s="330">
        <v>561326234.22000003</v>
      </c>
      <c r="E174" s="334">
        <v>16.809999999999999</v>
      </c>
      <c r="F174" s="24">
        <f t="shared" si="180"/>
        <v>2.4342403962760221E-2</v>
      </c>
      <c r="G174" s="24">
        <f t="shared" si="181"/>
        <v>2.4375380865325934E-2</v>
      </c>
      <c r="H174" s="330">
        <v>568211503.79999995</v>
      </c>
      <c r="I174" s="334">
        <v>17.010000000000002</v>
      </c>
      <c r="J174" s="24">
        <f t="shared" si="182"/>
        <v>1.2266074806867814E-2</v>
      </c>
      <c r="K174" s="24">
        <f t="shared" si="183"/>
        <v>1.1897679952409449E-2</v>
      </c>
      <c r="L174" s="330">
        <v>574147608.40999997</v>
      </c>
      <c r="M174" s="334">
        <v>17.010000000000002</v>
      </c>
      <c r="N174" s="24">
        <f t="shared" si="184"/>
        <v>1.04469982925397E-2</v>
      </c>
      <c r="O174" s="24">
        <f t="shared" si="185"/>
        <v>0</v>
      </c>
      <c r="P174" s="330">
        <v>572436722.16999996</v>
      </c>
      <c r="Q174" s="334">
        <v>17.14</v>
      </c>
      <c r="R174" s="24">
        <f t="shared" si="186"/>
        <v>-2.9798717523843838E-3</v>
      </c>
      <c r="S174" s="24">
        <f t="shared" si="187"/>
        <v>7.6425631981186948E-3</v>
      </c>
      <c r="T174" s="330">
        <v>572316712.51999998</v>
      </c>
      <c r="U174" s="334">
        <v>17.14</v>
      </c>
      <c r="V174" s="24">
        <f t="shared" si="188"/>
        <v>-2.096470148613844E-4</v>
      </c>
      <c r="W174" s="24">
        <f t="shared" si="189"/>
        <v>0</v>
      </c>
      <c r="X174" s="330">
        <v>568512701.44000006</v>
      </c>
      <c r="Y174" s="334">
        <v>17.02</v>
      </c>
      <c r="Z174" s="24">
        <f t="shared" si="190"/>
        <v>-6.6466887944793152E-3</v>
      </c>
      <c r="AA174" s="24">
        <f t="shared" si="191"/>
        <v>-7.0011668611435814E-3</v>
      </c>
      <c r="AB174" s="330">
        <v>568512701.44000006</v>
      </c>
      <c r="AC174" s="334">
        <v>17.02</v>
      </c>
      <c r="AD174" s="24">
        <f t="shared" si="192"/>
        <v>0</v>
      </c>
      <c r="AE174" s="24">
        <f t="shared" si="193"/>
        <v>0</v>
      </c>
      <c r="AF174" s="330">
        <v>553524771.50999999</v>
      </c>
      <c r="AG174" s="334">
        <v>16.57</v>
      </c>
      <c r="AH174" s="24">
        <f t="shared" si="194"/>
        <v>-2.6363403829038057E-2</v>
      </c>
      <c r="AI174" s="24">
        <f t="shared" si="195"/>
        <v>-2.643948296122205E-2</v>
      </c>
      <c r="AJ174" s="25">
        <f t="shared" ref="AJ174:AJ186" si="202">AVERAGE(F174,J174,N174,R174,V174,Z174,AD174,AH174)</f>
        <v>1.3569832089255743E-3</v>
      </c>
      <c r="AK174" s="25">
        <f t="shared" ref="AK174:AK184" si="203">AVERAGE(G174,K174,O174,S174,W174,AA174,AE174,AI174)</f>
        <v>1.3093717741860553E-3</v>
      </c>
      <c r="AL174" s="26">
        <f t="shared" ref="AL174:AL186" si="204">((AF174-D174)/D174)</f>
        <v>-1.3898268483461649E-2</v>
      </c>
      <c r="AM174" s="26">
        <f t="shared" ref="AM174:AM184" si="205">((AG174-E174)/E174)</f>
        <v>-1.4277215942891044E-2</v>
      </c>
      <c r="AN174" s="27">
        <f t="shared" ref="AN174:AN186" si="206">STDEV(F174,J174,N174,R174,V174,Z174,AD174,AH174)</f>
        <v>1.5050148972489351E-2</v>
      </c>
      <c r="AO174" s="79">
        <f t="shared" ref="AO174:AO184" si="207">STDEV(G174,K174,O174,S174,W174,AA174,AE174,AI174)</f>
        <v>1.4776766096752538E-2</v>
      </c>
    </row>
    <row r="175" spans="1:41">
      <c r="A175" s="209" t="s">
        <v>191</v>
      </c>
      <c r="B175" s="330">
        <v>189960009.93000001</v>
      </c>
      <c r="C175" s="334">
        <v>17.5</v>
      </c>
      <c r="D175" s="330">
        <v>190394152.84</v>
      </c>
      <c r="E175" s="334">
        <v>17.5</v>
      </c>
      <c r="F175" s="24">
        <f t="shared" si="180"/>
        <v>2.2854437108103831E-3</v>
      </c>
      <c r="G175" s="24">
        <f t="shared" si="181"/>
        <v>0</v>
      </c>
      <c r="H175" s="330">
        <v>190549339.34</v>
      </c>
      <c r="I175" s="334">
        <v>17.5</v>
      </c>
      <c r="J175" s="24">
        <f t="shared" si="182"/>
        <v>8.1508017806835079E-4</v>
      </c>
      <c r="K175" s="24">
        <f t="shared" si="183"/>
        <v>0</v>
      </c>
      <c r="L175" s="330">
        <v>184834387.44</v>
      </c>
      <c r="M175" s="334">
        <v>17.5</v>
      </c>
      <c r="N175" s="24">
        <f t="shared" si="184"/>
        <v>-2.9991979609033086E-2</v>
      </c>
      <c r="O175" s="24">
        <f t="shared" si="185"/>
        <v>0</v>
      </c>
      <c r="P175" s="330">
        <v>181643849.27000001</v>
      </c>
      <c r="Q175" s="334">
        <v>17.5</v>
      </c>
      <c r="R175" s="24">
        <f t="shared" si="186"/>
        <v>-1.7261604911238085E-2</v>
      </c>
      <c r="S175" s="24">
        <f t="shared" si="187"/>
        <v>0</v>
      </c>
      <c r="T175" s="330">
        <v>177977078.88999999</v>
      </c>
      <c r="U175" s="334">
        <v>17.5</v>
      </c>
      <c r="V175" s="24">
        <f t="shared" si="188"/>
        <v>-2.0186592580680476E-2</v>
      </c>
      <c r="W175" s="24">
        <f t="shared" si="189"/>
        <v>0</v>
      </c>
      <c r="X175" s="330">
        <v>183042398.15000001</v>
      </c>
      <c r="Y175" s="334">
        <v>17.5</v>
      </c>
      <c r="Z175" s="24">
        <f t="shared" si="190"/>
        <v>2.8460514643746215E-2</v>
      </c>
      <c r="AA175" s="24">
        <f t="shared" si="191"/>
        <v>0</v>
      </c>
      <c r="AB175" s="330">
        <v>183188777.75999999</v>
      </c>
      <c r="AC175" s="334">
        <v>17.5</v>
      </c>
      <c r="AD175" s="24">
        <f t="shared" si="192"/>
        <v>7.9970330087146806E-4</v>
      </c>
      <c r="AE175" s="24">
        <f t="shared" si="193"/>
        <v>0</v>
      </c>
      <c r="AF175" s="330">
        <v>181486603.66</v>
      </c>
      <c r="AG175" s="334">
        <v>17.5</v>
      </c>
      <c r="AH175" s="24">
        <f t="shared" si="194"/>
        <v>-9.2919125331468351E-3</v>
      </c>
      <c r="AI175" s="24">
        <f t="shared" si="195"/>
        <v>0</v>
      </c>
      <c r="AJ175" s="25">
        <f t="shared" si="202"/>
        <v>-5.5464184750752578E-3</v>
      </c>
      <c r="AK175" s="25">
        <f t="shared" si="203"/>
        <v>0</v>
      </c>
      <c r="AL175" s="26">
        <f t="shared" si="204"/>
        <v>-4.6784783288411028E-2</v>
      </c>
      <c r="AM175" s="26">
        <f t="shared" si="205"/>
        <v>0</v>
      </c>
      <c r="AN175" s="27">
        <f t="shared" si="206"/>
        <v>1.7975165280882884E-2</v>
      </c>
      <c r="AO175" s="79">
        <f t="shared" si="207"/>
        <v>0</v>
      </c>
    </row>
    <row r="176" spans="1:41">
      <c r="A176" s="209" t="s">
        <v>190</v>
      </c>
      <c r="B176" s="330">
        <v>246168263.31</v>
      </c>
      <c r="C176" s="334">
        <v>16.5</v>
      </c>
      <c r="D176" s="330">
        <v>251258340.52000001</v>
      </c>
      <c r="E176" s="334">
        <v>16.5</v>
      </c>
      <c r="F176" s="24">
        <f t="shared" si="180"/>
        <v>2.0677227606671896E-2</v>
      </c>
      <c r="G176" s="24">
        <f t="shared" si="181"/>
        <v>0</v>
      </c>
      <c r="H176" s="330">
        <v>254970435.22</v>
      </c>
      <c r="I176" s="334">
        <v>16.5</v>
      </c>
      <c r="J176" s="24">
        <f t="shared" si="182"/>
        <v>1.477401582895716E-2</v>
      </c>
      <c r="K176" s="24">
        <f t="shared" si="183"/>
        <v>0</v>
      </c>
      <c r="L176" s="330">
        <v>236877927.06999999</v>
      </c>
      <c r="M176" s="334">
        <v>16.5</v>
      </c>
      <c r="N176" s="24">
        <f t="shared" si="184"/>
        <v>-7.0959239389417728E-2</v>
      </c>
      <c r="O176" s="24">
        <f t="shared" si="185"/>
        <v>0</v>
      </c>
      <c r="P176" s="330">
        <v>224350840.75</v>
      </c>
      <c r="Q176" s="334">
        <v>16.5</v>
      </c>
      <c r="R176" s="24">
        <f t="shared" si="186"/>
        <v>-5.28841436386688E-2</v>
      </c>
      <c r="S176" s="24">
        <f t="shared" si="187"/>
        <v>0</v>
      </c>
      <c r="T176" s="330">
        <v>223248121.65000001</v>
      </c>
      <c r="U176" s="334">
        <v>16.5</v>
      </c>
      <c r="V176" s="24">
        <f t="shared" si="188"/>
        <v>-4.9151547474198358E-3</v>
      </c>
      <c r="W176" s="24">
        <f t="shared" si="189"/>
        <v>0</v>
      </c>
      <c r="X176" s="330">
        <v>242419943.75</v>
      </c>
      <c r="Y176" s="334">
        <v>16.5</v>
      </c>
      <c r="Z176" s="24">
        <f t="shared" si="190"/>
        <v>8.5876745382238218E-2</v>
      </c>
      <c r="AA176" s="24">
        <f t="shared" si="191"/>
        <v>0</v>
      </c>
      <c r="AB176" s="330">
        <v>240333063.61000001</v>
      </c>
      <c r="AC176" s="334">
        <v>16.5</v>
      </c>
      <c r="AD176" s="24">
        <f t="shared" si="192"/>
        <v>-8.6085332242800908E-3</v>
      </c>
      <c r="AE176" s="24">
        <f t="shared" si="193"/>
        <v>0</v>
      </c>
      <c r="AF176" s="330">
        <v>235456652.36000001</v>
      </c>
      <c r="AG176" s="334">
        <v>16.5</v>
      </c>
      <c r="AH176" s="24">
        <f t="shared" si="194"/>
        <v>-2.0290222147349591E-2</v>
      </c>
      <c r="AI176" s="24">
        <f t="shared" si="195"/>
        <v>0</v>
      </c>
      <c r="AJ176" s="25">
        <f t="shared" si="202"/>
        <v>-4.5411630411585982E-3</v>
      </c>
      <c r="AK176" s="25">
        <f t="shared" si="203"/>
        <v>0</v>
      </c>
      <c r="AL176" s="26">
        <f t="shared" si="204"/>
        <v>-6.2890203474627315E-2</v>
      </c>
      <c r="AM176" s="26">
        <f t="shared" si="205"/>
        <v>0</v>
      </c>
      <c r="AN176" s="27">
        <f t="shared" si="206"/>
        <v>4.8103404092345758E-2</v>
      </c>
      <c r="AO176" s="79">
        <f t="shared" si="207"/>
        <v>0</v>
      </c>
    </row>
    <row r="177" spans="1:41">
      <c r="A177" s="209" t="s">
        <v>32</v>
      </c>
      <c r="B177" s="330">
        <v>640721534.03999996</v>
      </c>
      <c r="C177" s="334">
        <v>11998.98</v>
      </c>
      <c r="D177" s="330">
        <v>639975030</v>
      </c>
      <c r="E177" s="334">
        <v>11985</v>
      </c>
      <c r="F177" s="24">
        <f t="shared" si="180"/>
        <v>-1.1650990334177811E-3</v>
      </c>
      <c r="G177" s="24">
        <f t="shared" si="181"/>
        <v>-1.1650990334178043E-3</v>
      </c>
      <c r="H177" s="330">
        <v>592717800</v>
      </c>
      <c r="I177" s="334">
        <v>11100</v>
      </c>
      <c r="J177" s="24">
        <f t="shared" si="182"/>
        <v>-7.3842302878598248E-2</v>
      </c>
      <c r="K177" s="24">
        <f t="shared" si="183"/>
        <v>-7.3842302878598248E-2</v>
      </c>
      <c r="L177" s="330">
        <v>592723673.77999997</v>
      </c>
      <c r="M177" s="334">
        <v>11100</v>
      </c>
      <c r="N177" s="24">
        <f t="shared" si="184"/>
        <v>9.9099099098616409E-6</v>
      </c>
      <c r="O177" s="24">
        <f t="shared" si="185"/>
        <v>0</v>
      </c>
      <c r="P177" s="330">
        <v>592726343.67999995</v>
      </c>
      <c r="Q177" s="334">
        <v>11100.16</v>
      </c>
      <c r="R177" s="24">
        <f t="shared" si="186"/>
        <v>4.5044598656728188E-6</v>
      </c>
      <c r="S177" s="24">
        <f t="shared" si="187"/>
        <v>1.4414414414401305E-5</v>
      </c>
      <c r="T177" s="330">
        <v>592717800</v>
      </c>
      <c r="U177" s="334">
        <v>11100</v>
      </c>
      <c r="V177" s="24">
        <f t="shared" si="188"/>
        <v>-1.4414206641977929E-5</v>
      </c>
      <c r="W177" s="24">
        <f t="shared" si="189"/>
        <v>-1.4414206642053312E-5</v>
      </c>
      <c r="X177" s="330">
        <v>592717800</v>
      </c>
      <c r="Y177" s="334">
        <v>11100</v>
      </c>
      <c r="Z177" s="24">
        <f t="shared" si="190"/>
        <v>0</v>
      </c>
      <c r="AA177" s="24">
        <f t="shared" si="191"/>
        <v>0</v>
      </c>
      <c r="AB177" s="330">
        <v>661601220</v>
      </c>
      <c r="AC177" s="334">
        <v>12390</v>
      </c>
      <c r="AD177" s="24">
        <f t="shared" si="192"/>
        <v>0.11621621621621622</v>
      </c>
      <c r="AE177" s="24">
        <f t="shared" si="193"/>
        <v>0.11621621621621622</v>
      </c>
      <c r="AF177" s="330">
        <v>640776000</v>
      </c>
      <c r="AG177" s="334">
        <v>12000</v>
      </c>
      <c r="AH177" s="24">
        <f t="shared" si="194"/>
        <v>-3.1476997578692496E-2</v>
      </c>
      <c r="AI177" s="24">
        <f t="shared" si="195"/>
        <v>-3.1476997578692496E-2</v>
      </c>
      <c r="AJ177" s="25">
        <f t="shared" si="202"/>
        <v>1.2164771110801569E-3</v>
      </c>
      <c r="AK177" s="25">
        <f t="shared" si="203"/>
        <v>1.2164771166600025E-3</v>
      </c>
      <c r="AL177" s="26">
        <f t="shared" si="204"/>
        <v>1.2515644555694619E-3</v>
      </c>
      <c r="AM177" s="26">
        <f t="shared" si="205"/>
        <v>1.2515644555694619E-3</v>
      </c>
      <c r="AN177" s="27">
        <f t="shared" si="206"/>
        <v>5.3370959508662726E-2</v>
      </c>
      <c r="AO177" s="79">
        <f t="shared" si="207"/>
        <v>5.3370959628002992E-2</v>
      </c>
    </row>
    <row r="178" spans="1:41">
      <c r="A178" s="209" t="s">
        <v>96</v>
      </c>
      <c r="B178" s="330">
        <v>652097907.47000003</v>
      </c>
      <c r="C178" s="334">
        <v>69.849999999999994</v>
      </c>
      <c r="D178" s="330">
        <v>660329725.27999997</v>
      </c>
      <c r="E178" s="334">
        <v>76.83</v>
      </c>
      <c r="F178" s="24">
        <f t="shared" si="180"/>
        <v>1.2623591819114448E-2</v>
      </c>
      <c r="G178" s="24">
        <f t="shared" si="181"/>
        <v>9.9928418038654321E-2</v>
      </c>
      <c r="H178" s="330">
        <v>665536730.01999998</v>
      </c>
      <c r="I178" s="334">
        <v>78.2</v>
      </c>
      <c r="J178" s="24">
        <f t="shared" si="182"/>
        <v>7.8854616726394995E-3</v>
      </c>
      <c r="K178" s="24">
        <f t="shared" si="183"/>
        <v>1.7831576207210785E-2</v>
      </c>
      <c r="L178" s="330">
        <v>659721802.24000001</v>
      </c>
      <c r="M178" s="334">
        <v>78.2</v>
      </c>
      <c r="N178" s="24">
        <f t="shared" si="184"/>
        <v>-8.7372003943722645E-3</v>
      </c>
      <c r="O178" s="24">
        <f t="shared" si="185"/>
        <v>0</v>
      </c>
      <c r="P178" s="330">
        <v>641171488.98000002</v>
      </c>
      <c r="Q178" s="334">
        <v>80</v>
      </c>
      <c r="R178" s="24">
        <f t="shared" si="186"/>
        <v>-2.8118387473348314E-2</v>
      </c>
      <c r="S178" s="24">
        <f t="shared" si="187"/>
        <v>2.3017902813299195E-2</v>
      </c>
      <c r="T178" s="330">
        <v>641981664.67999995</v>
      </c>
      <c r="U178" s="334">
        <v>80</v>
      </c>
      <c r="V178" s="24">
        <f t="shared" si="188"/>
        <v>1.2635865972281249E-3</v>
      </c>
      <c r="W178" s="24">
        <f t="shared" si="189"/>
        <v>0</v>
      </c>
      <c r="X178" s="330">
        <v>646833903.70000005</v>
      </c>
      <c r="Y178" s="334">
        <v>80</v>
      </c>
      <c r="Z178" s="24">
        <f t="shared" si="190"/>
        <v>7.5582205644747361E-3</v>
      </c>
      <c r="AA178" s="24">
        <f t="shared" si="191"/>
        <v>0</v>
      </c>
      <c r="AB178" s="330">
        <v>638580769.52999997</v>
      </c>
      <c r="AC178" s="334">
        <v>73</v>
      </c>
      <c r="AD178" s="24">
        <f t="shared" si="192"/>
        <v>-1.2759278885647063E-2</v>
      </c>
      <c r="AE178" s="24">
        <f t="shared" si="193"/>
        <v>-8.7499999999999994E-2</v>
      </c>
      <c r="AF178" s="330">
        <v>628465614.61000001</v>
      </c>
      <c r="AG178" s="334">
        <v>73</v>
      </c>
      <c r="AH178" s="24">
        <f t="shared" si="194"/>
        <v>-1.584005564001682E-2</v>
      </c>
      <c r="AI178" s="24">
        <f t="shared" si="195"/>
        <v>0</v>
      </c>
      <c r="AJ178" s="25">
        <f t="shared" si="202"/>
        <v>-4.5155077174909557E-3</v>
      </c>
      <c r="AK178" s="25">
        <f t="shared" si="203"/>
        <v>6.6597371323955379E-3</v>
      </c>
      <c r="AL178" s="26">
        <f t="shared" si="204"/>
        <v>-4.8254848222209899E-2</v>
      </c>
      <c r="AM178" s="26">
        <f t="shared" si="205"/>
        <v>-4.9850318885851862E-2</v>
      </c>
      <c r="AN178" s="27">
        <f t="shared" si="206"/>
        <v>1.4131168140046101E-2</v>
      </c>
      <c r="AO178" s="79">
        <f t="shared" si="207"/>
        <v>5.0898934738057476E-2</v>
      </c>
    </row>
    <row r="179" spans="1:41">
      <c r="A179" s="209" t="s">
        <v>40</v>
      </c>
      <c r="B179" s="330">
        <v>473423951.35000002</v>
      </c>
      <c r="C179" s="334">
        <v>191.11</v>
      </c>
      <c r="D179" s="330">
        <v>483104548.48000002</v>
      </c>
      <c r="E179" s="334">
        <v>224.91</v>
      </c>
      <c r="F179" s="24">
        <f t="shared" si="180"/>
        <v>2.0448051059510457E-2</v>
      </c>
      <c r="G179" s="24">
        <f t="shared" si="181"/>
        <v>0.17686149338077536</v>
      </c>
      <c r="H179" s="330">
        <v>486088022.32999998</v>
      </c>
      <c r="I179" s="334">
        <v>242.44</v>
      </c>
      <c r="J179" s="24">
        <f t="shared" si="182"/>
        <v>6.1756277381095218E-3</v>
      </c>
      <c r="K179" s="24">
        <f t="shared" si="183"/>
        <v>7.7942288026321652E-2</v>
      </c>
      <c r="L179" s="330">
        <v>488821099.52999997</v>
      </c>
      <c r="M179" s="334">
        <v>242.44</v>
      </c>
      <c r="N179" s="24">
        <f t="shared" si="184"/>
        <v>5.6225972960603646E-3</v>
      </c>
      <c r="O179" s="24">
        <f t="shared" si="185"/>
        <v>0</v>
      </c>
      <c r="P179" s="330">
        <v>482078162.77999997</v>
      </c>
      <c r="Q179" s="334">
        <v>265</v>
      </c>
      <c r="R179" s="24">
        <f t="shared" si="186"/>
        <v>-1.3794283341049136E-2</v>
      </c>
      <c r="S179" s="24">
        <f t="shared" si="187"/>
        <v>9.3053951493152959E-2</v>
      </c>
      <c r="T179" s="330">
        <v>481090507.00999999</v>
      </c>
      <c r="U179" s="334">
        <v>265</v>
      </c>
      <c r="V179" s="24">
        <f t="shared" si="188"/>
        <v>-2.0487461292676415E-3</v>
      </c>
      <c r="W179" s="24">
        <f t="shared" si="189"/>
        <v>0</v>
      </c>
      <c r="X179" s="330">
        <v>478502096.05000001</v>
      </c>
      <c r="Y179" s="334">
        <v>289.12</v>
      </c>
      <c r="Z179" s="24">
        <f t="shared" si="190"/>
        <v>-5.3802993870884584E-3</v>
      </c>
      <c r="AA179" s="24">
        <f t="shared" si="191"/>
        <v>9.1018867924528318E-2</v>
      </c>
      <c r="AB179" s="330">
        <v>474765369.13</v>
      </c>
      <c r="AC179" s="334">
        <v>286.11</v>
      </c>
      <c r="AD179" s="24">
        <f t="shared" si="192"/>
        <v>-7.8092174534791503E-3</v>
      </c>
      <c r="AE179" s="24">
        <f t="shared" si="193"/>
        <v>-1.0410902047592664E-2</v>
      </c>
      <c r="AF179" s="330">
        <v>468384420.36000001</v>
      </c>
      <c r="AG179" s="334">
        <v>285</v>
      </c>
      <c r="AH179" s="24">
        <f t="shared" si="194"/>
        <v>-1.3440215282957493E-2</v>
      </c>
      <c r="AI179" s="24">
        <f t="shared" si="195"/>
        <v>-3.8796267169970066E-3</v>
      </c>
      <c r="AJ179" s="25">
        <f t="shared" si="202"/>
        <v>-1.278310687520192E-3</v>
      </c>
      <c r="AK179" s="25">
        <f t="shared" si="203"/>
        <v>5.3073259007523584E-2</v>
      </c>
      <c r="AL179" s="26">
        <f t="shared" si="204"/>
        <v>-3.0469860336265083E-2</v>
      </c>
      <c r="AM179" s="26">
        <f t="shared" si="205"/>
        <v>0.26717353608109912</v>
      </c>
      <c r="AN179" s="27">
        <f t="shared" si="206"/>
        <v>1.1587262982091893E-2</v>
      </c>
      <c r="AO179" s="79">
        <f t="shared" si="207"/>
        <v>6.7493631574583463E-2</v>
      </c>
    </row>
    <row r="180" spans="1:41">
      <c r="A180" s="209" t="s">
        <v>50</v>
      </c>
      <c r="B180" s="330">
        <v>159737163.52000001</v>
      </c>
      <c r="C180" s="334">
        <v>6.24</v>
      </c>
      <c r="D180" s="330">
        <v>145282273.86000001</v>
      </c>
      <c r="E180" s="334">
        <v>6.63</v>
      </c>
      <c r="F180" s="24">
        <f t="shared" si="180"/>
        <v>-9.049171364677551E-2</v>
      </c>
      <c r="G180" s="24">
        <f t="shared" si="181"/>
        <v>6.2499999999999944E-2</v>
      </c>
      <c r="H180" s="330">
        <v>175659517.44</v>
      </c>
      <c r="I180" s="334">
        <v>7</v>
      </c>
      <c r="J180" s="24">
        <f t="shared" si="182"/>
        <v>0.20909119036278814</v>
      </c>
      <c r="K180" s="24">
        <f t="shared" si="183"/>
        <v>5.5806938159879353E-2</v>
      </c>
      <c r="L180" s="330">
        <v>178227639.03999999</v>
      </c>
      <c r="M180" s="334">
        <v>7</v>
      </c>
      <c r="N180" s="24">
        <f t="shared" si="184"/>
        <v>1.4619883040935639E-2</v>
      </c>
      <c r="O180" s="24">
        <f t="shared" si="185"/>
        <v>0</v>
      </c>
      <c r="P180" s="330">
        <v>180795760.63999999</v>
      </c>
      <c r="Q180" s="334">
        <v>7.08</v>
      </c>
      <c r="R180" s="24">
        <f t="shared" si="186"/>
        <v>1.4409221902017258E-2</v>
      </c>
      <c r="S180" s="24">
        <f t="shared" si="187"/>
        <v>1.1428571428571439E-2</v>
      </c>
      <c r="T180" s="330">
        <v>178998075.52000001</v>
      </c>
      <c r="U180" s="334">
        <v>7.01</v>
      </c>
      <c r="V180" s="24">
        <f t="shared" si="188"/>
        <v>-9.943181818181681E-3</v>
      </c>
      <c r="W180" s="24">
        <f t="shared" si="189"/>
        <v>-9.8870056497175549E-3</v>
      </c>
      <c r="X180" s="330">
        <v>178998075.52000001</v>
      </c>
      <c r="Y180" s="334">
        <v>7.08</v>
      </c>
      <c r="Z180" s="24">
        <f t="shared" si="190"/>
        <v>0</v>
      </c>
      <c r="AA180" s="24">
        <f t="shared" si="191"/>
        <v>9.985734664764663E-3</v>
      </c>
      <c r="AB180" s="330">
        <v>154984118.11000001</v>
      </c>
      <c r="AC180" s="334">
        <v>7.03</v>
      </c>
      <c r="AD180" s="24">
        <f t="shared" si="192"/>
        <v>-0.13415762901493788</v>
      </c>
      <c r="AE180" s="24">
        <f t="shared" si="193"/>
        <v>-7.0621468926553421E-3</v>
      </c>
      <c r="AF180" s="330">
        <v>154928813.90000001</v>
      </c>
      <c r="AG180" s="334">
        <v>7.04</v>
      </c>
      <c r="AH180" s="24">
        <f t="shared" si="194"/>
        <v>-3.5683791781010855E-4</v>
      </c>
      <c r="AI180" s="24">
        <f t="shared" si="195"/>
        <v>1.4224751066856027E-3</v>
      </c>
      <c r="AJ180" s="25">
        <f t="shared" si="202"/>
        <v>3.9636661350448148E-4</v>
      </c>
      <c r="AK180" s="25">
        <f t="shared" si="203"/>
        <v>1.552432085219101E-2</v>
      </c>
      <c r="AL180" s="26">
        <f t="shared" si="204"/>
        <v>6.6398603103471482E-2</v>
      </c>
      <c r="AM180" s="26">
        <f t="shared" si="205"/>
        <v>6.1840120663650099E-2</v>
      </c>
      <c r="AN180" s="27">
        <f t="shared" si="206"/>
        <v>0.10030328975587009</v>
      </c>
      <c r="AO180" s="79">
        <f t="shared" si="207"/>
        <v>2.7960700532762003E-2</v>
      </c>
    </row>
    <row r="181" spans="1:41">
      <c r="A181" s="209" t="s">
        <v>60</v>
      </c>
      <c r="B181" s="76">
        <v>421760755.35000002</v>
      </c>
      <c r="C181" s="334">
        <v>4.5199999999999996</v>
      </c>
      <c r="D181" s="76">
        <v>359864640.82999998</v>
      </c>
      <c r="E181" s="334">
        <v>4.62</v>
      </c>
      <c r="F181" s="24">
        <f t="shared" si="180"/>
        <v>-0.14675645786112859</v>
      </c>
      <c r="G181" s="24">
        <f t="shared" si="181"/>
        <v>2.2123893805309856E-2</v>
      </c>
      <c r="H181" s="76">
        <v>394495413.58999997</v>
      </c>
      <c r="I181" s="334">
        <v>4.67</v>
      </c>
      <c r="J181" s="24">
        <f t="shared" si="182"/>
        <v>9.623277430126724E-2</v>
      </c>
      <c r="K181" s="24">
        <f t="shared" si="183"/>
        <v>1.0822510822510784E-2</v>
      </c>
      <c r="L181" s="76">
        <v>386827036.22000003</v>
      </c>
      <c r="M181" s="334">
        <v>4.67</v>
      </c>
      <c r="N181" s="24">
        <f t="shared" si="184"/>
        <v>-1.9438444924405909E-2</v>
      </c>
      <c r="O181" s="24">
        <f t="shared" si="185"/>
        <v>0</v>
      </c>
      <c r="P181" s="76">
        <v>369786197.62</v>
      </c>
      <c r="Q181" s="334">
        <v>4.38</v>
      </c>
      <c r="R181" s="24">
        <f t="shared" si="186"/>
        <v>-4.4052863436123406E-2</v>
      </c>
      <c r="S181" s="24">
        <f t="shared" si="187"/>
        <v>-6.2098501070663822E-2</v>
      </c>
      <c r="T181" s="76">
        <v>369786197.62</v>
      </c>
      <c r="U181" s="334">
        <v>4.42</v>
      </c>
      <c r="V181" s="24">
        <f t="shared" si="188"/>
        <v>0</v>
      </c>
      <c r="W181" s="24">
        <f t="shared" si="189"/>
        <v>9.1324200913242091E-3</v>
      </c>
      <c r="X181" s="76">
        <v>369786197.62</v>
      </c>
      <c r="Y181" s="334">
        <v>4.58</v>
      </c>
      <c r="Z181" s="24">
        <f t="shared" si="190"/>
        <v>0</v>
      </c>
      <c r="AA181" s="24">
        <f t="shared" si="191"/>
        <v>3.6199095022624465E-2</v>
      </c>
      <c r="AB181" s="76">
        <v>349202483.66000003</v>
      </c>
      <c r="AC181" s="334">
        <v>4.53</v>
      </c>
      <c r="AD181" s="24">
        <f t="shared" si="192"/>
        <v>-5.5663824373326752E-2</v>
      </c>
      <c r="AE181" s="24">
        <f t="shared" si="193"/>
        <v>-1.0917030567685551E-2</v>
      </c>
      <c r="AF181" s="76">
        <v>343445367.83999997</v>
      </c>
      <c r="AG181" s="334">
        <v>4.47</v>
      </c>
      <c r="AH181" s="24">
        <f t="shared" si="194"/>
        <v>-1.6486468709098447E-2</v>
      </c>
      <c r="AI181" s="24">
        <f t="shared" si="195"/>
        <v>-1.3245033112582891E-2</v>
      </c>
      <c r="AJ181" s="25">
        <f t="shared" si="202"/>
        <v>-2.3270660625351984E-2</v>
      </c>
      <c r="AK181" s="25">
        <f t="shared" si="203"/>
        <v>-9.9783062614536874E-4</v>
      </c>
      <c r="AL181" s="26">
        <f t="shared" si="204"/>
        <v>-4.5626247002568038E-2</v>
      </c>
      <c r="AM181" s="26">
        <f t="shared" si="205"/>
        <v>-3.2467532467532541E-2</v>
      </c>
      <c r="AN181" s="27">
        <f t="shared" si="206"/>
        <v>6.7775668325210855E-2</v>
      </c>
      <c r="AO181" s="79">
        <f t="shared" si="207"/>
        <v>2.9624410689540796E-2</v>
      </c>
    </row>
    <row r="182" spans="1:41">
      <c r="A182" s="209" t="s">
        <v>94</v>
      </c>
      <c r="B182" s="330">
        <v>571811912.37</v>
      </c>
      <c r="C182" s="334">
        <v>142.12</v>
      </c>
      <c r="D182" s="330">
        <v>571811912.37</v>
      </c>
      <c r="E182" s="334">
        <v>142.65</v>
      </c>
      <c r="F182" s="24">
        <f t="shared" si="180"/>
        <v>0</v>
      </c>
      <c r="G182" s="24">
        <f t="shared" si="181"/>
        <v>3.7292428933295885E-3</v>
      </c>
      <c r="H182" s="330">
        <v>571811912.37</v>
      </c>
      <c r="I182" s="334">
        <v>142.75</v>
      </c>
      <c r="J182" s="24">
        <f t="shared" si="182"/>
        <v>0</v>
      </c>
      <c r="K182" s="24">
        <f t="shared" si="183"/>
        <v>7.010164738870965E-4</v>
      </c>
      <c r="L182" s="330">
        <v>571811912.37</v>
      </c>
      <c r="M182" s="334">
        <v>142.75</v>
      </c>
      <c r="N182" s="24">
        <f t="shared" si="184"/>
        <v>0</v>
      </c>
      <c r="O182" s="24">
        <f t="shared" si="185"/>
        <v>0</v>
      </c>
      <c r="P182" s="330">
        <v>568291553.37</v>
      </c>
      <c r="Q182" s="334">
        <v>143.69999999999999</v>
      </c>
      <c r="R182" s="24">
        <f t="shared" si="186"/>
        <v>-6.1564981838330354E-3</v>
      </c>
      <c r="S182" s="24">
        <f t="shared" si="187"/>
        <v>6.6549912434324945E-3</v>
      </c>
      <c r="T182" s="330">
        <v>563011014.87</v>
      </c>
      <c r="U182" s="334">
        <v>145.47</v>
      </c>
      <c r="V182" s="24">
        <f t="shared" si="188"/>
        <v>-9.2919531685560306E-3</v>
      </c>
      <c r="W182" s="24">
        <f t="shared" si="189"/>
        <v>1.2317327766179612E-2</v>
      </c>
      <c r="X182" s="330">
        <v>559490655.87</v>
      </c>
      <c r="Y182" s="334">
        <v>144.26</v>
      </c>
      <c r="Z182" s="24">
        <f t="shared" si="190"/>
        <v>-6.2527355718126681E-3</v>
      </c>
      <c r="AA182" s="24">
        <f t="shared" si="191"/>
        <v>-8.3178662267134659E-3</v>
      </c>
      <c r="AB182" s="330">
        <v>502329033.66000003</v>
      </c>
      <c r="AC182" s="334">
        <v>143.69</v>
      </c>
      <c r="AD182" s="24">
        <f t="shared" si="192"/>
        <v>-0.1021672508920001</v>
      </c>
      <c r="AE182" s="24">
        <f t="shared" si="193"/>
        <v>-3.9511992236239656E-3</v>
      </c>
      <c r="AF182" s="330">
        <v>502786320.23000002</v>
      </c>
      <c r="AG182" s="334">
        <v>143.82</v>
      </c>
      <c r="AH182" s="24">
        <f t="shared" si="194"/>
        <v>9.1033274877260221E-4</v>
      </c>
      <c r="AI182" s="24">
        <f t="shared" si="195"/>
        <v>9.04725450622837E-4</v>
      </c>
      <c r="AJ182" s="25">
        <f t="shared" si="202"/>
        <v>-1.5369763133428653E-2</v>
      </c>
      <c r="AK182" s="25">
        <f t="shared" si="203"/>
        <v>1.5047797971392744E-3</v>
      </c>
      <c r="AL182" s="26">
        <f t="shared" si="204"/>
        <v>-0.12071380579307672</v>
      </c>
      <c r="AM182" s="26">
        <f t="shared" si="205"/>
        <v>8.2018927444794075E-3</v>
      </c>
      <c r="AN182" s="27">
        <f t="shared" si="206"/>
        <v>3.5279452692600285E-2</v>
      </c>
      <c r="AO182" s="79">
        <f t="shared" si="207"/>
        <v>6.300869016164317E-3</v>
      </c>
    </row>
    <row r="183" spans="1:41">
      <c r="A183" s="209" t="s">
        <v>30</v>
      </c>
      <c r="B183" s="330">
        <v>3144330000</v>
      </c>
      <c r="C183" s="334">
        <v>19.760000000000002</v>
      </c>
      <c r="D183" s="330">
        <v>2926581000.1399999</v>
      </c>
      <c r="E183" s="334">
        <v>20.13</v>
      </c>
      <c r="F183" s="24">
        <f t="shared" si="180"/>
        <v>-6.9251318996415817E-2</v>
      </c>
      <c r="G183" s="24">
        <f t="shared" si="181"/>
        <v>1.8724696356275172E-2</v>
      </c>
      <c r="H183" s="330">
        <v>3015215000</v>
      </c>
      <c r="I183" s="334">
        <v>20.239999999999998</v>
      </c>
      <c r="J183" s="24">
        <f t="shared" si="182"/>
        <v>3.028585228147115E-2</v>
      </c>
      <c r="K183" s="24">
        <f t="shared" si="183"/>
        <v>5.4644808743169121E-3</v>
      </c>
      <c r="L183" s="330">
        <v>2597490000</v>
      </c>
      <c r="M183" s="334">
        <v>20.239999999999998</v>
      </c>
      <c r="N183" s="24">
        <f t="shared" si="184"/>
        <v>-0.1385390428211587</v>
      </c>
      <c r="O183" s="24">
        <f t="shared" si="185"/>
        <v>0</v>
      </c>
      <c r="P183" s="330">
        <v>2980278000</v>
      </c>
      <c r="Q183" s="334">
        <v>20.059999999999999</v>
      </c>
      <c r="R183" s="24">
        <f t="shared" si="186"/>
        <v>0.14736842105263157</v>
      </c>
      <c r="S183" s="24">
        <f t="shared" si="187"/>
        <v>-8.893280632411054E-3</v>
      </c>
      <c r="T183" s="330">
        <v>2896733000</v>
      </c>
      <c r="U183" s="334">
        <v>20.02</v>
      </c>
      <c r="V183" s="24">
        <f t="shared" si="188"/>
        <v>-2.8032619775739041E-2</v>
      </c>
      <c r="W183" s="24">
        <f t="shared" si="189"/>
        <v>-1.9940179461614732E-3</v>
      </c>
      <c r="X183" s="330">
        <v>2831416000</v>
      </c>
      <c r="Y183" s="334">
        <v>20.02</v>
      </c>
      <c r="Z183" s="24">
        <f t="shared" si="190"/>
        <v>-2.2548505506030415E-2</v>
      </c>
      <c r="AA183" s="24">
        <f t="shared" si="191"/>
        <v>0</v>
      </c>
      <c r="AB183" s="330">
        <v>2851630995.5500002</v>
      </c>
      <c r="AC183" s="334">
        <v>19.350000000000001</v>
      </c>
      <c r="AD183" s="24">
        <f t="shared" si="192"/>
        <v>7.1395356775550431E-3</v>
      </c>
      <c r="AE183" s="24">
        <f t="shared" si="193"/>
        <v>-3.3466533466533374E-2</v>
      </c>
      <c r="AF183" s="330">
        <v>2806952224.9899998</v>
      </c>
      <c r="AG183" s="334">
        <v>19.04</v>
      </c>
      <c r="AH183" s="24">
        <f t="shared" si="194"/>
        <v>-1.5667795247604654E-2</v>
      </c>
      <c r="AI183" s="24">
        <f t="shared" si="195"/>
        <v>-1.6020671834625438E-2</v>
      </c>
      <c r="AJ183" s="25">
        <f t="shared" si="202"/>
        <v>-1.1155684166911357E-2</v>
      </c>
      <c r="AK183" s="25">
        <f t="shared" si="203"/>
        <v>-4.5231658311424075E-3</v>
      </c>
      <c r="AL183" s="26">
        <f t="shared" si="204"/>
        <v>-4.0876632201287913E-2</v>
      </c>
      <c r="AM183" s="26">
        <f t="shared" si="205"/>
        <v>-5.4148037754595126E-2</v>
      </c>
      <c r="AN183" s="27">
        <f t="shared" si="206"/>
        <v>8.2131094926091483E-2</v>
      </c>
      <c r="AO183" s="79">
        <f t="shared" si="207"/>
        <v>1.5475971735233195E-2</v>
      </c>
    </row>
    <row r="184" spans="1:41">
      <c r="A184" s="209" t="s">
        <v>51</v>
      </c>
      <c r="B184" s="76">
        <v>258426139.65000001</v>
      </c>
      <c r="C184" s="334">
        <v>24.82</v>
      </c>
      <c r="D184" s="76">
        <v>254744081.99000001</v>
      </c>
      <c r="E184" s="334">
        <v>24.91</v>
      </c>
      <c r="F184" s="24">
        <f t="shared" si="180"/>
        <v>-1.4248007825318286E-2</v>
      </c>
      <c r="G184" s="24">
        <f t="shared" si="181"/>
        <v>3.6261079774375445E-3</v>
      </c>
      <c r="H184" s="76">
        <v>264847318.68000001</v>
      </c>
      <c r="I184" s="334">
        <v>25.26</v>
      </c>
      <c r="J184" s="24">
        <f t="shared" si="182"/>
        <v>3.9660339157149095E-2</v>
      </c>
      <c r="K184" s="24">
        <f t="shared" si="183"/>
        <v>1.4050582095544014E-2</v>
      </c>
      <c r="L184" s="76">
        <v>269373723.56999999</v>
      </c>
      <c r="M184" s="334">
        <v>25.26</v>
      </c>
      <c r="N184" s="24">
        <f t="shared" si="184"/>
        <v>1.7090620031796448E-2</v>
      </c>
      <c r="O184" s="24">
        <f t="shared" si="185"/>
        <v>0</v>
      </c>
      <c r="P184" s="76">
        <v>268636866.95999998</v>
      </c>
      <c r="Q184" s="334">
        <v>25.62</v>
      </c>
      <c r="R184" s="24">
        <f t="shared" si="186"/>
        <v>-2.7354435326299867E-3</v>
      </c>
      <c r="S184" s="24">
        <f t="shared" si="187"/>
        <v>1.4251781472684062E-2</v>
      </c>
      <c r="T184" s="76">
        <v>267373684.19999999</v>
      </c>
      <c r="U184" s="334">
        <v>25.49</v>
      </c>
      <c r="V184" s="24">
        <f t="shared" si="188"/>
        <v>-4.7021943573667358E-3</v>
      </c>
      <c r="W184" s="24">
        <f t="shared" si="189"/>
        <v>-5.0741608118658292E-3</v>
      </c>
      <c r="X184" s="76">
        <v>267373684.19999999</v>
      </c>
      <c r="Y184" s="334">
        <v>25.59</v>
      </c>
      <c r="Z184" s="24">
        <f t="shared" si="190"/>
        <v>0</v>
      </c>
      <c r="AA184" s="24">
        <f t="shared" si="191"/>
        <v>3.9231071008239086E-3</v>
      </c>
      <c r="AB184" s="76">
        <v>259443510.68000001</v>
      </c>
      <c r="AC184" s="334">
        <v>24.65</v>
      </c>
      <c r="AD184" s="24">
        <f t="shared" si="192"/>
        <v>-2.9659513963491181E-2</v>
      </c>
      <c r="AE184" s="24">
        <f t="shared" si="193"/>
        <v>-3.6733098866744869E-2</v>
      </c>
      <c r="AF184" s="76">
        <v>258249284.53</v>
      </c>
      <c r="AG184" s="334">
        <v>24.56</v>
      </c>
      <c r="AH184" s="24">
        <f t="shared" si="194"/>
        <v>-4.6030295645859316E-3</v>
      </c>
      <c r="AI184" s="24">
        <f t="shared" si="195"/>
        <v>-3.6511156186612519E-3</v>
      </c>
      <c r="AJ184" s="25">
        <f t="shared" si="202"/>
        <v>1.0034624319417819E-4</v>
      </c>
      <c r="AK184" s="25">
        <f t="shared" si="203"/>
        <v>-1.2008495813478021E-3</v>
      </c>
      <c r="AL184" s="26">
        <f t="shared" si="204"/>
        <v>1.3759701550741377E-2</v>
      </c>
      <c r="AM184" s="26">
        <f t="shared" si="205"/>
        <v>-1.4050582095544014E-2</v>
      </c>
      <c r="AN184" s="27">
        <f t="shared" si="206"/>
        <v>2.0696531455402033E-2</v>
      </c>
      <c r="AO184" s="79">
        <f t="shared" si="207"/>
        <v>1.6062082895443579E-2</v>
      </c>
    </row>
    <row r="185" spans="1:41" ht="15.75" thickBot="1">
      <c r="A185" s="210" t="s">
        <v>33</v>
      </c>
      <c r="B185" s="78">
        <f>SUM(B173:B184)</f>
        <v>7852256162.21</v>
      </c>
      <c r="C185" s="313"/>
      <c r="D185" s="78">
        <f>SUM(D173:D184)</f>
        <v>7600483643.3475647</v>
      </c>
      <c r="E185" s="313"/>
      <c r="F185" s="24">
        <f>((D185-B185)/B185)</f>
        <v>-3.2063716931972137E-2</v>
      </c>
      <c r="G185" s="216"/>
      <c r="H185" s="78">
        <f>SUM(H173:H184)</f>
        <v>7738559805.4800005</v>
      </c>
      <c r="I185" s="313"/>
      <c r="J185" s="24">
        <f>((H185-D185)/D185)</f>
        <v>1.81667599868186E-2</v>
      </c>
      <c r="K185" s="216"/>
      <c r="L185" s="78">
        <f>SUM(L173:L184)</f>
        <v>7302454395.249999</v>
      </c>
      <c r="M185" s="313"/>
      <c r="N185" s="24">
        <f>((L185-H185)/H185)</f>
        <v>-5.6354854287121593E-2</v>
      </c>
      <c r="O185" s="216"/>
      <c r="P185" s="78">
        <f>SUM(P173:P184)</f>
        <v>7615600748.6800003</v>
      </c>
      <c r="Q185" s="313"/>
      <c r="R185" s="24">
        <f>((P185-L185)/L185)</f>
        <v>4.2882342905652709E-2</v>
      </c>
      <c r="S185" s="216"/>
      <c r="T185" s="78">
        <f>SUM(T173:T184)</f>
        <v>7518365561.5</v>
      </c>
      <c r="U185" s="313"/>
      <c r="V185" s="24">
        <f>((T185-P185)/P185)</f>
        <v>-1.2767894535024558E-2</v>
      </c>
      <c r="W185" s="216"/>
      <c r="X185" s="78">
        <f>SUM(X173:X184)</f>
        <v>7453517752.9404144</v>
      </c>
      <c r="Y185" s="313"/>
      <c r="Z185" s="24">
        <f>((X185-T185)/T185)</f>
        <v>-8.6252534582327081E-3</v>
      </c>
      <c r="AA185" s="216"/>
      <c r="AB185" s="78">
        <f>SUM(AB173:AB184)</f>
        <v>7407165496.3106413</v>
      </c>
      <c r="AC185" s="313"/>
      <c r="AD185" s="24">
        <f>((AB185-X185)/X185)</f>
        <v>-6.2188429901420929E-3</v>
      </c>
      <c r="AE185" s="216"/>
      <c r="AF185" s="78">
        <f>SUM(AF173:AF184)</f>
        <v>7288227210.7975979</v>
      </c>
      <c r="AG185" s="313"/>
      <c r="AH185" s="24">
        <f>((AF185-AB185)/AB185)</f>
        <v>-1.60571929400368E-2</v>
      </c>
      <c r="AI185" s="216"/>
      <c r="AJ185" s="25">
        <f t="shared" si="202"/>
        <v>-8.8798315312573223E-3</v>
      </c>
      <c r="AK185" s="25"/>
      <c r="AL185" s="26">
        <f t="shared" si="204"/>
        <v>-4.1083758245210336E-2</v>
      </c>
      <c r="AM185" s="26"/>
      <c r="AN185" s="27">
        <f t="shared" si="206"/>
        <v>2.9942774859127483E-2</v>
      </c>
      <c r="AO185" s="79"/>
    </row>
    <row r="186" spans="1:41" ht="15.75" thickBot="1">
      <c r="A186" s="64" t="s">
        <v>43</v>
      </c>
      <c r="B186" s="229">
        <f>SUM(B165,B170,B185)</f>
        <v>1624285350689.9875</v>
      </c>
      <c r="C186" s="314"/>
      <c r="D186" s="229">
        <f>SUM(D165,D170,D185)</f>
        <v>1648137946874.4346</v>
      </c>
      <c r="E186" s="314"/>
      <c r="F186" s="216">
        <f>((D186-B186)/B186)</f>
        <v>1.4684978950474785E-2</v>
      </c>
      <c r="G186" s="312"/>
      <c r="H186" s="229">
        <f>SUM(H165,H170,H185)</f>
        <v>1674812902692.7385</v>
      </c>
      <c r="I186" s="314"/>
      <c r="J186" s="216">
        <f>((H186-D186)/D186)</f>
        <v>1.6184904830867423E-2</v>
      </c>
      <c r="K186" s="312"/>
      <c r="L186" s="229">
        <f>SUM(L165,L170,L185)</f>
        <v>1691196679078.0959</v>
      </c>
      <c r="M186" s="314"/>
      <c r="N186" s="216">
        <f>((L186-H186)/H186)</f>
        <v>9.7824517347674094E-3</v>
      </c>
      <c r="O186" s="312"/>
      <c r="P186" s="229">
        <f>SUM(P165,P170,P185)</f>
        <v>1688865902848.1707</v>
      </c>
      <c r="Q186" s="314"/>
      <c r="R186" s="216">
        <f>((P186-L186)/L186)</f>
        <v>-1.378181650164926E-3</v>
      </c>
      <c r="S186" s="312"/>
      <c r="T186" s="229">
        <f>SUM(T165,T170,T185)</f>
        <v>1675766314367.9641</v>
      </c>
      <c r="U186" s="314"/>
      <c r="V186" s="216">
        <f>((T186-P186)/P186)</f>
        <v>-7.7564408507003876E-3</v>
      </c>
      <c r="W186" s="312"/>
      <c r="X186" s="229">
        <f>SUM(X165,X170,X185)</f>
        <v>1671153528781.3923</v>
      </c>
      <c r="Y186" s="314"/>
      <c r="Z186" s="216">
        <f>((X186-T186)/T186)</f>
        <v>-2.752642505713302E-3</v>
      </c>
      <c r="AA186" s="312"/>
      <c r="AB186" s="229">
        <f>SUM(AB165,AB170,AB185)</f>
        <v>1686140811863.7493</v>
      </c>
      <c r="AC186" s="314"/>
      <c r="AD186" s="216">
        <f>((AB186-X186)/X186)</f>
        <v>8.9682263324337916E-3</v>
      </c>
      <c r="AE186" s="312"/>
      <c r="AF186" s="229">
        <f>SUM(AF165,AF170,AF185)</f>
        <v>1690494681920.949</v>
      </c>
      <c r="AG186" s="314"/>
      <c r="AH186" s="216">
        <f>((AF186-AB186)/AB186)</f>
        <v>2.5821509250981388E-3</v>
      </c>
      <c r="AI186" s="312"/>
      <c r="AJ186" s="25">
        <f t="shared" si="202"/>
        <v>5.0394309708828664E-3</v>
      </c>
      <c r="AK186" s="25"/>
      <c r="AL186" s="26">
        <f t="shared" si="204"/>
        <v>2.5699751120250983E-2</v>
      </c>
      <c r="AM186" s="26"/>
      <c r="AN186" s="27">
        <f t="shared" si="206"/>
        <v>8.6756192373973941E-3</v>
      </c>
      <c r="AO186" s="79"/>
    </row>
    <row r="187" spans="1:41">
      <c r="X187" s="314"/>
      <c r="Y187" s="314"/>
    </row>
  </sheetData>
  <protectedRanges>
    <protectedRange password="CADF" sqref="B18" name="Fund Name_1_1_1_3_1_1_9"/>
    <protectedRange password="CADF" sqref="C18" name="Fund Name_1_1_1_1_1_1_9"/>
    <protectedRange password="CADF" sqref="B46" name="Yield_2_1_2_3_1_8"/>
    <protectedRange password="CADF" sqref="B51" name="Yield_2_1_2_4_1_8"/>
    <protectedRange password="CADF" sqref="B76" name="Yield_2_1_2_1_1_6"/>
    <protectedRange password="CADF" sqref="C76" name="Fund Name_2_2_1_1_7"/>
    <protectedRange password="CADF" sqref="C75" name="BidOffer Prices_2_1_1_1_1_1_1_1_1_1_6"/>
    <protectedRange password="CADF" sqref="B93" name="Yield_2_1_2_6_3_3"/>
    <protectedRange password="CADF" sqref="B121 B141:B142" name="Fund Name_1_1_1_2_9"/>
    <protectedRange password="CADF" sqref="C121 C141:C142" name="Fund Name_1_1_1_1_2_9"/>
    <protectedRange password="CADF" sqref="D18" name="Fund Name_1_1_1_3_1_1_1"/>
    <protectedRange password="CADF" sqref="E18" name="Fund Name_1_1_1_1_1_1_1"/>
    <protectedRange password="CADF" sqref="D46" name="Yield_2_1_2_3_1_1"/>
    <protectedRange password="CADF" sqref="D51" name="Yield_2_1_2_4_1_1"/>
    <protectedRange password="CADF" sqref="D76" name="Yield_2_1_2_1_1_1"/>
    <protectedRange password="CADF" sqref="E76" name="Fund Name_2_2_1_1"/>
    <protectedRange password="CADF" sqref="E75" name="BidOffer Prices_2_1_1_1_1_1_1_1_1_1_1"/>
    <protectedRange password="CADF" sqref="D93" name="Yield_2_1_2_6_3_4"/>
    <protectedRange password="CADF" sqref="D121 D141:D142" name="Fund Name_1_1_1_2_1"/>
    <protectedRange password="CADF" sqref="E121 E141:E142" name="Fund Name_1_1_1_1_2"/>
    <protectedRange password="CADF" sqref="H18" name="Fund Name_1_1_1_3_1_1_7"/>
    <protectedRange password="CADF" sqref="I18" name="Fund Name_1_1_1_1_1_1_8"/>
    <protectedRange password="CADF" sqref="H46" name="Yield_2_1_2_3_1_7"/>
    <protectedRange password="CADF" sqref="H51" name="Yield_2_1_2_4_1_7"/>
    <protectedRange password="CADF" sqref="H93" name="Yield_2_1_2_6_3_5"/>
    <protectedRange password="CADF" sqref="H76" name="Yield_2_1_2_1_1"/>
    <protectedRange password="CADF" sqref="I76" name="Fund Name_2_2_1_1_1"/>
    <protectedRange password="CADF" sqref="I75" name="BidOffer Prices_2_1_1_1_1_1_1_1_1_1_2"/>
    <protectedRange password="CADF" sqref="H121 H141:H142" name="Fund Name_1_1_1_2_2"/>
    <protectedRange password="CADF" sqref="I121 I141:I142" name="Fund Name_1_1_1_1_2_1"/>
    <protectedRange password="CADF" sqref="L18" name="Fund Name_1_1_1_3_1_1_2"/>
    <protectedRange password="CADF" sqref="M18" name="Fund Name_1_1_1_1_1_1_2"/>
    <protectedRange password="CADF" sqref="L76" name="Yield_2_1_2_1_1_7"/>
    <protectedRange password="CADF" sqref="M76" name="Fund Name_2_2_1_1_2"/>
    <protectedRange password="CADF" sqref="M75" name="BidOffer Prices_2_1_1_1_1_1_1_1_1_1_7"/>
    <protectedRange password="CADF" sqref="L93" name="Yield_2_1_2_6_3_6"/>
    <protectedRange password="CADF" sqref="M121 M141:M142" name="Fund Name_1_1_1_1_2_2"/>
    <protectedRange password="CADF" sqref="L46" name="Yield_2_1_2_3_1"/>
    <protectedRange password="CADF" sqref="L51" name="Yield_2_1_2_4_1"/>
    <protectedRange password="CADF" sqref="L121 L141:L142" name="Fund Name_1_1_1_2_8"/>
    <protectedRange password="CADF" sqref="P18" name="Fund Name_1_1_1_3_1_1_8"/>
    <protectedRange password="CADF" sqref="Q18" name="Fund Name_1_1_1_1_1_1_7"/>
    <protectedRange password="CADF" sqref="P46" name="Yield_2_1_2_3_1_9"/>
    <protectedRange password="CADF" sqref="P51" name="Yield_2_1_2_4_1_9"/>
    <protectedRange password="CADF" sqref="P76" name="Yield_2_1_2_1_1_8"/>
    <protectedRange password="CADF" sqref="Q76" name="Fund Name_2_2_1_1_8"/>
    <protectedRange password="CADF" sqref="Q75" name="BidOffer Prices_2_1_1_1_1_1_1_1_1_1_8"/>
    <protectedRange password="CADF" sqref="P93" name="Yield_2_1_2_6_3_7"/>
    <protectedRange password="CADF" sqref="P121 P141:P142" name="Fund Name_1_1_1_2_7"/>
    <protectedRange password="CADF" sqref="Q121 Q141:Q142" name="Fund Name_1_1_1_1_2_8"/>
    <protectedRange password="CADF" sqref="T18" name="Fund Name_1_1_1_3_1_1_3"/>
    <protectedRange password="CADF" sqref="U18" name="Fund Name_1_1_1_1_1_1_3"/>
    <protectedRange password="CADF" sqref="T76" name="Yield_2_1_2_1_1_9"/>
    <protectedRange password="CADF" sqref="U76" name="Fund Name_2_2_1_1_9"/>
    <protectedRange password="CADF" sqref="U75" name="BidOffer Prices_2_1_1_1_1_1_1_1_1_1_9"/>
    <protectedRange password="CADF" sqref="T93" name="Yield_2_1_2_6_3_8"/>
    <protectedRange password="CADF" sqref="T46" name="Yield_2_1_2_3_1_2"/>
    <protectedRange password="CADF" sqref="T51" name="Yield_2_1_2_4_1_2"/>
    <protectedRange password="CADF" sqref="T121 T141:T142" name="Fund Name_1_1_1_2_3"/>
    <protectedRange password="CADF" sqref="U121 U141:U142" name="Fund Name_1_1_1_1_2_3"/>
    <protectedRange password="CADF" sqref="X18" name="Fund Name_1_1_1_3_1_1_4"/>
    <protectedRange password="CADF" sqref="Y18" name="Fund Name_1_1_1_1_1_1_4"/>
    <protectedRange password="CADF" sqref="X46" name="Yield_2_1_2_3_1_3"/>
    <protectedRange password="CADF" sqref="X51" name="Yield_2_1_2_4_1_3"/>
    <protectedRange password="CADF" sqref="X76" name="Yield_2_1_2_1_1_2"/>
    <protectedRange password="CADF" sqref="Y76" name="Fund Name_2_2_1_1_3"/>
    <protectedRange password="CADF" sqref="Y75" name="BidOffer Prices_2_1_1_1_1_1_1_1_1_1_3"/>
    <protectedRange password="CADF" sqref="X93" name="Yield_2_1_2_6_3_9"/>
    <protectedRange password="CADF" sqref="X121 X141:X142" name="Fund Name_1_1_1_2_4"/>
    <protectedRange password="CADF" sqref="Y121 Y141:Y142" name="Fund Name_1_1_1_1_2_4"/>
    <protectedRange password="CADF" sqref="AB18" name="Fund Name_1_1_1_3_1_1"/>
    <protectedRange password="CADF" sqref="AC18" name="Fund Name_1_1_1_1_1_1"/>
    <protectedRange password="CADF" sqref="AB46" name="Yield_2_1_2_3_1_4"/>
    <protectedRange password="CADF" sqref="AB51" name="Yield_2_1_2_4_1_4"/>
    <protectedRange password="CADF" sqref="AB76" name="Yield_2_1_2_1_1_3"/>
    <protectedRange password="CADF" sqref="AC76" name="Fund Name_2_2_1_1_4"/>
    <protectedRange password="CADF" sqref="AC75" name="BidOffer Prices_2_1_1_1_1_1_1_1_1_1"/>
    <protectedRange password="CADF" sqref="AB93" name="Yield_2_1_2_6_3"/>
    <protectedRange password="CADF" sqref="AB121 AB141:AB142" name="Fund Name_1_1_1_2"/>
    <protectedRange password="CADF" sqref="AC121 AC141:AC142" name="Fund Name_1_1_1_1_2_5"/>
    <protectedRange password="CADF" sqref="AF18" name="Fund Name_1_1_1_3_1_1_11"/>
    <protectedRange password="CADF" sqref="AG18" name="Fund Name_1_1_1_1_1_1_11"/>
    <protectedRange password="CADF" sqref="AF46" name="Yield_2_1_2_3_1_10"/>
    <protectedRange password="CADF" sqref="AF51" name="Yield_2_1_2_4_1_10"/>
    <protectedRange password="CADF" sqref="AF76" name="Yield_2_1_2_1_1_10"/>
    <protectedRange password="CADF" sqref="AG76" name="Fund Name_2_2_1_1_5"/>
    <protectedRange password="CADF" sqref="AG75" name="BidOffer Prices_2_1_1_1_1_1_1_1_1_1_4"/>
    <protectedRange password="CADF" sqref="AF93" name="Yield_2_1_2_6_3_1"/>
    <protectedRange password="CADF" sqref="AF140:AF142" name="Fund Name_1_1_1_2_10"/>
    <protectedRange password="CADF" sqref="AG140:AG142" name="Fund Name_1_1_1_1_2_10"/>
  </protectedRanges>
  <sortState ref="A174:AO185">
    <sortCondition ref="A174:A185"/>
  </sortState>
  <mergeCells count="26">
    <mergeCell ref="AQ2:AR2"/>
    <mergeCell ref="AQ125:AR125"/>
    <mergeCell ref="B2:C2"/>
    <mergeCell ref="D2:E2"/>
    <mergeCell ref="L2:M2"/>
    <mergeCell ref="N2:O2"/>
    <mergeCell ref="P2:Q2"/>
    <mergeCell ref="T2:U2"/>
    <mergeCell ref="AF2:AG2"/>
    <mergeCell ref="AH2:AI2"/>
    <mergeCell ref="X172:Y172"/>
    <mergeCell ref="AB172:AC172"/>
    <mergeCell ref="A1:AO1"/>
    <mergeCell ref="AN2:AO2"/>
    <mergeCell ref="AL2:AM2"/>
    <mergeCell ref="AJ2:AK2"/>
    <mergeCell ref="F2:G2"/>
    <mergeCell ref="H2:I2"/>
    <mergeCell ref="J2:K2"/>
    <mergeCell ref="R2:S2"/>
    <mergeCell ref="V2:W2"/>
    <mergeCell ref="X2:Y2"/>
    <mergeCell ref="Z2:AA2"/>
    <mergeCell ref="AB2:AC2"/>
    <mergeCell ref="AD2:AE2"/>
    <mergeCell ref="AF172:AG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2023-04-20T13:05:45Z</dcterms:modified>
</cp:coreProperties>
</file>