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Data!$K$65</definedName>
    <definedName name="_xlnm.Print_Area" localSheetId="0">Data!$A$1:$AQ$192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43" i="11" l="1"/>
  <c r="AF53" i="11"/>
  <c r="AF165" i="11" l="1"/>
  <c r="AF185" i="11" l="1"/>
  <c r="AF186" i="11" s="1"/>
  <c r="AF170" i="11"/>
  <c r="AF164" i="11"/>
  <c r="AF149" i="11"/>
  <c r="AF117" i="11"/>
  <c r="AG108" i="11"/>
  <c r="AG107" i="11"/>
  <c r="AF110" i="11"/>
  <c r="AF108" i="11"/>
  <c r="AG98" i="11"/>
  <c r="AG97" i="11"/>
  <c r="AG95" i="11"/>
  <c r="AG94" i="11"/>
  <c r="AG93" i="11"/>
  <c r="AF98" i="11"/>
  <c r="AF97" i="11"/>
  <c r="AF95" i="11"/>
  <c r="AF93" i="11"/>
  <c r="AF86" i="11"/>
  <c r="AF21" i="11"/>
  <c r="AL174" i="11" l="1"/>
  <c r="AM174" i="11"/>
  <c r="AJ175" i="11"/>
  <c r="AK175" i="11"/>
  <c r="AL175" i="11"/>
  <c r="AM175" i="11"/>
  <c r="AL176" i="11"/>
  <c r="AM176" i="11"/>
  <c r="AN176" i="11"/>
  <c r="AK177" i="11"/>
  <c r="AL177" i="11"/>
  <c r="AM177" i="11"/>
  <c r="AL178" i="11"/>
  <c r="AM178" i="11"/>
  <c r="AO178" i="11"/>
  <c r="AJ179" i="11"/>
  <c r="AL179" i="11"/>
  <c r="AM179" i="11"/>
  <c r="AL180" i="11"/>
  <c r="AM180" i="11"/>
  <c r="AN180" i="11"/>
  <c r="AL181" i="11"/>
  <c r="AM181" i="11"/>
  <c r="AJ182" i="11"/>
  <c r="AK182" i="11"/>
  <c r="AL182" i="11"/>
  <c r="AM182" i="11"/>
  <c r="AJ183" i="11"/>
  <c r="AL183" i="11"/>
  <c r="AM183" i="11"/>
  <c r="AO183" i="11"/>
  <c r="AK184" i="11"/>
  <c r="AL184" i="11"/>
  <c r="AM184" i="11"/>
  <c r="AN184" i="11"/>
  <c r="AL185" i="11"/>
  <c r="AL186" i="11"/>
  <c r="AO173" i="11"/>
  <c r="AN173" i="11"/>
  <c r="AM173" i="11"/>
  <c r="AL173" i="11"/>
  <c r="AL6" i="11"/>
  <c r="AM6" i="11"/>
  <c r="AO6" i="11"/>
  <c r="AL7" i="11"/>
  <c r="AM7" i="11"/>
  <c r="AL8" i="11"/>
  <c r="AM8" i="11"/>
  <c r="AO8" i="11"/>
  <c r="AL9" i="11"/>
  <c r="AM9" i="11"/>
  <c r="AL10" i="11"/>
  <c r="AM10" i="11"/>
  <c r="AO10" i="11"/>
  <c r="AL11" i="11"/>
  <c r="AM11" i="11"/>
  <c r="AL12" i="11"/>
  <c r="AM12" i="11"/>
  <c r="AO12" i="11"/>
  <c r="AL13" i="11"/>
  <c r="AM13" i="11"/>
  <c r="AL14" i="11"/>
  <c r="AM14" i="11"/>
  <c r="AO14" i="11"/>
  <c r="AL15" i="11"/>
  <c r="AM15" i="11"/>
  <c r="AL16" i="11"/>
  <c r="AM16" i="11"/>
  <c r="AO16" i="11"/>
  <c r="AL17" i="11"/>
  <c r="AM17" i="11"/>
  <c r="AL18" i="11"/>
  <c r="AM18" i="11"/>
  <c r="AO18" i="11"/>
  <c r="AL19" i="11"/>
  <c r="AM19" i="11"/>
  <c r="AL20" i="11"/>
  <c r="AM20" i="11"/>
  <c r="AO20" i="11"/>
  <c r="AL21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K33" i="11"/>
  <c r="AL33" i="11"/>
  <c r="AM33" i="11"/>
  <c r="AL34" i="11"/>
  <c r="AM34" i="11"/>
  <c r="AJ35" i="11"/>
  <c r="AL35" i="11"/>
  <c r="AM35" i="11"/>
  <c r="AO35" i="11"/>
  <c r="AL36" i="11"/>
  <c r="AM36" i="11"/>
  <c r="AN36" i="11"/>
  <c r="AJ37" i="11"/>
  <c r="AK37" i="11"/>
  <c r="AL37" i="11"/>
  <c r="AM37" i="11"/>
  <c r="AO37" i="11"/>
  <c r="AL38" i="11"/>
  <c r="AM38" i="11"/>
  <c r="AK39" i="11"/>
  <c r="AL39" i="11"/>
  <c r="AM39" i="11"/>
  <c r="AO39" i="11"/>
  <c r="AJ40" i="11"/>
  <c r="AL40" i="11"/>
  <c r="AM40" i="11"/>
  <c r="AK41" i="11"/>
  <c r="AL41" i="11"/>
  <c r="AM41" i="11"/>
  <c r="AN41" i="11"/>
  <c r="AO41" i="11"/>
  <c r="AL42" i="11"/>
  <c r="AM42" i="11"/>
  <c r="AK43" i="11"/>
  <c r="AL43" i="11"/>
  <c r="AM43" i="11"/>
  <c r="AO43" i="11"/>
  <c r="AL44" i="11"/>
  <c r="AM44" i="11"/>
  <c r="AN44" i="11"/>
  <c r="AJ45" i="11"/>
  <c r="AK45" i="11"/>
  <c r="AL45" i="11"/>
  <c r="AM45" i="11"/>
  <c r="AO45" i="11"/>
  <c r="AL46" i="11"/>
  <c r="AM46" i="11"/>
  <c r="AK47" i="11"/>
  <c r="AL47" i="11"/>
  <c r="AM47" i="11"/>
  <c r="AO47" i="11"/>
  <c r="AJ48" i="11"/>
  <c r="AL48" i="11"/>
  <c r="AM48" i="11"/>
  <c r="AK49" i="11"/>
  <c r="AL49" i="11"/>
  <c r="AM49" i="11"/>
  <c r="AN49" i="11"/>
  <c r="AO49" i="11"/>
  <c r="AL50" i="11"/>
  <c r="AM50" i="11"/>
  <c r="AK51" i="11"/>
  <c r="AL51" i="11"/>
  <c r="AM51" i="11"/>
  <c r="AO51" i="11"/>
  <c r="AL52" i="11"/>
  <c r="AM52" i="11"/>
  <c r="AN52" i="11"/>
  <c r="AJ53" i="11"/>
  <c r="AL53" i="11"/>
  <c r="AL56" i="11"/>
  <c r="AM56" i="11"/>
  <c r="AK57" i="11"/>
  <c r="AL57" i="11"/>
  <c r="AM57" i="11"/>
  <c r="AK58" i="11"/>
  <c r="AL58" i="11"/>
  <c r="AM58" i="11"/>
  <c r="AK59" i="11"/>
  <c r="AL59" i="11"/>
  <c r="AM59" i="11"/>
  <c r="AL60" i="11"/>
  <c r="AM60" i="11"/>
  <c r="AK61" i="11"/>
  <c r="AL61" i="11"/>
  <c r="AM61" i="11"/>
  <c r="AK62" i="11"/>
  <c r="AL62" i="11"/>
  <c r="AM62" i="11"/>
  <c r="AK63" i="11"/>
  <c r="AL63" i="11"/>
  <c r="AM63" i="11"/>
  <c r="AL64" i="11"/>
  <c r="AM64" i="11"/>
  <c r="AJ65" i="11"/>
  <c r="AK65" i="11"/>
  <c r="AL65" i="11"/>
  <c r="AM65" i="11"/>
  <c r="AO65" i="11"/>
  <c r="AL66" i="11"/>
  <c r="AM66" i="11"/>
  <c r="AO66" i="11"/>
  <c r="AK67" i="11"/>
  <c r="AL67" i="11"/>
  <c r="AM67" i="11"/>
  <c r="AO67" i="11"/>
  <c r="AL68" i="11"/>
  <c r="AM68" i="11"/>
  <c r="AJ69" i="11"/>
  <c r="AL69" i="11"/>
  <c r="AM69" i="11"/>
  <c r="AL70" i="11"/>
  <c r="AM70" i="11"/>
  <c r="AO70" i="11"/>
  <c r="AL71" i="11"/>
  <c r="AM71" i="11"/>
  <c r="AL72" i="11"/>
  <c r="AM72" i="11"/>
  <c r="AJ73" i="11"/>
  <c r="AL73" i="11"/>
  <c r="AM73" i="11"/>
  <c r="AL74" i="11"/>
  <c r="AM74" i="11"/>
  <c r="AL75" i="11"/>
  <c r="AM75" i="11"/>
  <c r="AL76" i="11"/>
  <c r="AM76" i="11"/>
  <c r="AJ77" i="11"/>
  <c r="AK77" i="11"/>
  <c r="AL77" i="11"/>
  <c r="AM77" i="11"/>
  <c r="AK78" i="11"/>
  <c r="AL78" i="11"/>
  <c r="AM78" i="11"/>
  <c r="AK79" i="11"/>
  <c r="AL79" i="11"/>
  <c r="AM79" i="11"/>
  <c r="AL80" i="11"/>
  <c r="AM80" i="11"/>
  <c r="AJ81" i="11"/>
  <c r="AL81" i="11"/>
  <c r="AM81" i="11"/>
  <c r="AO81" i="11"/>
  <c r="AK82" i="11"/>
  <c r="AL82" i="11"/>
  <c r="AM82" i="11"/>
  <c r="AO82" i="11"/>
  <c r="AL83" i="11"/>
  <c r="AM83" i="11"/>
  <c r="AO83" i="11"/>
  <c r="AL84" i="11"/>
  <c r="AM84" i="11"/>
  <c r="AJ85" i="11"/>
  <c r="AL85" i="11"/>
  <c r="AM85" i="11"/>
  <c r="AN85" i="11"/>
  <c r="AL86" i="11"/>
  <c r="AN86" i="11"/>
  <c r="AJ89" i="11"/>
  <c r="AK89" i="11"/>
  <c r="AL89" i="11"/>
  <c r="AM89" i="11"/>
  <c r="AN89" i="11"/>
  <c r="AO89" i="11"/>
  <c r="AL90" i="11"/>
  <c r="AM90" i="11"/>
  <c r="AL91" i="11"/>
  <c r="AM91" i="11"/>
  <c r="AO91" i="11"/>
  <c r="AL92" i="11"/>
  <c r="AM92" i="11"/>
  <c r="AK93" i="11"/>
  <c r="AL93" i="11"/>
  <c r="AM93" i="11"/>
  <c r="AL94" i="11"/>
  <c r="AM94" i="11"/>
  <c r="AJ95" i="11"/>
  <c r="AL95" i="11"/>
  <c r="AM95" i="11"/>
  <c r="AN95" i="11"/>
  <c r="AO95" i="11"/>
  <c r="AK96" i="11"/>
  <c r="AL96" i="11"/>
  <c r="AM96" i="11"/>
  <c r="AJ97" i="11"/>
  <c r="AL97" i="11"/>
  <c r="AM97" i="11"/>
  <c r="AO97" i="11"/>
  <c r="AL98" i="11"/>
  <c r="AM98" i="11"/>
  <c r="AL101" i="11"/>
  <c r="AM101" i="11"/>
  <c r="AO101" i="11"/>
  <c r="AL102" i="11"/>
  <c r="AM102" i="11"/>
  <c r="AL103" i="11"/>
  <c r="AM103" i="11"/>
  <c r="AO103" i="11"/>
  <c r="AL104" i="11"/>
  <c r="AM104" i="11"/>
  <c r="AL105" i="11"/>
  <c r="AM105" i="11"/>
  <c r="AO105" i="11"/>
  <c r="AL106" i="11"/>
  <c r="AM106" i="11"/>
  <c r="AK107" i="11"/>
  <c r="AL107" i="11"/>
  <c r="AM107" i="11"/>
  <c r="AO107" i="11"/>
  <c r="AL108" i="11"/>
  <c r="AM108" i="11"/>
  <c r="AJ109" i="11"/>
  <c r="AK109" i="11"/>
  <c r="AL109" i="11"/>
  <c r="AM109" i="11"/>
  <c r="AN109" i="11"/>
  <c r="AO109" i="11"/>
  <c r="AJ110" i="11"/>
  <c r="AL110" i="11"/>
  <c r="AN110" i="11"/>
  <c r="AL113" i="11"/>
  <c r="AM113" i="11"/>
  <c r="AO113" i="11"/>
  <c r="AL114" i="11"/>
  <c r="AM114" i="11"/>
  <c r="AL115" i="11"/>
  <c r="AM115" i="11"/>
  <c r="AO115" i="11"/>
  <c r="AL116" i="11"/>
  <c r="AM116" i="11"/>
  <c r="AL117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K137" i="11"/>
  <c r="AL137" i="11"/>
  <c r="AM137" i="11"/>
  <c r="AO137" i="11"/>
  <c r="AL138" i="11"/>
  <c r="AM138" i="11"/>
  <c r="AL139" i="11"/>
  <c r="AM139" i="11"/>
  <c r="AL140" i="11"/>
  <c r="AM140" i="11"/>
  <c r="AK141" i="11"/>
  <c r="AL141" i="11"/>
  <c r="AM141" i="11"/>
  <c r="AO141" i="11"/>
  <c r="AL142" i="11"/>
  <c r="AM142" i="11"/>
  <c r="AL143" i="11"/>
  <c r="AL146" i="11"/>
  <c r="AM146" i="11"/>
  <c r="AK147" i="11"/>
  <c r="AL147" i="11"/>
  <c r="AM147" i="11"/>
  <c r="AO147" i="11"/>
  <c r="AL148" i="11"/>
  <c r="AM148" i="11"/>
  <c r="AL149" i="11"/>
  <c r="AL153" i="11"/>
  <c r="AM153" i="11"/>
  <c r="AJ154" i="11"/>
  <c r="AL154" i="11"/>
  <c r="AM154" i="11"/>
  <c r="AL157" i="11"/>
  <c r="AM157" i="11"/>
  <c r="AL158" i="11"/>
  <c r="AM158" i="11"/>
  <c r="AO158" i="11"/>
  <c r="AJ159" i="11"/>
  <c r="AL159" i="11"/>
  <c r="AM159" i="11"/>
  <c r="AN159" i="11"/>
  <c r="AL160" i="11"/>
  <c r="AM160" i="11"/>
  <c r="AL161" i="11"/>
  <c r="AM161" i="11"/>
  <c r="AJ162" i="11"/>
  <c r="AK162" i="11"/>
  <c r="AL162" i="11"/>
  <c r="AM162" i="11"/>
  <c r="AN162" i="11"/>
  <c r="AO162" i="11"/>
  <c r="AL163" i="11"/>
  <c r="AM163" i="11"/>
  <c r="AJ164" i="11"/>
  <c r="AL164" i="11"/>
  <c r="AN164" i="11"/>
  <c r="AL165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M5" i="11"/>
  <c r="AL5" i="11"/>
  <c r="AH186" i="11"/>
  <c r="AN186" i="11" s="1"/>
  <c r="AH185" i="11"/>
  <c r="AJ185" i="11" s="1"/>
  <c r="AI184" i="11"/>
  <c r="AO184" i="11" s="1"/>
  <c r="AH184" i="11"/>
  <c r="AJ184" i="11" s="1"/>
  <c r="AI183" i="11"/>
  <c r="AK183" i="11" s="1"/>
  <c r="AH183" i="11"/>
  <c r="AN183" i="11" s="1"/>
  <c r="AI182" i="11"/>
  <c r="AO182" i="11" s="1"/>
  <c r="AH182" i="11"/>
  <c r="AN182" i="11" s="1"/>
  <c r="AI181" i="11"/>
  <c r="AK181" i="11" s="1"/>
  <c r="AH181" i="11"/>
  <c r="AJ181" i="11" s="1"/>
  <c r="AI180" i="11"/>
  <c r="AO180" i="11" s="1"/>
  <c r="AH180" i="11"/>
  <c r="AJ180" i="11" s="1"/>
  <c r="AI179" i="11"/>
  <c r="AK179" i="11" s="1"/>
  <c r="AH179" i="11"/>
  <c r="AN179" i="11" s="1"/>
  <c r="AI178" i="11"/>
  <c r="AK178" i="11" s="1"/>
  <c r="AH178" i="11"/>
  <c r="AJ178" i="11" s="1"/>
  <c r="AI177" i="11"/>
  <c r="AO177" i="11" s="1"/>
  <c r="AH177" i="11"/>
  <c r="AJ177" i="11" s="1"/>
  <c r="AI176" i="11"/>
  <c r="AK176" i="11" s="1"/>
  <c r="AH176" i="11"/>
  <c r="AJ176" i="11" s="1"/>
  <c r="AI175" i="11"/>
  <c r="AO175" i="11" s="1"/>
  <c r="AH175" i="11"/>
  <c r="AN175" i="11" s="1"/>
  <c r="AI174" i="11"/>
  <c r="AK174" i="11" s="1"/>
  <c r="AH174" i="11"/>
  <c r="AJ174" i="11" s="1"/>
  <c r="AI173" i="11"/>
  <c r="AK173" i="11" s="1"/>
  <c r="AH173" i="11"/>
  <c r="AJ173" i="11" s="1"/>
  <c r="AI169" i="11"/>
  <c r="AH169" i="11"/>
  <c r="AI168" i="11"/>
  <c r="AH168" i="11"/>
  <c r="AJ168" i="11" s="1"/>
  <c r="AH165" i="11"/>
  <c r="AJ165" i="11" s="1"/>
  <c r="AH164" i="11"/>
  <c r="AI163" i="11"/>
  <c r="AK163" i="11" s="1"/>
  <c r="AH163" i="11"/>
  <c r="AJ163" i="11" s="1"/>
  <c r="AI162" i="11"/>
  <c r="AH162" i="11"/>
  <c r="AI161" i="11"/>
  <c r="AK161" i="11" s="1"/>
  <c r="AH161" i="11"/>
  <c r="AN161" i="11" s="1"/>
  <c r="AI160" i="11"/>
  <c r="AO160" i="11" s="1"/>
  <c r="AH160" i="11"/>
  <c r="AJ160" i="11" s="1"/>
  <c r="AI159" i="11"/>
  <c r="AK159" i="11" s="1"/>
  <c r="AH159" i="11"/>
  <c r="AI158" i="11"/>
  <c r="AK158" i="11" s="1"/>
  <c r="AH158" i="11"/>
  <c r="AJ158" i="11" s="1"/>
  <c r="AI157" i="11"/>
  <c r="AK157" i="11" s="1"/>
  <c r="AH157" i="11"/>
  <c r="AJ157" i="11" s="1"/>
  <c r="AI154" i="11"/>
  <c r="AK154" i="11" s="1"/>
  <c r="AH154" i="11"/>
  <c r="AN154" i="11" s="1"/>
  <c r="AI153" i="11"/>
  <c r="AK153" i="11" s="1"/>
  <c r="AH153" i="11"/>
  <c r="AJ153" i="11" s="1"/>
  <c r="AH149" i="11"/>
  <c r="AJ149" i="11" s="1"/>
  <c r="AI148" i="11"/>
  <c r="AK148" i="11" s="1"/>
  <c r="AH148" i="11"/>
  <c r="AN148" i="11" s="1"/>
  <c r="AI147" i="11"/>
  <c r="AH147" i="11"/>
  <c r="AJ147" i="11" s="1"/>
  <c r="AI146" i="11"/>
  <c r="AK146" i="11" s="1"/>
  <c r="AH146" i="11"/>
  <c r="AJ146" i="11" s="1"/>
  <c r="AH143" i="11"/>
  <c r="AJ143" i="11" s="1"/>
  <c r="AI142" i="11"/>
  <c r="AO142" i="11" s="1"/>
  <c r="AH142" i="11"/>
  <c r="AJ142" i="11" s="1"/>
  <c r="AI141" i="11"/>
  <c r="AH141" i="11"/>
  <c r="AN141" i="11" s="1"/>
  <c r="AI140" i="11"/>
  <c r="AO140" i="11" s="1"/>
  <c r="AH140" i="11"/>
  <c r="AN140" i="11" s="1"/>
  <c r="AI139" i="11"/>
  <c r="AK139" i="11" s="1"/>
  <c r="AH139" i="11"/>
  <c r="AJ139" i="11" s="1"/>
  <c r="AI138" i="11"/>
  <c r="AO138" i="11" s="1"/>
  <c r="AH138" i="11"/>
  <c r="AJ138" i="11" s="1"/>
  <c r="AI137" i="11"/>
  <c r="AH137" i="11"/>
  <c r="AN137" i="11" s="1"/>
  <c r="AI136" i="11"/>
  <c r="AO136" i="11" s="1"/>
  <c r="AH136" i="11"/>
  <c r="AN136" i="11" s="1"/>
  <c r="AI135" i="11"/>
  <c r="AK135" i="11" s="1"/>
  <c r="AH135" i="11"/>
  <c r="AJ135" i="11" s="1"/>
  <c r="AI134" i="11"/>
  <c r="AO134" i="11" s="1"/>
  <c r="AH134" i="11"/>
  <c r="AJ134" i="11" s="1"/>
  <c r="AI133" i="11"/>
  <c r="AK133" i="11" s="1"/>
  <c r="AH133" i="11"/>
  <c r="AN133" i="11" s="1"/>
  <c r="AI132" i="11"/>
  <c r="AO132" i="11" s="1"/>
  <c r="AH132" i="11"/>
  <c r="AN132" i="11" s="1"/>
  <c r="AI131" i="11"/>
  <c r="AK131" i="11" s="1"/>
  <c r="AH131" i="11"/>
  <c r="AJ131" i="11" s="1"/>
  <c r="AI130" i="11"/>
  <c r="AO130" i="11" s="1"/>
  <c r="AH130" i="11"/>
  <c r="AJ130" i="11" s="1"/>
  <c r="AI129" i="11"/>
  <c r="AK129" i="11" s="1"/>
  <c r="AH129" i="11"/>
  <c r="AN129" i="11" s="1"/>
  <c r="AI128" i="11"/>
  <c r="AO128" i="11" s="1"/>
  <c r="AH128" i="11"/>
  <c r="AN128" i="11" s="1"/>
  <c r="AI127" i="11"/>
  <c r="AK127" i="11" s="1"/>
  <c r="AH127" i="11"/>
  <c r="AJ127" i="11" s="1"/>
  <c r="AI126" i="11"/>
  <c r="AO126" i="11" s="1"/>
  <c r="AH126" i="11"/>
  <c r="AJ126" i="11" s="1"/>
  <c r="AI125" i="11"/>
  <c r="AK125" i="11" s="1"/>
  <c r="AH125" i="11"/>
  <c r="AN125" i="11" s="1"/>
  <c r="AI124" i="11"/>
  <c r="AO124" i="11" s="1"/>
  <c r="AH124" i="11"/>
  <c r="AN124" i="11" s="1"/>
  <c r="AI123" i="11"/>
  <c r="AK123" i="11" s="1"/>
  <c r="AH123" i="11"/>
  <c r="AJ123" i="11" s="1"/>
  <c r="AI122" i="11"/>
  <c r="AO122" i="11" s="1"/>
  <c r="AH122" i="11"/>
  <c r="AJ122" i="11" s="1"/>
  <c r="AI121" i="11"/>
  <c r="AK121" i="11" s="1"/>
  <c r="AH121" i="11"/>
  <c r="AN121" i="11" s="1"/>
  <c r="AI120" i="11"/>
  <c r="AO120" i="11" s="1"/>
  <c r="AH120" i="11"/>
  <c r="AN120" i="11" s="1"/>
  <c r="AI119" i="11"/>
  <c r="AK119" i="11" s="1"/>
  <c r="AH119" i="11"/>
  <c r="AJ119" i="11" s="1"/>
  <c r="AH117" i="11"/>
  <c r="AJ117" i="11" s="1"/>
  <c r="AI116" i="11"/>
  <c r="AK116" i="11" s="1"/>
  <c r="AH116" i="11"/>
  <c r="AN116" i="11" s="1"/>
  <c r="AI115" i="11"/>
  <c r="AK115" i="11" s="1"/>
  <c r="AH115" i="11"/>
  <c r="AJ115" i="11" s="1"/>
  <c r="AI114" i="11"/>
  <c r="AK114" i="11" s="1"/>
  <c r="AH114" i="11"/>
  <c r="AJ114" i="11" s="1"/>
  <c r="AI113" i="11"/>
  <c r="AK113" i="11" s="1"/>
  <c r="AH113" i="11"/>
  <c r="AN113" i="11" s="1"/>
  <c r="AI109" i="11"/>
  <c r="AH109" i="11"/>
  <c r="AI108" i="11"/>
  <c r="AK108" i="11" s="1"/>
  <c r="AH108" i="11"/>
  <c r="AJ108" i="11" s="1"/>
  <c r="AI107" i="11"/>
  <c r="AH107" i="11"/>
  <c r="AJ107" i="11" s="1"/>
  <c r="AI106" i="11"/>
  <c r="AK106" i="11" s="1"/>
  <c r="AH106" i="11"/>
  <c r="AN106" i="11" s="1"/>
  <c r="AI105" i="11"/>
  <c r="AK105" i="11" s="1"/>
  <c r="AH105" i="11"/>
  <c r="AN105" i="11" s="1"/>
  <c r="AI104" i="11"/>
  <c r="AK104" i="11" s="1"/>
  <c r="AH104" i="11"/>
  <c r="AJ104" i="11" s="1"/>
  <c r="AI103" i="11"/>
  <c r="AK103" i="11" s="1"/>
  <c r="AH103" i="11"/>
  <c r="AJ103" i="11" s="1"/>
  <c r="AI102" i="11"/>
  <c r="AK102" i="11" s="1"/>
  <c r="AH102" i="11"/>
  <c r="AN102" i="11" s="1"/>
  <c r="AI101" i="11"/>
  <c r="AK101" i="11" s="1"/>
  <c r="AH101" i="11"/>
  <c r="AN101" i="11" s="1"/>
  <c r="AI98" i="11"/>
  <c r="AK98" i="11" s="1"/>
  <c r="AH98" i="11"/>
  <c r="AN98" i="11" s="1"/>
  <c r="AI97" i="11"/>
  <c r="AK97" i="11" s="1"/>
  <c r="AH97" i="11"/>
  <c r="AN97" i="11" s="1"/>
  <c r="AI96" i="11"/>
  <c r="AO96" i="11" s="1"/>
  <c r="AH96" i="11"/>
  <c r="AJ96" i="11" s="1"/>
  <c r="AI95" i="11"/>
  <c r="AK95" i="11" s="1"/>
  <c r="AH95" i="11"/>
  <c r="AI94" i="11"/>
  <c r="AO94" i="11" s="1"/>
  <c r="AH94" i="11"/>
  <c r="AN94" i="11" s="1"/>
  <c r="AI93" i="11"/>
  <c r="AO93" i="11" s="1"/>
  <c r="AH93" i="11"/>
  <c r="AJ93" i="11" s="1"/>
  <c r="AI92" i="11"/>
  <c r="AK92" i="11" s="1"/>
  <c r="AH92" i="11"/>
  <c r="AJ92" i="11" s="1"/>
  <c r="AI91" i="11"/>
  <c r="AK91" i="11" s="1"/>
  <c r="AH91" i="11"/>
  <c r="AN91" i="11" s="1"/>
  <c r="AI90" i="11"/>
  <c r="AO90" i="11" s="1"/>
  <c r="AH90" i="11"/>
  <c r="AN90" i="11" s="1"/>
  <c r="AH86" i="11"/>
  <c r="AJ86" i="11" s="1"/>
  <c r="AI85" i="11"/>
  <c r="AK85" i="11" s="1"/>
  <c r="AH85" i="11"/>
  <c r="AI84" i="11"/>
  <c r="AK84" i="11" s="1"/>
  <c r="AH84" i="11"/>
  <c r="AN84" i="11" s="1"/>
  <c r="AI83" i="11"/>
  <c r="AK83" i="11" s="1"/>
  <c r="AH83" i="11"/>
  <c r="AJ83" i="11" s="1"/>
  <c r="AI82" i="11"/>
  <c r="AH82" i="11"/>
  <c r="AJ82" i="11" s="1"/>
  <c r="AI81" i="11"/>
  <c r="AK81" i="11" s="1"/>
  <c r="AH81" i="11"/>
  <c r="AN81" i="11" s="1"/>
  <c r="AI80" i="11"/>
  <c r="AK80" i="11" s="1"/>
  <c r="AH80" i="11"/>
  <c r="AN80" i="11" s="1"/>
  <c r="AI79" i="11"/>
  <c r="AO79" i="11" s="1"/>
  <c r="AH79" i="11"/>
  <c r="AN79" i="11" s="1"/>
  <c r="AI78" i="11"/>
  <c r="AO78" i="11" s="1"/>
  <c r="AH78" i="11"/>
  <c r="AJ78" i="11" s="1"/>
  <c r="AI77" i="11"/>
  <c r="AO77" i="11" s="1"/>
  <c r="AH77" i="11"/>
  <c r="AN77" i="11" s="1"/>
  <c r="AI76" i="11"/>
  <c r="AK76" i="11" s="1"/>
  <c r="AH76" i="11"/>
  <c r="AN76" i="11" s="1"/>
  <c r="AI75" i="11"/>
  <c r="AO75" i="11" s="1"/>
  <c r="AH75" i="11"/>
  <c r="AJ75" i="11" s="1"/>
  <c r="AI74" i="11"/>
  <c r="AK74" i="11" s="1"/>
  <c r="AH74" i="11"/>
  <c r="AJ74" i="11" s="1"/>
  <c r="AI73" i="11"/>
  <c r="AO73" i="11" s="1"/>
  <c r="AH73" i="11"/>
  <c r="AN73" i="11" s="1"/>
  <c r="AI72" i="11"/>
  <c r="AK72" i="11" s="1"/>
  <c r="AH72" i="11"/>
  <c r="AN72" i="11" s="1"/>
  <c r="AI71" i="11"/>
  <c r="AO71" i="11" s="1"/>
  <c r="AH71" i="11"/>
  <c r="AJ71" i="11" s="1"/>
  <c r="AI70" i="11"/>
  <c r="AK70" i="11" s="1"/>
  <c r="AH70" i="11"/>
  <c r="AJ70" i="11" s="1"/>
  <c r="AI69" i="11"/>
  <c r="AO69" i="11" s="1"/>
  <c r="AH69" i="11"/>
  <c r="AN69" i="11" s="1"/>
  <c r="AI68" i="11"/>
  <c r="AK68" i="11" s="1"/>
  <c r="AH68" i="11"/>
  <c r="AN68" i="11" s="1"/>
  <c r="AI67" i="11"/>
  <c r="AH67" i="11"/>
  <c r="AJ67" i="11" s="1"/>
  <c r="AI66" i="11"/>
  <c r="AK66" i="11" s="1"/>
  <c r="AH66" i="11"/>
  <c r="AJ66" i="11" s="1"/>
  <c r="AI65" i="11"/>
  <c r="AH65" i="11"/>
  <c r="AN65" i="11" s="1"/>
  <c r="AI64" i="11"/>
  <c r="AO64" i="11" s="1"/>
  <c r="AH64" i="11"/>
  <c r="AN64" i="11" s="1"/>
  <c r="AI63" i="11"/>
  <c r="AO63" i="11" s="1"/>
  <c r="AH63" i="11"/>
  <c r="AJ63" i="11" s="1"/>
  <c r="AI62" i="11"/>
  <c r="AO62" i="11" s="1"/>
  <c r="AH62" i="11"/>
  <c r="AJ62" i="11" s="1"/>
  <c r="AI61" i="11"/>
  <c r="AO61" i="11" s="1"/>
  <c r="AH61" i="11"/>
  <c r="AN61" i="11" s="1"/>
  <c r="AI60" i="11"/>
  <c r="AO60" i="11" s="1"/>
  <c r="AH60" i="11"/>
  <c r="AN60" i="11" s="1"/>
  <c r="AI59" i="11"/>
  <c r="AO59" i="11" s="1"/>
  <c r="AH59" i="11"/>
  <c r="AJ59" i="11" s="1"/>
  <c r="AI58" i="11"/>
  <c r="AO58" i="11" s="1"/>
  <c r="AH58" i="11"/>
  <c r="AJ58" i="11" s="1"/>
  <c r="AI57" i="11"/>
  <c r="AO57" i="11" s="1"/>
  <c r="AH57" i="11"/>
  <c r="AN57" i="11" s="1"/>
  <c r="AI56" i="11"/>
  <c r="AO56" i="11" s="1"/>
  <c r="AH56" i="11"/>
  <c r="AN56" i="11" s="1"/>
  <c r="AH53" i="11"/>
  <c r="AN53" i="11" s="1"/>
  <c r="AI52" i="11"/>
  <c r="AK52" i="11" s="1"/>
  <c r="AH52" i="11"/>
  <c r="AJ52" i="11" s="1"/>
  <c r="AI51" i="11"/>
  <c r="AH51" i="11"/>
  <c r="AN51" i="11" s="1"/>
  <c r="AI50" i="11"/>
  <c r="AO50" i="11" s="1"/>
  <c r="AH50" i="11"/>
  <c r="AJ50" i="11" s="1"/>
  <c r="AI49" i="11"/>
  <c r="AH49" i="11"/>
  <c r="AJ49" i="11" s="1"/>
  <c r="AI48" i="11"/>
  <c r="AO48" i="11" s="1"/>
  <c r="AH48" i="11"/>
  <c r="AN48" i="11" s="1"/>
  <c r="AI47" i="11"/>
  <c r="AH47" i="11"/>
  <c r="AJ47" i="11" s="1"/>
  <c r="AI46" i="11"/>
  <c r="AK46" i="11" s="1"/>
  <c r="AH46" i="11"/>
  <c r="AJ46" i="11" s="1"/>
  <c r="AI45" i="11"/>
  <c r="AH45" i="11"/>
  <c r="AN45" i="11" s="1"/>
  <c r="AI44" i="11"/>
  <c r="AO44" i="11" s="1"/>
  <c r="AH44" i="11"/>
  <c r="AJ44" i="11" s="1"/>
  <c r="AI43" i="11"/>
  <c r="AH43" i="11"/>
  <c r="AN43" i="11" s="1"/>
  <c r="AI42" i="11"/>
  <c r="AO42" i="11" s="1"/>
  <c r="AH42" i="11"/>
  <c r="AJ42" i="11" s="1"/>
  <c r="AI41" i="11"/>
  <c r="AH41" i="11"/>
  <c r="AJ41" i="11" s="1"/>
  <c r="AI40" i="11"/>
  <c r="AO40" i="11" s="1"/>
  <c r="AH40" i="11"/>
  <c r="AN40" i="11" s="1"/>
  <c r="AI39" i="11"/>
  <c r="AH39" i="11"/>
  <c r="AJ39" i="11" s="1"/>
  <c r="AI38" i="11"/>
  <c r="AK38" i="11" s="1"/>
  <c r="AH38" i="11"/>
  <c r="AJ38" i="11" s="1"/>
  <c r="AI37" i="11"/>
  <c r="AH37" i="11"/>
  <c r="AN37" i="11" s="1"/>
  <c r="AI36" i="11"/>
  <c r="AO36" i="11" s="1"/>
  <c r="AH36" i="11"/>
  <c r="AJ36" i="11" s="1"/>
  <c r="AI35" i="11"/>
  <c r="AK35" i="11" s="1"/>
  <c r="AH35" i="11"/>
  <c r="AN35" i="11" s="1"/>
  <c r="AI34" i="11"/>
  <c r="AK34" i="11" s="1"/>
  <c r="AH34" i="11"/>
  <c r="AJ34" i="11" s="1"/>
  <c r="AI33" i="11"/>
  <c r="AO33" i="11" s="1"/>
  <c r="AH33" i="11"/>
  <c r="AN33" i="11" s="1"/>
  <c r="AI32" i="11"/>
  <c r="AO32" i="11" s="1"/>
  <c r="AH32" i="11"/>
  <c r="AJ32" i="11" s="1"/>
  <c r="AI31" i="11"/>
  <c r="AO31" i="11" s="1"/>
  <c r="AH31" i="11"/>
  <c r="AJ31" i="11" s="1"/>
  <c r="AI30" i="11"/>
  <c r="AK30" i="11" s="1"/>
  <c r="AH30" i="11"/>
  <c r="AJ30" i="11" s="1"/>
  <c r="AI29" i="11"/>
  <c r="AK29" i="11" s="1"/>
  <c r="AH29" i="11"/>
  <c r="AJ29" i="11" s="1"/>
  <c r="AI28" i="11"/>
  <c r="AO28" i="11" s="1"/>
  <c r="AH28" i="11"/>
  <c r="AJ28" i="11" s="1"/>
  <c r="AI27" i="11"/>
  <c r="AO27" i="11" s="1"/>
  <c r="AH27" i="11"/>
  <c r="AJ27" i="11" s="1"/>
  <c r="AI26" i="11"/>
  <c r="AK26" i="11" s="1"/>
  <c r="AH26" i="11"/>
  <c r="AJ26" i="11" s="1"/>
  <c r="AI25" i="11"/>
  <c r="AK25" i="11" s="1"/>
  <c r="AH25" i="11"/>
  <c r="AJ25" i="11" s="1"/>
  <c r="AI24" i="11"/>
  <c r="AO24" i="11" s="1"/>
  <c r="AH24" i="11"/>
  <c r="AJ24" i="11" s="1"/>
  <c r="AH21" i="11"/>
  <c r="AJ21" i="11" s="1"/>
  <c r="AI20" i="11"/>
  <c r="AK20" i="11" s="1"/>
  <c r="AH20" i="11"/>
  <c r="AJ20" i="11" s="1"/>
  <c r="AI19" i="11"/>
  <c r="AK19" i="11" s="1"/>
  <c r="AH19" i="11"/>
  <c r="AN19" i="11" s="1"/>
  <c r="AI18" i="11"/>
  <c r="AK18" i="11" s="1"/>
  <c r="AH18" i="11"/>
  <c r="AN18" i="11" s="1"/>
  <c r="AI17" i="11"/>
  <c r="AK17" i="11" s="1"/>
  <c r="AH17" i="11"/>
  <c r="AJ17" i="11" s="1"/>
  <c r="AI16" i="11"/>
  <c r="AK16" i="11" s="1"/>
  <c r="AH16" i="11"/>
  <c r="AJ16" i="11" s="1"/>
  <c r="AI15" i="11"/>
  <c r="AK15" i="11" s="1"/>
  <c r="AH15" i="11"/>
  <c r="AN15" i="11" s="1"/>
  <c r="AI14" i="11"/>
  <c r="AK14" i="11" s="1"/>
  <c r="AH14" i="11"/>
  <c r="AN14" i="11" s="1"/>
  <c r="AI13" i="11"/>
  <c r="AK13" i="11" s="1"/>
  <c r="AH13" i="11"/>
  <c r="AJ13" i="11" s="1"/>
  <c r="AI12" i="11"/>
  <c r="AK12" i="11" s="1"/>
  <c r="AH12" i="11"/>
  <c r="AJ12" i="11" s="1"/>
  <c r="AI11" i="11"/>
  <c r="AK11" i="11" s="1"/>
  <c r="AH11" i="11"/>
  <c r="AN11" i="11" s="1"/>
  <c r="AI10" i="11"/>
  <c r="AK10" i="11" s="1"/>
  <c r="AH10" i="11"/>
  <c r="AN10" i="11" s="1"/>
  <c r="AI9" i="11"/>
  <c r="AK9" i="11" s="1"/>
  <c r="AH9" i="11"/>
  <c r="AJ9" i="11" s="1"/>
  <c r="AI8" i="11"/>
  <c r="AK8" i="11" s="1"/>
  <c r="AH8" i="11"/>
  <c r="AJ8" i="11" s="1"/>
  <c r="AI7" i="11"/>
  <c r="AK7" i="11" s="1"/>
  <c r="AH7" i="11"/>
  <c r="AN7" i="11" s="1"/>
  <c r="AI6" i="11"/>
  <c r="AK6" i="11" s="1"/>
  <c r="AH6" i="11"/>
  <c r="AN6" i="11" s="1"/>
  <c r="AI5" i="11"/>
  <c r="AO5" i="11" s="1"/>
  <c r="AH5" i="11"/>
  <c r="AJ5" i="11" s="1"/>
  <c r="J151" i="9"/>
  <c r="J10" i="1"/>
  <c r="I10" i="1"/>
  <c r="H10" i="1"/>
  <c r="G10" i="1"/>
  <c r="F10" i="1"/>
  <c r="E10" i="1"/>
  <c r="D10" i="1"/>
  <c r="C10" i="1"/>
  <c r="AK142" i="11" l="1"/>
  <c r="AK140" i="11"/>
  <c r="AK138" i="11"/>
  <c r="AK136" i="11"/>
  <c r="AK134" i="11"/>
  <c r="AK132" i="11"/>
  <c r="AK130" i="11"/>
  <c r="AK128" i="11"/>
  <c r="AK126" i="11"/>
  <c r="AK124" i="11"/>
  <c r="AK122" i="11"/>
  <c r="AK120" i="11"/>
  <c r="AO139" i="11"/>
  <c r="AO135" i="11"/>
  <c r="AO133" i="11"/>
  <c r="AO131" i="11"/>
  <c r="AO129" i="11"/>
  <c r="AO127" i="11"/>
  <c r="AO125" i="11"/>
  <c r="AO123" i="11"/>
  <c r="AO121" i="11"/>
  <c r="AO119" i="11"/>
  <c r="AN142" i="11"/>
  <c r="AJ140" i="11"/>
  <c r="AN138" i="11"/>
  <c r="AJ136" i="11"/>
  <c r="AN134" i="11"/>
  <c r="AJ132" i="11"/>
  <c r="AN130" i="11"/>
  <c r="AJ128" i="11"/>
  <c r="AN126" i="11"/>
  <c r="AJ124" i="11"/>
  <c r="AN122" i="11"/>
  <c r="AJ120" i="11"/>
  <c r="AJ141" i="11"/>
  <c r="AN139" i="11"/>
  <c r="AJ137" i="11"/>
  <c r="AN135" i="11"/>
  <c r="AJ133" i="11"/>
  <c r="AN131" i="11"/>
  <c r="AJ129" i="11"/>
  <c r="AN127" i="11"/>
  <c r="AJ125" i="11"/>
  <c r="AN123" i="11"/>
  <c r="AJ121" i="11"/>
  <c r="AN119" i="11"/>
  <c r="AN143" i="11"/>
  <c r="AN46" i="11"/>
  <c r="AN38" i="11"/>
  <c r="AN31" i="11"/>
  <c r="AN29" i="11"/>
  <c r="AN27" i="11"/>
  <c r="AN25" i="11"/>
  <c r="AJ51" i="11"/>
  <c r="AN47" i="11"/>
  <c r="AJ43" i="11"/>
  <c r="AN39" i="11"/>
  <c r="AN34" i="11"/>
  <c r="AJ33" i="11"/>
  <c r="AN50" i="11"/>
  <c r="AN42" i="11"/>
  <c r="AN32" i="11"/>
  <c r="AN30" i="11"/>
  <c r="AN28" i="11"/>
  <c r="AN26" i="11"/>
  <c r="AN24" i="11"/>
  <c r="AN165" i="11"/>
  <c r="AO181" i="11"/>
  <c r="AK180" i="11"/>
  <c r="AO174" i="11"/>
  <c r="AO176" i="11"/>
  <c r="AO179" i="11"/>
  <c r="AJ186" i="11"/>
  <c r="AN181" i="11"/>
  <c r="AN185" i="11"/>
  <c r="AN178" i="11"/>
  <c r="AN174" i="11"/>
  <c r="AN177" i="11"/>
  <c r="AK160" i="11"/>
  <c r="AO163" i="11"/>
  <c r="AO161" i="11"/>
  <c r="AO159" i="11"/>
  <c r="AO157" i="11"/>
  <c r="AN163" i="11"/>
  <c r="AJ161" i="11"/>
  <c r="AN160" i="11"/>
  <c r="AN157" i="11"/>
  <c r="AO153" i="11"/>
  <c r="AO154" i="11"/>
  <c r="AN158" i="11"/>
  <c r="AO148" i="11"/>
  <c r="AO146" i="11"/>
  <c r="AN149" i="11"/>
  <c r="AJ148" i="11"/>
  <c r="AN146" i="11"/>
  <c r="AN147" i="11"/>
  <c r="AN153" i="11"/>
  <c r="AO116" i="11"/>
  <c r="AO114" i="11"/>
  <c r="AN117" i="11"/>
  <c r="AJ116" i="11"/>
  <c r="AN114" i="11"/>
  <c r="AN115" i="11"/>
  <c r="AJ113" i="11"/>
  <c r="AO108" i="11"/>
  <c r="AO106" i="11"/>
  <c r="AO104" i="11"/>
  <c r="AO102" i="11"/>
  <c r="AN107" i="11"/>
  <c r="AJ105" i="11"/>
  <c r="AN103" i="11"/>
  <c r="AJ101" i="11"/>
  <c r="AN92" i="11"/>
  <c r="AJ91" i="11"/>
  <c r="AN108" i="11"/>
  <c r="AJ106" i="11"/>
  <c r="AN104" i="11"/>
  <c r="AJ102" i="11"/>
  <c r="AJ94" i="11"/>
  <c r="AN93" i="11"/>
  <c r="AK90" i="11"/>
  <c r="AK94" i="11"/>
  <c r="AO92" i="11"/>
  <c r="AO98" i="11"/>
  <c r="AJ98" i="11"/>
  <c r="AN96" i="11"/>
  <c r="AJ90" i="11"/>
  <c r="AO84" i="11"/>
  <c r="AK64" i="11"/>
  <c r="AK60" i="11"/>
  <c r="AO80" i="11"/>
  <c r="AK75" i="11"/>
  <c r="AK73" i="11"/>
  <c r="AK56" i="11"/>
  <c r="AO85" i="11"/>
  <c r="AO76" i="11"/>
  <c r="AO74" i="11"/>
  <c r="AK71" i="11"/>
  <c r="AK69" i="11"/>
  <c r="AO72" i="11"/>
  <c r="AO68" i="11"/>
  <c r="AJ84" i="11"/>
  <c r="AN82" i="11"/>
  <c r="AJ80" i="11"/>
  <c r="AN78" i="11"/>
  <c r="AJ76" i="11"/>
  <c r="AN74" i="11"/>
  <c r="AJ72" i="11"/>
  <c r="AN70" i="11"/>
  <c r="AJ68" i="11"/>
  <c r="AN66" i="11"/>
  <c r="AJ64" i="11"/>
  <c r="AN62" i="11"/>
  <c r="AJ60" i="11"/>
  <c r="AN58" i="11"/>
  <c r="AJ56" i="11"/>
  <c r="AN83" i="11"/>
  <c r="AN75" i="11"/>
  <c r="AN71" i="11"/>
  <c r="AN63" i="11"/>
  <c r="AJ61" i="11"/>
  <c r="AN59" i="11"/>
  <c r="AJ57" i="11"/>
  <c r="AN67" i="11"/>
  <c r="AJ79" i="11"/>
  <c r="AK5" i="11"/>
  <c r="AO19" i="11"/>
  <c r="AO17" i="11"/>
  <c r="AO11" i="11"/>
  <c r="AO9" i="11"/>
  <c r="AO15" i="11"/>
  <c r="AO13" i="11"/>
  <c r="AO7" i="11"/>
  <c r="AN20" i="11"/>
  <c r="AJ18" i="11"/>
  <c r="AN16" i="11"/>
  <c r="AJ14" i="11"/>
  <c r="AN12" i="11"/>
  <c r="AJ10" i="11"/>
  <c r="AN8" i="11"/>
  <c r="AJ6" i="11"/>
  <c r="AN5" i="11"/>
  <c r="AJ19" i="11"/>
  <c r="AN17" i="11"/>
  <c r="AJ15" i="11"/>
  <c r="AN13" i="11"/>
  <c r="AJ11" i="11"/>
  <c r="AN9" i="11"/>
  <c r="AJ7" i="11"/>
  <c r="AN21" i="11"/>
  <c r="AO52" i="11"/>
  <c r="AK50" i="11"/>
  <c r="AK42" i="11"/>
  <c r="AK31" i="11"/>
  <c r="AO29" i="11"/>
  <c r="AK27" i="11"/>
  <c r="AO25" i="11"/>
  <c r="AO46" i="11"/>
  <c r="AK44" i="11"/>
  <c r="AK40" i="11"/>
  <c r="AO38" i="11"/>
  <c r="AK36" i="11"/>
  <c r="AO34" i="11"/>
  <c r="AK32" i="11"/>
  <c r="AO30" i="11"/>
  <c r="AK28" i="11"/>
  <c r="AO26" i="11"/>
  <c r="AK24" i="11"/>
  <c r="AK48" i="11"/>
  <c r="M99" i="9"/>
  <c r="L99" i="9"/>
  <c r="J99" i="9"/>
  <c r="M98" i="9" l="1"/>
  <c r="L98" i="9"/>
  <c r="J98" i="9"/>
  <c r="M109" i="9" l="1"/>
  <c r="L109" i="9"/>
  <c r="J109" i="9"/>
  <c r="M96" i="9"/>
  <c r="L96" i="9"/>
  <c r="J96" i="9"/>
  <c r="M108" i="9" l="1"/>
  <c r="L108" i="9"/>
  <c r="M95" i="9" l="1"/>
  <c r="L95" i="9"/>
  <c r="M94" i="9" l="1"/>
  <c r="L94" i="9"/>
  <c r="J94" i="9"/>
  <c r="P18" i="9"/>
  <c r="D191" i="9" l="1"/>
  <c r="D174" i="9"/>
  <c r="D166" i="9"/>
  <c r="D151" i="9"/>
  <c r="D145" i="9"/>
  <c r="D118" i="9"/>
  <c r="G109" i="9"/>
  <c r="F109" i="9"/>
  <c r="G108" i="9"/>
  <c r="F108" i="9"/>
  <c r="D109" i="9"/>
  <c r="G99" i="9"/>
  <c r="F99" i="9"/>
  <c r="G98" i="9"/>
  <c r="F98" i="9"/>
  <c r="G96" i="9"/>
  <c r="F96" i="9"/>
  <c r="G95" i="9"/>
  <c r="F95" i="9"/>
  <c r="G94" i="9"/>
  <c r="F94" i="9"/>
  <c r="D99" i="9"/>
  <c r="D111" i="9" s="1"/>
  <c r="D98" i="9"/>
  <c r="D96" i="9"/>
  <c r="D94" i="9"/>
  <c r="D87" i="9"/>
  <c r="D54" i="9"/>
  <c r="D22" i="9"/>
  <c r="D167" i="9" s="1"/>
  <c r="AB185" i="11" l="1"/>
  <c r="AB170" i="11"/>
  <c r="AB164" i="11"/>
  <c r="AB149" i="11"/>
  <c r="AB143" i="11"/>
  <c r="AB117" i="11"/>
  <c r="AC108" i="11"/>
  <c r="AC107" i="11"/>
  <c r="AB108" i="11"/>
  <c r="AC98" i="11"/>
  <c r="AC97" i="11"/>
  <c r="AC95" i="11"/>
  <c r="AC94" i="11"/>
  <c r="AC93" i="11"/>
  <c r="AB98" i="11"/>
  <c r="AB97" i="11"/>
  <c r="AB95" i="11"/>
  <c r="AB93" i="11"/>
  <c r="AB86" i="11"/>
  <c r="AB53" i="11"/>
  <c r="AB21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0" i="11" l="1"/>
  <c r="AB165" i="11" l="1"/>
  <c r="AB186" i="11" s="1"/>
  <c r="D192" i="9" l="1"/>
  <c r="X143" i="11"/>
  <c r="AD143" i="11" s="1"/>
  <c r="X53" i="11"/>
  <c r="AD53" i="11" s="1"/>
  <c r="X185" i="11" l="1"/>
  <c r="X170" i="11"/>
  <c r="X164" i="11"/>
  <c r="X149" i="11"/>
  <c r="X117" i="11"/>
  <c r="AD117" i="11" s="1"/>
  <c r="Y108" i="11"/>
  <c r="Y107" i="11"/>
  <c r="AE107" i="11" s="1"/>
  <c r="X108" i="11"/>
  <c r="AD108" i="11" s="1"/>
  <c r="Y98" i="11"/>
  <c r="Y97" i="11"/>
  <c r="AE97" i="11" s="1"/>
  <c r="Y95" i="11"/>
  <c r="Y94" i="11"/>
  <c r="AE94" i="11" s="1"/>
  <c r="Y93" i="11"/>
  <c r="AE93" i="11" s="1"/>
  <c r="X98" i="11"/>
  <c r="X97" i="11"/>
  <c r="AD97" i="11" s="1"/>
  <c r="X95" i="11"/>
  <c r="AD95" i="11" s="1"/>
  <c r="X93" i="11"/>
  <c r="X86" i="11"/>
  <c r="AD86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09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93" i="11" l="1"/>
  <c r="X110" i="11"/>
  <c r="AE98" i="11"/>
  <c r="AD185" i="11"/>
  <c r="AD98" i="11"/>
  <c r="AE108" i="11"/>
  <c r="AE95" i="11"/>
  <c r="AD149" i="11"/>
  <c r="AD164" i="11"/>
  <c r="X165" i="11" l="1"/>
  <c r="AD165" i="11" l="1"/>
  <c r="X186" i="11"/>
  <c r="AD186" i="11" l="1"/>
  <c r="T143" i="11"/>
  <c r="Z143" i="11" s="1"/>
  <c r="T86" i="11"/>
  <c r="Z86" i="11" s="1"/>
  <c r="T185" i="11" l="1"/>
  <c r="Z185" i="11" s="1"/>
  <c r="T170" i="11"/>
  <c r="T164" i="11"/>
  <c r="Z164" i="11" s="1"/>
  <c r="T149" i="11"/>
  <c r="Z149" i="11" s="1"/>
  <c r="T117" i="11"/>
  <c r="Z117" i="11" s="1"/>
  <c r="U108" i="11"/>
  <c r="AA108" i="11" s="1"/>
  <c r="U107" i="11"/>
  <c r="AA107" i="11" s="1"/>
  <c r="T108" i="11"/>
  <c r="Z108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93" i="11"/>
  <c r="Z93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09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0" i="11" l="1"/>
  <c r="T165" i="11" l="1"/>
  <c r="Z165" i="11" s="1"/>
  <c r="T186" i="11" l="1"/>
  <c r="Z186" i="11" s="1"/>
  <c r="P185" i="11" l="1"/>
  <c r="V185" i="11" s="1"/>
  <c r="P170" i="11"/>
  <c r="P164" i="11"/>
  <c r="V164" i="11" s="1"/>
  <c r="P149" i="11"/>
  <c r="V149" i="11" s="1"/>
  <c r="P143" i="11"/>
  <c r="V143" i="11" s="1"/>
  <c r="P117" i="11"/>
  <c r="V117" i="11" s="1"/>
  <c r="Q108" i="11"/>
  <c r="W108" i="11" s="1"/>
  <c r="Q107" i="11"/>
  <c r="W107" i="11" s="1"/>
  <c r="P108" i="11"/>
  <c r="V108" i="11" s="1"/>
  <c r="Q98" i="11"/>
  <c r="W98" i="11" s="1"/>
  <c r="Q97" i="11"/>
  <c r="W97" i="11" s="1"/>
  <c r="Q95" i="11"/>
  <c r="W95" i="11" s="1"/>
  <c r="Q94" i="11"/>
  <c r="W94" i="11" s="1"/>
  <c r="Q93" i="11"/>
  <c r="W93" i="11" s="1"/>
  <c r="P98" i="11"/>
  <c r="V98" i="11" s="1"/>
  <c r="P97" i="11"/>
  <c r="V97" i="11" s="1"/>
  <c r="P95" i="11"/>
  <c r="V95" i="11" s="1"/>
  <c r="P93" i="11"/>
  <c r="V93" i="11" s="1"/>
  <c r="P86" i="11"/>
  <c r="V86" i="11" s="1"/>
  <c r="P53" i="11"/>
  <c r="V53" i="11" s="1"/>
  <c r="K10" i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09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K12" i="1" l="1"/>
  <c r="P110" i="11"/>
  <c r="P165" i="11" s="1"/>
  <c r="V165" i="11" s="1"/>
  <c r="P186" i="11" l="1"/>
  <c r="V186" i="11" s="1"/>
  <c r="L98" i="11"/>
  <c r="R98" i="11" s="1"/>
  <c r="L185" i="11"/>
  <c r="R185" i="11" s="1"/>
  <c r="L170" i="11"/>
  <c r="L164" i="11"/>
  <c r="R164" i="11" s="1"/>
  <c r="L149" i="11"/>
  <c r="R149" i="11" s="1"/>
  <c r="L143" i="11"/>
  <c r="R143" i="11" s="1"/>
  <c r="L117" i="11"/>
  <c r="R117" i="11" s="1"/>
  <c r="M108" i="11"/>
  <c r="S108" i="11" s="1"/>
  <c r="L108" i="11"/>
  <c r="R108" i="11" s="1"/>
  <c r="I108" i="11"/>
  <c r="H108" i="11"/>
  <c r="E108" i="11"/>
  <c r="D108" i="11"/>
  <c r="F108" i="11" s="1"/>
  <c r="O109" i="11"/>
  <c r="M107" i="11"/>
  <c r="S107" i="11" s="1"/>
  <c r="M98" i="11"/>
  <c r="S98" i="11" s="1"/>
  <c r="M97" i="11"/>
  <c r="S97" i="11" s="1"/>
  <c r="M95" i="11"/>
  <c r="S95" i="11" s="1"/>
  <c r="M94" i="11"/>
  <c r="S94" i="11" s="1"/>
  <c r="M93" i="11"/>
  <c r="S93" i="11" s="1"/>
  <c r="L97" i="11"/>
  <c r="R97" i="11" s="1"/>
  <c r="L95" i="11"/>
  <c r="R95" i="11" s="1"/>
  <c r="L93" i="11"/>
  <c r="R93" i="11" s="1"/>
  <c r="L86" i="11"/>
  <c r="R86" i="11" s="1"/>
  <c r="L53" i="11"/>
  <c r="R53" i="11" s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108" i="11" l="1"/>
  <c r="L110" i="11"/>
  <c r="O108" i="11"/>
  <c r="K108" i="11"/>
  <c r="G108" i="11"/>
  <c r="J108" i="11"/>
  <c r="L165" i="11" l="1"/>
  <c r="R165" i="11" s="1"/>
  <c r="L186" i="11" l="1"/>
  <c r="R186" i="11" s="1"/>
  <c r="R110" i="9" l="1"/>
  <c r="Q110" i="9"/>
  <c r="R109" i="9"/>
  <c r="Q109" i="9"/>
  <c r="P109" i="9"/>
  <c r="R99" i="9"/>
  <c r="Q99" i="9"/>
  <c r="P99" i="9"/>
  <c r="P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H185" i="1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I98" i="11"/>
  <c r="I97" i="11"/>
  <c r="O97" i="11" s="1"/>
  <c r="I95" i="11"/>
  <c r="O95" i="11" s="1"/>
  <c r="I94" i="11"/>
  <c r="O94" i="11" s="1"/>
  <c r="I93" i="11"/>
  <c r="H98" i="11"/>
  <c r="H97" i="11"/>
  <c r="N97" i="11" s="1"/>
  <c r="H95" i="11"/>
  <c r="N95" i="11" s="1"/>
  <c r="H93" i="11"/>
  <c r="H86" i="11"/>
  <c r="N86" i="11" s="1"/>
  <c r="H53" i="11"/>
  <c r="N53" i="11" s="1"/>
  <c r="H21" i="11"/>
  <c r="N21" i="11" s="1"/>
  <c r="N98" i="11" l="1"/>
  <c r="O93" i="11"/>
  <c r="N93" i="11"/>
  <c r="O98" i="11"/>
  <c r="H110" i="11"/>
  <c r="E110" i="9"/>
  <c r="E99" i="9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65" i="11" l="1"/>
  <c r="N165" i="11" s="1"/>
  <c r="D185" i="11"/>
  <c r="J185" i="11" s="1"/>
  <c r="D170" i="11"/>
  <c r="D164" i="11"/>
  <c r="J164" i="11" s="1"/>
  <c r="D149" i="11"/>
  <c r="J149" i="11" s="1"/>
  <c r="D143" i="11"/>
  <c r="J143" i="11" s="1"/>
  <c r="D117" i="11"/>
  <c r="J117" i="11" s="1"/>
  <c r="E107" i="11"/>
  <c r="K107" i="11" s="1"/>
  <c r="J109" i="11"/>
  <c r="E98" i="11"/>
  <c r="K98" i="11" s="1"/>
  <c r="E97" i="11"/>
  <c r="K97" i="11" s="1"/>
  <c r="E95" i="11"/>
  <c r="K95" i="11" s="1"/>
  <c r="E94" i="11"/>
  <c r="K94" i="11" s="1"/>
  <c r="E93" i="11"/>
  <c r="K93" i="11" s="1"/>
  <c r="D98" i="11"/>
  <c r="J98" i="11" s="1"/>
  <c r="D97" i="11"/>
  <c r="J97" i="11" s="1"/>
  <c r="D95" i="11"/>
  <c r="J95" i="11" s="1"/>
  <c r="D93" i="11"/>
  <c r="J93" i="11" s="1"/>
  <c r="D86" i="11"/>
  <c r="J86" i="11" s="1"/>
  <c r="D53" i="11"/>
  <c r="J53" i="11" s="1"/>
  <c r="D21" i="11"/>
  <c r="J21" i="11" s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2" i="11"/>
  <c r="F92" i="11"/>
  <c r="G91" i="11"/>
  <c r="F91" i="11"/>
  <c r="G90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J22" i="9"/>
  <c r="G109" i="11" l="1"/>
  <c r="K109" i="11"/>
  <c r="H186" i="11"/>
  <c r="N186" i="11" s="1"/>
  <c r="D110" i="11"/>
  <c r="D165" i="11" s="1"/>
  <c r="J165" i="11" s="1"/>
  <c r="F109" i="11"/>
  <c r="D186" i="11" l="1"/>
  <c r="J186" i="11" s="1"/>
  <c r="B185" i="11" l="1"/>
  <c r="B170" i="11"/>
  <c r="B164" i="11"/>
  <c r="B149" i="11"/>
  <c r="B143" i="11"/>
  <c r="B117" i="11"/>
  <c r="C107" i="11"/>
  <c r="C98" i="11"/>
  <c r="C97" i="11"/>
  <c r="C95" i="11"/>
  <c r="C94" i="11"/>
  <c r="C93" i="11"/>
  <c r="B98" i="11"/>
  <c r="B97" i="11"/>
  <c r="B95" i="11"/>
  <c r="B93" i="11"/>
  <c r="B86" i="11"/>
  <c r="B53" i="11"/>
  <c r="B21" i="11"/>
  <c r="F185" i="11" l="1"/>
  <c r="G98" i="11"/>
  <c r="F143" i="11"/>
  <c r="F93" i="11"/>
  <c r="G107" i="11"/>
  <c r="F97" i="11"/>
  <c r="G93" i="11"/>
  <c r="F149" i="11"/>
  <c r="F95" i="11"/>
  <c r="F117" i="11"/>
  <c r="F98" i="11"/>
  <c r="F21" i="11"/>
  <c r="G94" i="11"/>
  <c r="F164" i="11"/>
  <c r="F53" i="11"/>
  <c r="G95" i="11"/>
  <c r="F86" i="11"/>
  <c r="G97" i="11"/>
  <c r="B110" i="11"/>
  <c r="B165" i="11" l="1"/>
  <c r="B186" i="11" l="1"/>
  <c r="F165" i="11"/>
  <c r="F186" i="11" l="1"/>
  <c r="R98" i="9" l="1"/>
  <c r="P98" i="9"/>
  <c r="Q98" i="9"/>
  <c r="E98" i="9" l="1"/>
  <c r="R191" i="9" l="1"/>
  <c r="Q94" i="9"/>
  <c r="Q6" i="9"/>
  <c r="R143" i="9" l="1"/>
  <c r="Q143" i="9"/>
  <c r="P143" i="9"/>
  <c r="R85" i="9"/>
  <c r="Q85" i="9"/>
  <c r="P85" i="9"/>
  <c r="R20" i="9"/>
  <c r="Q20" i="9"/>
  <c r="P20" i="9"/>
  <c r="E85" i="9" l="1"/>
  <c r="E20" i="9"/>
  <c r="R84" i="9" l="1"/>
  <c r="Q84" i="9"/>
  <c r="P84" i="9"/>
  <c r="E84" i="9" l="1"/>
  <c r="J145" i="9" l="1"/>
  <c r="J118" i="9"/>
  <c r="J111" i="9"/>
  <c r="K110" i="9" s="1"/>
  <c r="J87" i="9"/>
  <c r="J54" i="9"/>
  <c r="K142" i="9" l="1"/>
  <c r="K131" i="9"/>
  <c r="K66" i="9"/>
  <c r="K70" i="9"/>
  <c r="K109" i="9"/>
  <c r="E109" i="9"/>
  <c r="K98" i="9"/>
  <c r="K99" i="9"/>
  <c r="K44" i="9"/>
  <c r="K30" i="9"/>
  <c r="K85" i="9"/>
  <c r="K80" i="9"/>
  <c r="K143" i="9"/>
  <c r="K125" i="9"/>
  <c r="K42" i="9"/>
  <c r="K50" i="9"/>
  <c r="K47" i="9"/>
  <c r="K43" i="9"/>
  <c r="K51" i="9"/>
  <c r="K49" i="9"/>
  <c r="K52" i="9"/>
  <c r="K46" i="9"/>
  <c r="K48" i="9"/>
  <c r="K45" i="9"/>
  <c r="K53" i="9"/>
  <c r="K130" i="9"/>
  <c r="K139" i="9"/>
  <c r="K84" i="9"/>
  <c r="K72" i="9"/>
  <c r="R97" i="9"/>
  <c r="Q97" i="9"/>
  <c r="P97" i="9"/>
  <c r="K97" i="9"/>
  <c r="R164" i="9"/>
  <c r="Q164" i="9"/>
  <c r="P164" i="9"/>
  <c r="R142" i="9"/>
  <c r="Q142" i="9"/>
  <c r="P142" i="9"/>
  <c r="E97" i="9"/>
  <c r="E164" i="9" l="1"/>
  <c r="J191" i="9" l="1"/>
  <c r="K189" i="9" s="1"/>
  <c r="J174" i="9"/>
  <c r="J166" i="9"/>
  <c r="K179" i="9" l="1"/>
  <c r="K164" i="9"/>
  <c r="J167" i="9"/>
  <c r="J192" i="9" s="1"/>
  <c r="R190" i="9" l="1"/>
  <c r="Q190" i="9"/>
  <c r="P190" i="9"/>
  <c r="E190" i="9"/>
  <c r="R189" i="9"/>
  <c r="Q189" i="9"/>
  <c r="P189" i="9"/>
  <c r="E189" i="9"/>
  <c r="R188" i="9"/>
  <c r="Q188" i="9"/>
  <c r="P188" i="9"/>
  <c r="E188" i="9"/>
  <c r="R187" i="9"/>
  <c r="Q187" i="9"/>
  <c r="P187" i="9"/>
  <c r="E187" i="9"/>
  <c r="R186" i="9"/>
  <c r="Q186" i="9"/>
  <c r="P186" i="9"/>
  <c r="E186" i="9"/>
  <c r="R185" i="9"/>
  <c r="Q185" i="9"/>
  <c r="P185" i="9"/>
  <c r="E185" i="9"/>
  <c r="R184" i="9"/>
  <c r="Q184" i="9"/>
  <c r="P184" i="9"/>
  <c r="E184" i="9"/>
  <c r="R183" i="9"/>
  <c r="Q183" i="9"/>
  <c r="P183" i="9"/>
  <c r="E183" i="9"/>
  <c r="R182" i="9"/>
  <c r="Q182" i="9"/>
  <c r="P182" i="9"/>
  <c r="E182" i="9"/>
  <c r="R181" i="9"/>
  <c r="Q181" i="9"/>
  <c r="P181" i="9"/>
  <c r="E181" i="9"/>
  <c r="R180" i="9"/>
  <c r="Q180" i="9"/>
  <c r="P180" i="9"/>
  <c r="E180" i="9"/>
  <c r="R179" i="9"/>
  <c r="Q179" i="9"/>
  <c r="P179" i="9"/>
  <c r="E179" i="9"/>
  <c r="R174" i="9"/>
  <c r="P174" i="9"/>
  <c r="R173" i="9"/>
  <c r="Q173" i="9"/>
  <c r="P173" i="9"/>
  <c r="K173" i="9"/>
  <c r="E173" i="9"/>
  <c r="R172" i="9"/>
  <c r="Q172" i="9"/>
  <c r="P172" i="9"/>
  <c r="K172" i="9"/>
  <c r="E172" i="9"/>
  <c r="R166" i="9"/>
  <c r="K159" i="9"/>
  <c r="E156" i="9"/>
  <c r="R165" i="9"/>
  <c r="Q165" i="9"/>
  <c r="P165" i="9"/>
  <c r="R163" i="9"/>
  <c r="Q163" i="9"/>
  <c r="P163" i="9"/>
  <c r="R162" i="9"/>
  <c r="Q162" i="9"/>
  <c r="P162" i="9"/>
  <c r="R161" i="9"/>
  <c r="Q161" i="9"/>
  <c r="P161" i="9"/>
  <c r="R160" i="9"/>
  <c r="Q160" i="9"/>
  <c r="P160" i="9"/>
  <c r="E160" i="9"/>
  <c r="R159" i="9"/>
  <c r="Q159" i="9"/>
  <c r="P159" i="9"/>
  <c r="R156" i="9"/>
  <c r="Q156" i="9"/>
  <c r="P156" i="9"/>
  <c r="K156" i="9"/>
  <c r="R155" i="9"/>
  <c r="Q155" i="9"/>
  <c r="P155" i="9"/>
  <c r="R151" i="9"/>
  <c r="P151" i="9"/>
  <c r="R150" i="9"/>
  <c r="Q150" i="9"/>
  <c r="P150" i="9"/>
  <c r="K150" i="9"/>
  <c r="E150" i="9"/>
  <c r="R149" i="9"/>
  <c r="Q149" i="9"/>
  <c r="P149" i="9"/>
  <c r="K149" i="9"/>
  <c r="E149" i="9"/>
  <c r="R148" i="9"/>
  <c r="Q148" i="9"/>
  <c r="P148" i="9"/>
  <c r="K148" i="9"/>
  <c r="E148" i="9"/>
  <c r="R145" i="9"/>
  <c r="R144" i="9"/>
  <c r="Q144" i="9"/>
  <c r="P144" i="9"/>
  <c r="R141" i="9"/>
  <c r="Q141" i="9"/>
  <c r="P141" i="9"/>
  <c r="R140" i="9"/>
  <c r="Q140" i="9"/>
  <c r="P140" i="9"/>
  <c r="R139" i="9"/>
  <c r="Q139" i="9"/>
  <c r="P139" i="9"/>
  <c r="R138" i="9"/>
  <c r="Q138" i="9"/>
  <c r="P138" i="9"/>
  <c r="R137" i="9"/>
  <c r="Q137" i="9"/>
  <c r="P137" i="9"/>
  <c r="R136" i="9"/>
  <c r="Q136" i="9"/>
  <c r="P136" i="9"/>
  <c r="R135" i="9"/>
  <c r="Q135" i="9"/>
  <c r="P135" i="9"/>
  <c r="R134" i="9"/>
  <c r="Q134" i="9"/>
  <c r="P134" i="9"/>
  <c r="R133" i="9"/>
  <c r="Q133" i="9"/>
  <c r="P133" i="9"/>
  <c r="R132" i="9"/>
  <c r="Q132" i="9"/>
  <c r="P132" i="9"/>
  <c r="R131" i="9"/>
  <c r="Q131" i="9"/>
  <c r="P131" i="9"/>
  <c r="R130" i="9"/>
  <c r="Q130" i="9"/>
  <c r="P130" i="9"/>
  <c r="R129" i="9"/>
  <c r="Q129" i="9"/>
  <c r="P129" i="9"/>
  <c r="R128" i="9"/>
  <c r="Q128" i="9"/>
  <c r="P128" i="9"/>
  <c r="R127" i="9"/>
  <c r="Q127" i="9"/>
  <c r="P127" i="9"/>
  <c r="R126" i="9"/>
  <c r="Q126" i="9"/>
  <c r="P126" i="9"/>
  <c r="R125" i="9"/>
  <c r="Q125" i="9"/>
  <c r="P125" i="9"/>
  <c r="R124" i="9"/>
  <c r="Q124" i="9"/>
  <c r="P124" i="9"/>
  <c r="R123" i="9"/>
  <c r="Q123" i="9"/>
  <c r="P123" i="9"/>
  <c r="R122" i="9"/>
  <c r="Q122" i="9"/>
  <c r="P122" i="9"/>
  <c r="R121" i="9"/>
  <c r="Q121" i="9"/>
  <c r="P121" i="9"/>
  <c r="R118" i="9"/>
  <c r="P118" i="9"/>
  <c r="E117" i="9"/>
  <c r="R117" i="9"/>
  <c r="Q117" i="9"/>
  <c r="P117" i="9"/>
  <c r="R116" i="9"/>
  <c r="Q116" i="9"/>
  <c r="P116" i="9"/>
  <c r="E116" i="9"/>
  <c r="R115" i="9"/>
  <c r="Q115" i="9"/>
  <c r="P115" i="9"/>
  <c r="R114" i="9"/>
  <c r="Q114" i="9"/>
  <c r="P114" i="9"/>
  <c r="E114" i="9"/>
  <c r="R111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R103" i="9"/>
  <c r="Q103" i="9"/>
  <c r="P103" i="9"/>
  <c r="R102" i="9"/>
  <c r="Q102" i="9"/>
  <c r="P102" i="9"/>
  <c r="R96" i="9"/>
  <c r="Q96" i="9"/>
  <c r="R95" i="9"/>
  <c r="P95" i="9"/>
  <c r="Q95" i="9"/>
  <c r="R94" i="9"/>
  <c r="P94" i="9"/>
  <c r="R93" i="9"/>
  <c r="Q93" i="9"/>
  <c r="P93" i="9"/>
  <c r="R92" i="9"/>
  <c r="Q92" i="9"/>
  <c r="P92" i="9"/>
  <c r="R91" i="9"/>
  <c r="Q91" i="9"/>
  <c r="P91" i="9"/>
  <c r="R87" i="9"/>
  <c r="P87" i="9"/>
  <c r="E86" i="9"/>
  <c r="R86" i="9"/>
  <c r="Q86" i="9"/>
  <c r="P86" i="9"/>
  <c r="R83" i="9"/>
  <c r="Q83" i="9"/>
  <c r="P83" i="9"/>
  <c r="E83" i="9"/>
  <c r="R82" i="9"/>
  <c r="Q82" i="9"/>
  <c r="P82" i="9"/>
  <c r="R81" i="9"/>
  <c r="Q81" i="9"/>
  <c r="P81" i="9"/>
  <c r="R80" i="9"/>
  <c r="Q80" i="9"/>
  <c r="P80" i="9"/>
  <c r="E80" i="9"/>
  <c r="R79" i="9"/>
  <c r="Q79" i="9"/>
  <c r="P79" i="9"/>
  <c r="E79" i="9"/>
  <c r="R78" i="9"/>
  <c r="Q78" i="9"/>
  <c r="P78" i="9"/>
  <c r="E78" i="9"/>
  <c r="R77" i="9"/>
  <c r="Q77" i="9"/>
  <c r="E77" i="9"/>
  <c r="R76" i="9"/>
  <c r="Q76" i="9"/>
  <c r="P76" i="9"/>
  <c r="E76" i="9"/>
  <c r="R75" i="9"/>
  <c r="Q75" i="9"/>
  <c r="P75" i="9"/>
  <c r="E75" i="9"/>
  <c r="R74" i="9"/>
  <c r="Q74" i="9"/>
  <c r="P74" i="9"/>
  <c r="E74" i="9"/>
  <c r="R73" i="9"/>
  <c r="Q73" i="9"/>
  <c r="P73" i="9"/>
  <c r="E73" i="9"/>
  <c r="R72" i="9"/>
  <c r="Q72" i="9"/>
  <c r="P72" i="9"/>
  <c r="E72" i="9"/>
  <c r="R71" i="9"/>
  <c r="Q71" i="9"/>
  <c r="P71" i="9"/>
  <c r="E71" i="9"/>
  <c r="R70" i="9"/>
  <c r="Q70" i="9"/>
  <c r="P70" i="9"/>
  <c r="E70" i="9"/>
  <c r="R69" i="9"/>
  <c r="Q69" i="9"/>
  <c r="P69" i="9"/>
  <c r="E69" i="9"/>
  <c r="R68" i="9"/>
  <c r="Q68" i="9"/>
  <c r="P68" i="9"/>
  <c r="E68" i="9"/>
  <c r="R67" i="9"/>
  <c r="Q67" i="9"/>
  <c r="P67" i="9"/>
  <c r="E67" i="9"/>
  <c r="R66" i="9"/>
  <c r="Q66" i="9"/>
  <c r="P66" i="9"/>
  <c r="E66" i="9"/>
  <c r="R65" i="9"/>
  <c r="Q65" i="9"/>
  <c r="P65" i="9"/>
  <c r="E65" i="9"/>
  <c r="R64" i="9"/>
  <c r="Q64" i="9"/>
  <c r="P64" i="9"/>
  <c r="E64" i="9"/>
  <c r="R63" i="9"/>
  <c r="Q63" i="9"/>
  <c r="P63" i="9"/>
  <c r="E63" i="9"/>
  <c r="R62" i="9"/>
  <c r="Q62" i="9"/>
  <c r="P62" i="9"/>
  <c r="E62" i="9"/>
  <c r="R61" i="9"/>
  <c r="Q61" i="9"/>
  <c r="P61" i="9"/>
  <c r="E61" i="9"/>
  <c r="R60" i="9"/>
  <c r="Q60" i="9"/>
  <c r="P60" i="9"/>
  <c r="E60" i="9"/>
  <c r="R59" i="9"/>
  <c r="Q59" i="9"/>
  <c r="P59" i="9"/>
  <c r="E59" i="9"/>
  <c r="R58" i="9"/>
  <c r="Q58" i="9"/>
  <c r="P58" i="9"/>
  <c r="E58" i="9"/>
  <c r="R57" i="9"/>
  <c r="Q57" i="9"/>
  <c r="P57" i="9"/>
  <c r="E57" i="9"/>
  <c r="R54" i="9"/>
  <c r="E46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R42" i="9"/>
  <c r="Q42" i="9"/>
  <c r="P42" i="9"/>
  <c r="R41" i="9"/>
  <c r="Q41" i="9"/>
  <c r="P41" i="9"/>
  <c r="R40" i="9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P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R26" i="9"/>
  <c r="Q26" i="9"/>
  <c r="P26" i="9"/>
  <c r="R25" i="9"/>
  <c r="Q25" i="9"/>
  <c r="P25" i="9"/>
  <c r="R22" i="9"/>
  <c r="P22" i="9"/>
  <c r="E12" i="9"/>
  <c r="R21" i="9"/>
  <c r="Q21" i="9"/>
  <c r="P21" i="9"/>
  <c r="R19" i="9"/>
  <c r="Q19" i="9"/>
  <c r="R18" i="9"/>
  <c r="Q18" i="9"/>
  <c r="R17" i="9"/>
  <c r="Q17" i="9"/>
  <c r="P17" i="9"/>
  <c r="E17" i="9"/>
  <c r="R16" i="9"/>
  <c r="Q16" i="9"/>
  <c r="P16" i="9"/>
  <c r="R15" i="9"/>
  <c r="Q15" i="9"/>
  <c r="P15" i="9"/>
  <c r="R14" i="9"/>
  <c r="Q14" i="9"/>
  <c r="P14" i="9"/>
  <c r="E14" i="9"/>
  <c r="R13" i="9"/>
  <c r="Q13" i="9"/>
  <c r="P13" i="9"/>
  <c r="R12" i="9"/>
  <c r="Q12" i="9"/>
  <c r="P12" i="9"/>
  <c r="R11" i="9"/>
  <c r="Q11" i="9"/>
  <c r="P11" i="9"/>
  <c r="E11" i="9"/>
  <c r="R10" i="9"/>
  <c r="Q10" i="9"/>
  <c r="P10" i="9"/>
  <c r="R9" i="9"/>
  <c r="Q9" i="9"/>
  <c r="P9" i="9"/>
  <c r="E9" i="9"/>
  <c r="R8" i="9"/>
  <c r="Q8" i="9"/>
  <c r="P8" i="9"/>
  <c r="R7" i="9"/>
  <c r="Q7" i="9"/>
  <c r="P7" i="9"/>
  <c r="R6" i="9"/>
  <c r="P6" i="9"/>
  <c r="E6" i="9"/>
  <c r="K188" i="9" l="1"/>
  <c r="K181" i="9"/>
  <c r="K183" i="9"/>
  <c r="K185" i="9"/>
  <c r="K180" i="9"/>
  <c r="K187" i="9"/>
  <c r="P191" i="9"/>
  <c r="K186" i="9"/>
  <c r="K190" i="9"/>
  <c r="K184" i="9"/>
  <c r="K161" i="9"/>
  <c r="K155" i="9"/>
  <c r="K160" i="9"/>
  <c r="K162" i="9"/>
  <c r="K163" i="9"/>
  <c r="K165" i="9"/>
  <c r="K124" i="9"/>
  <c r="K74" i="9"/>
  <c r="K58" i="9"/>
  <c r="K63" i="9"/>
  <c r="K69" i="9"/>
  <c r="K83" i="9"/>
  <c r="K62" i="9"/>
  <c r="K71" i="9"/>
  <c r="K61" i="9"/>
  <c r="K76" i="9"/>
  <c r="K78" i="9"/>
  <c r="K81" i="9"/>
  <c r="K105" i="9"/>
  <c r="K39" i="9"/>
  <c r="K31" i="9"/>
  <c r="K29" i="9"/>
  <c r="K27" i="9"/>
  <c r="K37" i="9"/>
  <c r="K33" i="9"/>
  <c r="K25" i="9"/>
  <c r="K41" i="9"/>
  <c r="K35" i="9"/>
  <c r="P54" i="9"/>
  <c r="K7" i="9"/>
  <c r="K9" i="9"/>
  <c r="K11" i="9"/>
  <c r="K18" i="9"/>
  <c r="K6" i="9"/>
  <c r="K14" i="9"/>
  <c r="K15" i="9"/>
  <c r="K13" i="9"/>
  <c r="K17" i="9"/>
  <c r="K8" i="9"/>
  <c r="K127" i="9"/>
  <c r="K140" i="9"/>
  <c r="K132" i="9"/>
  <c r="K135" i="9"/>
  <c r="K115" i="9"/>
  <c r="K116" i="9"/>
  <c r="K114" i="9"/>
  <c r="K19" i="9"/>
  <c r="K10" i="9"/>
  <c r="K12" i="9"/>
  <c r="K16" i="9"/>
  <c r="E155" i="9"/>
  <c r="E163" i="9"/>
  <c r="P166" i="9"/>
  <c r="E19" i="9"/>
  <c r="K60" i="9"/>
  <c r="K68" i="9"/>
  <c r="K75" i="9"/>
  <c r="K126" i="9"/>
  <c r="K134" i="9"/>
  <c r="K144" i="9"/>
  <c r="P145" i="9"/>
  <c r="E162" i="9"/>
  <c r="E8" i="9"/>
  <c r="E16" i="9"/>
  <c r="E13" i="9"/>
  <c r="K26" i="9"/>
  <c r="K28" i="9"/>
  <c r="K32" i="9"/>
  <c r="K34" i="9"/>
  <c r="K36" i="9"/>
  <c r="K38" i="9"/>
  <c r="K40" i="9"/>
  <c r="K57" i="9"/>
  <c r="K65" i="9"/>
  <c r="K73" i="9"/>
  <c r="E82" i="9"/>
  <c r="E115" i="9"/>
  <c r="K123" i="9"/>
  <c r="E159" i="9"/>
  <c r="P96" i="9"/>
  <c r="K129" i="9"/>
  <c r="K137" i="9"/>
  <c r="K77" i="9"/>
  <c r="K82" i="9"/>
  <c r="K128" i="9"/>
  <c r="K136" i="9"/>
  <c r="E165" i="9"/>
  <c r="K121" i="9"/>
  <c r="E7" i="9"/>
  <c r="E15" i="9"/>
  <c r="E21" i="9"/>
  <c r="K59" i="9"/>
  <c r="K67" i="9"/>
  <c r="K79" i="9"/>
  <c r="K133" i="9"/>
  <c r="K141" i="9"/>
  <c r="E161" i="9"/>
  <c r="E96" i="9"/>
  <c r="E10" i="9"/>
  <c r="E18" i="9"/>
  <c r="K64" i="9"/>
  <c r="E81" i="9"/>
  <c r="K86" i="9"/>
  <c r="K117" i="9"/>
  <c r="K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T174" i="9"/>
  <c r="T192" i="9"/>
  <c r="K106" i="9"/>
  <c r="P167" i="9" l="1"/>
  <c r="K94" i="9"/>
  <c r="K96" i="9"/>
  <c r="K108" i="9"/>
  <c r="K102" i="9"/>
  <c r="K104" i="9"/>
  <c r="K107" i="9"/>
  <c r="K93" i="9"/>
  <c r="P111" i="9"/>
  <c r="K92" i="9"/>
  <c r="K91" i="9"/>
  <c r="K95" i="9"/>
  <c r="K103" i="9"/>
  <c r="K54" i="9" l="1"/>
  <c r="K87" i="9"/>
  <c r="T167" i="9"/>
  <c r="K151" i="9"/>
  <c r="K22" i="9"/>
  <c r="K111" i="9"/>
  <c r="K166" i="9"/>
  <c r="K145" i="9"/>
  <c r="K118" i="9"/>
</calcChain>
</file>

<file path=xl/sharedStrings.xml><?xml version="1.0" encoding="utf-8"?>
<sst xmlns="http://schemas.openxmlformats.org/spreadsheetml/2006/main" count="723" uniqueCount="294">
  <si>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</si>
  <si>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</si>
  <si>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</si>
  <si>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</si>
  <si>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</si>
  <si>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</si>
  <si>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</si>
  <si>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</si>
  <si>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</si>
  <si>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</si>
  <si>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</si>
  <si>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</si>
  <si>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</si>
  <si>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</si>
  <si>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</si>
  <si>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</si>
  <si>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</si>
  <si>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</si>
  <si>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</si>
  <si>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</si>
  <si>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</si>
  <si>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</si>
  <si>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</si>
  <si>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</si>
  <si>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</si>
  <si>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</si>
  <si>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</si>
  <si>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</si>
  <si>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</si>
  <si>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</si>
  <si>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</si>
  <si>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</si>
  <si>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</si>
  <si>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</si>
  <si>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</si>
  <si>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</si>
  <si>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</si>
  <si>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</si>
  <si>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</si>
  <si>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</si>
  <si>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</si>
  <si>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</si>
  <si>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</si>
  <si>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</si>
  <si>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</si>
  <si>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</si>
  <si>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</si>
  <si>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</si>
  <si>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</si>
  <si>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</si>
  <si>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</si>
  <si>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</si>
  <si>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</si>
  <si>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</si>
  <si>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</si>
  <si>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</si>
  <si>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</si>
  <si>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</si>
  <si>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</si>
  <si>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</si>
  <si>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</si>
  <si>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</si>
  <si>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</si>
  <si>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</si>
  <si>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</si>
  <si>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</si>
  <si>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</si>
  <si>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</si>
  <si>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</si>
  <si>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</si>
  <si>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</si>
  <si>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</si>
  <si>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</si>
  <si>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</si>
  <si>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</si>
  <si>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</si>
  <si>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</si>
  <si>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</si>
  <si>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</si>
  <si>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</si>
  <si>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</si>
  <si>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</si>
  <si>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</si>
  <si>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</si>
  <si>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</si>
  <si>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</si>
  <si>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</si>
  <si>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</si>
  <si>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</si>
  <si>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</si>
  <si>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</si>
  <si>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</si>
  <si>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</si>
  <si>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</si>
  <si>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</si>
  <si>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</si>
  <si>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</si>
  <si>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</si>
  <si>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</si>
  <si>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</si>
  <si>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</si>
  <si>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</si>
  <si>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</si>
  <si>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</si>
  <si>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</si>
  <si>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</si>
  <si>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</si>
  <si>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</si>
  <si>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</si>
  <si>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</si>
  <si>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</si>
  <si>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</si>
  <si>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</si>
  <si>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</si>
  <si>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</si>
  <si>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</si>
  <si>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</si>
  <si>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</si>
  <si>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</si>
  <si>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</si>
  <si>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</si>
  <si>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</si>
  <si>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</si>
  <si>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</si>
  <si>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</si>
  <si>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</si>
  <si>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</si>
  <si>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</si>
  <si>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</si>
  <si>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</si>
  <si>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</si>
  <si>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</si>
  <si>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</si>
  <si>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</si>
  <si>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</si>
  <si>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</si>
  <si>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</si>
  <si>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</si>
  <si>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</si>
  <si>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</si>
  <si>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</si>
  <si>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</si>
  <si>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</si>
  <si>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</si>
  <si>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</si>
  <si>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</si>
  <si>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</si>
  <si>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</si>
  <si>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</si>
  <si>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</si>
  <si>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</si>
  <si>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</si>
  <si>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</si>
  <si>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</si>
  <si>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</si>
  <si>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</si>
  <si>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</si>
  <si>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</si>
  <si>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</si>
  <si>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</si>
  <si>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</si>
  <si>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</si>
  <si>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</si>
  <si>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</si>
  <si>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</si>
  <si>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</si>
  <si>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</si>
  <si>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</si>
  <si>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</si>
  <si>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</si>
  <si>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</si>
  <si>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</si>
  <si>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</si>
  <si>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</si>
  <si>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</si>
  <si>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</si>
  <si>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</si>
  <si>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</si>
  <si>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</si>
  <si>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</si>
  <si>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</si>
  <si>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</si>
  <si>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</si>
  <si>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</si>
  <si>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</si>
  <si>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</si>
  <si>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</si>
  <si>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</si>
  <si>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</si>
  <si>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</si>
  <si>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</si>
  <si>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</si>
  <si>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</si>
  <si>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</si>
  <si>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</si>
  <si>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</si>
  <si>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</si>
  <si>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</si>
  <si>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</si>
  <si>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</si>
  <si>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</si>
  <si>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</si>
  <si>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</si>
  <si>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</si>
  <si>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</si>
  <si>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</si>
  <si>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</si>
  <si>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</si>
  <si>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</si>
  <si>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</si>
  <si>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</si>
  <si>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</si>
  <si>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</si>
  <si>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</si>
  <si>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</si>
  <si>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</si>
  <si>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</si>
  <si>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</si>
  <si>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</si>
  <si>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</si>
  <si>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</si>
  <si>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</si>
  <si>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</si>
  <si>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</si>
  <si>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</si>
  <si>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</si>
  <si>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</si>
  <si>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</si>
  <si>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</si>
  <si>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</si>
  <si>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</si>
  <si>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</si>
  <si>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</si>
  <si>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</si>
  <si>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</si>
  <si>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</si>
  <si>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</si>
  <si>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</si>
  <si>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</si>
  <si>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</si>
  <si>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</si>
  <si>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</si>
  <si>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</si>
  <si>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</si>
  <si>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</si>
  <si>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</si>
  <si>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</si>
  <si>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</si>
  <si>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</si>
  <si>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</si>
  <si>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</si>
  <si>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</si>
  <si>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</si>
  <si>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</si>
  <si>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</si>
  <si>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</si>
  <si>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</si>
  <si>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</si>
  <si>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</si>
  <si>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</si>
  <si>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</si>
  <si>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</si>
  <si>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</si>
  <si>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</si>
  <si>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</si>
  <si>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</si>
  <si>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</si>
  <si>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</si>
  <si>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</si>
  <si>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</si>
  <si>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</si>
  <si>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</si>
  <si>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NAV and Unit Price as at Week Ended January 27, 2023</t>
  </si>
  <si>
    <t>NAV and Unit Price as at Week Ended February 3, 2023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</si>
  <si>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</si>
  <si>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</si>
  <si>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</si>
  <si>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</si>
  <si>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</si>
  <si>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 and Unit Price as at Week Ended March 3, 2023</t>
  </si>
  <si>
    <t>NAV and Unit Price as at Week Ended March 10, 2023</t>
  </si>
  <si>
    <t>NAV, Unit Price and Yield as at Week Ended March 17, 2023</t>
  </si>
  <si>
    <t>   -1.812%</t>
  </si>
  <si>
    <t>4.70% </t>
  </si>
  <si>
    <t>NAV and Unit Price as at Week Ended March 17, 2023</t>
  </si>
  <si>
    <t>NAV, Unit Price and Yield as at Week Ended March 24, 2023</t>
  </si>
  <si>
    <t>NET ASSET VALUES AND UNIT PRICES OF COLLECTIVE INVESTMENT SCHEMES AS AT WEEK ENDED MARCH 24, 2023</t>
  </si>
  <si>
    <t>Yield (WTD)</t>
  </si>
  <si>
    <t>Yield  (YTD)</t>
  </si>
  <si>
    <t xml:space="preserve">                 52,784.80 </t>
  </si>
  <si>
    <t xml:space="preserve">                52,784.80 </t>
  </si>
  <si>
    <t>Greenwich Balanced Fund</t>
  </si>
  <si>
    <t>NAV and Unit Price as at Week Ended March 24, 2023</t>
  </si>
  <si>
    <t>The chart above shows that Money Market Fund category has 51.34% share of the Net Asset Value (NAV), followed by Bond/Fixed Income Fund with 20.93%, Dollar Fund (Eurobonds and Fixed Income) at 19.93%, Real Estate Investment Trust at 2.95%.  Next is Balanced Fund at 1.99%, Shari'ah Compliant Fund at 1.60%, Equity Fund at 1.08%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</si>
</sst>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0.000%"/>
  </numFmts>
  <fonts count="9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870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3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91" fillId="6" borderId="6" xfId="0" applyFont="1" applyFill="1" applyBorder="1" applyAlignment="1">
      <alignment horizontal="center" wrapText="1"/>
    </xf>
    <xf numFmtId="0" fontId="91" fillId="6" borderId="1" xfId="0" applyFont="1" applyFill="1" applyBorder="1" applyAlignment="1">
      <alignment wrapText="1"/>
    </xf>
    <xf numFmtId="4" fontId="91" fillId="6" borderId="1" xfId="0" applyNumberFormat="1" applyFont="1" applyFill="1" applyBorder="1" applyAlignment="1">
      <alignment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4" fontId="13" fillId="6" borderId="1" xfId="0" applyNumberFormat="1" applyFont="1" applyFill="1" applyBorder="1" applyAlignment="1">
      <alignment wrapText="1"/>
    </xf>
    <xf numFmtId="170" fontId="1" fillId="47" borderId="1" xfId="6" applyNumberFormat="1" applyFont="1" applyFill="1" applyBorder="1" applyAlignment="1">
      <alignment horizontal="center"/>
    </xf>
    <xf numFmtId="4" fontId="91" fillId="0" borderId="1" xfId="0" applyNumberFormat="1" applyFont="1" applyFill="1" applyBorder="1" applyAlignment="1">
      <alignment wrapText="1"/>
    </xf>
    <xf numFmtId="165" fontId="2" fillId="6" borderId="2" xfId="2" applyFont="1" applyFill="1" applyBorder="1" applyAlignment="1">
      <alignment horizontal="right" vertical="top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87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2" xfId="211"/>
    <cellStyle name="Comma 12 10" xfId="13194"/>
    <cellStyle name="Comma 12 10 2" xfId="19703"/>
    <cellStyle name="Comma 12 11" xfId="13445"/>
    <cellStyle name="Comma 12 12" xfId="19798"/>
    <cellStyle name="Comma 12 2" xfId="449"/>
    <cellStyle name="Comma 12 2 10" xfId="1979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4 5" xfId="19801"/>
    <cellStyle name="Comma 15" xfId="13153"/>
    <cellStyle name="Comma 15 2" xfId="13198"/>
    <cellStyle name="Comma 15 2 2" xfId="19707"/>
    <cellStyle name="Comma 15 3" xfId="19682"/>
    <cellStyle name="Comma 15 4" xfId="19802"/>
    <cellStyle name="Comma 16" xfId="13154"/>
    <cellStyle name="Comma 16 2" xfId="13199"/>
    <cellStyle name="Comma 16 2 2" xfId="19708"/>
    <cellStyle name="Comma 16 3" xfId="19683"/>
    <cellStyle name="Comma 16 4" xfId="19803"/>
    <cellStyle name="Comma 17" xfId="13180"/>
    <cellStyle name="Comma 17 2" xfId="13200"/>
    <cellStyle name="Comma 17 2 2" xfId="19709"/>
    <cellStyle name="Comma 17 3" xfId="19691"/>
    <cellStyle name="Comma 17 4" xfId="19804"/>
    <cellStyle name="Comma 18" xfId="13201"/>
    <cellStyle name="Comma 18 2" xfId="19710"/>
    <cellStyle name="Comma 18 3" xfId="19805"/>
    <cellStyle name="Comma 19" xfId="13202"/>
    <cellStyle name="Comma 19 2" xfId="19711"/>
    <cellStyle name="Comma 19 3" xfId="19806"/>
    <cellStyle name="Comma 2" xfId="3"/>
    <cellStyle name="Comma 2 10" xfId="13203"/>
    <cellStyle name="Comma 2 10 2" xfId="19712"/>
    <cellStyle name="Comma 2 11" xfId="13399"/>
    <cellStyle name="Comma 2 12" xfId="19778"/>
    <cellStyle name="Comma 2 13" xfId="19785"/>
    <cellStyle name="Comma 2 14" xfId="19791"/>
    <cellStyle name="Comma 2 15" xfId="19807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2 8" xfId="19808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0 3" xfId="19809"/>
    <cellStyle name="Comma 21" xfId="13206"/>
    <cellStyle name="Comma 21 2" xfId="19715"/>
    <cellStyle name="Comma 21 3" xfId="19810"/>
    <cellStyle name="Comma 22" xfId="13207"/>
    <cellStyle name="Comma 22 2" xfId="19716"/>
    <cellStyle name="Comma 22 3" xfId="19811"/>
    <cellStyle name="Comma 23" xfId="13208"/>
    <cellStyle name="Comma 23 2" xfId="19717"/>
    <cellStyle name="Comma 23 3" xfId="1981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 4" xfId="1979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13" xfId="19783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3" xfId="19793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MARCH,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17018697028.65</c:v>
                </c:pt>
                <c:pt idx="1">
                  <c:v>808804557491.32593</c:v>
                </c:pt>
                <c:pt idx="2">
                  <c:v>338781243498.64948</c:v>
                </c:pt>
                <c:pt idx="3">
                  <c:v>317395334099.62982</c:v>
                </c:pt>
                <c:pt idx="4">
                  <c:v>46442483642.769997</c:v>
                </c:pt>
                <c:pt idx="5">
                  <c:v>31193956823.055714</c:v>
                </c:pt>
                <c:pt idx="6">
                  <c:v>3138053697.2600002</c:v>
                </c:pt>
                <c:pt idx="7">
                  <c:v>25167427500.150002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24,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1490921997071.4626</c:v>
                </c:pt>
                <c:pt idx="1">
                  <c:v>1512850065818.8408</c:v>
                </c:pt>
                <c:pt idx="2">
                  <c:v>1523158681328.7776</c:v>
                </c:pt>
                <c:pt idx="3">
                  <c:v>1547246773235.0869</c:v>
                </c:pt>
                <c:pt idx="4">
                  <c:v>1573777700117.2585</c:v>
                </c:pt>
                <c:pt idx="5">
                  <c:v>1590591629138.8462</c:v>
                </c:pt>
                <c:pt idx="6">
                  <c:v>1587941753781.491</c:v>
                </c:pt>
                <c:pt idx="7">
                  <c:v>1574933447715.4641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MARCH 24,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23218611718.279995</c:v>
                </c:pt>
                <c:pt idx="1">
                  <c:v>23178272501.200001</c:v>
                </c:pt>
                <c:pt idx="2">
                  <c:v>23806773999.320004</c:v>
                </c:pt>
                <c:pt idx="3">
                  <c:v>23850690692.210003</c:v>
                </c:pt>
                <c:pt idx="4">
                  <c:v>23767011958.820007</c:v>
                </c:pt>
                <c:pt idx="5">
                  <c:v>23646207806.779999</c:v>
                </c:pt>
                <c:pt idx="6">
                  <c:v>25118658682.680004</c:v>
                </c:pt>
                <c:pt idx="7">
                  <c:v>25167427500.150002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3046932460.8900003</c:v>
                </c:pt>
                <c:pt idx="1">
                  <c:v>3049787978.2799997</c:v>
                </c:pt>
                <c:pt idx="2">
                  <c:v>3064465697.6700001</c:v>
                </c:pt>
                <c:pt idx="3">
                  <c:v>3061691984.0600004</c:v>
                </c:pt>
                <c:pt idx="4">
                  <c:v>3158407721.2199998</c:v>
                </c:pt>
                <c:pt idx="5">
                  <c:v>3177550412.0600004</c:v>
                </c:pt>
                <c:pt idx="6">
                  <c:v>3184420481.5599999</c:v>
                </c:pt>
                <c:pt idx="7">
                  <c:v>3138053697.2600002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30652475117.892384</c:v>
                </c:pt>
                <c:pt idx="1">
                  <c:v>31150543689.963333</c:v>
                </c:pt>
                <c:pt idx="2">
                  <c:v>31179910941.77726</c:v>
                </c:pt>
                <c:pt idx="3">
                  <c:v>31120048445.681793</c:v>
                </c:pt>
                <c:pt idx="4">
                  <c:v>31292470255.431282</c:v>
                </c:pt>
                <c:pt idx="5">
                  <c:v>31275370993.764259</c:v>
                </c:pt>
                <c:pt idx="6">
                  <c:v>31644276857.633732</c:v>
                </c:pt>
                <c:pt idx="7">
                  <c:v>31193956823.055714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16797381909.850002</c:v>
                </c:pt>
                <c:pt idx="1">
                  <c:v>17133825597.439997</c:v>
                </c:pt>
                <c:pt idx="2">
                  <c:v>17103979411.670002</c:v>
                </c:pt>
                <c:pt idx="3">
                  <c:v>17010664326.750002</c:v>
                </c:pt>
                <c:pt idx="4">
                  <c:v>17138775616.899998</c:v>
                </c:pt>
                <c:pt idx="5">
                  <c:v>17291112299.790001</c:v>
                </c:pt>
                <c:pt idx="6">
                  <c:v>17294675587.010002</c:v>
                </c:pt>
                <c:pt idx="7">
                  <c:v>17018697028.65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46212263995.169998</c:v>
                </c:pt>
                <c:pt idx="1">
                  <c:v>46289004330.269997</c:v>
                </c:pt>
                <c:pt idx="2">
                  <c:v>46332605433.940002</c:v>
                </c:pt>
                <c:pt idx="3">
                  <c:v>46362288631.089996</c:v>
                </c:pt>
                <c:pt idx="4">
                  <c:v>46378152063.179993</c:v>
                </c:pt>
                <c:pt idx="5">
                  <c:v>46384295590.5</c:v>
                </c:pt>
                <c:pt idx="6">
                  <c:v>46432760216.860001</c:v>
                </c:pt>
                <c:pt idx="7">
                  <c:v>46442483642.769997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689393093044.69934</c:v>
                </c:pt>
                <c:pt idx="1">
                  <c:v>708387215249.38928</c:v>
                </c:pt>
                <c:pt idx="2">
                  <c:v>734404198247.47839</c:v>
                </c:pt>
                <c:pt idx="3">
                  <c:v>748848468799.76001</c:v>
                </c:pt>
                <c:pt idx="4">
                  <c:v>773728453122.66284</c:v>
                </c:pt>
                <c:pt idx="5">
                  <c:v>796016399970.13013</c:v>
                </c:pt>
                <c:pt idx="6">
                  <c:v>809621970053.67017</c:v>
                </c:pt>
                <c:pt idx="7">
                  <c:v>808804557491.32593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342048621360.02881</c:v>
                </c:pt>
                <c:pt idx="1">
                  <c:v>346326319129.15698</c:v>
                </c:pt>
                <c:pt idx="2">
                  <c:v>338349672651.75592</c:v>
                </c:pt>
                <c:pt idx="3">
                  <c:v>337557374886.08539</c:v>
                </c:pt>
                <c:pt idx="4">
                  <c:v>335945984770.62183</c:v>
                </c:pt>
                <c:pt idx="5">
                  <c:v>337420772556.3739</c:v>
                </c:pt>
                <c:pt idx="6">
                  <c:v>337681545776.1922</c:v>
                </c:pt>
                <c:pt idx="7">
                  <c:v>338781243498.64948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44960</c:v>
                </c:pt>
                <c:pt idx="1">
                  <c:v>44967</c:v>
                </c:pt>
                <c:pt idx="2">
                  <c:v>44974</c:v>
                </c:pt>
                <c:pt idx="3">
                  <c:v>44981</c:v>
                </c:pt>
                <c:pt idx="4">
                  <c:v>44988</c:v>
                </c:pt>
                <c:pt idx="5">
                  <c:v>44995</c:v>
                </c:pt>
                <c:pt idx="6">
                  <c:v>45002</c:v>
                </c:pt>
                <c:pt idx="7">
                  <c:v>45009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318454224920.62793</c:v>
                </c:pt>
                <c:pt idx="1">
                  <c:v>315407028595.76306</c:v>
                </c:pt>
                <c:pt idx="2">
                  <c:v>318608459435.22919</c:v>
                </c:pt>
                <c:pt idx="3">
                  <c:v>315347453563.14014</c:v>
                </c:pt>
                <c:pt idx="4">
                  <c:v>315837517726.25104</c:v>
                </c:pt>
                <c:pt idx="5">
                  <c:v>318565990487.86023</c:v>
                </c:pt>
                <c:pt idx="6">
                  <c:v>319613321483.23999</c:v>
                </c:pt>
                <c:pt idx="7">
                  <c:v>317395334099.62982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37" customWidth="1"/>
    <col min="9" max="9" width="7.28515625" style="237" customWidth="1"/>
    <col min="10" max="10" width="17.140625" style="233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15" customWidth="1"/>
    <col min="19" max="19" width="6.7109375" style="115" customWidth="1"/>
    <col min="20" max="20" width="21.140625" style="116" customWidth="1"/>
    <col min="21" max="21" width="18.42578125" style="115" customWidth="1"/>
    <col min="22" max="22" width="18.140625" style="115" customWidth="1"/>
    <col min="23" max="23" width="9.42578125" style="115" customWidth="1"/>
    <col min="24" max="24" width="18.42578125" style="115" customWidth="1"/>
    <col min="25" max="25" width="8.85546875" style="115" customWidth="1"/>
    <col min="26" max="26" width="25.140625" style="115" customWidth="1"/>
    <col min="27" max="32" width="8.85546875" style="115"/>
    <col min="33" max="33" width="9" style="115" bestFit="1" customWidth="1"/>
    <col min="34" max="42" width="8.85546875" style="115"/>
    <col min="43" max="43" width="9.28515625" style="115" bestFit="1" customWidth="1"/>
    <col min="44" max="51" width="8.85546875" style="115"/>
    <col min="52" max="52" width="8.85546875" style="115" customWidth="1"/>
    <col min="53" max="103" width="8.85546875" style="115"/>
    <col min="104" max="16384" width="8.85546875" style="3"/>
  </cols>
  <sheetData>
    <row r="1" spans="1:26" s="122" customFormat="1" ht="22.5" customHeight="1">
      <c r="A1" s="453" t="s">
        <v>286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5"/>
      <c r="S1" s="120"/>
      <c r="T1" s="314"/>
      <c r="U1" s="123"/>
    </row>
    <row r="2" spans="1:26" s="122" customFormat="1" ht="25.5" customHeight="1">
      <c r="A2" s="262"/>
      <c r="B2" s="263"/>
      <c r="C2" s="263"/>
      <c r="D2" s="462" t="s">
        <v>281</v>
      </c>
      <c r="E2" s="462"/>
      <c r="F2" s="462"/>
      <c r="G2" s="462"/>
      <c r="H2" s="462"/>
      <c r="I2" s="440"/>
      <c r="J2" s="462" t="s">
        <v>285</v>
      </c>
      <c r="K2" s="462"/>
      <c r="L2" s="462"/>
      <c r="M2" s="462"/>
      <c r="N2" s="462"/>
      <c r="O2" s="441"/>
      <c r="P2" s="463" t="s">
        <v>67</v>
      </c>
      <c r="Q2" s="464"/>
      <c r="R2" s="332" t="s">
        <v>235</v>
      </c>
      <c r="S2" s="120"/>
      <c r="T2" s="314"/>
      <c r="U2" s="123"/>
    </row>
    <row r="3" spans="1:26" s="122" customFormat="1" ht="24.75" customHeight="1">
      <c r="A3" s="320" t="s">
        <v>1</v>
      </c>
      <c r="B3" s="321" t="s">
        <v>210</v>
      </c>
      <c r="C3" s="321" t="s">
        <v>2</v>
      </c>
      <c r="D3" s="322" t="s">
        <v>219</v>
      </c>
      <c r="E3" s="323" t="s">
        <v>66</v>
      </c>
      <c r="F3" s="323" t="s">
        <v>232</v>
      </c>
      <c r="G3" s="323" t="s">
        <v>233</v>
      </c>
      <c r="H3" s="323" t="s">
        <v>287</v>
      </c>
      <c r="I3" s="323" t="s">
        <v>288</v>
      </c>
      <c r="J3" s="324" t="s">
        <v>219</v>
      </c>
      <c r="K3" s="323" t="s">
        <v>66</v>
      </c>
      <c r="L3" s="323" t="s">
        <v>232</v>
      </c>
      <c r="M3" s="323" t="s">
        <v>233</v>
      </c>
      <c r="N3" s="323" t="s">
        <v>287</v>
      </c>
      <c r="O3" s="323" t="s">
        <v>288</v>
      </c>
      <c r="P3" s="325" t="s">
        <v>220</v>
      </c>
      <c r="Q3" s="326" t="s">
        <v>127</v>
      </c>
      <c r="R3" s="327" t="s">
        <v>234</v>
      </c>
      <c r="S3" s="120"/>
      <c r="T3" s="314"/>
      <c r="U3" s="123"/>
    </row>
    <row r="4" spans="1:26" s="122" customFormat="1" ht="5.25" customHeight="1">
      <c r="A4" s="465"/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7"/>
      <c r="S4" s="120"/>
      <c r="T4" s="314"/>
      <c r="U4" s="123"/>
    </row>
    <row r="5" spans="1:26" s="122" customFormat="1" ht="12.95" customHeight="1">
      <c r="A5" s="468" t="s">
        <v>0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70"/>
      <c r="S5" s="120"/>
      <c r="T5" s="314"/>
      <c r="U5" s="123"/>
    </row>
    <row r="6" spans="1:26" s="122" customFormat="1" ht="12.95" customHeight="1">
      <c r="A6" s="420">
        <v>1</v>
      </c>
      <c r="B6" s="421" t="s">
        <v>5</v>
      </c>
      <c r="C6" s="422" t="s">
        <v>245</v>
      </c>
      <c r="D6" s="390">
        <v>7537530831.6000004</v>
      </c>
      <c r="E6" s="204">
        <f t="shared" ref="E6:E21" si="0">(D6/$D$22)</f>
        <v>0.44289705721366329</v>
      </c>
      <c r="F6" s="389">
        <v>12929.51</v>
      </c>
      <c r="G6" s="389">
        <v>13084.42</v>
      </c>
      <c r="H6" s="398">
        <v>4.1999999999999997E-3</v>
      </c>
      <c r="I6" s="398">
        <v>0</v>
      </c>
      <c r="J6" s="390">
        <v>7532733781</v>
      </c>
      <c r="K6" s="204">
        <f t="shared" ref="K6:K19" si="1">(J6/$J$22)</f>
        <v>0.44252046081877411</v>
      </c>
      <c r="L6" s="389">
        <v>12920.4</v>
      </c>
      <c r="M6" s="389">
        <v>13075.22</v>
      </c>
      <c r="N6" s="398">
        <v>4.1999999999999997E-3</v>
      </c>
      <c r="O6" s="398">
        <v>5.6800000000000003E-2</v>
      </c>
      <c r="P6" s="83">
        <f t="shared" ref="P6:P18" si="2">((J6-D6)/D6)</f>
        <v>-6.3642202031060963E-4</v>
      </c>
      <c r="Q6" s="393">
        <f t="shared" ref="Q6:Q21" si="3">((M6-G6)/G6)</f>
        <v>-7.0312631358522028E-4</v>
      </c>
      <c r="R6" s="241">
        <f>N6-H6</f>
        <v>0</v>
      </c>
      <c r="S6" s="120"/>
      <c r="U6" s="123"/>
    </row>
    <row r="7" spans="1:26" s="122" customFormat="1" ht="12.95" customHeight="1">
      <c r="A7" s="420">
        <v>2</v>
      </c>
      <c r="B7" s="421" t="s">
        <v>142</v>
      </c>
      <c r="C7" s="422" t="s">
        <v>49</v>
      </c>
      <c r="D7" s="390">
        <v>1048171294.73</v>
      </c>
      <c r="E7" s="204">
        <f t="shared" si="0"/>
        <v>6.1589397411885516E-2</v>
      </c>
      <c r="F7" s="389">
        <v>2.09</v>
      </c>
      <c r="G7" s="389">
        <v>2.14</v>
      </c>
      <c r="H7" s="398">
        <v>5.8799999999999998E-2</v>
      </c>
      <c r="I7" s="398">
        <v>0</v>
      </c>
      <c r="J7" s="390">
        <v>1048349970.13</v>
      </c>
      <c r="K7" s="204">
        <f t="shared" si="1"/>
        <v>6.1586712788313742E-2</v>
      </c>
      <c r="L7" s="389">
        <v>2.09</v>
      </c>
      <c r="M7" s="340">
        <v>2.14</v>
      </c>
      <c r="N7" s="398">
        <v>2.0000000000000001E-4</v>
      </c>
      <c r="O7" s="398">
        <v>5.8999999999999997E-2</v>
      </c>
      <c r="P7" s="83">
        <f t="shared" si="2"/>
        <v>1.7046393170498092E-4</v>
      </c>
      <c r="Q7" s="83">
        <f t="shared" si="3"/>
        <v>0</v>
      </c>
      <c r="R7" s="241">
        <f>N7-H7</f>
        <v>-5.8599999999999999E-2</v>
      </c>
      <c r="S7" s="120"/>
      <c r="T7" s="314"/>
      <c r="U7" s="123"/>
    </row>
    <row r="8" spans="1:26" s="122" customFormat="1" ht="12.95" customHeight="1">
      <c r="A8" s="420">
        <v>3</v>
      </c>
      <c r="B8" s="421" t="s">
        <v>61</v>
      </c>
      <c r="C8" s="422" t="s">
        <v>11</v>
      </c>
      <c r="D8" s="390">
        <v>262294308.96000001</v>
      </c>
      <c r="E8" s="204">
        <f t="shared" si="0"/>
        <v>1.5412126352472378E-2</v>
      </c>
      <c r="F8" s="389">
        <v>131.82</v>
      </c>
      <c r="G8" s="389">
        <v>134.93</v>
      </c>
      <c r="H8" s="398">
        <v>4.8599999999999997E-2</v>
      </c>
      <c r="I8" s="398">
        <v>0</v>
      </c>
      <c r="J8" s="390">
        <v>261189734.56</v>
      </c>
      <c r="K8" s="204">
        <f t="shared" si="1"/>
        <v>1.5343938211404645E-2</v>
      </c>
      <c r="L8" s="389">
        <v>131.26</v>
      </c>
      <c r="M8" s="389">
        <v>134.36000000000001</v>
      </c>
      <c r="N8" s="398">
        <v>-4.1999999999999997E-3</v>
      </c>
      <c r="O8" s="398">
        <v>4.41E-2</v>
      </c>
      <c r="P8" s="83">
        <f t="shared" si="2"/>
        <v>-4.2112023107922407E-3</v>
      </c>
      <c r="Q8" s="83">
        <f t="shared" si="3"/>
        <v>-4.2244126584154241E-3</v>
      </c>
      <c r="R8" s="241">
        <f>N8-H8</f>
        <v>-5.28E-2</v>
      </c>
      <c r="S8" s="120"/>
      <c r="T8" s="314"/>
      <c r="U8" s="123"/>
      <c r="V8" s="156"/>
      <c r="W8" s="124"/>
      <c r="X8" s="124"/>
      <c r="Y8" s="125"/>
    </row>
    <row r="9" spans="1:26" s="122" customFormat="1" ht="12.95" customHeight="1">
      <c r="A9" s="420">
        <v>4</v>
      </c>
      <c r="B9" s="421" t="s">
        <v>12</v>
      </c>
      <c r="C9" s="422" t="s">
        <v>13</v>
      </c>
      <c r="D9" s="390">
        <v>735184085.69000006</v>
      </c>
      <c r="E9" s="204">
        <f t="shared" si="0"/>
        <v>4.3198611765187418E-2</v>
      </c>
      <c r="F9" s="389">
        <v>20.010000000000002</v>
      </c>
      <c r="G9" s="389">
        <v>20.38</v>
      </c>
      <c r="H9" s="398">
        <v>4.0500000000000001E-2</v>
      </c>
      <c r="I9" s="398">
        <v>0</v>
      </c>
      <c r="J9" s="338">
        <v>742740589.78999996</v>
      </c>
      <c r="K9" s="204">
        <f t="shared" si="1"/>
        <v>4.3633283429146429E-2</v>
      </c>
      <c r="L9" s="340">
        <v>20.010000000000002</v>
      </c>
      <c r="M9" s="340">
        <v>20.38</v>
      </c>
      <c r="N9" s="342">
        <v>7.0000000000000001E-3</v>
      </c>
      <c r="O9" s="398">
        <v>4.65E-2</v>
      </c>
      <c r="P9" s="83">
        <f t="shared" si="2"/>
        <v>1.0278383668911739E-2</v>
      </c>
      <c r="Q9" s="83">
        <f t="shared" si="3"/>
        <v>0</v>
      </c>
      <c r="R9" s="241">
        <f>N9-H9</f>
        <v>-3.3500000000000002E-2</v>
      </c>
      <c r="S9" s="120"/>
      <c r="T9" s="314"/>
      <c r="U9" s="123"/>
      <c r="V9" s="156"/>
      <c r="W9" s="124"/>
      <c r="X9" s="124"/>
      <c r="Y9" s="125"/>
    </row>
    <row r="10" spans="1:26" s="122" customFormat="1" ht="12.95" customHeight="1">
      <c r="A10" s="420">
        <v>5</v>
      </c>
      <c r="B10" s="421" t="s">
        <v>62</v>
      </c>
      <c r="C10" s="422" t="s">
        <v>17</v>
      </c>
      <c r="D10" s="390">
        <v>429461307.76999998</v>
      </c>
      <c r="E10" s="204">
        <f t="shared" si="0"/>
        <v>2.5234676135724523E-2</v>
      </c>
      <c r="F10" s="389">
        <v>200.46</v>
      </c>
      <c r="G10" s="389">
        <v>203.44919999999999</v>
      </c>
      <c r="H10" s="398">
        <v>-1.4799810946035219E-2</v>
      </c>
      <c r="I10" s="398">
        <v>0</v>
      </c>
      <c r="J10" s="390">
        <v>428538467.31999999</v>
      </c>
      <c r="K10" s="204">
        <f t="shared" si="1"/>
        <v>2.5175062009405367E-2</v>
      </c>
      <c r="L10" s="389">
        <v>200.0292</v>
      </c>
      <c r="M10" s="389">
        <v>203.11279999999999</v>
      </c>
      <c r="N10" s="398">
        <v>-2.1490156286474438E-3</v>
      </c>
      <c r="O10" s="398">
        <v>6.1101550770174873E-2</v>
      </c>
      <c r="P10" s="119">
        <f t="shared" si="2"/>
        <v>-2.1488325800335419E-3</v>
      </c>
      <c r="Q10" s="119">
        <f t="shared" si="3"/>
        <v>-1.6534840146827691E-3</v>
      </c>
      <c r="R10" s="241">
        <f t="shared" ref="R10:R22" si="4">N10-H10</f>
        <v>1.2650795317387775E-2</v>
      </c>
      <c r="S10" s="120"/>
      <c r="T10" s="314"/>
      <c r="U10" s="123"/>
      <c r="V10" s="156"/>
      <c r="W10" s="124"/>
      <c r="X10" s="124"/>
      <c r="Y10" s="125"/>
    </row>
    <row r="11" spans="1:26" s="122" customFormat="1" ht="12.95" customHeight="1">
      <c r="A11" s="420">
        <v>6</v>
      </c>
      <c r="B11" s="421" t="s">
        <v>45</v>
      </c>
      <c r="C11" s="421" t="s">
        <v>81</v>
      </c>
      <c r="D11" s="389">
        <v>2053266136.0699999</v>
      </c>
      <c r="E11" s="204">
        <f t="shared" si="0"/>
        <v>0.12064766959617673</v>
      </c>
      <c r="F11" s="389">
        <v>1.0564</v>
      </c>
      <c r="G11" s="341">
        <v>1.0818000000000001</v>
      </c>
      <c r="H11" s="398">
        <v>-1.46E-2</v>
      </c>
      <c r="I11" s="398">
        <v>0</v>
      </c>
      <c r="J11" s="389">
        <v>2057001149.2</v>
      </c>
      <c r="K11" s="204">
        <f t="shared" si="1"/>
        <v>0.12084126731582046</v>
      </c>
      <c r="L11" s="389">
        <v>1.0583</v>
      </c>
      <c r="M11" s="341">
        <v>1.0833999999999999</v>
      </c>
      <c r="N11" s="398">
        <v>1.8E-3</v>
      </c>
      <c r="O11" s="398">
        <v>0.1106</v>
      </c>
      <c r="P11" s="83">
        <f t="shared" si="2"/>
        <v>1.8190594314037721E-3</v>
      </c>
      <c r="Q11" s="83">
        <f t="shared" si="3"/>
        <v>1.4790164540578884E-3</v>
      </c>
      <c r="R11" s="241">
        <f t="shared" si="4"/>
        <v>1.6400000000000001E-2</v>
      </c>
      <c r="S11" s="120"/>
      <c r="T11" s="314"/>
      <c r="U11" s="123"/>
      <c r="V11" s="158"/>
      <c r="W11" s="125"/>
      <c r="X11" s="125"/>
      <c r="Y11" s="126"/>
      <c r="Z11" s="127"/>
    </row>
    <row r="12" spans="1:26" s="122" customFormat="1" ht="12.95" customHeight="1">
      <c r="A12" s="420">
        <v>7</v>
      </c>
      <c r="B12" s="421" t="s">
        <v>7</v>
      </c>
      <c r="C12" s="422" t="s">
        <v>14</v>
      </c>
      <c r="D12" s="389">
        <v>2443908316.0900002</v>
      </c>
      <c r="E12" s="204">
        <f t="shared" si="0"/>
        <v>0.14360137629665895</v>
      </c>
      <c r="F12" s="389">
        <v>23.375</v>
      </c>
      <c r="G12" s="389">
        <v>24.079799999999999</v>
      </c>
      <c r="H12" s="374">
        <v>-0.82979999999999998</v>
      </c>
      <c r="I12" s="398">
        <v>0</v>
      </c>
      <c r="J12" s="389">
        <v>2440871964</v>
      </c>
      <c r="K12" s="204">
        <f t="shared" si="1"/>
        <v>0.14339226869179411</v>
      </c>
      <c r="L12" s="389">
        <v>23.3386</v>
      </c>
      <c r="M12" s="389">
        <v>24.042300000000001</v>
      </c>
      <c r="N12" s="374">
        <v>-8.1199999999999994E-2</v>
      </c>
      <c r="O12" s="374">
        <v>0.2331</v>
      </c>
      <c r="P12" s="83">
        <f t="shared" si="2"/>
        <v>-1.2424165301168095E-3</v>
      </c>
      <c r="Q12" s="83">
        <f t="shared" si="3"/>
        <v>-1.5573219046668939E-3</v>
      </c>
      <c r="R12" s="241">
        <f t="shared" si="4"/>
        <v>0.74859999999999993</v>
      </c>
      <c r="S12" s="120"/>
      <c r="T12" s="154"/>
      <c r="U12" s="123"/>
    </row>
    <row r="13" spans="1:26" s="122" customFormat="1" ht="12.95" customHeight="1">
      <c r="A13" s="420">
        <v>8</v>
      </c>
      <c r="B13" s="421" t="s">
        <v>201</v>
      </c>
      <c r="C13" s="422" t="s">
        <v>57</v>
      </c>
      <c r="D13" s="389">
        <v>379955757.45999998</v>
      </c>
      <c r="E13" s="204">
        <f t="shared" si="0"/>
        <v>2.2325784213701336E-2</v>
      </c>
      <c r="F13" s="389">
        <v>174.78</v>
      </c>
      <c r="G13" s="389">
        <v>177.1</v>
      </c>
      <c r="H13" s="374">
        <v>-2.2800000000000001E-2</v>
      </c>
      <c r="I13" s="398">
        <v>0</v>
      </c>
      <c r="J13" s="389">
        <v>379469811.12</v>
      </c>
      <c r="K13" s="204">
        <f t="shared" si="1"/>
        <v>2.2292458563608376E-2</v>
      </c>
      <c r="L13" s="389">
        <v>174.64</v>
      </c>
      <c r="M13" s="389">
        <v>176.95</v>
      </c>
      <c r="N13" s="374">
        <v>-8.0000000000000004E-4</v>
      </c>
      <c r="O13" s="374">
        <v>0</v>
      </c>
      <c r="P13" s="83">
        <f t="shared" si="2"/>
        <v>-1.2789550637382617E-3</v>
      </c>
      <c r="Q13" s="83">
        <f t="shared" si="3"/>
        <v>-8.4697910784870521E-4</v>
      </c>
      <c r="R13" s="241">
        <f t="shared" si="4"/>
        <v>2.2000000000000002E-2</v>
      </c>
      <c r="S13" s="120"/>
      <c r="T13" s="154"/>
      <c r="U13" s="123"/>
    </row>
    <row r="14" spans="1:26" s="122" customFormat="1" ht="12.95" customHeight="1">
      <c r="A14" s="420">
        <v>9</v>
      </c>
      <c r="B14" s="421" t="s">
        <v>59</v>
      </c>
      <c r="C14" s="422" t="s">
        <v>58</v>
      </c>
      <c r="D14" s="389">
        <v>312528895.77999997</v>
      </c>
      <c r="E14" s="204">
        <f t="shared" si="0"/>
        <v>1.8363855661445497E-2</v>
      </c>
      <c r="F14" s="389">
        <v>12.916600000000001</v>
      </c>
      <c r="G14" s="389">
        <v>12.9788</v>
      </c>
      <c r="H14" s="398">
        <v>4.87E-2</v>
      </c>
      <c r="I14" s="398">
        <v>0</v>
      </c>
      <c r="J14" s="337">
        <v>313263269.95999998</v>
      </c>
      <c r="K14" s="204">
        <f t="shared" si="1"/>
        <v>1.8403067280826184E-2</v>
      </c>
      <c r="L14" s="340">
        <v>12.95</v>
      </c>
      <c r="M14" s="340">
        <v>13.016299999999999</v>
      </c>
      <c r="N14" s="342">
        <v>1.4E-3</v>
      </c>
      <c r="O14" s="398">
        <v>5.16E-2</v>
      </c>
      <c r="P14" s="83">
        <f t="shared" si="2"/>
        <v>2.3497801000677992E-3</v>
      </c>
      <c r="Q14" s="83">
        <f t="shared" si="3"/>
        <v>2.8893272105279108E-3</v>
      </c>
      <c r="R14" s="241">
        <f t="shared" si="4"/>
        <v>-4.7300000000000002E-2</v>
      </c>
      <c r="S14" s="120"/>
      <c r="T14" s="154"/>
      <c r="U14" s="159"/>
      <c r="V14" s="159"/>
    </row>
    <row r="15" spans="1:26" s="122" customFormat="1" ht="12.95" customHeight="1">
      <c r="A15" s="420">
        <v>10</v>
      </c>
      <c r="B15" s="421" t="s">
        <v>5</v>
      </c>
      <c r="C15" s="422" t="s">
        <v>72</v>
      </c>
      <c r="D15" s="390">
        <v>348904658.19999999</v>
      </c>
      <c r="E15" s="204">
        <f t="shared" si="0"/>
        <v>2.050125562565918E-2</v>
      </c>
      <c r="F15" s="389">
        <v>3421.16</v>
      </c>
      <c r="G15" s="389">
        <v>3463.63</v>
      </c>
      <c r="H15" s="398">
        <v>-1.67E-2</v>
      </c>
      <c r="I15" s="398">
        <v>0</v>
      </c>
      <c r="J15" s="390">
        <v>349493434.01999998</v>
      </c>
      <c r="K15" s="204">
        <f t="shared" si="1"/>
        <v>2.0531456436939783E-2</v>
      </c>
      <c r="L15" s="389">
        <v>3421.16</v>
      </c>
      <c r="M15" s="389">
        <v>3469.32</v>
      </c>
      <c r="N15" s="398">
        <v>1.6000000000000001E-3</v>
      </c>
      <c r="O15" s="398">
        <v>5.96E-2</v>
      </c>
      <c r="P15" s="83">
        <f t="shared" si="2"/>
        <v>1.6874977337290042E-3</v>
      </c>
      <c r="Q15" s="83">
        <f t="shared" si="3"/>
        <v>1.6427851704714576E-3</v>
      </c>
      <c r="R15" s="241">
        <f t="shared" si="4"/>
        <v>1.83E-2</v>
      </c>
      <c r="S15" s="120"/>
      <c r="T15" s="154"/>
      <c r="U15" s="160"/>
      <c r="V15" s="160"/>
    </row>
    <row r="16" spans="1:26" s="122" customFormat="1" ht="12.95" customHeight="1">
      <c r="A16" s="420">
        <v>11</v>
      </c>
      <c r="B16" s="421" t="s">
        <v>86</v>
      </c>
      <c r="C16" s="422" t="s">
        <v>87</v>
      </c>
      <c r="D16" s="390">
        <v>272102441.94</v>
      </c>
      <c r="E16" s="204">
        <f t="shared" si="0"/>
        <v>1.5988441505359146E-2</v>
      </c>
      <c r="F16" s="389">
        <v>139.69999999999999</v>
      </c>
      <c r="G16" s="389">
        <v>140.68</v>
      </c>
      <c r="H16" s="398">
        <v>-1.44E-2</v>
      </c>
      <c r="I16" s="398">
        <v>0</v>
      </c>
      <c r="J16" s="390">
        <v>270013216.83999997</v>
      </c>
      <c r="K16" s="204">
        <f t="shared" si="1"/>
        <v>1.5862285408861757E-2</v>
      </c>
      <c r="L16" s="389">
        <v>138.44999999999999</v>
      </c>
      <c r="M16" s="389">
        <v>139.41999999999999</v>
      </c>
      <c r="N16" s="398">
        <v>-1.1900000000000001E-2</v>
      </c>
      <c r="O16" s="398">
        <v>2.64E-2</v>
      </c>
      <c r="P16" s="83">
        <f t="shared" si="2"/>
        <v>-7.6780828760835184E-3</v>
      </c>
      <c r="Q16" s="83">
        <f t="shared" si="3"/>
        <v>-8.956497014501132E-3</v>
      </c>
      <c r="R16" s="241">
        <f t="shared" si="4"/>
        <v>2.4999999999999988E-3</v>
      </c>
      <c r="S16" s="120"/>
      <c r="T16" s="154"/>
      <c r="U16" s="161"/>
      <c r="V16" s="161"/>
    </row>
    <row r="17" spans="1:25" s="122" customFormat="1" ht="12.95" customHeight="1">
      <c r="A17" s="420">
        <v>12</v>
      </c>
      <c r="B17" s="421" t="s">
        <v>263</v>
      </c>
      <c r="C17" s="422" t="s">
        <v>132</v>
      </c>
      <c r="D17" s="390">
        <v>354100762.80000001</v>
      </c>
      <c r="E17" s="204">
        <f t="shared" si="0"/>
        <v>2.0806573041631311E-2</v>
      </c>
      <c r="F17" s="389">
        <v>1.3</v>
      </c>
      <c r="G17" s="389">
        <v>1.34</v>
      </c>
      <c r="H17" s="398">
        <v>-1.8700000000000001E-2</v>
      </c>
      <c r="I17" s="398">
        <v>0</v>
      </c>
      <c r="J17" s="390">
        <v>354100762.80000001</v>
      </c>
      <c r="K17" s="204">
        <f t="shared" si="1"/>
        <v>2.08021200916161E-2</v>
      </c>
      <c r="L17" s="340">
        <v>1.29</v>
      </c>
      <c r="M17" s="340">
        <v>1.33</v>
      </c>
      <c r="N17" s="342">
        <v>-8.5000000000000006E-3</v>
      </c>
      <c r="O17" s="398">
        <v>3.8899999999999997E-2</v>
      </c>
      <c r="P17" s="83">
        <f t="shared" si="2"/>
        <v>0</v>
      </c>
      <c r="Q17" s="83">
        <f t="shared" si="3"/>
        <v>-7.462686567164185E-3</v>
      </c>
      <c r="R17" s="241">
        <f t="shared" si="4"/>
        <v>1.0200000000000001E-2</v>
      </c>
      <c r="S17" s="120"/>
      <c r="T17" s="154"/>
      <c r="U17" s="160"/>
      <c r="V17" s="160"/>
    </row>
    <row r="18" spans="1:25" s="122" customFormat="1" ht="12.95" customHeight="1">
      <c r="A18" s="420">
        <v>13</v>
      </c>
      <c r="B18" s="421" t="s">
        <v>96</v>
      </c>
      <c r="C18" s="422" t="s">
        <v>135</v>
      </c>
      <c r="D18" s="389">
        <v>297011968.00999999</v>
      </c>
      <c r="E18" s="204">
        <f t="shared" si="0"/>
        <v>1.7452097978476109E-2</v>
      </c>
      <c r="F18" s="389">
        <v>1.5</v>
      </c>
      <c r="G18" s="389">
        <v>1.53</v>
      </c>
      <c r="H18" s="398">
        <v>-0.25465753424657533</v>
      </c>
      <c r="I18" s="398">
        <v>0</v>
      </c>
      <c r="J18" s="389">
        <v>299478576.27999997</v>
      </c>
      <c r="K18" s="204">
        <f t="shared" si="1"/>
        <v>1.7593267123689946E-2</v>
      </c>
      <c r="L18" s="389">
        <v>1.52</v>
      </c>
      <c r="M18" s="389">
        <v>1.54</v>
      </c>
      <c r="N18" s="342">
        <v>-0.21934246575342467</v>
      </c>
      <c r="O18" s="398">
        <v>-0.80059999999999998</v>
      </c>
      <c r="P18" s="83">
        <f t="shared" si="2"/>
        <v>8.3047436994758868E-3</v>
      </c>
      <c r="Q18" s="83">
        <f t="shared" si="3"/>
        <v>6.5359477124183061E-3</v>
      </c>
      <c r="R18" s="241">
        <f t="shared" si="4"/>
        <v>3.5315068493150664E-2</v>
      </c>
      <c r="S18" s="120"/>
      <c r="T18" s="154"/>
      <c r="U18" s="162"/>
      <c r="V18" s="162"/>
    </row>
    <row r="19" spans="1:25" s="122" customFormat="1" ht="12.95" customHeight="1">
      <c r="A19" s="420">
        <v>14</v>
      </c>
      <c r="B19" s="421" t="s">
        <v>145</v>
      </c>
      <c r="C19" s="422" t="s">
        <v>146</v>
      </c>
      <c r="D19" s="389">
        <v>461296914.10000002</v>
      </c>
      <c r="E19" s="204">
        <f t="shared" si="0"/>
        <v>2.710530150007566E-2</v>
      </c>
      <c r="F19" s="389">
        <v>153.9288</v>
      </c>
      <c r="G19" s="389">
        <v>155.51669999999999</v>
      </c>
      <c r="H19" s="398">
        <v>-2.1258099999999999E-2</v>
      </c>
      <c r="I19" s="398">
        <v>0</v>
      </c>
      <c r="J19" s="337">
        <v>461966312.47000003</v>
      </c>
      <c r="K19" s="204">
        <f t="shared" si="1"/>
        <v>2.7138825215436643E-2</v>
      </c>
      <c r="L19" s="340">
        <v>154.41159999999999</v>
      </c>
      <c r="M19" s="340">
        <v>156.00899999999999</v>
      </c>
      <c r="N19" s="342">
        <v>3.075E-3</v>
      </c>
      <c r="O19" s="398">
        <v>6.5299999999999997E-2</v>
      </c>
      <c r="P19" s="83">
        <v>5.6480000000000002E-3</v>
      </c>
      <c r="Q19" s="83">
        <f t="shared" si="3"/>
        <v>3.1655764300554234E-3</v>
      </c>
      <c r="R19" s="241">
        <f>N19-H19</f>
        <v>2.43331E-2</v>
      </c>
      <c r="S19" s="120"/>
      <c r="T19" s="339"/>
      <c r="U19" s="339"/>
      <c r="V19" s="162"/>
    </row>
    <row r="20" spans="1:25" s="394" customFormat="1" ht="12.95" customHeight="1">
      <c r="A20" s="420">
        <v>15</v>
      </c>
      <c r="B20" s="421" t="s">
        <v>237</v>
      </c>
      <c r="C20" s="422" t="s">
        <v>236</v>
      </c>
      <c r="D20" s="77">
        <v>25526916.879999999</v>
      </c>
      <c r="E20" s="397">
        <f>(D20/$D$22)</f>
        <v>1.499933680999603E-3</v>
      </c>
      <c r="F20" s="389">
        <v>99.56</v>
      </c>
      <c r="G20" s="389">
        <v>102.78</v>
      </c>
      <c r="H20" s="398">
        <v>-4.5699999999999998E-2</v>
      </c>
      <c r="I20" s="398">
        <v>0</v>
      </c>
      <c r="J20" s="77">
        <v>25667814.68</v>
      </c>
      <c r="K20" s="397">
        <v>0.96619999999999995</v>
      </c>
      <c r="L20" s="389">
        <v>100.28</v>
      </c>
      <c r="M20" s="389">
        <v>103.2</v>
      </c>
      <c r="N20" s="398">
        <v>5.5999999999999999E-3</v>
      </c>
      <c r="O20" s="398">
        <v>3.49E-2</v>
      </c>
      <c r="P20" s="393">
        <f>((J20-D20)/D20)</f>
        <v>5.5195776545342344E-3</v>
      </c>
      <c r="Q20" s="393">
        <f t="shared" si="3"/>
        <v>4.0863981319322991E-3</v>
      </c>
      <c r="R20" s="400">
        <f>N20-H20</f>
        <v>5.1299999999999998E-2</v>
      </c>
      <c r="S20" s="120"/>
      <c r="T20" s="339"/>
      <c r="U20" s="339"/>
      <c r="V20" s="162"/>
    </row>
    <row r="21" spans="1:25" s="122" customFormat="1" ht="12.95" customHeight="1">
      <c r="A21" s="420">
        <v>16</v>
      </c>
      <c r="B21" s="421" t="s">
        <v>266</v>
      </c>
      <c r="C21" s="422" t="s">
        <v>265</v>
      </c>
      <c r="D21" s="77">
        <v>57452432.57</v>
      </c>
      <c r="E21" s="204">
        <f t="shared" si="0"/>
        <v>3.3758420208833922E-3</v>
      </c>
      <c r="F21" s="389">
        <v>109.1752</v>
      </c>
      <c r="G21" s="389">
        <v>109.61199999999999</v>
      </c>
      <c r="H21" s="398">
        <v>3.9276999999999999E-2</v>
      </c>
      <c r="I21" s="398">
        <v>0</v>
      </c>
      <c r="J21" s="77">
        <v>57461236.189999998</v>
      </c>
      <c r="K21" s="204">
        <v>0.96619999999999995</v>
      </c>
      <c r="L21" s="389">
        <v>109.1921</v>
      </c>
      <c r="M21" s="389">
        <v>109.6285</v>
      </c>
      <c r="N21" s="398">
        <v>3.9336999999999997E-2</v>
      </c>
      <c r="O21" s="398">
        <v>0</v>
      </c>
      <c r="P21" s="83">
        <f>((J21-D21)/D21)</f>
        <v>1.532331984249926E-4</v>
      </c>
      <c r="Q21" s="83">
        <f t="shared" si="3"/>
        <v>1.5053096376316217E-4</v>
      </c>
      <c r="R21" s="241">
        <f t="shared" si="4"/>
        <v>5.9999999999997555E-5</v>
      </c>
      <c r="S21" s="120"/>
      <c r="T21" s="155"/>
      <c r="U21" s="129"/>
      <c r="V21" s="129"/>
    </row>
    <row r="22" spans="1:25" s="122" customFormat="1" ht="12.95" customHeight="1">
      <c r="A22" s="228"/>
      <c r="B22" s="305"/>
      <c r="C22" s="265" t="s">
        <v>46</v>
      </c>
      <c r="D22" s="72">
        <f>SUM(D6:D21)</f>
        <v>17018697028.65</v>
      </c>
      <c r="E22" s="284">
        <f>(D22/$D$167)</f>
        <v>1.0717456725425876E-2</v>
      </c>
      <c r="F22" s="286"/>
      <c r="G22" s="73"/>
      <c r="H22" s="306"/>
      <c r="I22" s="306"/>
      <c r="J22" s="72">
        <f>SUM(J6:J21)</f>
        <v>17022340090.360001</v>
      </c>
      <c r="K22" s="284">
        <f>(J22/$J$167)</f>
        <v>1.0808291686897583E-2</v>
      </c>
      <c r="L22" s="286"/>
      <c r="M22" s="73"/>
      <c r="N22" s="306"/>
      <c r="O22" s="306"/>
      <c r="P22" s="288">
        <f>((J22-D22)/D22)</f>
        <v>2.1406231651389682E-4</v>
      </c>
      <c r="Q22" s="288"/>
      <c r="R22" s="289">
        <f t="shared" si="4"/>
        <v>0</v>
      </c>
      <c r="S22" s="120"/>
      <c r="T22" s="154"/>
      <c r="U22" s="163"/>
      <c r="X22" s="129"/>
      <c r="Y22" s="129"/>
    </row>
    <row r="23" spans="1:25" s="122" customFormat="1" ht="5.25" customHeight="1">
      <c r="A23" s="459"/>
      <c r="B23" s="460"/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1"/>
      <c r="S23" s="120"/>
      <c r="T23" s="154"/>
      <c r="U23" s="163"/>
      <c r="X23" s="129"/>
      <c r="Y23" s="129"/>
    </row>
    <row r="24" spans="1:25" s="122" customFormat="1" ht="12.95" customHeight="1">
      <c r="A24" s="456" t="s">
        <v>48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8"/>
      <c r="S24" s="120"/>
      <c r="T24" s="164"/>
      <c r="V24" s="165"/>
    </row>
    <row r="25" spans="1:25" s="122" customFormat="1" ht="12.95" customHeight="1">
      <c r="A25" s="420">
        <v>17</v>
      </c>
      <c r="B25" s="421" t="s">
        <v>5</v>
      </c>
      <c r="C25" s="422" t="s">
        <v>38</v>
      </c>
      <c r="D25" s="384">
        <v>364915008733.72998</v>
      </c>
      <c r="E25" s="206">
        <v>3.6200000000000003E-2</v>
      </c>
      <c r="F25" s="341">
        <v>100</v>
      </c>
      <c r="G25" s="341">
        <v>100</v>
      </c>
      <c r="H25" s="398">
        <v>9.3100000000000002E-2</v>
      </c>
      <c r="I25" s="398"/>
      <c r="J25" s="384">
        <v>368590836283.82001</v>
      </c>
      <c r="K25" s="204">
        <f t="shared" ref="K25:K53" si="5">(J25/$J$54)</f>
        <v>0.45586333524260531</v>
      </c>
      <c r="L25" s="75">
        <v>100</v>
      </c>
      <c r="M25" s="75">
        <v>100</v>
      </c>
      <c r="N25" s="345">
        <v>9.2100000000000001E-2</v>
      </c>
      <c r="O25" s="398">
        <v>9.2100000000000001E-2</v>
      </c>
      <c r="P25" s="83">
        <f t="shared" ref="P25:P54" si="6">((J25-D25)/D25)</f>
        <v>1.0073105961975363E-2</v>
      </c>
      <c r="Q25" s="83">
        <f t="shared" ref="Q25:Q53" si="7">((M25-G25)/G25)</f>
        <v>0</v>
      </c>
      <c r="R25" s="241">
        <f t="shared" ref="R25:R54" si="8">N25-H25</f>
        <v>-1.0000000000000009E-3</v>
      </c>
      <c r="S25" s="120"/>
      <c r="T25" s="166"/>
      <c r="U25" s="121"/>
      <c r="V25" s="121"/>
    </row>
    <row r="26" spans="1:25" s="122" customFormat="1" ht="12.95" customHeight="1">
      <c r="A26" s="420">
        <v>18</v>
      </c>
      <c r="B26" s="421" t="s">
        <v>201</v>
      </c>
      <c r="C26" s="422" t="s">
        <v>18</v>
      </c>
      <c r="D26" s="384">
        <v>188154815155.57999</v>
      </c>
      <c r="E26" s="206">
        <v>6.2600000000000003E-2</v>
      </c>
      <c r="F26" s="341">
        <v>100</v>
      </c>
      <c r="G26" s="341">
        <v>100</v>
      </c>
      <c r="H26" s="398">
        <v>0.1118</v>
      </c>
      <c r="I26" s="398"/>
      <c r="J26" s="384">
        <v>185242091999.23999</v>
      </c>
      <c r="K26" s="204">
        <f t="shared" si="5"/>
        <v>0.22910248864968308</v>
      </c>
      <c r="L26" s="75">
        <v>100</v>
      </c>
      <c r="M26" s="75">
        <v>100</v>
      </c>
      <c r="N26" s="345">
        <v>0.1076</v>
      </c>
      <c r="O26" s="398">
        <v>0.1076</v>
      </c>
      <c r="P26" s="83">
        <f t="shared" si="6"/>
        <v>-1.548046035352083E-2</v>
      </c>
      <c r="Q26" s="83">
        <f t="shared" si="7"/>
        <v>0</v>
      </c>
      <c r="R26" s="241">
        <f t="shared" si="8"/>
        <v>-4.1999999999999954E-3</v>
      </c>
      <c r="S26" s="120"/>
      <c r="T26" s="167"/>
      <c r="U26" s="130"/>
      <c r="V26" s="165"/>
      <c r="W26" s="168"/>
    </row>
    <row r="27" spans="1:25" s="122" customFormat="1" ht="12.95" customHeight="1">
      <c r="A27" s="420">
        <v>19</v>
      </c>
      <c r="B27" s="421" t="s">
        <v>45</v>
      </c>
      <c r="C27" s="422" t="s">
        <v>82</v>
      </c>
      <c r="D27" s="384">
        <v>51373094665.279999</v>
      </c>
      <c r="E27" s="206">
        <v>5.2600000000000001E-2</v>
      </c>
      <c r="F27" s="341">
        <v>1</v>
      </c>
      <c r="G27" s="341">
        <v>1</v>
      </c>
      <c r="H27" s="398">
        <v>9.0999999999999998E-2</v>
      </c>
      <c r="I27" s="398"/>
      <c r="J27" s="384">
        <v>47867257060.440002</v>
      </c>
      <c r="K27" s="204">
        <f t="shared" si="5"/>
        <v>5.9200949411788717E-2</v>
      </c>
      <c r="L27" s="75">
        <v>1</v>
      </c>
      <c r="M27" s="75">
        <v>1</v>
      </c>
      <c r="N27" s="398">
        <v>9.4799999999999995E-2</v>
      </c>
      <c r="O27" s="398">
        <v>0</v>
      </c>
      <c r="P27" s="83">
        <f t="shared" si="6"/>
        <v>-6.8242678929159042E-2</v>
      </c>
      <c r="Q27" s="83">
        <f t="shared" si="7"/>
        <v>0</v>
      </c>
      <c r="R27" s="241">
        <f t="shared" si="8"/>
        <v>3.7999999999999978E-3</v>
      </c>
      <c r="S27" s="120"/>
      <c r="T27" s="154"/>
      <c r="U27" s="123"/>
    </row>
    <row r="28" spans="1:25" s="122" customFormat="1" ht="12.95" customHeight="1">
      <c r="A28" s="420">
        <v>20</v>
      </c>
      <c r="B28" s="421" t="s">
        <v>40</v>
      </c>
      <c r="C28" s="422" t="s">
        <v>41</v>
      </c>
      <c r="D28" s="384">
        <v>2272988259.2800002</v>
      </c>
      <c r="E28" s="206">
        <v>8.6400000000000005E-2</v>
      </c>
      <c r="F28" s="341">
        <v>100</v>
      </c>
      <c r="G28" s="341">
        <v>100</v>
      </c>
      <c r="H28" s="398">
        <v>0.12939999999999999</v>
      </c>
      <c r="I28" s="398"/>
      <c r="J28" s="384">
        <v>2397783622.0599999</v>
      </c>
      <c r="K28" s="204">
        <f t="shared" si="5"/>
        <v>2.9655149600645351E-3</v>
      </c>
      <c r="L28" s="75">
        <v>100</v>
      </c>
      <c r="M28" s="75">
        <v>100</v>
      </c>
      <c r="N28" s="398">
        <v>7.9199999999999995E-4</v>
      </c>
      <c r="O28" s="398">
        <v>7.9199999999999995E-4</v>
      </c>
      <c r="P28" s="83">
        <f t="shared" si="6"/>
        <v>5.4903654812335174E-2</v>
      </c>
      <c r="Q28" s="83">
        <f t="shared" si="7"/>
        <v>0</v>
      </c>
      <c r="R28" s="241">
        <f t="shared" si="8"/>
        <v>-0.128608</v>
      </c>
      <c r="S28" s="120"/>
      <c r="T28" s="154"/>
      <c r="U28" s="130"/>
    </row>
    <row r="29" spans="1:25" s="122" customFormat="1" ht="12.95" customHeight="1">
      <c r="A29" s="420">
        <v>21</v>
      </c>
      <c r="B29" s="421" t="s">
        <v>7</v>
      </c>
      <c r="C29" s="422" t="s">
        <v>19</v>
      </c>
      <c r="D29" s="384">
        <v>74585025672.039993</v>
      </c>
      <c r="E29" s="206">
        <v>6.54E-2</v>
      </c>
      <c r="F29" s="341">
        <v>1</v>
      </c>
      <c r="G29" s="341">
        <v>1</v>
      </c>
      <c r="H29" s="398">
        <v>0.1033</v>
      </c>
      <c r="I29" s="398"/>
      <c r="J29" s="384">
        <v>75352239204.960007</v>
      </c>
      <c r="K29" s="204">
        <f t="shared" si="5"/>
        <v>9.3193643738667037E-2</v>
      </c>
      <c r="L29" s="75">
        <v>1</v>
      </c>
      <c r="M29" s="75">
        <v>1</v>
      </c>
      <c r="N29" s="345">
        <v>0.1026</v>
      </c>
      <c r="O29" s="398">
        <v>0.1026</v>
      </c>
      <c r="P29" s="83">
        <f t="shared" si="6"/>
        <v>1.0286428488924179E-2</v>
      </c>
      <c r="Q29" s="83">
        <f t="shared" si="7"/>
        <v>0</v>
      </c>
      <c r="R29" s="241">
        <f t="shared" si="8"/>
        <v>-7.0000000000000617E-4</v>
      </c>
      <c r="S29" s="120"/>
      <c r="T29" s="164"/>
      <c r="U29" s="123"/>
    </row>
    <row r="30" spans="1:25" s="122" customFormat="1" ht="12.95" customHeight="1">
      <c r="A30" s="420">
        <v>22</v>
      </c>
      <c r="B30" s="421" t="s">
        <v>59</v>
      </c>
      <c r="C30" s="422" t="s">
        <v>60</v>
      </c>
      <c r="D30" s="375">
        <v>2255059076.5799999</v>
      </c>
      <c r="E30" s="206">
        <v>6.4500000000000002E-2</v>
      </c>
      <c r="F30" s="341">
        <v>10</v>
      </c>
      <c r="G30" s="341">
        <v>10</v>
      </c>
      <c r="H30" s="398">
        <v>0.1055</v>
      </c>
      <c r="I30" s="398"/>
      <c r="J30" s="344">
        <v>2255059076.5799999</v>
      </c>
      <c r="K30" s="204">
        <f t="shared" si="5"/>
        <v>2.7889970412267526E-3</v>
      </c>
      <c r="L30" s="75">
        <v>10</v>
      </c>
      <c r="M30" s="75">
        <v>10</v>
      </c>
      <c r="N30" s="345">
        <v>0.1051</v>
      </c>
      <c r="O30" s="398">
        <v>0.1051</v>
      </c>
      <c r="P30" s="83">
        <f t="shared" si="6"/>
        <v>0</v>
      </c>
      <c r="Q30" s="83">
        <f t="shared" si="7"/>
        <v>0</v>
      </c>
      <c r="R30" s="241">
        <f t="shared" si="8"/>
        <v>-3.9999999999999758E-4</v>
      </c>
      <c r="S30" s="120"/>
      <c r="T30" s="154"/>
      <c r="U30" s="159"/>
      <c r="V30" s="478"/>
      <c r="W30" s="478"/>
    </row>
    <row r="31" spans="1:25" s="122" customFormat="1" ht="12.95" customHeight="1">
      <c r="A31" s="420">
        <v>23</v>
      </c>
      <c r="B31" s="421" t="s">
        <v>86</v>
      </c>
      <c r="C31" s="422" t="s">
        <v>88</v>
      </c>
      <c r="D31" s="384">
        <v>35971838996.849998</v>
      </c>
      <c r="E31" s="206">
        <v>6.9800000000000001E-2</v>
      </c>
      <c r="F31" s="341">
        <v>1</v>
      </c>
      <c r="G31" s="341">
        <v>1</v>
      </c>
      <c r="H31" s="398">
        <v>0.1062</v>
      </c>
      <c r="I31" s="398"/>
      <c r="J31" s="384">
        <v>35646070514.709999</v>
      </c>
      <c r="K31" s="204">
        <f t="shared" si="5"/>
        <v>4.4086111192998489E-2</v>
      </c>
      <c r="L31" s="75">
        <v>1</v>
      </c>
      <c r="M31" s="75">
        <v>1</v>
      </c>
      <c r="N31" s="398">
        <v>9.0999999999999998E-2</v>
      </c>
      <c r="O31" s="398">
        <v>8.6599999999999996E-2</v>
      </c>
      <c r="P31" s="83">
        <f t="shared" si="6"/>
        <v>-9.0562087239556052E-3</v>
      </c>
      <c r="Q31" s="83">
        <f t="shared" si="7"/>
        <v>0</v>
      </c>
      <c r="R31" s="241">
        <f t="shared" si="8"/>
        <v>-1.5200000000000005E-2</v>
      </c>
      <c r="S31" s="120"/>
      <c r="T31" s="154"/>
      <c r="U31" s="123"/>
      <c r="V31" s="476"/>
      <c r="W31" s="476"/>
    </row>
    <row r="32" spans="1:25" s="122" customFormat="1" ht="12.95" customHeight="1">
      <c r="A32" s="420">
        <v>24</v>
      </c>
      <c r="B32" s="421" t="s">
        <v>93</v>
      </c>
      <c r="C32" s="422" t="s">
        <v>92</v>
      </c>
      <c r="D32" s="384">
        <v>1942064732.1259909</v>
      </c>
      <c r="E32" s="206">
        <v>4.2599999999999999E-2</v>
      </c>
      <c r="F32" s="341">
        <v>100</v>
      </c>
      <c r="G32" s="341">
        <v>100</v>
      </c>
      <c r="H32" s="398">
        <v>8.5500000000000007E-2</v>
      </c>
      <c r="I32" s="398"/>
      <c r="J32" s="343">
        <v>1981432324.1183076</v>
      </c>
      <c r="K32" s="204">
        <f t="shared" si="5"/>
        <v>2.4505827571213792E-3</v>
      </c>
      <c r="L32" s="75">
        <v>100</v>
      </c>
      <c r="M32" s="75">
        <v>100</v>
      </c>
      <c r="N32" s="345">
        <v>7.8700000000000006E-2</v>
      </c>
      <c r="O32" s="398">
        <v>7.8700000000000006E-2</v>
      </c>
      <c r="P32" s="83">
        <f t="shared" si="6"/>
        <v>2.0270998870990653E-2</v>
      </c>
      <c r="Q32" s="83">
        <f t="shared" si="7"/>
        <v>0</v>
      </c>
      <c r="R32" s="241">
        <f t="shared" si="8"/>
        <v>-6.8000000000000005E-3</v>
      </c>
      <c r="S32" s="120"/>
      <c r="T32" s="154"/>
      <c r="U32" s="123"/>
      <c r="V32" s="477"/>
      <c r="W32" s="477"/>
    </row>
    <row r="33" spans="1:23" s="122" customFormat="1" ht="12.95" customHeight="1">
      <c r="A33" s="420">
        <v>25</v>
      </c>
      <c r="B33" s="421" t="s">
        <v>94</v>
      </c>
      <c r="C33" s="422" t="s">
        <v>95</v>
      </c>
      <c r="D33" s="384">
        <v>5680740532.8299999</v>
      </c>
      <c r="E33" s="206">
        <v>7.0599999999999996E-2</v>
      </c>
      <c r="F33" s="341">
        <v>100</v>
      </c>
      <c r="G33" s="341">
        <v>100</v>
      </c>
      <c r="H33" s="398">
        <v>8.2699999999999996E-2</v>
      </c>
      <c r="I33" s="398"/>
      <c r="J33" s="384">
        <v>5620145931.1400003</v>
      </c>
      <c r="K33" s="204">
        <f t="shared" si="5"/>
        <v>6.9508468917736429E-3</v>
      </c>
      <c r="L33" s="75">
        <v>100</v>
      </c>
      <c r="M33" s="75">
        <v>100</v>
      </c>
      <c r="N33" s="398">
        <v>8.3820000000000006E-2</v>
      </c>
      <c r="O33" s="398">
        <v>8.3799999999999999E-2</v>
      </c>
      <c r="P33" s="83">
        <f t="shared" si="6"/>
        <v>-1.0666673005009243E-2</v>
      </c>
      <c r="Q33" s="83">
        <f t="shared" si="7"/>
        <v>0</v>
      </c>
      <c r="R33" s="241">
        <f t="shared" si="8"/>
        <v>1.1200000000000099E-3</v>
      </c>
      <c r="S33" s="120"/>
      <c r="T33" s="154"/>
      <c r="U33" s="123"/>
    </row>
    <row r="34" spans="1:23" s="122" customFormat="1" ht="12.95" customHeight="1">
      <c r="A34" s="420">
        <v>26</v>
      </c>
      <c r="B34" s="421" t="s">
        <v>96</v>
      </c>
      <c r="C34" s="422" t="s">
        <v>101</v>
      </c>
      <c r="D34" s="375">
        <v>691339232.87</v>
      </c>
      <c r="E34" s="206">
        <v>6.6600000000000006E-2</v>
      </c>
      <c r="F34" s="341">
        <v>10</v>
      </c>
      <c r="G34" s="341">
        <v>10</v>
      </c>
      <c r="H34" s="398">
        <v>2.23E-2</v>
      </c>
      <c r="I34" s="398"/>
      <c r="J34" s="375">
        <v>695266452.15999997</v>
      </c>
      <c r="K34" s="204">
        <f t="shared" si="5"/>
        <v>8.5988704157554719E-4</v>
      </c>
      <c r="L34" s="75">
        <v>10</v>
      </c>
      <c r="M34" s="75">
        <v>10</v>
      </c>
      <c r="N34" s="345">
        <v>2.8328767123287669E-2</v>
      </c>
      <c r="O34" s="398">
        <v>0.10340000000000001</v>
      </c>
      <c r="P34" s="83">
        <f t="shared" si="6"/>
        <v>5.6805965917725359E-3</v>
      </c>
      <c r="Q34" s="83">
        <f t="shared" si="7"/>
        <v>0</v>
      </c>
      <c r="R34" s="241">
        <f t="shared" si="8"/>
        <v>6.0287671232876691E-3</v>
      </c>
      <c r="S34" s="120"/>
      <c r="T34" s="157"/>
      <c r="U34" s="169"/>
    </row>
    <row r="35" spans="1:23" s="122" customFormat="1" ht="12.95" customHeight="1">
      <c r="A35" s="420">
        <v>27</v>
      </c>
      <c r="B35" s="421" t="s">
        <v>12</v>
      </c>
      <c r="C35" s="422" t="s">
        <v>103</v>
      </c>
      <c r="D35" s="384">
        <v>5621722089.6599998</v>
      </c>
      <c r="E35" s="206">
        <v>5.3699999999999998E-2</v>
      </c>
      <c r="F35" s="341">
        <v>100</v>
      </c>
      <c r="G35" s="341">
        <v>100</v>
      </c>
      <c r="H35" s="398">
        <v>9.4500000000000001E-2</v>
      </c>
      <c r="I35" s="398"/>
      <c r="J35" s="384">
        <v>5414533660.1499996</v>
      </c>
      <c r="K35" s="204">
        <f t="shared" si="5"/>
        <v>6.6965511079573195E-3</v>
      </c>
      <c r="L35" s="75">
        <v>100</v>
      </c>
      <c r="M35" s="75">
        <v>100</v>
      </c>
      <c r="N35" s="345">
        <v>1.1000000000000001E-3</v>
      </c>
      <c r="O35" s="398">
        <v>9.4100000000000003E-2</v>
      </c>
      <c r="P35" s="83">
        <f t="shared" si="6"/>
        <v>-3.6854975433787573E-2</v>
      </c>
      <c r="Q35" s="83">
        <f t="shared" si="7"/>
        <v>0</v>
      </c>
      <c r="R35" s="241">
        <f t="shared" si="8"/>
        <v>-9.3399999999999997E-2</v>
      </c>
      <c r="S35" s="120"/>
      <c r="T35" s="170"/>
      <c r="U35" s="123"/>
      <c r="V35" s="478"/>
      <c r="W35" s="478"/>
    </row>
    <row r="36" spans="1:23" s="122" customFormat="1" ht="12.95" customHeight="1">
      <c r="A36" s="420">
        <v>28</v>
      </c>
      <c r="B36" s="421" t="s">
        <v>263</v>
      </c>
      <c r="C36" s="422" t="s">
        <v>104</v>
      </c>
      <c r="D36" s="384">
        <v>13980669762.65</v>
      </c>
      <c r="E36" s="206">
        <v>4.7199999999999999E-2</v>
      </c>
      <c r="F36" s="341">
        <v>100</v>
      </c>
      <c r="G36" s="341">
        <v>100</v>
      </c>
      <c r="H36" s="398">
        <v>7.5600000000000001E-2</v>
      </c>
      <c r="I36" s="398"/>
      <c r="J36" s="384">
        <v>15079766415.41</v>
      </c>
      <c r="K36" s="204">
        <f t="shared" si="5"/>
        <v>1.8650253712533739E-2</v>
      </c>
      <c r="L36" s="75">
        <v>100</v>
      </c>
      <c r="M36" s="75">
        <v>100</v>
      </c>
      <c r="N36" s="345">
        <v>7.3599999999999999E-2</v>
      </c>
      <c r="O36" s="398">
        <v>7.1999999999999995E-2</v>
      </c>
      <c r="P36" s="83">
        <f t="shared" si="6"/>
        <v>7.8615450577073739E-2</v>
      </c>
      <c r="Q36" s="83">
        <f t="shared" si="7"/>
        <v>0</v>
      </c>
      <c r="R36" s="241">
        <f t="shared" si="8"/>
        <v>-2.0000000000000018E-3</v>
      </c>
      <c r="S36" s="120"/>
      <c r="T36" s="154"/>
      <c r="U36" s="132"/>
    </row>
    <row r="37" spans="1:23" s="122" customFormat="1" ht="12.95" customHeight="1">
      <c r="A37" s="420">
        <v>29</v>
      </c>
      <c r="B37" s="421" t="s">
        <v>105</v>
      </c>
      <c r="C37" s="422" t="s">
        <v>107</v>
      </c>
      <c r="D37" s="384">
        <v>12190329228</v>
      </c>
      <c r="E37" s="206">
        <v>4.5100000000000001E-2</v>
      </c>
      <c r="F37" s="71">
        <v>100</v>
      </c>
      <c r="G37" s="71">
        <v>100</v>
      </c>
      <c r="H37" s="398">
        <v>7.6600000000000001E-2</v>
      </c>
      <c r="I37" s="398"/>
      <c r="J37" s="384">
        <v>12198025079.200001</v>
      </c>
      <c r="K37" s="204">
        <f t="shared" si="5"/>
        <v>1.5086192733492956E-2</v>
      </c>
      <c r="L37" s="71">
        <v>100</v>
      </c>
      <c r="M37" s="71">
        <v>100</v>
      </c>
      <c r="N37" s="398">
        <v>9.06E-2</v>
      </c>
      <c r="O37" s="398">
        <v>9.06E-2</v>
      </c>
      <c r="P37" s="83">
        <f t="shared" si="6"/>
        <v>6.3130790449236935E-4</v>
      </c>
      <c r="Q37" s="83">
        <f t="shared" si="7"/>
        <v>0</v>
      </c>
      <c r="R37" s="241">
        <f t="shared" si="8"/>
        <v>1.3999999999999999E-2</v>
      </c>
      <c r="S37" s="120"/>
      <c r="T37" s="154"/>
      <c r="U37" s="133"/>
    </row>
    <row r="38" spans="1:23" s="122" customFormat="1" ht="12.95" customHeight="1">
      <c r="A38" s="420">
        <v>30</v>
      </c>
      <c r="B38" s="421" t="s">
        <v>105</v>
      </c>
      <c r="C38" s="422" t="s">
        <v>106</v>
      </c>
      <c r="D38" s="384">
        <v>434059949.23000002</v>
      </c>
      <c r="E38" s="206">
        <v>5.2900000000000003E-2</v>
      </c>
      <c r="F38" s="71">
        <v>1000000</v>
      </c>
      <c r="G38" s="71">
        <v>1000000</v>
      </c>
      <c r="H38" s="398">
        <v>0.10970000000000001</v>
      </c>
      <c r="I38" s="398"/>
      <c r="J38" s="384">
        <v>434960340.06999999</v>
      </c>
      <c r="K38" s="204">
        <f t="shared" si="5"/>
        <v>5.3794737091588404E-4</v>
      </c>
      <c r="L38" s="71">
        <v>1000000</v>
      </c>
      <c r="M38" s="71">
        <v>1000000</v>
      </c>
      <c r="N38" s="398">
        <v>0.10970000000000001</v>
      </c>
      <c r="O38" s="398">
        <v>0.10970000000000001</v>
      </c>
      <c r="P38" s="83">
        <f t="shared" si="6"/>
        <v>2.0743467385028742E-3</v>
      </c>
      <c r="Q38" s="83">
        <f t="shared" si="7"/>
        <v>0</v>
      </c>
      <c r="R38" s="241">
        <f t="shared" si="8"/>
        <v>0</v>
      </c>
      <c r="S38" s="120"/>
      <c r="T38" s="154"/>
      <c r="U38" s="132"/>
    </row>
    <row r="39" spans="1:23" s="122" customFormat="1" ht="12.95" customHeight="1">
      <c r="A39" s="420">
        <v>31</v>
      </c>
      <c r="B39" s="421" t="s">
        <v>114</v>
      </c>
      <c r="C39" s="422" t="s">
        <v>115</v>
      </c>
      <c r="D39" s="384">
        <v>4498390504.2799997</v>
      </c>
      <c r="E39" s="206">
        <v>6.3E-2</v>
      </c>
      <c r="F39" s="341">
        <v>1</v>
      </c>
      <c r="G39" s="341">
        <v>1</v>
      </c>
      <c r="H39" s="398">
        <v>9.7900000000000001E-2</v>
      </c>
      <c r="I39" s="398"/>
      <c r="J39" s="343">
        <v>4670253756.5299997</v>
      </c>
      <c r="K39" s="204">
        <f t="shared" si="5"/>
        <v>5.7760455342457688E-3</v>
      </c>
      <c r="L39" s="75">
        <v>1</v>
      </c>
      <c r="M39" s="75">
        <v>1</v>
      </c>
      <c r="N39" s="345">
        <v>9.8500000000000004E-2</v>
      </c>
      <c r="O39" s="398">
        <v>9.8500000000000004E-2</v>
      </c>
      <c r="P39" s="83">
        <f t="shared" si="6"/>
        <v>3.8205498630339112E-2</v>
      </c>
      <c r="Q39" s="83">
        <f t="shared" si="7"/>
        <v>0</v>
      </c>
      <c r="R39" s="241">
        <f t="shared" si="8"/>
        <v>6.0000000000000331E-4</v>
      </c>
      <c r="S39" s="120"/>
      <c r="T39" s="154"/>
      <c r="U39" s="132"/>
      <c r="V39" s="134"/>
    </row>
    <row r="40" spans="1:23" s="122" customFormat="1" ht="12.95" customHeight="1">
      <c r="A40" s="420">
        <v>32</v>
      </c>
      <c r="B40" s="421" t="s">
        <v>15</v>
      </c>
      <c r="C40" s="422" t="s">
        <v>120</v>
      </c>
      <c r="D40" s="384">
        <v>20182740300.450001</v>
      </c>
      <c r="E40" s="206">
        <v>5.9200000000000003E-2</v>
      </c>
      <c r="F40" s="341">
        <v>1</v>
      </c>
      <c r="G40" s="341">
        <v>1</v>
      </c>
      <c r="H40" s="398">
        <v>8.6099999999999996E-2</v>
      </c>
      <c r="I40" s="398"/>
      <c r="J40" s="384">
        <v>20171937733.349998</v>
      </c>
      <c r="K40" s="204">
        <f t="shared" si="5"/>
        <v>2.4948115656218635E-2</v>
      </c>
      <c r="L40" s="75">
        <v>1</v>
      </c>
      <c r="M40" s="75">
        <v>1</v>
      </c>
      <c r="N40" s="345">
        <v>9.6600000000000005E-2</v>
      </c>
      <c r="O40" s="398">
        <v>9.6600000000000005E-2</v>
      </c>
      <c r="P40" s="83">
        <f t="shared" si="6"/>
        <v>-5.3523787846397803E-4</v>
      </c>
      <c r="Q40" s="83">
        <f t="shared" si="7"/>
        <v>0</v>
      </c>
      <c r="R40" s="241">
        <f t="shared" si="8"/>
        <v>1.0500000000000009E-2</v>
      </c>
      <c r="S40" s="120"/>
      <c r="T40" s="164"/>
      <c r="U40" s="479"/>
      <c r="V40" s="197"/>
    </row>
    <row r="41" spans="1:23" s="122" customFormat="1" ht="12.95" customHeight="1">
      <c r="A41" s="420">
        <v>33</v>
      </c>
      <c r="B41" s="421" t="s">
        <v>62</v>
      </c>
      <c r="C41" s="422" t="s">
        <v>123</v>
      </c>
      <c r="D41" s="384">
        <v>708856913.88</v>
      </c>
      <c r="E41" s="206">
        <v>7.9600000000000004E-2</v>
      </c>
      <c r="F41" s="341">
        <v>100</v>
      </c>
      <c r="G41" s="341">
        <v>100</v>
      </c>
      <c r="H41" s="398">
        <v>0.1356</v>
      </c>
      <c r="I41" s="398"/>
      <c r="J41" s="384">
        <v>724415910.40999997</v>
      </c>
      <c r="K41" s="204">
        <f t="shared" si="5"/>
        <v>8.9593831564500892E-4</v>
      </c>
      <c r="L41" s="75">
        <v>100</v>
      </c>
      <c r="M41" s="75">
        <v>100</v>
      </c>
      <c r="N41" s="398">
        <v>0.1399</v>
      </c>
      <c r="O41" s="398">
        <v>0.1399</v>
      </c>
      <c r="P41" s="119">
        <f t="shared" si="6"/>
        <v>2.1949417753205271E-2</v>
      </c>
      <c r="Q41" s="119">
        <f t="shared" si="7"/>
        <v>0</v>
      </c>
      <c r="R41" s="241">
        <f t="shared" si="8"/>
        <v>4.2999999999999983E-3</v>
      </c>
      <c r="S41" s="120"/>
      <c r="T41" s="166"/>
      <c r="U41" s="479"/>
      <c r="V41" s="197"/>
    </row>
    <row r="42" spans="1:23" s="122" customFormat="1" ht="12.95" customHeight="1">
      <c r="A42" s="420">
        <v>34</v>
      </c>
      <c r="B42" s="421" t="s">
        <v>142</v>
      </c>
      <c r="C42" s="422" t="s">
        <v>130</v>
      </c>
      <c r="D42" s="384">
        <v>3447863775.1300001</v>
      </c>
      <c r="E42" s="206">
        <v>4.8399999999999999E-2</v>
      </c>
      <c r="F42" s="341">
        <v>1</v>
      </c>
      <c r="G42" s="341">
        <v>1</v>
      </c>
      <c r="H42" s="398">
        <v>7.5700000000000003E-2</v>
      </c>
      <c r="I42" s="398"/>
      <c r="J42" s="384">
        <v>3476810877.98</v>
      </c>
      <c r="K42" s="204">
        <f t="shared" si="5"/>
        <v>4.3000271488662289E-3</v>
      </c>
      <c r="L42" s="75">
        <v>1</v>
      </c>
      <c r="M42" s="75">
        <v>1</v>
      </c>
      <c r="N42" s="398">
        <v>-1.5800000000000002E-2</v>
      </c>
      <c r="O42" s="398">
        <v>9.3100000000000002E-2</v>
      </c>
      <c r="P42" s="119">
        <f t="shared" si="6"/>
        <v>8.3956631520073523E-3</v>
      </c>
      <c r="Q42" s="119">
        <f t="shared" si="7"/>
        <v>0</v>
      </c>
      <c r="R42" s="241">
        <f t="shared" si="8"/>
        <v>-9.1499999999999998E-2</v>
      </c>
      <c r="S42" s="120"/>
      <c r="T42" s="157"/>
      <c r="U42" s="132"/>
    </row>
    <row r="43" spans="1:23" s="122" customFormat="1" ht="12.95" customHeight="1">
      <c r="A43" s="420">
        <v>35</v>
      </c>
      <c r="B43" s="421" t="s">
        <v>191</v>
      </c>
      <c r="C43" s="422" t="s">
        <v>131</v>
      </c>
      <c r="D43" s="384">
        <v>557624504.15999997</v>
      </c>
      <c r="E43" s="206">
        <v>4.9799999999999997E-2</v>
      </c>
      <c r="F43" s="341">
        <v>10</v>
      </c>
      <c r="G43" s="341">
        <v>10</v>
      </c>
      <c r="H43" s="398">
        <v>7.8799999999999995E-2</v>
      </c>
      <c r="I43" s="398"/>
      <c r="J43" s="384">
        <v>553782189.70000005</v>
      </c>
      <c r="K43" s="204">
        <f t="shared" si="5"/>
        <v>6.8490307176330878E-4</v>
      </c>
      <c r="L43" s="75">
        <v>10</v>
      </c>
      <c r="M43" s="75">
        <v>10</v>
      </c>
      <c r="N43" s="345">
        <v>8.2500000000000004E-2</v>
      </c>
      <c r="O43" s="398">
        <v>2.58E-2</v>
      </c>
      <c r="P43" s="119">
        <f t="shared" si="6"/>
        <v>-6.8905050465598592E-3</v>
      </c>
      <c r="Q43" s="83">
        <f t="shared" si="7"/>
        <v>0</v>
      </c>
      <c r="R43" s="241">
        <f t="shared" si="8"/>
        <v>3.7000000000000088E-3</v>
      </c>
      <c r="S43" s="120"/>
      <c r="T43" s="154"/>
      <c r="U43" s="171"/>
      <c r="V43" s="197"/>
    </row>
    <row r="44" spans="1:23" s="122" customFormat="1" ht="12.95" customHeight="1">
      <c r="A44" s="420">
        <v>36</v>
      </c>
      <c r="B44" s="421" t="s">
        <v>42</v>
      </c>
      <c r="C44" s="422" t="s">
        <v>141</v>
      </c>
      <c r="D44" s="384">
        <v>816664046.34000003</v>
      </c>
      <c r="E44" s="206">
        <v>2.2200000000000001E-2</v>
      </c>
      <c r="F44" s="341">
        <v>1</v>
      </c>
      <c r="G44" s="341">
        <v>1</v>
      </c>
      <c r="H44" s="398">
        <v>0.1077</v>
      </c>
      <c r="I44" s="398"/>
      <c r="J44" s="384">
        <v>807604934.26999998</v>
      </c>
      <c r="K44" s="204">
        <f t="shared" si="5"/>
        <v>9.9882428604714663E-4</v>
      </c>
      <c r="L44" s="75">
        <v>1</v>
      </c>
      <c r="M44" s="75">
        <v>1</v>
      </c>
      <c r="N44" s="345">
        <v>9.6699999999999994E-2</v>
      </c>
      <c r="O44" s="398">
        <v>9.6699999999999994E-2</v>
      </c>
      <c r="P44" s="83">
        <f t="shared" si="6"/>
        <v>-1.1092825881829615E-2</v>
      </c>
      <c r="Q44" s="83">
        <f t="shared" si="7"/>
        <v>0</v>
      </c>
      <c r="R44" s="241">
        <f t="shared" si="8"/>
        <v>-1.100000000000001E-2</v>
      </c>
      <c r="S44" s="120"/>
      <c r="T44" s="154"/>
      <c r="U44" s="171"/>
      <c r="V44" s="197"/>
    </row>
    <row r="45" spans="1:23" s="122" customFormat="1" ht="12.95" customHeight="1">
      <c r="A45" s="420">
        <v>37</v>
      </c>
      <c r="B45" s="421" t="s">
        <v>9</v>
      </c>
      <c r="C45" s="422" t="s">
        <v>250</v>
      </c>
      <c r="D45" s="384">
        <v>11051466997.779999</v>
      </c>
      <c r="E45" s="206">
        <v>6.1269999999999998E-2</v>
      </c>
      <c r="F45" s="341">
        <v>100</v>
      </c>
      <c r="G45" s="341">
        <v>100</v>
      </c>
      <c r="H45" s="398">
        <v>0.11435871629450201</v>
      </c>
      <c r="I45" s="398"/>
      <c r="J45" s="343">
        <v>11490691079.289999</v>
      </c>
      <c r="K45" s="204">
        <f t="shared" si="5"/>
        <v>1.4211380870071649E-2</v>
      </c>
      <c r="L45" s="75">
        <v>100</v>
      </c>
      <c r="M45" s="75">
        <v>100</v>
      </c>
      <c r="N45" s="345">
        <v>0.1085</v>
      </c>
      <c r="O45" s="398">
        <v>0.1085</v>
      </c>
      <c r="P45" s="83">
        <f t="shared" si="6"/>
        <v>3.9743509309508943E-2</v>
      </c>
      <c r="Q45" s="83">
        <f t="shared" si="7"/>
        <v>0</v>
      </c>
      <c r="R45" s="241">
        <f t="shared" si="8"/>
        <v>-5.858716294502006E-3</v>
      </c>
      <c r="S45" s="120"/>
      <c r="T45" s="154"/>
      <c r="U45" s="132"/>
    </row>
    <row r="46" spans="1:23" s="122" customFormat="1" ht="12.95" customHeight="1">
      <c r="A46" s="420">
        <v>38</v>
      </c>
      <c r="B46" s="421" t="s">
        <v>143</v>
      </c>
      <c r="C46" s="422" t="s">
        <v>144</v>
      </c>
      <c r="D46" s="384">
        <v>286059134.94</v>
      </c>
      <c r="E46" s="204">
        <f>(D46/$J$54)</f>
        <v>3.5379032383200682E-4</v>
      </c>
      <c r="F46" s="341">
        <v>1</v>
      </c>
      <c r="G46" s="341">
        <v>1</v>
      </c>
      <c r="H46" s="381">
        <v>6.5100000000000005E-2</v>
      </c>
      <c r="I46" s="381"/>
      <c r="J46" s="384">
        <v>275732345.54000002</v>
      </c>
      <c r="K46" s="204">
        <f t="shared" si="5"/>
        <v>3.4101842557839138E-4</v>
      </c>
      <c r="L46" s="75">
        <v>1</v>
      </c>
      <c r="M46" s="75">
        <v>1</v>
      </c>
      <c r="N46" s="346">
        <v>7.1599999999999997E-2</v>
      </c>
      <c r="O46" s="381">
        <v>7.1599999999999997E-2</v>
      </c>
      <c r="P46" s="83">
        <f t="shared" si="6"/>
        <v>-3.6100190969835619E-2</v>
      </c>
      <c r="Q46" s="83">
        <f t="shared" si="7"/>
        <v>0</v>
      </c>
      <c r="R46" s="241">
        <f t="shared" si="8"/>
        <v>6.4999999999999919E-3</v>
      </c>
      <c r="S46" s="120"/>
      <c r="T46" s="154"/>
      <c r="U46" s="132"/>
    </row>
    <row r="47" spans="1:23" s="122" customFormat="1" ht="12.95" customHeight="1">
      <c r="A47" s="420">
        <v>39</v>
      </c>
      <c r="B47" s="421" t="s">
        <v>145</v>
      </c>
      <c r="C47" s="422" t="s">
        <v>147</v>
      </c>
      <c r="D47" s="384">
        <v>439076582.25</v>
      </c>
      <c r="E47" s="206">
        <v>2.0000000000000001E-4</v>
      </c>
      <c r="F47" s="341">
        <v>100</v>
      </c>
      <c r="G47" s="341">
        <v>100</v>
      </c>
      <c r="H47" s="398">
        <v>8.4099999999999995E-4</v>
      </c>
      <c r="I47" s="398"/>
      <c r="J47" s="343">
        <v>425550249.77999997</v>
      </c>
      <c r="K47" s="204">
        <f t="shared" si="5"/>
        <v>5.2630922172101273E-4</v>
      </c>
      <c r="L47" s="75">
        <v>100</v>
      </c>
      <c r="M47" s="75">
        <v>100</v>
      </c>
      <c r="N47" s="398">
        <v>8.4999999999999995E-4</v>
      </c>
      <c r="O47" s="398">
        <v>6.4399999999999999E-2</v>
      </c>
      <c r="P47" s="83">
        <f t="shared" si="6"/>
        <v>-3.0806317204816105E-2</v>
      </c>
      <c r="Q47" s="83">
        <f t="shared" si="7"/>
        <v>0</v>
      </c>
      <c r="R47" s="241">
        <f t="shared" si="8"/>
        <v>9.0000000000000019E-6</v>
      </c>
      <c r="S47" s="120"/>
      <c r="T47" s="164"/>
      <c r="U47" s="132"/>
    </row>
    <row r="48" spans="1:23" s="122" customFormat="1" ht="12.95" customHeight="1">
      <c r="A48" s="420">
        <v>40</v>
      </c>
      <c r="B48" s="421" t="s">
        <v>159</v>
      </c>
      <c r="C48" s="422" t="s">
        <v>160</v>
      </c>
      <c r="D48" s="384">
        <v>885317970.19000006</v>
      </c>
      <c r="E48" s="206">
        <v>5.3145060299999998E-2</v>
      </c>
      <c r="F48" s="341">
        <v>1</v>
      </c>
      <c r="G48" s="341">
        <v>1</v>
      </c>
      <c r="H48" s="398">
        <v>0.13284130213020739</v>
      </c>
      <c r="I48" s="398"/>
      <c r="J48" s="384">
        <v>969381616.28999996</v>
      </c>
      <c r="K48" s="204">
        <f t="shared" si="5"/>
        <v>1.1989053802318446E-3</v>
      </c>
      <c r="L48" s="75">
        <v>1</v>
      </c>
      <c r="M48" s="75">
        <v>1</v>
      </c>
      <c r="N48" s="398">
        <v>0.12799818674597244</v>
      </c>
      <c r="O48" s="398">
        <v>0.12799818674597244</v>
      </c>
      <c r="P48" s="83">
        <f t="shared" si="6"/>
        <v>9.4953055207903231E-2</v>
      </c>
      <c r="Q48" s="83">
        <f t="shared" si="7"/>
        <v>0</v>
      </c>
      <c r="R48" s="241">
        <f t="shared" si="8"/>
        <v>-4.8431153842349584E-3</v>
      </c>
      <c r="S48" s="120"/>
      <c r="T48" s="164"/>
      <c r="U48" s="132"/>
    </row>
    <row r="49" spans="1:23" s="122" customFormat="1" ht="12.95" customHeight="1">
      <c r="A49" s="420">
        <v>41</v>
      </c>
      <c r="B49" s="421" t="s">
        <v>113</v>
      </c>
      <c r="C49" s="422" t="s">
        <v>169</v>
      </c>
      <c r="D49" s="384">
        <v>1159340009.8</v>
      </c>
      <c r="E49" s="206">
        <v>6.4199999999999993E-2</v>
      </c>
      <c r="F49" s="341">
        <v>1</v>
      </c>
      <c r="G49" s="341">
        <v>1</v>
      </c>
      <c r="H49" s="398">
        <v>7.4399999999999994E-2</v>
      </c>
      <c r="I49" s="398"/>
      <c r="J49" s="384">
        <v>1357157146.6500001</v>
      </c>
      <c r="K49" s="204">
        <f t="shared" si="5"/>
        <v>1.6784958344537246E-3</v>
      </c>
      <c r="L49" s="75">
        <v>1</v>
      </c>
      <c r="M49" s="75">
        <v>1</v>
      </c>
      <c r="N49" s="345">
        <v>5.5399999999999998E-2</v>
      </c>
      <c r="O49" s="398">
        <v>5.5399999999999998E-2</v>
      </c>
      <c r="P49" s="83">
        <f t="shared" si="6"/>
        <v>0.17062909515572225</v>
      </c>
      <c r="Q49" s="83">
        <f t="shared" si="7"/>
        <v>0</v>
      </c>
      <c r="R49" s="241">
        <f t="shared" si="8"/>
        <v>-1.8999999999999996E-2</v>
      </c>
      <c r="S49" s="120"/>
      <c r="T49" s="154"/>
      <c r="U49" s="132"/>
    </row>
    <row r="50" spans="1:23" s="122" customFormat="1" ht="12.95" customHeight="1">
      <c r="A50" s="420">
        <v>42</v>
      </c>
      <c r="B50" s="421" t="s">
        <v>171</v>
      </c>
      <c r="C50" s="422" t="s">
        <v>174</v>
      </c>
      <c r="D50" s="384">
        <v>137814878.81</v>
      </c>
      <c r="E50" s="206">
        <v>2.9985000000000001E-2</v>
      </c>
      <c r="F50" s="341">
        <v>1</v>
      </c>
      <c r="G50" s="341">
        <v>1</v>
      </c>
      <c r="H50" s="398">
        <v>7.6799999999999993E-2</v>
      </c>
      <c r="I50" s="398"/>
      <c r="J50" s="384">
        <v>137584800.62</v>
      </c>
      <c r="K50" s="204">
        <f t="shared" si="5"/>
        <v>1.7016121920358028E-4</v>
      </c>
      <c r="L50" s="75">
        <v>1</v>
      </c>
      <c r="M50" s="75">
        <v>1</v>
      </c>
      <c r="N50" s="398">
        <v>2.6800000000000001E-2</v>
      </c>
      <c r="O50" s="398">
        <v>2.6800000000000001E-2</v>
      </c>
      <c r="P50" s="83">
        <f t="shared" si="6"/>
        <v>-1.6694727883278658E-3</v>
      </c>
      <c r="Q50" s="83">
        <f t="shared" si="7"/>
        <v>0</v>
      </c>
      <c r="R50" s="241">
        <f t="shared" si="8"/>
        <v>-4.9999999999999989E-2</v>
      </c>
      <c r="S50" s="120"/>
      <c r="T50" s="154"/>
      <c r="U50" s="132"/>
    </row>
    <row r="51" spans="1:23" s="122" customFormat="1" ht="12.95" customHeight="1">
      <c r="A51" s="420">
        <v>43</v>
      </c>
      <c r="B51" s="421" t="s">
        <v>184</v>
      </c>
      <c r="C51" s="422" t="s">
        <v>185</v>
      </c>
      <c r="D51" s="384">
        <v>1274877255.9100001</v>
      </c>
      <c r="E51" s="206">
        <v>9.0300000000000005E-2</v>
      </c>
      <c r="F51" s="341">
        <v>1</v>
      </c>
      <c r="G51" s="341">
        <v>1</v>
      </c>
      <c r="H51" s="398">
        <v>0.1371</v>
      </c>
      <c r="I51" s="398"/>
      <c r="J51" s="384">
        <v>1315553282.3</v>
      </c>
      <c r="K51" s="204">
        <f t="shared" si="5"/>
        <v>1.6270412824285403E-3</v>
      </c>
      <c r="L51" s="75">
        <v>1</v>
      </c>
      <c r="M51" s="75">
        <v>1</v>
      </c>
      <c r="N51" s="345">
        <v>0.1371</v>
      </c>
      <c r="O51" s="398">
        <v>0.1371</v>
      </c>
      <c r="P51" s="83">
        <f t="shared" si="6"/>
        <v>3.1905837367037782E-2</v>
      </c>
      <c r="Q51" s="83">
        <f t="shared" si="7"/>
        <v>0</v>
      </c>
      <c r="R51" s="241">
        <f t="shared" si="8"/>
        <v>0</v>
      </c>
      <c r="S51" s="120"/>
      <c r="T51" s="96"/>
      <c r="U51" s="132"/>
    </row>
    <row r="52" spans="1:23" s="122" customFormat="1" ht="12.95" customHeight="1">
      <c r="A52" s="420">
        <v>44</v>
      </c>
      <c r="B52" s="421" t="s">
        <v>194</v>
      </c>
      <c r="C52" s="422" t="s">
        <v>195</v>
      </c>
      <c r="D52" s="384">
        <v>45471762.240000002</v>
      </c>
      <c r="E52" s="206">
        <v>3.7000000000000002E-3</v>
      </c>
      <c r="F52" s="341">
        <v>100</v>
      </c>
      <c r="G52" s="341">
        <v>100</v>
      </c>
      <c r="H52" s="398">
        <v>9.0700000000000003E-2</v>
      </c>
      <c r="I52" s="398"/>
      <c r="J52" s="343">
        <v>45471762.240000002</v>
      </c>
      <c r="K52" s="204">
        <f t="shared" si="5"/>
        <v>5.6238265180644959E-5</v>
      </c>
      <c r="L52" s="75">
        <v>100</v>
      </c>
      <c r="M52" s="75">
        <v>100</v>
      </c>
      <c r="N52" s="345">
        <v>9.0700000000000003E-2</v>
      </c>
      <c r="O52" s="398">
        <v>9.0700000000000003E-2</v>
      </c>
      <c r="P52" s="83">
        <f t="shared" si="6"/>
        <v>0</v>
      </c>
      <c r="Q52" s="83">
        <f t="shared" si="7"/>
        <v>0</v>
      </c>
      <c r="R52" s="241">
        <f t="shared" si="8"/>
        <v>0</v>
      </c>
      <c r="S52" s="120"/>
      <c r="U52" s="132"/>
    </row>
    <row r="53" spans="1:23" s="122" customFormat="1" ht="12.95" customHeight="1">
      <c r="A53" s="420">
        <v>45</v>
      </c>
      <c r="B53" s="421" t="s">
        <v>188</v>
      </c>
      <c r="C53" s="422" t="s">
        <v>204</v>
      </c>
      <c r="D53" s="384">
        <v>3244236768.46</v>
      </c>
      <c r="E53" s="206">
        <v>7.8700000000000006E-2</v>
      </c>
      <c r="F53" s="341">
        <v>100</v>
      </c>
      <c r="G53" s="341">
        <v>100</v>
      </c>
      <c r="H53" s="398">
        <v>0.1237</v>
      </c>
      <c r="I53" s="398"/>
      <c r="J53" s="384">
        <v>3358168679.6300001</v>
      </c>
      <c r="K53" s="204">
        <f t="shared" si="5"/>
        <v>4.1532936359399888E-3</v>
      </c>
      <c r="L53" s="75">
        <v>100</v>
      </c>
      <c r="M53" s="75">
        <v>100</v>
      </c>
      <c r="N53" s="345">
        <v>0.1142</v>
      </c>
      <c r="O53" s="398">
        <v>0.1142</v>
      </c>
      <c r="P53" s="83">
        <f t="shared" si="6"/>
        <v>3.511824792741073E-2</v>
      </c>
      <c r="Q53" s="83">
        <f t="shared" si="7"/>
        <v>0</v>
      </c>
      <c r="R53" s="241">
        <f t="shared" si="8"/>
        <v>-9.5000000000000084E-3</v>
      </c>
      <c r="S53" s="120"/>
      <c r="T53" s="172"/>
      <c r="U53" s="132"/>
    </row>
    <row r="54" spans="1:23" s="122" customFormat="1" ht="12.95" customHeight="1">
      <c r="A54" s="228"/>
      <c r="B54" s="117"/>
      <c r="C54" s="265" t="s">
        <v>46</v>
      </c>
      <c r="D54" s="81">
        <f>SUM(D25:D53)</f>
        <v>808804557491.32593</v>
      </c>
      <c r="E54" s="284">
        <f>(D54/$D$167)</f>
        <v>0.50934145132543795</v>
      </c>
      <c r="F54" s="286"/>
      <c r="G54" s="76"/>
      <c r="H54" s="304"/>
      <c r="I54" s="304"/>
      <c r="J54" s="81">
        <f>SUM(J25:J53)</f>
        <v>808555564328.63843</v>
      </c>
      <c r="K54" s="284">
        <f>(J54/$J$167)</f>
        <v>0.5133903057945064</v>
      </c>
      <c r="L54" s="286"/>
      <c r="M54" s="76"/>
      <c r="N54" s="304"/>
      <c r="O54" s="304"/>
      <c r="P54" s="288">
        <f t="shared" si="6"/>
        <v>-3.0785331311658731E-4</v>
      </c>
      <c r="Q54" s="288"/>
      <c r="R54" s="289">
        <f t="shared" si="8"/>
        <v>0</v>
      </c>
      <c r="S54" s="120"/>
    </row>
    <row r="55" spans="1:23" s="122" customFormat="1" ht="4.5" customHeight="1">
      <c r="A55" s="459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1"/>
      <c r="S55" s="120"/>
    </row>
    <row r="56" spans="1:23" s="122" customFormat="1" ht="12.95" customHeight="1">
      <c r="A56" s="456" t="s">
        <v>209</v>
      </c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8"/>
      <c r="S56" s="120"/>
      <c r="V56" s="134"/>
      <c r="W56" s="135"/>
    </row>
    <row r="57" spans="1:23" s="122" customFormat="1" ht="12.95" customHeight="1">
      <c r="A57" s="420">
        <v>46</v>
      </c>
      <c r="B57" s="421" t="s">
        <v>5</v>
      </c>
      <c r="C57" s="422" t="s">
        <v>20</v>
      </c>
      <c r="D57" s="390">
        <v>43009272064.739998</v>
      </c>
      <c r="E57" s="204">
        <f t="shared" ref="E57:E80" si="9">(D57/$D$87)</f>
        <v>0.12695293169295971</v>
      </c>
      <c r="F57" s="391">
        <v>247.06</v>
      </c>
      <c r="G57" s="391">
        <v>247.06</v>
      </c>
      <c r="H57" s="398">
        <v>2.0000000000000001E-4</v>
      </c>
      <c r="I57" s="398"/>
      <c r="J57" s="390">
        <v>41959766006.419998</v>
      </c>
      <c r="K57" s="204">
        <f t="shared" ref="K57:K66" si="10">(J57/$J$87)</f>
        <v>0.12732034178357771</v>
      </c>
      <c r="L57" s="391">
        <v>247.28</v>
      </c>
      <c r="M57" s="391">
        <v>247.28</v>
      </c>
      <c r="N57" s="350">
        <v>8.9999999999999998E-4</v>
      </c>
      <c r="O57" s="398">
        <v>8.9999999999999993E-3</v>
      </c>
      <c r="P57" s="83">
        <f>((J57-D57)/D57)</f>
        <v>-2.4401855877500638E-2</v>
      </c>
      <c r="Q57" s="83">
        <f>((M57-G57)/G57)</f>
        <v>8.9047195013356622E-4</v>
      </c>
      <c r="R57" s="241">
        <f t="shared" ref="R57:R87" si="11">N57-H57</f>
        <v>6.9999999999999999E-4</v>
      </c>
      <c r="S57" s="120"/>
      <c r="T57" s="154"/>
    </row>
    <row r="58" spans="1:23" s="122" customFormat="1" ht="12.95" customHeight="1">
      <c r="A58" s="420">
        <v>47</v>
      </c>
      <c r="B58" s="421" t="s">
        <v>62</v>
      </c>
      <c r="C58" s="422" t="s">
        <v>21</v>
      </c>
      <c r="D58" s="390">
        <v>1530808824.01</v>
      </c>
      <c r="E58" s="204">
        <f t="shared" si="9"/>
        <v>4.5185760823152022E-3</v>
      </c>
      <c r="F58" s="391">
        <v>330.60840000000002</v>
      </c>
      <c r="G58" s="391">
        <v>330.60840000000002</v>
      </c>
      <c r="H58" s="398">
        <v>0.13600000000000001</v>
      </c>
      <c r="I58" s="398"/>
      <c r="J58" s="390">
        <v>1533857195.3299999</v>
      </c>
      <c r="K58" s="204">
        <f t="shared" si="10"/>
        <v>4.6542495572242997E-3</v>
      </c>
      <c r="L58" s="391">
        <v>331.26679999999999</v>
      </c>
      <c r="M58" s="391">
        <v>331.26679999999999</v>
      </c>
      <c r="N58" s="398">
        <v>2E-3</v>
      </c>
      <c r="O58" s="398">
        <v>7.0699999999999999E-2</v>
      </c>
      <c r="P58" s="119">
        <f>((J58-D58)/D58)</f>
        <v>1.9913468436996806E-3</v>
      </c>
      <c r="Q58" s="119">
        <f>((M58-G58)/G58)</f>
        <v>1.9914799502976084E-3</v>
      </c>
      <c r="R58" s="241">
        <f t="shared" si="11"/>
        <v>-0.13400000000000001</v>
      </c>
      <c r="S58" s="120"/>
      <c r="T58" s="154"/>
      <c r="U58" s="136"/>
    </row>
    <row r="59" spans="1:23" s="122" customFormat="1" ht="12.95" customHeight="1">
      <c r="A59" s="420">
        <v>48</v>
      </c>
      <c r="B59" s="421" t="s">
        <v>201</v>
      </c>
      <c r="C59" s="422" t="s">
        <v>271</v>
      </c>
      <c r="D59" s="390">
        <v>66596249051.779999</v>
      </c>
      <c r="E59" s="204">
        <f t="shared" si="9"/>
        <v>0.19657596260061391</v>
      </c>
      <c r="F59" s="352">
        <v>1507.51</v>
      </c>
      <c r="G59" s="390">
        <v>1507.51</v>
      </c>
      <c r="H59" s="398">
        <v>0.1197</v>
      </c>
      <c r="I59" s="398"/>
      <c r="J59" s="390">
        <v>64168047203.940002</v>
      </c>
      <c r="K59" s="204">
        <f t="shared" si="10"/>
        <v>0.19470789470895439</v>
      </c>
      <c r="L59" s="352">
        <v>1510.32</v>
      </c>
      <c r="M59" s="390">
        <v>1510.32</v>
      </c>
      <c r="N59" s="398">
        <v>0.1197</v>
      </c>
      <c r="O59" s="398">
        <v>0</v>
      </c>
      <c r="P59" s="83">
        <f>((J59-D59)/D59)</f>
        <v>-3.6461540738608536E-2</v>
      </c>
      <c r="Q59" s="83">
        <f>((M59-G59)/G59)</f>
        <v>1.8640009021498667E-3</v>
      </c>
      <c r="R59" s="241">
        <f t="shared" si="11"/>
        <v>0</v>
      </c>
      <c r="S59" s="120"/>
      <c r="T59" s="154"/>
      <c r="U59" s="137"/>
      <c r="V59" s="130"/>
    </row>
    <row r="60" spans="1:23" s="138" customFormat="1" ht="12.95" customHeight="1">
      <c r="A60" s="420">
        <v>49</v>
      </c>
      <c r="B60" s="421" t="s">
        <v>184</v>
      </c>
      <c r="C60" s="422" t="s">
        <v>186</v>
      </c>
      <c r="D60" s="390">
        <v>692369762.98000002</v>
      </c>
      <c r="E60" s="204">
        <f t="shared" si="9"/>
        <v>2.0437074845991586E-3</v>
      </c>
      <c r="F60" s="352">
        <v>1.0904</v>
      </c>
      <c r="G60" s="352">
        <v>1.0904</v>
      </c>
      <c r="H60" s="398">
        <v>0.10321990871664181</v>
      </c>
      <c r="I60" s="398"/>
      <c r="J60" s="390">
        <v>693703744.47000003</v>
      </c>
      <c r="K60" s="204">
        <f t="shared" si="10"/>
        <v>2.1049354238284928E-3</v>
      </c>
      <c r="L60" s="351">
        <v>1.0923</v>
      </c>
      <c r="M60" s="351">
        <v>1.0923</v>
      </c>
      <c r="N60" s="350">
        <v>9.08578765328589E-2</v>
      </c>
      <c r="O60" s="398">
        <v>0.1022</v>
      </c>
      <c r="P60" s="83">
        <f>(J60/D60)/D60</f>
        <v>1.4470976968974641E-9</v>
      </c>
      <c r="Q60" s="83">
        <f>(M60-G60)/G60</f>
        <v>1.7424798239178399E-3</v>
      </c>
      <c r="R60" s="241">
        <f t="shared" si="11"/>
        <v>-1.2362032183782914E-2</v>
      </c>
      <c r="S60" s="120"/>
      <c r="T60" s="164"/>
      <c r="U60" s="173"/>
    </row>
    <row r="61" spans="1:23" s="122" customFormat="1" ht="12.95" customHeight="1">
      <c r="A61" s="420">
        <v>50</v>
      </c>
      <c r="B61" s="421" t="s">
        <v>9</v>
      </c>
      <c r="C61" s="422" t="s">
        <v>22</v>
      </c>
      <c r="D61" s="390">
        <v>2817601027.7495198</v>
      </c>
      <c r="E61" s="204">
        <f t="shared" si="9"/>
        <v>8.316874330620231E-3</v>
      </c>
      <c r="F61" s="390">
        <v>3771.84795831474</v>
      </c>
      <c r="G61" s="390">
        <v>3771.84795831474</v>
      </c>
      <c r="H61" s="398">
        <v>7.3135610303859566E-2</v>
      </c>
      <c r="I61" s="398"/>
      <c r="J61" s="347">
        <v>2820506775.7290502</v>
      </c>
      <c r="K61" s="204">
        <f t="shared" si="10"/>
        <v>8.55838630353121E-3</v>
      </c>
      <c r="L61" s="348">
        <v>3777.1996313684499</v>
      </c>
      <c r="M61" s="390">
        <v>3777.1996313684499</v>
      </c>
      <c r="N61" s="350">
        <v>7.3982707309218285E-2</v>
      </c>
      <c r="O61" s="398">
        <v>7.7111643707555508E-2</v>
      </c>
      <c r="P61" s="83">
        <f t="shared" ref="P61:P76" si="12">((J61-D61)/D61)</f>
        <v>1.0312843979373544E-3</v>
      </c>
      <c r="Q61" s="83">
        <f t="shared" ref="Q61:Q86" si="13">((M61-G61)/G61)</f>
        <v>1.4188464415466522E-3</v>
      </c>
      <c r="R61" s="241">
        <f t="shared" si="11"/>
        <v>8.4709700535871846E-4</v>
      </c>
      <c r="S61" s="120"/>
      <c r="T61" s="154"/>
      <c r="U61" s="141"/>
      <c r="V61" s="141"/>
    </row>
    <row r="62" spans="1:23" s="122" customFormat="1" ht="12.95" customHeight="1">
      <c r="A62" s="420">
        <v>51</v>
      </c>
      <c r="B62" s="421" t="s">
        <v>45</v>
      </c>
      <c r="C62" s="422" t="s">
        <v>167</v>
      </c>
      <c r="D62" s="390">
        <v>101383037450.89</v>
      </c>
      <c r="E62" s="204">
        <f t="shared" si="9"/>
        <v>0.29925811831815347</v>
      </c>
      <c r="F62" s="390">
        <v>1.9807999999999999</v>
      </c>
      <c r="G62" s="390">
        <v>1.9807999999999999</v>
      </c>
      <c r="H62" s="398">
        <v>7.3700000000000002E-2</v>
      </c>
      <c r="I62" s="398"/>
      <c r="J62" s="390">
        <v>100780052811.61</v>
      </c>
      <c r="K62" s="204">
        <f t="shared" si="10"/>
        <v>0.30580129467304351</v>
      </c>
      <c r="L62" s="390">
        <v>1.9834000000000001</v>
      </c>
      <c r="M62" s="390">
        <v>1.9834000000000001</v>
      </c>
      <c r="N62" s="398">
        <v>7.0800000000000002E-2</v>
      </c>
      <c r="O62" s="398">
        <v>7.2499999999999995E-2</v>
      </c>
      <c r="P62" s="119">
        <f t="shared" si="12"/>
        <v>-5.9475890093753101E-3</v>
      </c>
      <c r="Q62" s="119">
        <f t="shared" si="13"/>
        <v>1.3126009693054108E-3</v>
      </c>
      <c r="R62" s="241">
        <f t="shared" si="11"/>
        <v>-2.8999999999999998E-3</v>
      </c>
      <c r="S62" s="120"/>
      <c r="T62" s="154"/>
      <c r="U62" s="141"/>
      <c r="V62" s="141"/>
    </row>
    <row r="63" spans="1:23" s="122" customFormat="1" ht="12" customHeight="1">
      <c r="A63" s="420">
        <v>52</v>
      </c>
      <c r="B63" s="421" t="s">
        <v>263</v>
      </c>
      <c r="C63" s="422" t="s">
        <v>53</v>
      </c>
      <c r="D63" s="390">
        <v>9875918059.3700008</v>
      </c>
      <c r="E63" s="204">
        <f t="shared" si="9"/>
        <v>2.9151312975239641E-2</v>
      </c>
      <c r="F63" s="391">
        <v>1</v>
      </c>
      <c r="G63" s="391">
        <v>1</v>
      </c>
      <c r="H63" s="398">
        <v>0.06</v>
      </c>
      <c r="I63" s="398"/>
      <c r="J63" s="390">
        <v>9866152181.8999996</v>
      </c>
      <c r="K63" s="204">
        <f t="shared" si="10"/>
        <v>2.9937294399975955E-2</v>
      </c>
      <c r="L63" s="349">
        <v>1</v>
      </c>
      <c r="M63" s="349">
        <v>1</v>
      </c>
      <c r="N63" s="350">
        <v>0.06</v>
      </c>
      <c r="O63" s="398">
        <v>0.06</v>
      </c>
      <c r="P63" s="83">
        <f t="shared" si="12"/>
        <v>-9.8885768505699821E-4</v>
      </c>
      <c r="Q63" s="83">
        <f t="shared" si="13"/>
        <v>0</v>
      </c>
      <c r="R63" s="241">
        <f t="shared" si="11"/>
        <v>0</v>
      </c>
      <c r="S63" s="120"/>
      <c r="T63" s="154"/>
      <c r="U63" s="175"/>
      <c r="V63" s="141"/>
    </row>
    <row r="64" spans="1:23" s="122" customFormat="1" ht="12.75" customHeight="1">
      <c r="A64" s="420">
        <v>53</v>
      </c>
      <c r="B64" s="421" t="s">
        <v>15</v>
      </c>
      <c r="C64" s="422" t="s">
        <v>23</v>
      </c>
      <c r="D64" s="390">
        <v>3492696859.6599998</v>
      </c>
      <c r="E64" s="204">
        <f t="shared" si="9"/>
        <v>1.0309593363523748E-2</v>
      </c>
      <c r="F64" s="391">
        <v>23.898399999999999</v>
      </c>
      <c r="G64" s="391">
        <v>23.898399999999999</v>
      </c>
      <c r="H64" s="398">
        <v>1.4500000000000001E-2</v>
      </c>
      <c r="I64" s="398"/>
      <c r="J64" s="390">
        <v>3310508943.7600002</v>
      </c>
      <c r="K64" s="204">
        <f t="shared" si="10"/>
        <v>1.0045221180037651E-2</v>
      </c>
      <c r="L64" s="391">
        <v>23.9253</v>
      </c>
      <c r="M64" s="391">
        <v>23.9253</v>
      </c>
      <c r="N64" s="398">
        <v>8.0000000000000004E-4</v>
      </c>
      <c r="O64" s="398">
        <v>1.5679999999999999E-2</v>
      </c>
      <c r="P64" s="83">
        <f t="shared" si="12"/>
        <v>-5.2162533200128591E-2</v>
      </c>
      <c r="Q64" s="83">
        <f t="shared" si="13"/>
        <v>1.1255983664178882E-3</v>
      </c>
      <c r="R64" s="241">
        <f t="shared" si="11"/>
        <v>-1.37E-2</v>
      </c>
      <c r="S64" s="120"/>
      <c r="T64" s="157"/>
      <c r="U64" s="195"/>
      <c r="V64" s="176"/>
    </row>
    <row r="65" spans="1:23" s="122" customFormat="1" ht="12" customHeight="1">
      <c r="A65" s="420">
        <v>54</v>
      </c>
      <c r="B65" s="421" t="s">
        <v>109</v>
      </c>
      <c r="C65" s="422" t="s">
        <v>112</v>
      </c>
      <c r="D65" s="390">
        <v>422705361.08999997</v>
      </c>
      <c r="E65" s="204">
        <f t="shared" si="9"/>
        <v>1.2477236246158506E-3</v>
      </c>
      <c r="F65" s="391">
        <v>2.1547000000000001</v>
      </c>
      <c r="G65" s="391">
        <v>2.1547000000000001</v>
      </c>
      <c r="H65" s="398">
        <v>9.4549536385138189E-2</v>
      </c>
      <c r="I65" s="398"/>
      <c r="J65" s="390">
        <v>423189763.33999997</v>
      </c>
      <c r="K65" s="204">
        <f t="shared" si="10"/>
        <v>1.2841030929370821E-3</v>
      </c>
      <c r="L65" s="391">
        <v>2.1570999999999998</v>
      </c>
      <c r="M65" s="391">
        <v>2.1570999999999998</v>
      </c>
      <c r="N65" s="398">
        <v>5.8079016634725651E-2</v>
      </c>
      <c r="O65" s="398">
        <v>0.25061694986449307</v>
      </c>
      <c r="P65" s="119">
        <f t="shared" si="12"/>
        <v>1.1459571952220022E-3</v>
      </c>
      <c r="Q65" s="119">
        <f t="shared" si="13"/>
        <v>1.1138441546385742E-3</v>
      </c>
      <c r="R65" s="241">
        <f t="shared" si="11"/>
        <v>-3.6470519750412538E-2</v>
      </c>
      <c r="S65" s="120"/>
      <c r="T65" s="164"/>
      <c r="U65" s="197"/>
      <c r="V65" s="177"/>
      <c r="W65" s="195"/>
    </row>
    <row r="66" spans="1:23" s="122" customFormat="1" ht="12.95" customHeight="1">
      <c r="A66" s="420">
        <v>55</v>
      </c>
      <c r="B66" s="421" t="s">
        <v>5</v>
      </c>
      <c r="C66" s="422" t="s">
        <v>68</v>
      </c>
      <c r="D66" s="390">
        <v>14977291273.709999</v>
      </c>
      <c r="E66" s="204">
        <f t="shared" si="9"/>
        <v>4.420932847119001E-2</v>
      </c>
      <c r="F66" s="391">
        <v>336.76</v>
      </c>
      <c r="G66" s="391">
        <v>336.76</v>
      </c>
      <c r="H66" s="398">
        <v>1.1999999999999999E-3</v>
      </c>
      <c r="I66" s="398"/>
      <c r="J66" s="390">
        <v>15026247728.280001</v>
      </c>
      <c r="K66" s="204">
        <f t="shared" si="10"/>
        <v>4.5594796601024876E-2</v>
      </c>
      <c r="L66" s="391">
        <v>337.15</v>
      </c>
      <c r="M66" s="391">
        <v>337.15</v>
      </c>
      <c r="N66" s="350">
        <v>1.1999999999999999E-3</v>
      </c>
      <c r="O66" s="398">
        <v>1.3899999999999999E-2</v>
      </c>
      <c r="P66" s="83">
        <f t="shared" si="12"/>
        <v>3.2687121906973958E-3</v>
      </c>
      <c r="Q66" s="83">
        <f t="shared" si="13"/>
        <v>1.1580947856039505E-3</v>
      </c>
      <c r="R66" s="241">
        <f t="shared" si="11"/>
        <v>0</v>
      </c>
      <c r="S66" s="120"/>
      <c r="T66" s="154"/>
      <c r="U66" s="141"/>
      <c r="V66" s="177"/>
      <c r="W66" s="195"/>
    </row>
    <row r="67" spans="1:23" s="122" customFormat="1" ht="12.95" customHeight="1">
      <c r="A67" s="420">
        <v>56</v>
      </c>
      <c r="B67" s="421" t="s">
        <v>24</v>
      </c>
      <c r="C67" s="422" t="s">
        <v>39</v>
      </c>
      <c r="D67" s="390">
        <v>6681647198.0100002</v>
      </c>
      <c r="E67" s="204">
        <f t="shared" si="9"/>
        <v>1.9722600723131936E-2</v>
      </c>
      <c r="F67" s="391">
        <v>1.02</v>
      </c>
      <c r="G67" s="391">
        <v>1.02</v>
      </c>
      <c r="H67" s="398">
        <v>0.1104</v>
      </c>
      <c r="I67" s="398"/>
      <c r="J67" s="390">
        <v>6726909090.79</v>
      </c>
      <c r="K67" s="204">
        <f>(J67/$J$118)</f>
        <v>0.14482623883470006</v>
      </c>
      <c r="L67" s="349">
        <v>1.02</v>
      </c>
      <c r="M67" s="349">
        <v>1.02</v>
      </c>
      <c r="N67" s="350">
        <v>0.1101</v>
      </c>
      <c r="O67" s="398">
        <v>0</v>
      </c>
      <c r="P67" s="83">
        <f t="shared" si="12"/>
        <v>6.7740620596490209E-3</v>
      </c>
      <c r="Q67" s="83">
        <f t="shared" si="13"/>
        <v>0</v>
      </c>
      <c r="R67" s="241">
        <f t="shared" si="11"/>
        <v>-2.9999999999999472E-4</v>
      </c>
      <c r="S67" s="120"/>
      <c r="T67" s="154"/>
      <c r="U67" s="178"/>
      <c r="V67" s="174"/>
    </row>
    <row r="68" spans="1:23" s="122" customFormat="1" ht="12.95" customHeight="1">
      <c r="A68" s="420">
        <v>57</v>
      </c>
      <c r="B68" s="421" t="s">
        <v>142</v>
      </c>
      <c r="C68" s="422" t="s">
        <v>119</v>
      </c>
      <c r="D68" s="390">
        <v>1424233832.3800001</v>
      </c>
      <c r="E68" s="204">
        <f t="shared" si="9"/>
        <v>4.2039925754793969E-3</v>
      </c>
      <c r="F68" s="391">
        <v>3.53</v>
      </c>
      <c r="G68" s="391">
        <v>3.53</v>
      </c>
      <c r="H68" s="381">
        <v>-6.2199999999999998E-2</v>
      </c>
      <c r="I68" s="381"/>
      <c r="J68" s="390">
        <v>1425107169.76</v>
      </c>
      <c r="K68" s="204">
        <f t="shared" ref="K68:K86" si="14">(J68/$J$87)</f>
        <v>4.324264627793885E-3</v>
      </c>
      <c r="L68" s="391">
        <v>3.53</v>
      </c>
      <c r="M68" s="391">
        <v>3.53</v>
      </c>
      <c r="N68" s="381">
        <v>1E-3</v>
      </c>
      <c r="O68" s="381">
        <v>-5.28E-2</v>
      </c>
      <c r="P68" s="83">
        <f t="shared" si="12"/>
        <v>6.1319802980699077E-4</v>
      </c>
      <c r="Q68" s="83">
        <f t="shared" si="13"/>
        <v>0</v>
      </c>
      <c r="R68" s="241">
        <f t="shared" si="11"/>
        <v>6.3199999999999992E-2</v>
      </c>
      <c r="S68" s="120"/>
      <c r="T68" s="96"/>
      <c r="U68" s="177"/>
      <c r="V68" s="197"/>
    </row>
    <row r="69" spans="1:23" s="122" customFormat="1" ht="12" customHeight="1">
      <c r="A69" s="420">
        <v>58</v>
      </c>
      <c r="B69" s="421" t="s">
        <v>5</v>
      </c>
      <c r="C69" s="422" t="s">
        <v>73</v>
      </c>
      <c r="D69" s="390">
        <v>41791953405.889999</v>
      </c>
      <c r="E69" s="204">
        <f t="shared" si="9"/>
        <v>0.12335970248617556</v>
      </c>
      <c r="F69" s="390">
        <v>4654.46</v>
      </c>
      <c r="G69" s="390">
        <v>4654.46</v>
      </c>
      <c r="H69" s="398">
        <v>1.18E-2</v>
      </c>
      <c r="I69" s="398"/>
      <c r="J69" s="390">
        <v>37036343649.5</v>
      </c>
      <c r="K69" s="204">
        <f t="shared" si="14"/>
        <v>0.11238098732835859</v>
      </c>
      <c r="L69" s="390">
        <v>4661.43</v>
      </c>
      <c r="M69" s="390">
        <v>4661.43</v>
      </c>
      <c r="N69" s="350">
        <v>1.5E-3</v>
      </c>
      <c r="O69" s="398">
        <v>1.9599999999999999E-2</v>
      </c>
      <c r="P69" s="83">
        <f t="shared" si="12"/>
        <v>-0.11379247364206148</v>
      </c>
      <c r="Q69" s="83">
        <f t="shared" si="13"/>
        <v>1.4974884304517074E-3</v>
      </c>
      <c r="R69" s="241">
        <f t="shared" si="11"/>
        <v>-1.03E-2</v>
      </c>
      <c r="S69" s="120"/>
      <c r="U69" s="177"/>
      <c r="V69" s="197"/>
    </row>
    <row r="70" spans="1:23" s="122" customFormat="1" ht="12.95" customHeight="1">
      <c r="A70" s="420">
        <v>59</v>
      </c>
      <c r="B70" s="421" t="s">
        <v>5</v>
      </c>
      <c r="C70" s="422" t="s">
        <v>74</v>
      </c>
      <c r="D70" s="390">
        <v>247948427.30000001</v>
      </c>
      <c r="E70" s="204">
        <f t="shared" si="9"/>
        <v>7.3188357401193739E-4</v>
      </c>
      <c r="F70" s="390">
        <v>4382.88</v>
      </c>
      <c r="G70" s="390">
        <v>4399.33</v>
      </c>
      <c r="H70" s="398">
        <v>-2.8999999999999998E-3</v>
      </c>
      <c r="I70" s="398"/>
      <c r="J70" s="390">
        <v>248114061.63</v>
      </c>
      <c r="K70" s="204">
        <f t="shared" si="14"/>
        <v>7.5286328153521831E-4</v>
      </c>
      <c r="L70" s="390">
        <v>4385.83</v>
      </c>
      <c r="M70" s="390">
        <v>4402.25</v>
      </c>
      <c r="N70" s="350">
        <v>6.9999999999999999E-4</v>
      </c>
      <c r="O70" s="398">
        <v>3.3700000000000001E-2</v>
      </c>
      <c r="P70" s="83">
        <f t="shared" si="12"/>
        <v>6.680192804755221E-4</v>
      </c>
      <c r="Q70" s="83">
        <f t="shared" si="13"/>
        <v>6.6373743274545738E-4</v>
      </c>
      <c r="R70" s="241">
        <f t="shared" si="11"/>
        <v>3.5999999999999999E-3</v>
      </c>
      <c r="S70" s="120"/>
      <c r="U70" s="474"/>
      <c r="V70" s="474"/>
    </row>
    <row r="71" spans="1:23" s="138" customFormat="1" ht="12.95" customHeight="1">
      <c r="A71" s="420">
        <v>60</v>
      </c>
      <c r="B71" s="421" t="s">
        <v>96</v>
      </c>
      <c r="C71" s="422" t="s">
        <v>97</v>
      </c>
      <c r="D71" s="390">
        <v>52239878.969999999</v>
      </c>
      <c r="E71" s="204">
        <f t="shared" si="9"/>
        <v>1.5419944277466545E-4</v>
      </c>
      <c r="F71" s="352">
        <v>11.56</v>
      </c>
      <c r="G71" s="390">
        <v>11.8</v>
      </c>
      <c r="H71" s="398">
        <v>-5.4219178082191781E-2</v>
      </c>
      <c r="I71" s="398"/>
      <c r="J71" s="390">
        <v>52843655.850000001</v>
      </c>
      <c r="K71" s="204">
        <f t="shared" si="14"/>
        <v>1.603458018065767E-4</v>
      </c>
      <c r="L71" s="352">
        <v>11.59</v>
      </c>
      <c r="M71" s="390">
        <v>11.72</v>
      </c>
      <c r="N71" s="350">
        <v>0.65463013698630135</v>
      </c>
      <c r="O71" s="398">
        <v>2.3894000000000002</v>
      </c>
      <c r="P71" s="83">
        <f t="shared" si="12"/>
        <v>1.1557777159987986E-2</v>
      </c>
      <c r="Q71" s="83">
        <f t="shared" si="13"/>
        <v>-6.7796610169491584E-3</v>
      </c>
      <c r="R71" s="241">
        <f t="shared" si="11"/>
        <v>0.70884931506849314</v>
      </c>
      <c r="S71" s="120"/>
      <c r="T71" s="179"/>
      <c r="U71" s="180"/>
      <c r="V71" s="481"/>
      <c r="W71" s="139"/>
    </row>
    <row r="72" spans="1:23" s="122" customFormat="1" ht="12.95" customHeight="1">
      <c r="A72" s="420">
        <v>61</v>
      </c>
      <c r="B72" s="421" t="s">
        <v>27</v>
      </c>
      <c r="C72" s="422" t="s">
        <v>91</v>
      </c>
      <c r="D72" s="390">
        <v>15642791633.190001</v>
      </c>
      <c r="E72" s="397">
        <f t="shared" si="9"/>
        <v>4.6173723998543498E-2</v>
      </c>
      <c r="F72" s="390">
        <v>1181.22</v>
      </c>
      <c r="G72" s="390">
        <v>1181.22</v>
      </c>
      <c r="H72" s="398">
        <v>1.7899999999999999E-2</v>
      </c>
      <c r="I72" s="398"/>
      <c r="J72" s="390">
        <v>15583760859.870001</v>
      </c>
      <c r="K72" s="397">
        <f t="shared" si="14"/>
        <v>4.7286482928637165E-2</v>
      </c>
      <c r="L72" s="390">
        <v>1182.93</v>
      </c>
      <c r="M72" s="390">
        <v>1182.93</v>
      </c>
      <c r="N72" s="398">
        <v>1.9400000000000001E-2</v>
      </c>
      <c r="O72" s="398">
        <v>0</v>
      </c>
      <c r="P72" s="83">
        <f t="shared" si="12"/>
        <v>-3.7736725454267065E-3</v>
      </c>
      <c r="Q72" s="83">
        <f t="shared" si="13"/>
        <v>1.447655813481008E-3</v>
      </c>
      <c r="R72" s="241">
        <f t="shared" si="11"/>
        <v>1.5000000000000013E-3</v>
      </c>
      <c r="S72" s="120"/>
      <c r="U72" s="181"/>
      <c r="V72" s="481"/>
    </row>
    <row r="73" spans="1:23" s="122" customFormat="1" ht="12.95" customHeight="1">
      <c r="A73" s="420">
        <v>62</v>
      </c>
      <c r="B73" s="421" t="s">
        <v>191</v>
      </c>
      <c r="C73" s="422" t="s">
        <v>190</v>
      </c>
      <c r="D73" s="390">
        <v>21218533.559999999</v>
      </c>
      <c r="E73" s="204">
        <f t="shared" si="9"/>
        <v>6.2631960792376584E-5</v>
      </c>
      <c r="F73" s="390">
        <v>0.63300000000000001</v>
      </c>
      <c r="G73" s="390">
        <v>0.63300000000000001</v>
      </c>
      <c r="H73" s="398">
        <v>-8.7364620938628151E-2</v>
      </c>
      <c r="I73" s="398"/>
      <c r="J73" s="390">
        <v>21266499.98</v>
      </c>
      <c r="K73" s="204">
        <f t="shared" si="14"/>
        <v>6.4529865242331591E-5</v>
      </c>
      <c r="L73" s="390">
        <v>0.63439999999999996</v>
      </c>
      <c r="M73" s="390">
        <v>0.63439999999999996</v>
      </c>
      <c r="N73" s="398">
        <v>2.2000000000000001E-3</v>
      </c>
      <c r="O73" s="398">
        <v>-7.1599999999999997E-2</v>
      </c>
      <c r="P73" s="119">
        <f t="shared" si="12"/>
        <v>2.2605907172786634E-3</v>
      </c>
      <c r="Q73" s="119">
        <f t="shared" si="13"/>
        <v>2.2116903633490627E-3</v>
      </c>
      <c r="R73" s="241">
        <f t="shared" si="11"/>
        <v>8.9564620938628145E-2</v>
      </c>
      <c r="S73" s="120"/>
      <c r="T73" s="182"/>
      <c r="U73" s="140"/>
      <c r="V73" s="481"/>
    </row>
    <row r="74" spans="1:23" s="122" customFormat="1" ht="12.95" customHeight="1">
      <c r="A74" s="420">
        <v>63</v>
      </c>
      <c r="B74" s="421" t="s">
        <v>105</v>
      </c>
      <c r="C74" s="422" t="s">
        <v>108</v>
      </c>
      <c r="D74" s="390">
        <v>364819688.75</v>
      </c>
      <c r="E74" s="204">
        <f t="shared" si="9"/>
        <v>1.0768591701903188E-3</v>
      </c>
      <c r="F74" s="77">
        <v>1128.5999999999999</v>
      </c>
      <c r="G74" s="77">
        <v>1134.31</v>
      </c>
      <c r="H74" s="398">
        <v>2.0299999999999999E-2</v>
      </c>
      <c r="I74" s="398"/>
      <c r="J74" s="390">
        <v>365388928.73000002</v>
      </c>
      <c r="K74" s="204">
        <f t="shared" si="14"/>
        <v>1.1087155081541914E-3</v>
      </c>
      <c r="L74" s="77">
        <v>1130.51</v>
      </c>
      <c r="M74" s="77">
        <v>1136.72</v>
      </c>
      <c r="N74" s="398">
        <v>2.2200000000000001E-2</v>
      </c>
      <c r="O74" s="398">
        <v>0</v>
      </c>
      <c r="P74" s="83">
        <f t="shared" si="12"/>
        <v>1.5603323985896556E-3</v>
      </c>
      <c r="Q74" s="83">
        <f t="shared" si="13"/>
        <v>2.1246396487733352E-3</v>
      </c>
      <c r="R74" s="241">
        <f t="shared" si="11"/>
        <v>1.9000000000000024E-3</v>
      </c>
      <c r="S74" s="120"/>
      <c r="T74" s="133"/>
      <c r="U74" s="140"/>
      <c r="V74" s="481"/>
    </row>
    <row r="75" spans="1:23" s="122" customFormat="1" ht="12.95" customHeight="1">
      <c r="A75" s="420">
        <v>64</v>
      </c>
      <c r="B75" s="421" t="s">
        <v>110</v>
      </c>
      <c r="C75" s="422" t="s">
        <v>111</v>
      </c>
      <c r="D75" s="390">
        <v>793113557.49000001</v>
      </c>
      <c r="E75" s="204">
        <f t="shared" si="9"/>
        <v>2.3410787129162945E-3</v>
      </c>
      <c r="F75" s="391">
        <v>199.27817300000001</v>
      </c>
      <c r="G75" s="391">
        <v>200.23645500000001</v>
      </c>
      <c r="H75" s="398">
        <v>0.12470000000000001</v>
      </c>
      <c r="I75" s="398"/>
      <c r="J75" s="390">
        <v>786291758.03999996</v>
      </c>
      <c r="K75" s="204">
        <f t="shared" si="14"/>
        <v>2.3858792577619624E-3</v>
      </c>
      <c r="L75" s="391">
        <v>199.744091</v>
      </c>
      <c r="M75" s="391">
        <v>200.799667</v>
      </c>
      <c r="N75" s="398">
        <v>0</v>
      </c>
      <c r="O75" s="398">
        <v>0.1242</v>
      </c>
      <c r="P75" s="83">
        <f t="shared" si="12"/>
        <v>-8.6012896710393957E-3</v>
      </c>
      <c r="Q75" s="83">
        <f t="shared" si="13"/>
        <v>2.8127345742312154E-3</v>
      </c>
      <c r="R75" s="241">
        <f t="shared" si="11"/>
        <v>-0.12470000000000001</v>
      </c>
      <c r="S75" s="120"/>
      <c r="T75" s="154"/>
      <c r="U75" s="183"/>
      <c r="V75" s="481"/>
    </row>
    <row r="76" spans="1:23" s="122" customFormat="1" ht="12.95" customHeight="1">
      <c r="A76" s="420">
        <v>65</v>
      </c>
      <c r="B76" s="421" t="s">
        <v>114</v>
      </c>
      <c r="C76" s="422" t="s">
        <v>117</v>
      </c>
      <c r="D76" s="390">
        <v>340596195.69</v>
      </c>
      <c r="E76" s="204">
        <f t="shared" si="9"/>
        <v>1.0053572983338959E-3</v>
      </c>
      <c r="F76" s="391">
        <v>1.3895999999999999</v>
      </c>
      <c r="G76" s="391">
        <v>1.3895999999999999</v>
      </c>
      <c r="H76" s="398">
        <v>3.73E-2</v>
      </c>
      <c r="I76" s="398"/>
      <c r="J76" s="390">
        <v>340795618.30000001</v>
      </c>
      <c r="K76" s="204">
        <f t="shared" si="14"/>
        <v>1.0340909573628896E-3</v>
      </c>
      <c r="L76" s="391">
        <v>1.3905000000000001</v>
      </c>
      <c r="M76" s="391">
        <v>1.3905000000000001</v>
      </c>
      <c r="N76" s="398">
        <v>5.9999999999999995E-4</v>
      </c>
      <c r="O76" s="398">
        <v>3.7900000000000003E-2</v>
      </c>
      <c r="P76" s="83">
        <f t="shared" si="12"/>
        <v>5.8551038597484076E-4</v>
      </c>
      <c r="Q76" s="83">
        <f t="shared" si="13"/>
        <v>6.4766839378247191E-4</v>
      </c>
      <c r="R76" s="241">
        <f t="shared" si="11"/>
        <v>-3.6699999999999997E-2</v>
      </c>
      <c r="S76" s="120"/>
      <c r="T76" s="164"/>
      <c r="U76" s="183"/>
      <c r="V76" s="481"/>
    </row>
    <row r="77" spans="1:23" s="122" customFormat="1" ht="12.95" customHeight="1">
      <c r="A77" s="420">
        <v>66</v>
      </c>
      <c r="B77" s="421" t="s">
        <v>145</v>
      </c>
      <c r="C77" s="422" t="s">
        <v>148</v>
      </c>
      <c r="D77" s="390">
        <v>435253359.00999999</v>
      </c>
      <c r="E77" s="204">
        <f t="shared" si="9"/>
        <v>1.2847622687580551E-3</v>
      </c>
      <c r="F77" s="391">
        <v>1.2501</v>
      </c>
      <c r="G77" s="391">
        <v>1.2501</v>
      </c>
      <c r="H77" s="398">
        <v>-3.748E-3</v>
      </c>
      <c r="I77" s="398"/>
      <c r="J77" s="347">
        <v>438861132.99000001</v>
      </c>
      <c r="K77" s="204">
        <f t="shared" si="14"/>
        <v>1.3316554110255458E-3</v>
      </c>
      <c r="L77" s="349">
        <v>1.2603</v>
      </c>
      <c r="M77" s="349">
        <v>1.2603</v>
      </c>
      <c r="N77" s="350">
        <v>7.5779999999999997E-3</v>
      </c>
      <c r="O77" s="398">
        <v>2.3599999999999999E-2</v>
      </c>
      <c r="P77" s="83">
        <v>-8.3999999999999995E-5</v>
      </c>
      <c r="Q77" s="83">
        <f t="shared" si="13"/>
        <v>8.1593472522198118E-3</v>
      </c>
      <c r="R77" s="241">
        <f t="shared" si="11"/>
        <v>1.1325999999999999E-2</v>
      </c>
      <c r="S77" s="120"/>
      <c r="T77" s="154"/>
      <c r="U77" s="183"/>
      <c r="V77" s="481"/>
    </row>
    <row r="78" spans="1:23" s="122" customFormat="1" ht="12.95" customHeight="1">
      <c r="A78" s="420">
        <v>67</v>
      </c>
      <c r="B78" s="421" t="s">
        <v>7</v>
      </c>
      <c r="C78" s="422" t="s">
        <v>154</v>
      </c>
      <c r="D78" s="390">
        <v>1004898326.08</v>
      </c>
      <c r="E78" s="204">
        <f t="shared" si="9"/>
        <v>2.9662159442543222E-3</v>
      </c>
      <c r="F78" s="391">
        <v>1.1241000000000001</v>
      </c>
      <c r="G78" s="391">
        <v>1.1241000000000001</v>
      </c>
      <c r="H78" s="398">
        <v>5.57E-2</v>
      </c>
      <c r="I78" s="398"/>
      <c r="J78" s="390">
        <v>1006790507.09</v>
      </c>
      <c r="K78" s="204">
        <f t="shared" si="14"/>
        <v>3.0549481960301579E-3</v>
      </c>
      <c r="L78" s="391">
        <v>1.1253</v>
      </c>
      <c r="M78" s="391">
        <v>1.1253</v>
      </c>
      <c r="N78" s="350">
        <v>5.57E-2</v>
      </c>
      <c r="O78" s="398">
        <v>7.0300000000000001E-2</v>
      </c>
      <c r="P78" s="83">
        <f t="shared" ref="P78:P87" si="15">((J78-D78)/D78)</f>
        <v>1.8829576693407228E-3</v>
      </c>
      <c r="Q78" s="83">
        <f t="shared" si="13"/>
        <v>1.0675206832131195E-3</v>
      </c>
      <c r="R78" s="241">
        <f t="shared" si="11"/>
        <v>0</v>
      </c>
      <c r="S78" s="120"/>
      <c r="T78" s="154"/>
      <c r="U78" s="183"/>
      <c r="V78" s="481"/>
    </row>
    <row r="79" spans="1:23" s="122" customFormat="1" ht="12.95" customHeight="1">
      <c r="A79" s="420">
        <v>68</v>
      </c>
      <c r="B79" s="421" t="s">
        <v>5</v>
      </c>
      <c r="C79" s="422" t="s">
        <v>178</v>
      </c>
      <c r="D79" s="390">
        <v>19981718338.66</v>
      </c>
      <c r="E79" s="204">
        <f t="shared" si="9"/>
        <v>5.8981182465432609E-2</v>
      </c>
      <c r="F79" s="391">
        <v>117.08</v>
      </c>
      <c r="G79" s="391">
        <v>117.08</v>
      </c>
      <c r="H79" s="398">
        <v>1.6000000000000001E-3</v>
      </c>
      <c r="I79" s="398"/>
      <c r="J79" s="390">
        <v>19660167052.049999</v>
      </c>
      <c r="K79" s="204">
        <f t="shared" si="14"/>
        <v>5.9655699419445041E-2</v>
      </c>
      <c r="L79" s="391">
        <v>117.27</v>
      </c>
      <c r="M79" s="391">
        <v>117.27</v>
      </c>
      <c r="N79" s="350">
        <v>1.6000000000000001E-3</v>
      </c>
      <c r="O79" s="398">
        <v>1.9699999999999999E-2</v>
      </c>
      <c r="P79" s="83">
        <f t="shared" si="15"/>
        <v>-1.6092274005678146E-2</v>
      </c>
      <c r="Q79" s="83">
        <f t="shared" si="13"/>
        <v>1.622822002049861E-3</v>
      </c>
      <c r="R79" s="241">
        <f t="shared" si="11"/>
        <v>0</v>
      </c>
      <c r="S79" s="120"/>
      <c r="T79" s="154"/>
      <c r="U79" s="183"/>
      <c r="V79" s="481"/>
    </row>
    <row r="80" spans="1:23" s="122" customFormat="1" ht="12.95" customHeight="1">
      <c r="A80" s="420">
        <v>69</v>
      </c>
      <c r="B80" s="421" t="s">
        <v>157</v>
      </c>
      <c r="C80" s="422" t="s">
        <v>183</v>
      </c>
      <c r="D80" s="390">
        <v>246917824.09999999</v>
      </c>
      <c r="E80" s="204">
        <f t="shared" si="9"/>
        <v>7.2884148351909665E-4</v>
      </c>
      <c r="F80" s="77">
        <v>1125.58</v>
      </c>
      <c r="G80" s="77">
        <v>1125.58</v>
      </c>
      <c r="H80" s="398">
        <v>0</v>
      </c>
      <c r="I80" s="398"/>
      <c r="J80" s="390">
        <v>247148026.52000001</v>
      </c>
      <c r="K80" s="397">
        <f t="shared" si="14"/>
        <v>7.4993199921202054E-4</v>
      </c>
      <c r="L80" s="77">
        <v>1127.9100000000001</v>
      </c>
      <c r="M80" s="77">
        <v>1127.9100000000001</v>
      </c>
      <c r="N80" s="398">
        <v>0</v>
      </c>
      <c r="O80" s="398">
        <v>1.2999999999999999E-3</v>
      </c>
      <c r="P80" s="83">
        <f t="shared" si="15"/>
        <v>9.3230377693100976E-4</v>
      </c>
      <c r="Q80" s="83">
        <f t="shared" si="13"/>
        <v>2.0700438884842967E-3</v>
      </c>
      <c r="R80" s="241">
        <f t="shared" si="11"/>
        <v>0</v>
      </c>
      <c r="S80" s="120"/>
      <c r="T80" s="154"/>
      <c r="U80" s="183"/>
      <c r="V80" s="481"/>
    </row>
    <row r="81" spans="1:22" s="122" customFormat="1" ht="12.95" customHeight="1">
      <c r="A81" s="420">
        <v>70</v>
      </c>
      <c r="B81" s="421" t="s">
        <v>193</v>
      </c>
      <c r="C81" s="422" t="s">
        <v>192</v>
      </c>
      <c r="D81" s="390">
        <v>1348305043.5799999</v>
      </c>
      <c r="E81" s="204">
        <f>(D81/$J$87)</f>
        <v>4.0912205981048985E-3</v>
      </c>
      <c r="F81" s="391">
        <v>1.0198</v>
      </c>
      <c r="G81" s="391">
        <v>1.0198</v>
      </c>
      <c r="H81" s="398">
        <v>8.7099999999999997E-2</v>
      </c>
      <c r="I81" s="398"/>
      <c r="J81" s="390">
        <v>1346983034.3499999</v>
      </c>
      <c r="K81" s="204">
        <f t="shared" si="14"/>
        <v>4.0872091680368931E-3</v>
      </c>
      <c r="L81" s="391">
        <v>1.0215000000000001</v>
      </c>
      <c r="M81" s="391">
        <v>1.0215000000000001</v>
      </c>
      <c r="N81" s="350">
        <v>8.6900000000000005E-2</v>
      </c>
      <c r="O81" s="398">
        <v>0</v>
      </c>
      <c r="P81" s="83">
        <f t="shared" si="15"/>
        <v>-9.8049713326729053E-4</v>
      </c>
      <c r="Q81" s="83">
        <f t="shared" si="13"/>
        <v>1.6669935281428071E-3</v>
      </c>
      <c r="R81" s="241">
        <f>N81-H81</f>
        <v>-1.9999999999999185E-4</v>
      </c>
      <c r="S81" s="120"/>
      <c r="T81" s="154"/>
      <c r="U81" s="183"/>
      <c r="V81" s="481"/>
    </row>
    <row r="82" spans="1:22" s="122" customFormat="1" ht="12.95" customHeight="1">
      <c r="A82" s="420">
        <v>71</v>
      </c>
      <c r="B82" s="442" t="s">
        <v>12</v>
      </c>
      <c r="C82" s="421" t="s">
        <v>252</v>
      </c>
      <c r="D82" s="390">
        <v>1858864175.1900001</v>
      </c>
      <c r="E82" s="204">
        <f>(D82/$D$87)</f>
        <v>5.4869158516368992E-3</v>
      </c>
      <c r="F82" s="391">
        <v>101.94</v>
      </c>
      <c r="G82" s="391">
        <v>101.94</v>
      </c>
      <c r="H82" s="398">
        <v>8.6300000000000002E-2</v>
      </c>
      <c r="I82" s="398"/>
      <c r="J82" s="390">
        <v>1931307706.05</v>
      </c>
      <c r="K82" s="204">
        <f t="shared" si="14"/>
        <v>5.8602509171743382E-3</v>
      </c>
      <c r="L82" s="349">
        <v>102.09</v>
      </c>
      <c r="M82" s="349">
        <v>102.09</v>
      </c>
      <c r="N82" s="350">
        <v>1.6999999999999999E-3</v>
      </c>
      <c r="O82" s="398">
        <v>9.9199999999999997E-2</v>
      </c>
      <c r="P82" s="83">
        <f t="shared" si="15"/>
        <v>3.8971933413367993E-2</v>
      </c>
      <c r="Q82" s="83">
        <f t="shared" si="13"/>
        <v>1.4714537963508505E-3</v>
      </c>
      <c r="R82" s="241">
        <f>N82-H82</f>
        <v>-8.4600000000000009E-2</v>
      </c>
      <c r="S82" s="120"/>
      <c r="T82" s="154"/>
      <c r="U82" s="183"/>
      <c r="V82" s="481"/>
    </row>
    <row r="83" spans="1:22" s="122" customFormat="1" ht="12.95" customHeight="1">
      <c r="A83" s="420">
        <v>72</v>
      </c>
      <c r="B83" s="421" t="s">
        <v>94</v>
      </c>
      <c r="C83" s="422" t="s">
        <v>242</v>
      </c>
      <c r="D83" s="390">
        <v>371909930.85000002</v>
      </c>
      <c r="E83" s="204">
        <f>(D83/$D$87)</f>
        <v>1.09778784388777E-3</v>
      </c>
      <c r="F83" s="391">
        <v>107.56</v>
      </c>
      <c r="G83" s="391">
        <v>107.56</v>
      </c>
      <c r="H83" s="398">
        <v>9.7100000000000006E-2</v>
      </c>
      <c r="I83" s="398"/>
      <c r="J83" s="390">
        <v>368165213.85000002</v>
      </c>
      <c r="K83" s="204">
        <f t="shared" si="14"/>
        <v>1.1171397107656402E-3</v>
      </c>
      <c r="L83" s="391">
        <v>107.75</v>
      </c>
      <c r="M83" s="391">
        <v>107.75</v>
      </c>
      <c r="N83" s="398">
        <v>1.8E-3</v>
      </c>
      <c r="O83" s="398">
        <v>9.7100000000000006E-2</v>
      </c>
      <c r="P83" s="83">
        <f t="shared" si="15"/>
        <v>-1.0068881439765403E-2</v>
      </c>
      <c r="Q83" s="83">
        <f t="shared" si="13"/>
        <v>1.7664559315730543E-3</v>
      </c>
      <c r="R83" s="241">
        <f t="shared" si="11"/>
        <v>-9.530000000000001E-2</v>
      </c>
      <c r="S83" s="120"/>
      <c r="T83" s="154"/>
      <c r="U83" s="183"/>
      <c r="V83" s="481"/>
    </row>
    <row r="84" spans="1:22" s="394" customFormat="1" ht="12.95" customHeight="1">
      <c r="A84" s="420">
        <v>73</v>
      </c>
      <c r="B84" s="421" t="s">
        <v>7</v>
      </c>
      <c r="C84" s="422" t="s">
        <v>246</v>
      </c>
      <c r="D84" s="390">
        <v>873059452.58000004</v>
      </c>
      <c r="E84" s="397">
        <f>(D84/$D$87)</f>
        <v>2.5770595903237496E-3</v>
      </c>
      <c r="F84" s="391">
        <v>1.0488999999999999</v>
      </c>
      <c r="G84" s="391">
        <v>1.0488999999999999</v>
      </c>
      <c r="H84" s="398">
        <v>5.9700000000000003E-2</v>
      </c>
      <c r="I84" s="398"/>
      <c r="J84" s="390">
        <v>877725413.79999995</v>
      </c>
      <c r="K84" s="397">
        <f t="shared" si="14"/>
        <v>2.663320373618138E-3</v>
      </c>
      <c r="L84" s="391">
        <v>1.0501</v>
      </c>
      <c r="M84" s="391">
        <v>1.0501</v>
      </c>
      <c r="N84" s="398">
        <v>5.9700000000000003E-2</v>
      </c>
      <c r="O84" s="398">
        <v>6.2399999999999997E-2</v>
      </c>
      <c r="P84" s="393">
        <f t="shared" si="15"/>
        <v>5.3443797054271731E-3</v>
      </c>
      <c r="Q84" s="393">
        <f t="shared" si="13"/>
        <v>1.1440556773763847E-3</v>
      </c>
      <c r="R84" s="400">
        <f>N84-H84</f>
        <v>0</v>
      </c>
      <c r="S84" s="120"/>
      <c r="T84" s="154"/>
      <c r="U84" s="183"/>
      <c r="V84" s="403"/>
    </row>
    <row r="85" spans="1:22" s="394" customFormat="1" ht="12.95" customHeight="1">
      <c r="A85" s="420">
        <v>74</v>
      </c>
      <c r="B85" s="421" t="s">
        <v>257</v>
      </c>
      <c r="C85" s="422" t="s">
        <v>258</v>
      </c>
      <c r="D85" s="390">
        <v>445718180.58999997</v>
      </c>
      <c r="E85" s="397">
        <f>(D85/$D$87)</f>
        <v>1.3156518819843603E-3</v>
      </c>
      <c r="F85" s="77">
        <v>1000</v>
      </c>
      <c r="G85" s="77">
        <v>1000</v>
      </c>
      <c r="H85" s="398">
        <v>0.16589999999999999</v>
      </c>
      <c r="I85" s="398"/>
      <c r="J85" s="390">
        <v>458389005.96999997</v>
      </c>
      <c r="K85" s="397">
        <f t="shared" si="14"/>
        <v>1.3909096847919791E-3</v>
      </c>
      <c r="L85" s="77">
        <v>1000</v>
      </c>
      <c r="M85" s="77">
        <v>1000</v>
      </c>
      <c r="N85" s="398">
        <v>0</v>
      </c>
      <c r="O85" s="398">
        <v>0.161</v>
      </c>
      <c r="P85" s="393">
        <f t="shared" si="15"/>
        <v>2.8427885448216502E-2</v>
      </c>
      <c r="Q85" s="393">
        <f t="shared" si="13"/>
        <v>0</v>
      </c>
      <c r="R85" s="400">
        <f>N85-H85</f>
        <v>-0.16589999999999999</v>
      </c>
      <c r="S85" s="120"/>
      <c r="T85" s="154"/>
      <c r="U85" s="183"/>
      <c r="V85" s="404"/>
    </row>
    <row r="86" spans="1:22" s="122" customFormat="1" ht="12.95" customHeight="1">
      <c r="A86" s="420">
        <v>75</v>
      </c>
      <c r="B86" s="421" t="s">
        <v>266</v>
      </c>
      <c r="C86" s="422" t="s">
        <v>267</v>
      </c>
      <c r="D86" s="390">
        <v>56086780.799999997</v>
      </c>
      <c r="E86" s="204">
        <f>(D86/$D$87)</f>
        <v>1.655545632360948E-4</v>
      </c>
      <c r="F86" s="77">
        <v>103.8403</v>
      </c>
      <c r="G86" s="77">
        <v>103.8403</v>
      </c>
      <c r="H86" s="398">
        <v>1.9192000000000001E-2</v>
      </c>
      <c r="I86" s="398"/>
      <c r="J86" s="390">
        <v>56191792.5</v>
      </c>
      <c r="K86" s="204">
        <f t="shared" si="14"/>
        <v>1.7050519837115476E-4</v>
      </c>
      <c r="L86" s="77">
        <v>104.0162</v>
      </c>
      <c r="M86" s="77">
        <v>104.0162</v>
      </c>
      <c r="N86" s="398">
        <v>2.0424999999999999E-2</v>
      </c>
      <c r="O86" s="398">
        <v>0</v>
      </c>
      <c r="P86" s="83">
        <f t="shared" si="15"/>
        <v>1.8723074938899503E-3</v>
      </c>
      <c r="Q86" s="83">
        <f t="shared" si="13"/>
        <v>1.6939473402907987E-3</v>
      </c>
      <c r="R86" s="241">
        <f t="shared" si="11"/>
        <v>1.232999999999998E-3</v>
      </c>
      <c r="S86" s="120"/>
      <c r="T86" s="154"/>
      <c r="U86" s="183"/>
      <c r="V86" s="317"/>
    </row>
    <row r="87" spans="1:22" s="122" customFormat="1" ht="12.95" customHeight="1">
      <c r="A87" s="228"/>
      <c r="B87" s="117"/>
      <c r="C87" s="265" t="s">
        <v>46</v>
      </c>
      <c r="D87" s="81">
        <f>SUM(D57:D86)</f>
        <v>338781243498.64948</v>
      </c>
      <c r="E87" s="284">
        <f>(D87/$D$167)</f>
        <v>0.21334613986431364</v>
      </c>
      <c r="F87" s="78"/>
      <c r="G87" s="78"/>
      <c r="H87" s="238"/>
      <c r="I87" s="398"/>
      <c r="J87" s="81">
        <f>SUM(J57:J86)</f>
        <v>329560582532.39893</v>
      </c>
      <c r="K87" s="284">
        <f>(J87/$J$167)</f>
        <v>0.20925365640716209</v>
      </c>
      <c r="L87" s="286"/>
      <c r="M87" s="76"/>
      <c r="N87" s="303"/>
      <c r="O87" s="303"/>
      <c r="P87" s="288">
        <f t="shared" si="15"/>
        <v>-2.7217153083881715E-2</v>
      </c>
      <c r="Q87" s="288"/>
      <c r="R87" s="289">
        <f t="shared" si="11"/>
        <v>0</v>
      </c>
      <c r="S87" s="120"/>
      <c r="T87" s="96"/>
      <c r="U87" s="184"/>
      <c r="V87" s="196"/>
    </row>
    <row r="88" spans="1:22" s="122" customFormat="1" ht="5.25" customHeight="1">
      <c r="A88" s="459"/>
      <c r="B88" s="460"/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  <c r="N88" s="460"/>
      <c r="O88" s="460"/>
      <c r="P88" s="460"/>
      <c r="Q88" s="460"/>
      <c r="R88" s="461"/>
      <c r="S88" s="120"/>
      <c r="T88" s="96"/>
      <c r="U88" s="184"/>
      <c r="V88" s="196"/>
    </row>
    <row r="89" spans="1:22" s="122" customFormat="1" ht="12" customHeight="1">
      <c r="A89" s="456" t="s">
        <v>211</v>
      </c>
      <c r="B89" s="457"/>
      <c r="C89" s="457"/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  <c r="P89" s="457"/>
      <c r="Q89" s="457"/>
      <c r="R89" s="458"/>
      <c r="S89" s="120"/>
      <c r="T89" s="96"/>
      <c r="U89" s="184"/>
      <c r="V89" s="196"/>
    </row>
    <row r="90" spans="1:22" s="122" customFormat="1" ht="12.95" customHeight="1">
      <c r="A90" s="471" t="s">
        <v>212</v>
      </c>
      <c r="B90" s="472"/>
      <c r="C90" s="472"/>
      <c r="D90" s="472"/>
      <c r="E90" s="472"/>
      <c r="F90" s="472"/>
      <c r="G90" s="472"/>
      <c r="H90" s="472"/>
      <c r="I90" s="472"/>
      <c r="J90" s="472"/>
      <c r="K90" s="472"/>
      <c r="L90" s="472"/>
      <c r="M90" s="472"/>
      <c r="N90" s="472"/>
      <c r="O90" s="472"/>
      <c r="P90" s="472"/>
      <c r="Q90" s="472"/>
      <c r="R90" s="473"/>
      <c r="S90" s="120"/>
      <c r="T90" s="96"/>
      <c r="U90" s="184"/>
      <c r="V90" s="196"/>
    </row>
    <row r="91" spans="1:22" s="122" customFormat="1" ht="12.95" customHeight="1">
      <c r="A91" s="420">
        <v>76</v>
      </c>
      <c r="B91" s="421" t="s">
        <v>201</v>
      </c>
      <c r="C91" s="422" t="s">
        <v>259</v>
      </c>
      <c r="D91" s="390">
        <v>13173067820.83</v>
      </c>
      <c r="E91" s="204">
        <f t="shared" ref="E91:E99" si="16">(D91/$D$111)</f>
        <v>4.1503659334497331E-2</v>
      </c>
      <c r="F91" s="390">
        <v>56338.64</v>
      </c>
      <c r="G91" s="390">
        <v>56338.64</v>
      </c>
      <c r="H91" s="398">
        <v>6.93E-2</v>
      </c>
      <c r="I91" s="398"/>
      <c r="J91" s="390">
        <v>13158806006.07</v>
      </c>
      <c r="K91" s="204">
        <f t="shared" ref="K91:K99" si="17">(J91/$J$111)</f>
        <v>4.1921773673531601E-2</v>
      </c>
      <c r="L91" s="390">
        <v>56356.07</v>
      </c>
      <c r="M91" s="390">
        <v>56356.07</v>
      </c>
      <c r="N91" s="353">
        <v>6.9699999999999998E-2</v>
      </c>
      <c r="O91" s="398">
        <v>0</v>
      </c>
      <c r="P91" s="83">
        <f t="shared" ref="P91:P99" si="18">((J91-D91)/D91)</f>
        <v>-1.0826494597901213E-3</v>
      </c>
      <c r="Q91" s="83">
        <f t="shared" ref="Q91:Q99" si="19">((M91-G91)/G91)</f>
        <v>3.0937914014254322E-4</v>
      </c>
      <c r="R91" s="241">
        <f t="shared" ref="R91:R96" si="20">N91-H91</f>
        <v>3.9999999999999758E-4</v>
      </c>
      <c r="S91" s="120"/>
      <c r="T91" s="96"/>
      <c r="U91" s="184"/>
      <c r="V91" s="196"/>
    </row>
    <row r="92" spans="1:22" s="122" customFormat="1" ht="12.95" customHeight="1">
      <c r="A92" s="420">
        <v>77</v>
      </c>
      <c r="B92" s="421" t="s">
        <v>45</v>
      </c>
      <c r="C92" s="422" t="s">
        <v>275</v>
      </c>
      <c r="D92" s="390">
        <v>71142641000.550003</v>
      </c>
      <c r="E92" s="204">
        <f t="shared" si="16"/>
        <v>0.2241452011333552</v>
      </c>
      <c r="F92" s="390">
        <v>58541.99</v>
      </c>
      <c r="G92" s="390">
        <v>58541.99</v>
      </c>
      <c r="H92" s="398">
        <v>5.3199999999999997E-2</v>
      </c>
      <c r="I92" s="398"/>
      <c r="J92" s="390">
        <v>67457423864.040001</v>
      </c>
      <c r="K92" s="204">
        <f t="shared" si="17"/>
        <v>0.21490816526387593</v>
      </c>
      <c r="L92" s="390">
        <v>58536.73</v>
      </c>
      <c r="M92" s="390">
        <v>58536.73</v>
      </c>
      <c r="N92" s="398">
        <v>5.3199999999999997E-2</v>
      </c>
      <c r="O92" s="398">
        <v>5.45E-2</v>
      </c>
      <c r="P92" s="83">
        <f t="shared" si="18"/>
        <v>-5.1800398251753289E-2</v>
      </c>
      <c r="Q92" s="83">
        <f t="shared" si="19"/>
        <v>-8.9850037554151495E-5</v>
      </c>
      <c r="R92" s="241">
        <f t="shared" si="20"/>
        <v>0</v>
      </c>
      <c r="S92" s="120"/>
      <c r="U92" s="175"/>
      <c r="V92" s="174"/>
    </row>
    <row r="93" spans="1:22" s="122" customFormat="1" ht="12.95" customHeight="1">
      <c r="A93" s="420">
        <v>78</v>
      </c>
      <c r="B93" s="421" t="s">
        <v>142</v>
      </c>
      <c r="C93" s="422" t="s">
        <v>129</v>
      </c>
      <c r="D93" s="390">
        <v>5983470761.6700001</v>
      </c>
      <c r="E93" s="204">
        <f t="shared" si="16"/>
        <v>1.8851791815540045E-2</v>
      </c>
      <c r="F93" s="390">
        <v>460.39</v>
      </c>
      <c r="G93" s="390">
        <v>460.39</v>
      </c>
      <c r="H93" s="381">
        <v>6.6500000000000004E-2</v>
      </c>
      <c r="I93" s="381"/>
      <c r="J93" s="390">
        <v>5813282404.3199997</v>
      </c>
      <c r="K93" s="204">
        <f t="shared" si="17"/>
        <v>1.8520153663015425E-2</v>
      </c>
      <c r="L93" s="390">
        <v>460.4</v>
      </c>
      <c r="M93" s="390">
        <v>460.4</v>
      </c>
      <c r="N93" s="354">
        <v>8.9999999999999998E-4</v>
      </c>
      <c r="O93" s="381">
        <v>6.4899999999999999E-2</v>
      </c>
      <c r="P93" s="83">
        <f t="shared" si="18"/>
        <v>-2.8443083308808622E-2</v>
      </c>
      <c r="Q93" s="83">
        <f t="shared" si="19"/>
        <v>2.1720715045919558E-5</v>
      </c>
      <c r="R93" s="241">
        <f t="shared" si="20"/>
        <v>-6.5600000000000006E-2</v>
      </c>
      <c r="S93" s="120"/>
      <c r="T93">
        <v>460.9</v>
      </c>
      <c r="U93" s="185"/>
      <c r="V93" s="174"/>
    </row>
    <row r="94" spans="1:22" s="122" customFormat="1" ht="12.95" customHeight="1">
      <c r="A94" s="420">
        <v>79</v>
      </c>
      <c r="B94" s="421" t="s">
        <v>96</v>
      </c>
      <c r="C94" s="422" t="s">
        <v>137</v>
      </c>
      <c r="D94" s="390">
        <f>1683523.4*460.94</f>
        <v>776003275.99599993</v>
      </c>
      <c r="E94" s="204">
        <f t="shared" si="16"/>
        <v>2.4449107867238334E-3</v>
      </c>
      <c r="F94" s="390">
        <f>123*460.94</f>
        <v>56695.62</v>
      </c>
      <c r="G94" s="390">
        <f>127*460.94</f>
        <v>58539.38</v>
      </c>
      <c r="H94" s="398">
        <v>-5.3397260273972597E-2</v>
      </c>
      <c r="I94" s="398"/>
      <c r="J94" s="390">
        <f>1692768.98*460.9</f>
        <v>780197222.88199997</v>
      </c>
      <c r="K94" s="204">
        <f t="shared" si="17"/>
        <v>2.4855789638732898E-3</v>
      </c>
      <c r="L94" s="390">
        <f>122.91*460.9</f>
        <v>56649.218999999997</v>
      </c>
      <c r="M94" s="390">
        <f>127.13*460.9</f>
        <v>58594.216999999997</v>
      </c>
      <c r="N94" s="353">
        <v>0.1283835616438356</v>
      </c>
      <c r="O94" s="398">
        <v>0.46860000000000002</v>
      </c>
      <c r="P94" s="83">
        <f t="shared" si="18"/>
        <v>5.404547913302438E-3</v>
      </c>
      <c r="Q94" s="393">
        <f t="shared" si="19"/>
        <v>9.3675402780144814E-4</v>
      </c>
      <c r="R94" s="241">
        <f t="shared" si="20"/>
        <v>0.1817808219178082</v>
      </c>
      <c r="S94" s="120"/>
      <c r="U94" s="185"/>
      <c r="V94" s="174"/>
    </row>
    <row r="95" spans="1:22" s="122" customFormat="1" ht="12.95" customHeight="1">
      <c r="A95" s="420">
        <v>80</v>
      </c>
      <c r="B95" s="421" t="s">
        <v>62</v>
      </c>
      <c r="C95" s="422" t="s">
        <v>155</v>
      </c>
      <c r="D95" s="390">
        <v>791994864.57000005</v>
      </c>
      <c r="E95" s="204">
        <f t="shared" si="16"/>
        <v>2.4952946041777485E-3</v>
      </c>
      <c r="F95" s="390">
        <f>107.0848*460.44</f>
        <v>49306.125312000004</v>
      </c>
      <c r="G95" s="390">
        <f>107.0848*460.44</f>
        <v>49306.125312000004</v>
      </c>
      <c r="H95" s="398">
        <v>1.1999999999999999E-3</v>
      </c>
      <c r="I95" s="398"/>
      <c r="J95" s="390">
        <v>792837584.21000004</v>
      </c>
      <c r="K95" s="204">
        <f t="shared" si="17"/>
        <v>2.5258490587815696E-3</v>
      </c>
      <c r="L95" s="390">
        <f>107.208*460.4</f>
        <v>49358.563199999997</v>
      </c>
      <c r="M95" s="390">
        <f>107.208*460.4</f>
        <v>49358.563199999997</v>
      </c>
      <c r="N95" s="353">
        <v>1.1999999999999999E-3</v>
      </c>
      <c r="O95" s="398">
        <v>1.7999999999999999E-2</v>
      </c>
      <c r="P95" s="83">
        <f t="shared" si="18"/>
        <v>1.064046848911736E-3</v>
      </c>
      <c r="Q95" s="83">
        <f t="shared" si="19"/>
        <v>1.06351670645738E-3</v>
      </c>
      <c r="R95" s="241">
        <f t="shared" si="20"/>
        <v>0</v>
      </c>
      <c r="S95" s="120"/>
      <c r="T95" s="134"/>
      <c r="U95" s="185"/>
      <c r="V95" s="141"/>
    </row>
    <row r="96" spans="1:22" s="122" customFormat="1" ht="12.95" customHeight="1">
      <c r="A96" s="420">
        <v>81</v>
      </c>
      <c r="B96" s="421" t="s">
        <v>7</v>
      </c>
      <c r="C96" s="422" t="s">
        <v>156</v>
      </c>
      <c r="D96" s="390">
        <f>11301314.56*460.36</f>
        <v>5202673170.8416004</v>
      </c>
      <c r="E96" s="204">
        <f t="shared" si="16"/>
        <v>1.6391775845099509E-2</v>
      </c>
      <c r="F96" s="390">
        <f>1.1372*460.36</f>
        <v>523.52139199999999</v>
      </c>
      <c r="G96" s="390">
        <f>1.1372*460.36</f>
        <v>523.52139199999999</v>
      </c>
      <c r="H96" s="398">
        <v>3.6700000000000003E-2</v>
      </c>
      <c r="I96" s="398"/>
      <c r="J96" s="390">
        <f>11301341.53*460.4</f>
        <v>5203137640.4119997</v>
      </c>
      <c r="K96" s="204">
        <f t="shared" si="17"/>
        <v>1.6576333631863466E-2</v>
      </c>
      <c r="L96" s="390">
        <f>1.1386*460.4</f>
        <v>524.21144000000004</v>
      </c>
      <c r="M96" s="390">
        <f>1.1386*460.4</f>
        <v>524.21144000000004</v>
      </c>
      <c r="N96" s="353">
        <v>6.4199999999999993E-2</v>
      </c>
      <c r="O96" s="398">
        <v>5.1999999999999998E-2</v>
      </c>
      <c r="P96" s="83">
        <f t="shared" si="18"/>
        <v>8.9275177422715247E-5</v>
      </c>
      <c r="Q96" s="83">
        <f t="shared" si="19"/>
        <v>1.3180894048357189E-3</v>
      </c>
      <c r="R96" s="241">
        <f t="shared" si="20"/>
        <v>2.749999999999999E-2</v>
      </c>
      <c r="S96" s="120"/>
      <c r="U96" s="185"/>
      <c r="V96" s="141"/>
    </row>
    <row r="97" spans="1:43" s="394" customFormat="1" ht="12.95" customHeight="1">
      <c r="A97" s="420">
        <v>82</v>
      </c>
      <c r="B97" s="421" t="s">
        <v>184</v>
      </c>
      <c r="C97" s="422" t="s">
        <v>187</v>
      </c>
      <c r="D97" s="390">
        <v>1007635437.2375998</v>
      </c>
      <c r="E97" s="397">
        <f t="shared" si="16"/>
        <v>3.174701481028404E-3</v>
      </c>
      <c r="F97" s="390">
        <v>48851.113769999996</v>
      </c>
      <c r="G97" s="390">
        <v>48851.113769999996</v>
      </c>
      <c r="H97" s="398">
        <v>5.4600000000000003E-2</v>
      </c>
      <c r="I97" s="398"/>
      <c r="J97" s="390">
        <v>1010765628.0919999</v>
      </c>
      <c r="K97" s="397">
        <f t="shared" si="17"/>
        <v>3.2201316653130713E-3</v>
      </c>
      <c r="L97" s="390">
        <v>48893.839059999998</v>
      </c>
      <c r="M97" s="390">
        <v>48893.839059999998</v>
      </c>
      <c r="N97" s="398">
        <v>4.4471939521618022E-2</v>
      </c>
      <c r="O97" s="398">
        <v>4.6100000000000002E-2</v>
      </c>
      <c r="P97" s="393">
        <f t="shared" si="18"/>
        <v>3.1064715855779706E-3</v>
      </c>
      <c r="Q97" s="393">
        <f t="shared" si="19"/>
        <v>8.746021677450515E-4</v>
      </c>
      <c r="R97" s="400">
        <f>N97-H97</f>
        <v>-1.0128060478381981E-2</v>
      </c>
      <c r="S97" s="120"/>
      <c r="U97" s="396"/>
      <c r="V97" s="395"/>
    </row>
    <row r="98" spans="1:43" s="394" customFormat="1" ht="12.95" customHeight="1">
      <c r="A98" s="420">
        <v>83</v>
      </c>
      <c r="B98" s="421" t="s">
        <v>237</v>
      </c>
      <c r="C98" s="422" t="s">
        <v>256</v>
      </c>
      <c r="D98" s="390">
        <f>80017.47*460.94</f>
        <v>36883252.621799998</v>
      </c>
      <c r="E98" s="397">
        <f t="shared" si="16"/>
        <v>1.1620603285309296E-4</v>
      </c>
      <c r="F98" s="390">
        <f>101.26*460.94</f>
        <v>46674.784400000004</v>
      </c>
      <c r="G98" s="390">
        <f>101.26*460.94</f>
        <v>46674.784400000004</v>
      </c>
      <c r="H98" s="398">
        <v>1E-3</v>
      </c>
      <c r="I98" s="398"/>
      <c r="J98" s="390">
        <f>80070.43*460.9</f>
        <v>36904461.186999992</v>
      </c>
      <c r="K98" s="397">
        <f t="shared" si="17"/>
        <v>1.1757149309073986E-4</v>
      </c>
      <c r="L98" s="390">
        <f>101.32*460.9</f>
        <v>46698.387999999992</v>
      </c>
      <c r="M98" s="390">
        <f>101.32*460.9</f>
        <v>46698.387999999992</v>
      </c>
      <c r="N98" s="398">
        <v>1E-3</v>
      </c>
      <c r="O98" s="398">
        <v>3.2000000000000001E-2</v>
      </c>
      <c r="P98" s="393">
        <f t="shared" si="18"/>
        <v>5.7501884168041466E-4</v>
      </c>
      <c r="Q98" s="393">
        <f t="shared" si="19"/>
        <v>5.0570346073173578E-4</v>
      </c>
      <c r="R98" s="400">
        <f t="shared" ref="R98:R99" si="21">N98-H98</f>
        <v>0</v>
      </c>
      <c r="S98" s="120"/>
      <c r="U98" s="396"/>
      <c r="V98" s="395"/>
    </row>
    <row r="99" spans="1:43" s="394" customFormat="1" ht="12.95" customHeight="1">
      <c r="A99" s="420">
        <v>84</v>
      </c>
      <c r="B99" s="421" t="s">
        <v>188</v>
      </c>
      <c r="C99" s="422" t="s">
        <v>270</v>
      </c>
      <c r="D99" s="390">
        <f>1190162.79*460.94</f>
        <v>548593636.42260003</v>
      </c>
      <c r="E99" s="397">
        <f t="shared" si="16"/>
        <v>1.7284237589025096E-3</v>
      </c>
      <c r="F99" s="390">
        <f>102.34*460.94</f>
        <v>47172.599600000001</v>
      </c>
      <c r="G99" s="390">
        <f>102.34*460.94</f>
        <v>47172.599600000001</v>
      </c>
      <c r="H99" s="398">
        <v>0.1052</v>
      </c>
      <c r="I99" s="398"/>
      <c r="J99" s="390">
        <f>1225411.12*460.9</f>
        <v>564791985.20800006</v>
      </c>
      <c r="K99" s="397">
        <f t="shared" si="17"/>
        <v>1.7993335995372553E-3</v>
      </c>
      <c r="L99" s="390">
        <f>102.54*460.9</f>
        <v>47260.686000000002</v>
      </c>
      <c r="M99" s="390">
        <f>102.54*460.9</f>
        <v>47260.686000000002</v>
      </c>
      <c r="N99" s="398">
        <v>2E-3</v>
      </c>
      <c r="O99" s="398">
        <v>2.5399999999999999E-2</v>
      </c>
      <c r="P99" s="393">
        <f t="shared" si="18"/>
        <v>2.9527044628206191E-2</v>
      </c>
      <c r="Q99" s="393">
        <f t="shared" si="19"/>
        <v>1.8673212997996434E-3</v>
      </c>
      <c r="R99" s="400">
        <f t="shared" si="21"/>
        <v>-0.1032</v>
      </c>
      <c r="S99" s="120"/>
      <c r="U99" s="396"/>
      <c r="V99" s="395"/>
    </row>
    <row r="100" spans="1:43" s="122" customFormat="1" ht="4.5" customHeight="1">
      <c r="A100" s="459"/>
      <c r="B100" s="460"/>
      <c r="C100" s="460"/>
      <c r="D100" s="460"/>
      <c r="E100" s="460"/>
      <c r="F100" s="460"/>
      <c r="G100" s="460"/>
      <c r="H100" s="460"/>
      <c r="I100" s="460"/>
      <c r="J100" s="460"/>
      <c r="K100" s="460"/>
      <c r="L100" s="460"/>
      <c r="M100" s="460"/>
      <c r="N100" s="460"/>
      <c r="O100" s="460"/>
      <c r="P100" s="460"/>
      <c r="Q100" s="460"/>
      <c r="R100" s="461"/>
      <c r="S100" s="120"/>
      <c r="U100" s="186"/>
      <c r="V100" s="141"/>
    </row>
    <row r="101" spans="1:43" s="122" customFormat="1" ht="12.95" customHeight="1">
      <c r="A101" s="471" t="s">
        <v>213</v>
      </c>
      <c r="B101" s="472"/>
      <c r="C101" s="472"/>
      <c r="D101" s="472"/>
      <c r="E101" s="472"/>
      <c r="F101" s="472"/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72"/>
      <c r="R101" s="473"/>
      <c r="S101" s="120"/>
      <c r="T101" s="187"/>
      <c r="U101" s="186"/>
      <c r="V101" s="141"/>
      <c r="AG101" s="122">
        <v>136.96</v>
      </c>
      <c r="AQ101" s="131">
        <v>185280902</v>
      </c>
    </row>
    <row r="102" spans="1:43" s="122" customFormat="1" ht="12.95" customHeight="1">
      <c r="A102" s="420">
        <v>85</v>
      </c>
      <c r="B102" s="421" t="s">
        <v>5</v>
      </c>
      <c r="C102" s="422" t="s">
        <v>99</v>
      </c>
      <c r="D102" s="390">
        <v>196257723513.31</v>
      </c>
      <c r="E102" s="204">
        <f t="shared" ref="E102:E108" si="22">(D102/$D$111)</f>
        <v>0.61833840144513608</v>
      </c>
      <c r="F102" s="389">
        <v>639.22</v>
      </c>
      <c r="G102" s="389">
        <v>639.22</v>
      </c>
      <c r="H102" s="398">
        <v>1.2999999999999999E-3</v>
      </c>
      <c r="I102" s="398"/>
      <c r="J102" s="390">
        <v>196214409513.01999</v>
      </c>
      <c r="K102" s="204">
        <f>(J102/$J$111)</f>
        <v>0.62510656842999834</v>
      </c>
      <c r="L102" s="389">
        <v>639.36</v>
      </c>
      <c r="M102" s="389">
        <v>639.36</v>
      </c>
      <c r="N102" s="356">
        <v>1.2999999999999999E-3</v>
      </c>
      <c r="O102" s="398">
        <v>1.55E-2</v>
      </c>
      <c r="P102" s="83">
        <f t="shared" ref="P102:P111" si="23">((J102-D102)/D102)</f>
        <v>-2.2069959599358663E-4</v>
      </c>
      <c r="Q102" s="83">
        <f t="shared" ref="Q102:Q110" si="24">((M102-G102)/G102)</f>
        <v>2.190169268796132E-4</v>
      </c>
      <c r="R102" s="241">
        <f t="shared" ref="R102:R111" si="25">N102-H102</f>
        <v>0</v>
      </c>
      <c r="S102" s="120"/>
      <c r="T102"/>
      <c r="U102" s="475"/>
      <c r="V102" s="141"/>
    </row>
    <row r="103" spans="1:43" s="122" customFormat="1" ht="12.95" customHeight="1">
      <c r="A103" s="420">
        <v>86</v>
      </c>
      <c r="B103" s="421" t="s">
        <v>263</v>
      </c>
      <c r="C103" s="422" t="s">
        <v>133</v>
      </c>
      <c r="D103" s="389">
        <v>4614690682.6000004</v>
      </c>
      <c r="E103" s="204">
        <f t="shared" si="22"/>
        <v>1.4539251799938108E-2</v>
      </c>
      <c r="F103" s="389">
        <v>460.39</v>
      </c>
      <c r="G103" s="389">
        <v>460.39</v>
      </c>
      <c r="H103" s="398">
        <v>8.9999999999999998E-4</v>
      </c>
      <c r="I103" s="398"/>
      <c r="J103" s="389">
        <v>4609779197.9200001</v>
      </c>
      <c r="K103" s="204">
        <f>(J103/$J$111)</f>
        <v>1.4685992036892428E-2</v>
      </c>
      <c r="L103" s="389">
        <v>459.9</v>
      </c>
      <c r="M103" s="389">
        <v>459.9</v>
      </c>
      <c r="N103" s="356">
        <v>8.9999999999999998E-4</v>
      </c>
      <c r="O103" s="398">
        <v>-4.0000000000000002E-4</v>
      </c>
      <c r="P103" s="83">
        <f t="shared" si="23"/>
        <v>-1.0643150360043385E-3</v>
      </c>
      <c r="Q103" s="83">
        <f t="shared" si="24"/>
        <v>-1.0643150372510461E-3</v>
      </c>
      <c r="R103" s="241">
        <f t="shared" si="25"/>
        <v>0</v>
      </c>
      <c r="S103" s="120"/>
      <c r="U103" s="475"/>
      <c r="V103" s="142"/>
    </row>
    <row r="104" spans="1:43" s="122" customFormat="1" ht="12.75" customHeight="1">
      <c r="A104" s="420">
        <v>87</v>
      </c>
      <c r="B104" s="421" t="s">
        <v>94</v>
      </c>
      <c r="C104" s="422" t="s">
        <v>152</v>
      </c>
      <c r="D104" s="389">
        <v>6036174339.4099998</v>
      </c>
      <c r="E104" s="204">
        <f t="shared" si="22"/>
        <v>1.9017842075508443E-2</v>
      </c>
      <c r="F104" s="389">
        <v>52734.15</v>
      </c>
      <c r="G104" s="389">
        <v>52734.15</v>
      </c>
      <c r="H104" s="398">
        <v>5.7709999999999997E-2</v>
      </c>
      <c r="I104" s="398"/>
      <c r="J104" s="389">
        <v>6045629860.3900003</v>
      </c>
      <c r="K104" s="204">
        <f>(J104/$J$111)</f>
        <v>1.9260374125456638E-2</v>
      </c>
      <c r="L104" s="389" t="s">
        <v>289</v>
      </c>
      <c r="M104" s="389" t="s">
        <v>290</v>
      </c>
      <c r="N104" s="398">
        <v>1E-3</v>
      </c>
      <c r="O104" s="398">
        <v>5.7700000000000001E-2</v>
      </c>
      <c r="P104" s="83">
        <f t="shared" si="23"/>
        <v>1.5664757921695013E-3</v>
      </c>
      <c r="Q104" s="83" t="e">
        <f t="shared" si="24"/>
        <v>#VALUE!</v>
      </c>
      <c r="R104" s="241">
        <f t="shared" si="25"/>
        <v>-5.6709999999999997E-2</v>
      </c>
      <c r="S104" s="120"/>
      <c r="T104" s="188"/>
      <c r="U104" s="189"/>
      <c r="V104" s="190"/>
      <c r="W104" s="197"/>
      <c r="X104" s="195"/>
      <c r="Y104" s="152"/>
    </row>
    <row r="105" spans="1:43" s="122" customFormat="1" ht="12.95" customHeight="1" thickBot="1">
      <c r="A105" s="420">
        <v>88</v>
      </c>
      <c r="B105" s="421" t="s">
        <v>157</v>
      </c>
      <c r="C105" s="422" t="s">
        <v>158</v>
      </c>
      <c r="D105" s="389">
        <v>358042486.66000003</v>
      </c>
      <c r="E105" s="204">
        <f t="shared" si="22"/>
        <v>1.1280647451093629E-3</v>
      </c>
      <c r="F105" s="390">
        <v>42741.599999999999</v>
      </c>
      <c r="G105" s="390">
        <v>42741.599999999999</v>
      </c>
      <c r="H105" s="398">
        <v>0</v>
      </c>
      <c r="I105" s="398"/>
      <c r="J105" s="389">
        <v>360557228.12</v>
      </c>
      <c r="K105" s="204">
        <f>(J105/$J$87)</f>
        <v>1.0940544689823572E-3</v>
      </c>
      <c r="L105" s="390">
        <v>43040.78</v>
      </c>
      <c r="M105" s="390">
        <v>43040.78</v>
      </c>
      <c r="N105" s="398">
        <v>0</v>
      </c>
      <c r="O105" s="398">
        <v>2.0000000000000001E-4</v>
      </c>
      <c r="P105" s="83">
        <f t="shared" si="23"/>
        <v>7.0235839423939562E-3</v>
      </c>
      <c r="Q105" s="83">
        <f t="shared" si="24"/>
        <v>6.9997379602073926E-3</v>
      </c>
      <c r="R105" s="241">
        <f t="shared" si="25"/>
        <v>0</v>
      </c>
      <c r="S105" s="120"/>
      <c r="T105" s="177"/>
      <c r="U105" s="171"/>
      <c r="V105" s="190"/>
      <c r="W105" s="197"/>
      <c r="X105" s="195"/>
      <c r="Y105" s="153"/>
    </row>
    <row r="106" spans="1:43" s="122" customFormat="1" ht="12.75" customHeight="1">
      <c r="A106" s="420">
        <v>89</v>
      </c>
      <c r="B106" s="421" t="s">
        <v>9</v>
      </c>
      <c r="C106" s="422" t="s">
        <v>163</v>
      </c>
      <c r="D106" s="389">
        <v>1705398534.1820498</v>
      </c>
      <c r="E106" s="204">
        <f t="shared" si="22"/>
        <v>5.3731052443471905E-3</v>
      </c>
      <c r="F106" s="389">
        <v>527.7750411141335</v>
      </c>
      <c r="G106" s="389">
        <v>527.7750411141335</v>
      </c>
      <c r="H106" s="398">
        <v>5.5947695246413319E-2</v>
      </c>
      <c r="I106" s="398"/>
      <c r="J106" s="389">
        <v>1704477990.9657764</v>
      </c>
      <c r="K106" s="204">
        <f>(J106/$J$111)</f>
        <v>5.4301842078849638E-3</v>
      </c>
      <c r="L106" s="355">
        <v>528.06456764343159</v>
      </c>
      <c r="M106" s="389">
        <v>528.06456764343159</v>
      </c>
      <c r="N106" s="356">
        <v>5.5769471202251335E-2</v>
      </c>
      <c r="O106" s="398">
        <v>5.6625637916130261E-2</v>
      </c>
      <c r="P106" s="83">
        <f t="shared" si="23"/>
        <v>-5.3978187375118309E-4</v>
      </c>
      <c r="Q106" s="83">
        <f t="shared" si="24"/>
        <v>5.4857942635350078E-4</v>
      </c>
      <c r="R106" s="241">
        <f t="shared" si="25"/>
        <v>-1.7822404416198423E-4</v>
      </c>
      <c r="S106" s="120"/>
      <c r="U106" s="195"/>
      <c r="V106" s="195"/>
      <c r="W106" s="195"/>
      <c r="X106" s="197"/>
    </row>
    <row r="107" spans="1:43" s="122" customFormat="1" ht="12.75" customHeight="1">
      <c r="A107" s="420">
        <v>90</v>
      </c>
      <c r="B107" s="421" t="s">
        <v>171</v>
      </c>
      <c r="C107" s="422" t="s">
        <v>173</v>
      </c>
      <c r="D107" s="389">
        <v>97978147.037</v>
      </c>
      <c r="E107" s="204">
        <f t="shared" si="22"/>
        <v>3.0869435215529926E-4</v>
      </c>
      <c r="F107" s="389">
        <v>383.012</v>
      </c>
      <c r="G107" s="389">
        <v>383.012</v>
      </c>
      <c r="H107" s="398">
        <v>-4.1140000000000003E-2</v>
      </c>
      <c r="I107" s="398"/>
      <c r="J107" s="389">
        <v>97861472.569999993</v>
      </c>
      <c r="K107" s="204">
        <f>(J107/$J$111)</f>
        <v>3.1177042222110536E-4</v>
      </c>
      <c r="L107" s="389">
        <v>382.57</v>
      </c>
      <c r="M107" s="389">
        <v>382.57</v>
      </c>
      <c r="N107" s="450">
        <v>-4.1999999999999998E-5</v>
      </c>
      <c r="O107" s="398">
        <v>0</v>
      </c>
      <c r="P107" s="83">
        <f t="shared" si="23"/>
        <v>-1.1908213262692877E-3</v>
      </c>
      <c r="Q107" s="83">
        <f t="shared" si="24"/>
        <v>-1.1540108403914429E-3</v>
      </c>
      <c r="R107" s="241">
        <f t="shared" si="25"/>
        <v>4.1098000000000003E-2</v>
      </c>
      <c r="S107" s="120"/>
      <c r="U107" s="195"/>
      <c r="V107" s="195"/>
      <c r="W107" s="195"/>
      <c r="X107" s="197"/>
    </row>
    <row r="108" spans="1:43" s="122" customFormat="1" ht="12.75" customHeight="1">
      <c r="A108" s="420">
        <v>91</v>
      </c>
      <c r="B108" s="442" t="s">
        <v>12</v>
      </c>
      <c r="C108" s="421" t="s">
        <v>208</v>
      </c>
      <c r="D108" s="390">
        <v>4210786077.3899999</v>
      </c>
      <c r="E108" s="204">
        <f t="shared" si="22"/>
        <v>1.3266691803567099E-2</v>
      </c>
      <c r="F108" s="389">
        <f>0.9971*460.94</f>
        <v>459.603274</v>
      </c>
      <c r="G108" s="389">
        <f>0.9971*460.94</f>
        <v>459.603274</v>
      </c>
      <c r="H108" s="398">
        <v>8.3400000000000002E-2</v>
      </c>
      <c r="I108" s="398"/>
      <c r="J108" s="390">
        <v>4292324383.25</v>
      </c>
      <c r="K108" s="204">
        <f>(J108/$J$111)</f>
        <v>1.3674633644191015E-2</v>
      </c>
      <c r="L108" s="389">
        <f>0.9971*460.9</f>
        <v>459.56338999999997</v>
      </c>
      <c r="M108" s="389">
        <f>0.9971*460.9</f>
        <v>459.56338999999997</v>
      </c>
      <c r="N108" s="356">
        <v>1.6000000000000001E-3</v>
      </c>
      <c r="O108" s="398">
        <v>8.5999999999999993E-2</v>
      </c>
      <c r="P108" s="83">
        <f t="shared" si="23"/>
        <v>1.9364153001698099E-2</v>
      </c>
      <c r="Q108" s="83">
        <f t="shared" si="24"/>
        <v>-8.677919035021739E-5</v>
      </c>
      <c r="R108" s="241">
        <f t="shared" si="25"/>
        <v>-8.1799999999999998E-2</v>
      </c>
      <c r="S108" s="120"/>
      <c r="T108"/>
      <c r="U108" s="318"/>
      <c r="V108" s="318"/>
      <c r="W108" s="318"/>
      <c r="X108" s="319"/>
    </row>
    <row r="109" spans="1:43" s="394" customFormat="1" ht="12.75" customHeight="1">
      <c r="A109" s="420">
        <v>92</v>
      </c>
      <c r="B109" s="421" t="s">
        <v>86</v>
      </c>
      <c r="C109" s="421" t="s">
        <v>247</v>
      </c>
      <c r="D109" s="390">
        <f>6351734.48*460.94</f>
        <v>2927768491.2112002</v>
      </c>
      <c r="E109" s="397">
        <f>(D109/$J$111)</f>
        <v>9.3273848706665191E-3</v>
      </c>
      <c r="F109" s="389">
        <f>125.18*460.94</f>
        <v>57700.4692</v>
      </c>
      <c r="G109" s="389">
        <f>126.06*460.94</f>
        <v>58106.096400000002</v>
      </c>
      <c r="H109" s="398">
        <v>8.0000000000000004E-4</v>
      </c>
      <c r="I109" s="398"/>
      <c r="J109" s="390">
        <f>6536321.58*460.9</f>
        <v>3012590616.2220001</v>
      </c>
      <c r="K109" s="397">
        <f t="shared" ref="K109" si="26">(J109/$J$111)</f>
        <v>9.5976140940147812E-3</v>
      </c>
      <c r="L109" s="389">
        <f>125.25*460.9</f>
        <v>57727.724999999999</v>
      </c>
      <c r="M109" s="389">
        <f>126.13*460.9</f>
        <v>58133.316999999995</v>
      </c>
      <c r="N109" s="398">
        <v>5.9999999999999995E-4</v>
      </c>
      <c r="O109" s="398">
        <v>1.09E-2</v>
      </c>
      <c r="P109" s="393">
        <f t="shared" si="23"/>
        <v>2.8971595693247414E-2</v>
      </c>
      <c r="Q109" s="393">
        <f t="shared" si="24"/>
        <v>4.6846375314231714E-4</v>
      </c>
      <c r="R109" s="400">
        <f t="shared" ref="R109:R110" si="27">N109-H109</f>
        <v>-2.0000000000000009E-4</v>
      </c>
      <c r="S109" s="120"/>
      <c r="T109" s="428"/>
      <c r="U109" s="427"/>
      <c r="V109" s="427"/>
      <c r="W109" s="427"/>
      <c r="X109" s="426"/>
    </row>
    <row r="110" spans="1:43" s="122" customFormat="1" ht="12.95" customHeight="1">
      <c r="A110" s="420">
        <v>93</v>
      </c>
      <c r="B110" s="421" t="s">
        <v>45</v>
      </c>
      <c r="C110" s="422" t="s">
        <v>276</v>
      </c>
      <c r="D110" s="390">
        <v>2523808607.0900002</v>
      </c>
      <c r="E110" s="397">
        <f>(D110/$D$111)</f>
        <v>7.9516247907342619E-3</v>
      </c>
      <c r="F110" s="390">
        <v>467.23</v>
      </c>
      <c r="G110" s="390">
        <v>467.23</v>
      </c>
      <c r="H110" s="398">
        <v>5.2900000000000003E-2</v>
      </c>
      <c r="I110" s="398"/>
      <c r="J110" s="390">
        <v>2733757018.21</v>
      </c>
      <c r="K110" s="397">
        <f>(J110/$J$111)</f>
        <v>8.7092964926272793E-3</v>
      </c>
      <c r="L110" s="390">
        <v>467.14</v>
      </c>
      <c r="M110" s="390">
        <v>467.14</v>
      </c>
      <c r="N110" s="398">
        <v>5.5599999999999997E-2</v>
      </c>
      <c r="O110" s="398">
        <v>6.0299999999999999E-2</v>
      </c>
      <c r="P110" s="393">
        <f t="shared" si="23"/>
        <v>8.3187136508768161E-2</v>
      </c>
      <c r="Q110" s="393">
        <f t="shared" si="24"/>
        <v>-1.9262461742617517E-4</v>
      </c>
      <c r="R110" s="400">
        <f t="shared" si="27"/>
        <v>2.6999999999999941E-3</v>
      </c>
      <c r="S110" s="120"/>
      <c r="U110" s="195"/>
      <c r="V110" s="195"/>
      <c r="W110" s="195"/>
      <c r="X110" s="197"/>
    </row>
    <row r="111" spans="1:43" s="122" customFormat="1" ht="13.5" customHeight="1">
      <c r="A111" s="228"/>
      <c r="B111" s="117"/>
      <c r="C111" s="311" t="s">
        <v>46</v>
      </c>
      <c r="D111" s="81">
        <f>SUM(D91:D110)</f>
        <v>317395334099.62982</v>
      </c>
      <c r="E111" s="284">
        <f>(D111/$D$167)</f>
        <v>0.19987844852860079</v>
      </c>
      <c r="F111" s="286"/>
      <c r="G111" s="76"/>
      <c r="H111" s="300"/>
      <c r="I111" s="300"/>
      <c r="J111" s="81">
        <f>SUM(J91:J110)</f>
        <v>313889534077.08875</v>
      </c>
      <c r="K111" s="284">
        <f>(J111/$J$167)</f>
        <v>0.19930336391826869</v>
      </c>
      <c r="L111" s="286"/>
      <c r="M111" s="76"/>
      <c r="N111" s="302"/>
      <c r="O111" s="302"/>
      <c r="P111" s="288">
        <f t="shared" si="23"/>
        <v>-1.1045531064551228E-2</v>
      </c>
      <c r="Q111" s="288"/>
      <c r="R111" s="289">
        <f t="shared" si="25"/>
        <v>0</v>
      </c>
      <c r="S111" s="120"/>
      <c r="U111" s="195"/>
      <c r="V111" s="195"/>
      <c r="W111" s="195"/>
      <c r="X111" s="195"/>
    </row>
    <row r="112" spans="1:43" s="122" customFormat="1" ht="4.5" customHeight="1">
      <c r="A112" s="459"/>
      <c r="B112" s="460"/>
      <c r="C112" s="460"/>
      <c r="D112" s="460"/>
      <c r="E112" s="460"/>
      <c r="F112" s="460"/>
      <c r="G112" s="460"/>
      <c r="H112" s="460"/>
      <c r="I112" s="460"/>
      <c r="J112" s="460"/>
      <c r="K112" s="460"/>
      <c r="L112" s="460"/>
      <c r="M112" s="460"/>
      <c r="N112" s="460"/>
      <c r="O112" s="460"/>
      <c r="P112" s="460"/>
      <c r="Q112" s="460"/>
      <c r="R112" s="461"/>
      <c r="S112" s="120"/>
      <c r="T112" s="128"/>
      <c r="U112" s="143"/>
    </row>
    <row r="113" spans="1:23" s="122" customFormat="1" ht="12.95" customHeight="1">
      <c r="A113" s="490" t="s">
        <v>230</v>
      </c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2"/>
      <c r="S113" s="120"/>
    </row>
    <row r="114" spans="1:23" s="122" customFormat="1" ht="12.95" customHeight="1">
      <c r="A114" s="420">
        <v>94</v>
      </c>
      <c r="B114" s="421" t="s">
        <v>24</v>
      </c>
      <c r="C114" s="422" t="s">
        <v>150</v>
      </c>
      <c r="D114" s="390">
        <v>2324740232.4000001</v>
      </c>
      <c r="E114" s="204">
        <f>(D114/$D$118)</f>
        <v>5.0056328819139448E-2</v>
      </c>
      <c r="F114" s="391">
        <v>77</v>
      </c>
      <c r="G114" s="391">
        <v>77</v>
      </c>
      <c r="H114" s="398">
        <v>0.1245</v>
      </c>
      <c r="I114" s="398"/>
      <c r="J114" s="390">
        <v>2329739480.9200001</v>
      </c>
      <c r="K114" s="204">
        <f>(J114/$J$118)</f>
        <v>5.0157866255142951E-2</v>
      </c>
      <c r="L114" s="358">
        <v>77</v>
      </c>
      <c r="M114" s="358">
        <v>77</v>
      </c>
      <c r="N114" s="359">
        <v>0.11210000000000001</v>
      </c>
      <c r="O114" s="398">
        <v>0.13500000000000001</v>
      </c>
      <c r="P114" s="83">
        <f>((J114-D114)/D114)</f>
        <v>2.1504546832051379E-3</v>
      </c>
      <c r="Q114" s="83">
        <f>((M114-G114)/G114)</f>
        <v>0</v>
      </c>
      <c r="R114" s="241">
        <f>N114-H114</f>
        <v>-1.2399999999999994E-2</v>
      </c>
      <c r="S114" s="120"/>
    </row>
    <row r="115" spans="1:23" s="122" customFormat="1" ht="12.95" customHeight="1">
      <c r="A115" s="420">
        <v>95</v>
      </c>
      <c r="B115" s="421" t="s">
        <v>24</v>
      </c>
      <c r="C115" s="422" t="s">
        <v>25</v>
      </c>
      <c r="D115" s="390">
        <v>10103642798.32</v>
      </c>
      <c r="E115" s="204">
        <f>(D115/$D$118)</f>
        <v>0.21755173293564586</v>
      </c>
      <c r="F115" s="391">
        <v>36.6</v>
      </c>
      <c r="G115" s="391">
        <v>36.6</v>
      </c>
      <c r="H115" s="398">
        <v>0.17080000000000001</v>
      </c>
      <c r="I115" s="398"/>
      <c r="J115" s="390">
        <v>10105268488.299999</v>
      </c>
      <c r="K115" s="204">
        <f>(J115/$J$118)</f>
        <v>0.21756025060291567</v>
      </c>
      <c r="L115" s="358">
        <v>36.6</v>
      </c>
      <c r="M115" s="358">
        <v>36.6</v>
      </c>
      <c r="N115" s="359">
        <v>9.7000000000000003E-3</v>
      </c>
      <c r="O115" s="398">
        <v>0.15859999999999999</v>
      </c>
      <c r="P115" s="83">
        <f>((J115-D115)/D115)</f>
        <v>1.6090137116385949E-4</v>
      </c>
      <c r="Q115" s="83">
        <f>((M115-G115)/G115)</f>
        <v>0</v>
      </c>
      <c r="R115" s="241">
        <f>N115-H115</f>
        <v>-0.16110000000000002</v>
      </c>
      <c r="S115" s="120"/>
      <c r="T115" s="144"/>
      <c r="U115" s="176"/>
    </row>
    <row r="116" spans="1:23" s="122" customFormat="1" ht="12.95" customHeight="1">
      <c r="A116" s="420">
        <v>96</v>
      </c>
      <c r="B116" s="421" t="s">
        <v>5</v>
      </c>
      <c r="C116" s="422" t="s">
        <v>198</v>
      </c>
      <c r="D116" s="390">
        <v>26502288426.880001</v>
      </c>
      <c r="E116" s="204">
        <f>(D116/$D$118)</f>
        <v>0.57064752675012864</v>
      </c>
      <c r="F116" s="391">
        <v>9.93</v>
      </c>
      <c r="G116" s="391">
        <v>9.93</v>
      </c>
      <c r="H116" s="398">
        <v>-1.5599999999999999E-2</v>
      </c>
      <c r="I116" s="398"/>
      <c r="J116" s="390">
        <v>26501317592.720001</v>
      </c>
      <c r="K116" s="204">
        <f>(J116/$J$118)</f>
        <v>0.570557160698416</v>
      </c>
      <c r="L116" s="358">
        <v>9.93</v>
      </c>
      <c r="M116" s="358">
        <v>9.93</v>
      </c>
      <c r="N116" s="359">
        <v>-4.7600000000000003E-2</v>
      </c>
      <c r="O116" s="398">
        <v>0</v>
      </c>
      <c r="P116" s="83">
        <f>((J116-D116)/D116)</f>
        <v>-3.6632087930005952E-5</v>
      </c>
      <c r="Q116" s="83">
        <f>((M116-G116)/G116)</f>
        <v>0</v>
      </c>
      <c r="R116" s="241">
        <f>N116-H116</f>
        <v>-3.2000000000000001E-2</v>
      </c>
      <c r="S116" s="120"/>
      <c r="T116" s="145"/>
      <c r="U116" s="123"/>
    </row>
    <row r="117" spans="1:23" s="146" customFormat="1" ht="12.95" customHeight="1">
      <c r="A117" s="420">
        <v>97</v>
      </c>
      <c r="B117" s="421" t="s">
        <v>12</v>
      </c>
      <c r="C117" s="422" t="s">
        <v>244</v>
      </c>
      <c r="D117" s="390">
        <v>7511812185.1700001</v>
      </c>
      <c r="E117" s="204">
        <f>(D117/$D$118)</f>
        <v>0.1617444114950862</v>
      </c>
      <c r="F117" s="391">
        <v>101.31</v>
      </c>
      <c r="G117" s="391">
        <v>101.31</v>
      </c>
      <c r="H117" s="398">
        <v>7.6999999999999999E-2</v>
      </c>
      <c r="I117" s="398"/>
      <c r="J117" s="357">
        <v>7511812185.1700001</v>
      </c>
      <c r="K117" s="204">
        <f>(J117/$J$118)</f>
        <v>0.1617247224435254</v>
      </c>
      <c r="L117" s="358">
        <v>101.31</v>
      </c>
      <c r="M117" s="358">
        <v>101.31</v>
      </c>
      <c r="N117" s="359">
        <v>7.6999999999999999E-2</v>
      </c>
      <c r="O117" s="398">
        <v>7.6999999999999999E-2</v>
      </c>
      <c r="P117" s="83">
        <f>((J117-D117)/D117)</f>
        <v>0</v>
      </c>
      <c r="Q117" s="83">
        <f>((M117-G117)/G117)</f>
        <v>0</v>
      </c>
      <c r="R117" s="241">
        <f>N117-H117</f>
        <v>0</v>
      </c>
      <c r="S117" s="120"/>
      <c r="T117" s="145"/>
      <c r="U117" s="171"/>
    </row>
    <row r="118" spans="1:23" s="122" customFormat="1" ht="12.75" customHeight="1">
      <c r="A118" s="228"/>
      <c r="B118" s="117"/>
      <c r="C118" s="265" t="s">
        <v>46</v>
      </c>
      <c r="D118" s="72">
        <f>SUM(D114:D117)</f>
        <v>46442483642.769997</v>
      </c>
      <c r="E118" s="284">
        <f>(D118/$D$167)</f>
        <v>2.9246969249453164E-2</v>
      </c>
      <c r="F118" s="74"/>
      <c r="G118" s="74"/>
      <c r="H118" s="267"/>
      <c r="I118" s="267"/>
      <c r="J118" s="72">
        <f>SUM(J114:J117)</f>
        <v>46448137747.110001</v>
      </c>
      <c r="K118" s="284">
        <f>(J118/$J$167)</f>
        <v>2.9492127311465652E-2</v>
      </c>
      <c r="L118" s="286"/>
      <c r="M118" s="74"/>
      <c r="N118" s="287"/>
      <c r="O118" s="287"/>
      <c r="P118" s="288">
        <f>((J118-D118)/D118)</f>
        <v>1.2174422848473519E-4</v>
      </c>
      <c r="Q118" s="288"/>
      <c r="R118" s="289">
        <f>N118-H118</f>
        <v>0</v>
      </c>
      <c r="S118" s="120"/>
      <c r="T118" s="171"/>
      <c r="U118" s="171"/>
      <c r="V118" s="191"/>
      <c r="W118" s="480"/>
    </row>
    <row r="119" spans="1:23" s="122" customFormat="1" ht="5.25" customHeight="1">
      <c r="A119" s="459"/>
      <c r="B119" s="460"/>
      <c r="C119" s="460"/>
      <c r="D119" s="460"/>
      <c r="E119" s="460"/>
      <c r="F119" s="460"/>
      <c r="G119" s="460"/>
      <c r="H119" s="460"/>
      <c r="I119" s="460"/>
      <c r="J119" s="460"/>
      <c r="K119" s="460"/>
      <c r="L119" s="460"/>
      <c r="M119" s="460"/>
      <c r="N119" s="460"/>
      <c r="O119" s="460"/>
      <c r="P119" s="460"/>
      <c r="Q119" s="460"/>
      <c r="R119" s="461"/>
      <c r="S119" s="120"/>
      <c r="T119" s="171"/>
      <c r="U119" s="171"/>
      <c r="V119" s="191"/>
      <c r="W119" s="480"/>
    </row>
    <row r="120" spans="1:23" s="122" customFormat="1" ht="12" customHeight="1">
      <c r="A120" s="456" t="s">
        <v>241</v>
      </c>
      <c r="B120" s="457"/>
      <c r="C120" s="457"/>
      <c r="D120" s="457"/>
      <c r="E120" s="457"/>
      <c r="F120" s="457"/>
      <c r="G120" s="457"/>
      <c r="H120" s="457"/>
      <c r="I120" s="457"/>
      <c r="J120" s="457"/>
      <c r="K120" s="457"/>
      <c r="L120" s="457"/>
      <c r="M120" s="457"/>
      <c r="N120" s="457"/>
      <c r="O120" s="457"/>
      <c r="P120" s="457"/>
      <c r="Q120" s="457"/>
      <c r="R120" s="458"/>
      <c r="S120" s="120"/>
      <c r="T120" s="195"/>
      <c r="U120" s="197"/>
      <c r="V120" s="191"/>
      <c r="W120" s="480"/>
    </row>
    <row r="121" spans="1:23" s="122" customFormat="1" ht="12" customHeight="1">
      <c r="A121" s="420">
        <v>98</v>
      </c>
      <c r="B121" s="421" t="s">
        <v>5</v>
      </c>
      <c r="C121" s="422" t="s">
        <v>26</v>
      </c>
      <c r="D121" s="390">
        <v>1655284774.4100001</v>
      </c>
      <c r="E121" s="204">
        <f>(D121/$D$145)</f>
        <v>5.3064277282917995E-2</v>
      </c>
      <c r="F121" s="389">
        <v>3812.81</v>
      </c>
      <c r="G121" s="389">
        <v>3840.8</v>
      </c>
      <c r="H121" s="398">
        <v>-1.2699999999999999E-2</v>
      </c>
      <c r="I121" s="398"/>
      <c r="J121" s="390">
        <v>1667769510.96</v>
      </c>
      <c r="K121" s="204">
        <f t="shared" ref="K121:K144" si="28">(J121/$J$145)</f>
        <v>5.333291579850228E-2</v>
      </c>
      <c r="L121" s="389">
        <v>3825.42</v>
      </c>
      <c r="M121" s="389">
        <v>3853.29</v>
      </c>
      <c r="N121" s="371">
        <v>3.3E-3</v>
      </c>
      <c r="O121" s="398">
        <v>4.7899999999999998E-2</v>
      </c>
      <c r="P121" s="83">
        <f t="shared" ref="P121:P145" si="29">((J121-D121)/D121)</f>
        <v>7.5423496566927213E-3</v>
      </c>
      <c r="Q121" s="83">
        <f t="shared" ref="Q121:Q144" si="30">((M121-G121)/G121)</f>
        <v>3.2519266819412054E-3</v>
      </c>
      <c r="R121" s="241">
        <f t="shared" ref="R121:R145" si="31">N121-H121</f>
        <v>1.6E-2</v>
      </c>
      <c r="S121" s="120"/>
      <c r="T121" s="482"/>
      <c r="U121" s="177"/>
      <c r="V121" s="195"/>
    </row>
    <row r="122" spans="1:23" s="122" customFormat="1" ht="12" customHeight="1">
      <c r="A122" s="420">
        <v>99</v>
      </c>
      <c r="B122" s="421" t="s">
        <v>12</v>
      </c>
      <c r="C122" s="422" t="s">
        <v>253</v>
      </c>
      <c r="D122" s="390">
        <v>200798978.24000001</v>
      </c>
      <c r="E122" s="204">
        <f t="shared" ref="E122:E144" si="32">(D122/$D$145)</f>
        <v>6.4371115014042659E-3</v>
      </c>
      <c r="F122" s="389">
        <v>153.61000000000001</v>
      </c>
      <c r="G122" s="389">
        <v>155.84</v>
      </c>
      <c r="H122" s="398">
        <v>4.0899999999999999E-2</v>
      </c>
      <c r="I122" s="398"/>
      <c r="J122" s="390">
        <v>202521215.75999999</v>
      </c>
      <c r="K122" s="205">
        <f t="shared" si="28"/>
        <v>6.4763427299501979E-3</v>
      </c>
      <c r="L122" s="370">
        <v>154.91999999999999</v>
      </c>
      <c r="M122" s="370">
        <v>157.19</v>
      </c>
      <c r="N122" s="371">
        <v>6.6E-3</v>
      </c>
      <c r="O122" s="398">
        <v>4.7399999999999998E-2</v>
      </c>
      <c r="P122" s="83">
        <f t="shared" si="29"/>
        <v>8.5769237228962344E-3</v>
      </c>
      <c r="Q122" s="83">
        <f t="shared" si="30"/>
        <v>8.6627310061601279E-3</v>
      </c>
      <c r="R122" s="241">
        <f t="shared" si="31"/>
        <v>-3.4299999999999997E-2</v>
      </c>
      <c r="S122" s="120"/>
      <c r="T122" s="482"/>
      <c r="W122" s="198"/>
    </row>
    <row r="123" spans="1:23" s="122" customFormat="1" ht="12" customHeight="1">
      <c r="A123" s="420">
        <v>100</v>
      </c>
      <c r="B123" s="421" t="s">
        <v>45</v>
      </c>
      <c r="C123" s="422" t="s">
        <v>80</v>
      </c>
      <c r="D123" s="389">
        <v>1226351025.71</v>
      </c>
      <c r="E123" s="204">
        <f t="shared" si="32"/>
        <v>3.931373735837173E-2</v>
      </c>
      <c r="F123" s="389">
        <v>1.5643</v>
      </c>
      <c r="G123" s="389">
        <v>1.5911999999999999</v>
      </c>
      <c r="H123" s="398">
        <v>-1.6799999999999999E-2</v>
      </c>
      <c r="I123" s="398"/>
      <c r="J123" s="389">
        <v>1236999883.1600001</v>
      </c>
      <c r="K123" s="205">
        <f t="shared" si="28"/>
        <v>3.955751090170382E-2</v>
      </c>
      <c r="L123" s="389">
        <v>1.579</v>
      </c>
      <c r="M123" s="389">
        <v>1.6063000000000001</v>
      </c>
      <c r="N123" s="398">
        <v>9.4000000000000004E-3</v>
      </c>
      <c r="O123" s="398">
        <v>0.15260000000000001</v>
      </c>
      <c r="P123" s="83">
        <f t="shared" si="29"/>
        <v>8.6833681602988474E-3</v>
      </c>
      <c r="Q123" s="83">
        <f t="shared" si="30"/>
        <v>9.4896933132227971E-3</v>
      </c>
      <c r="R123" s="241">
        <f t="shared" si="31"/>
        <v>2.6200000000000001E-2</v>
      </c>
      <c r="S123" s="120"/>
      <c r="T123" s="197"/>
      <c r="U123" s="123"/>
      <c r="W123" s="198"/>
    </row>
    <row r="124" spans="1:23" s="122" customFormat="1" ht="12" customHeight="1">
      <c r="A124" s="420">
        <v>101</v>
      </c>
      <c r="B124" s="421" t="s">
        <v>7</v>
      </c>
      <c r="C124" s="422" t="s">
        <v>165</v>
      </c>
      <c r="D124" s="389">
        <v>4974734439.8800001</v>
      </c>
      <c r="E124" s="204">
        <f t="shared" si="32"/>
        <v>0.15947750611115588</v>
      </c>
      <c r="F124" s="389">
        <v>547.76220000000001</v>
      </c>
      <c r="G124" s="389">
        <v>564.27769999999998</v>
      </c>
      <c r="H124" s="374">
        <v>-0.49309999999999998</v>
      </c>
      <c r="I124" s="374"/>
      <c r="J124" s="389">
        <v>4978111331.3400002</v>
      </c>
      <c r="K124" s="205">
        <f t="shared" si="28"/>
        <v>0.15919297644259073</v>
      </c>
      <c r="L124" s="389">
        <v>547.95249999999999</v>
      </c>
      <c r="M124" s="389">
        <v>564.47370000000001</v>
      </c>
      <c r="N124" s="374">
        <v>1.8100000000000002E-2</v>
      </c>
      <c r="O124" s="374">
        <v>0.1797</v>
      </c>
      <c r="P124" s="83">
        <f t="shared" si="29"/>
        <v>6.7880838682144709E-4</v>
      </c>
      <c r="Q124" s="83">
        <f t="shared" si="30"/>
        <v>3.4734670535452029E-4</v>
      </c>
      <c r="R124" s="241">
        <f t="shared" si="31"/>
        <v>0.51119999999999999</v>
      </c>
      <c r="S124" s="120"/>
      <c r="T124" s="197"/>
      <c r="U124" s="123"/>
      <c r="W124" s="198"/>
    </row>
    <row r="125" spans="1:23" s="122" customFormat="1" ht="12" customHeight="1">
      <c r="A125" s="420">
        <v>102</v>
      </c>
      <c r="B125" s="421" t="s">
        <v>15</v>
      </c>
      <c r="C125" s="422" t="s">
        <v>261</v>
      </c>
      <c r="D125" s="389">
        <v>2646892579.3899999</v>
      </c>
      <c r="E125" s="204">
        <f t="shared" si="32"/>
        <v>8.485273588099794E-2</v>
      </c>
      <c r="F125" s="389">
        <v>14.5724</v>
      </c>
      <c r="G125" s="389">
        <v>14.7103</v>
      </c>
      <c r="H125" s="398">
        <v>5.0700000000000002E-2</v>
      </c>
      <c r="I125" s="398"/>
      <c r="J125" s="389">
        <v>2649688853.8699999</v>
      </c>
      <c r="K125" s="367">
        <f t="shared" si="28"/>
        <v>8.4733310932357045E-2</v>
      </c>
      <c r="L125" s="389">
        <v>14.5329</v>
      </c>
      <c r="M125" s="389">
        <v>14.6698</v>
      </c>
      <c r="N125" s="398">
        <v>6.6E-3</v>
      </c>
      <c r="O125" s="398">
        <v>4.7899999999999998E-2</v>
      </c>
      <c r="P125" s="83">
        <f t="shared" si="29"/>
        <v>1.0564367068664514E-3</v>
      </c>
      <c r="Q125" s="83">
        <f t="shared" si="30"/>
        <v>-2.7531729468467507E-3</v>
      </c>
      <c r="R125" s="241">
        <f t="shared" si="31"/>
        <v>-4.41E-2</v>
      </c>
      <c r="S125" s="120"/>
      <c r="T125" s="197"/>
      <c r="U125" s="123"/>
      <c r="W125" s="198"/>
    </row>
    <row r="126" spans="1:23" s="122" customFormat="1" ht="12" customHeight="1">
      <c r="A126" s="420">
        <v>103</v>
      </c>
      <c r="B126" s="421" t="s">
        <v>201</v>
      </c>
      <c r="C126" s="422" t="s">
        <v>207</v>
      </c>
      <c r="D126" s="389">
        <v>5105017764.8400002</v>
      </c>
      <c r="E126" s="204">
        <f t="shared" si="32"/>
        <v>0.16365406266981941</v>
      </c>
      <c r="F126" s="389">
        <v>209.13</v>
      </c>
      <c r="G126" s="389">
        <v>210.66</v>
      </c>
      <c r="H126" s="398">
        <v>-1.06E-2</v>
      </c>
      <c r="I126" s="398"/>
      <c r="J126" s="389">
        <v>5112204220.3800001</v>
      </c>
      <c r="K126" s="205">
        <f t="shared" si="28"/>
        <v>0.16348107783391047</v>
      </c>
      <c r="L126" s="389">
        <v>209.41</v>
      </c>
      <c r="M126" s="389">
        <v>210.94</v>
      </c>
      <c r="N126" s="398">
        <v>1.2999999999999999E-3</v>
      </c>
      <c r="O126" s="398">
        <v>0</v>
      </c>
      <c r="P126" s="83">
        <f t="shared" si="29"/>
        <v>1.4077239044094096E-3</v>
      </c>
      <c r="Q126" s="83">
        <f t="shared" si="30"/>
        <v>1.3291559859489278E-3</v>
      </c>
      <c r="R126" s="241">
        <f t="shared" si="31"/>
        <v>1.1900000000000001E-2</v>
      </c>
      <c r="S126" s="120"/>
      <c r="U126" s="123"/>
      <c r="W126" s="198"/>
    </row>
    <row r="127" spans="1:23" s="122" customFormat="1" ht="12" customHeight="1">
      <c r="A127" s="420">
        <v>104</v>
      </c>
      <c r="B127" s="421" t="s">
        <v>113</v>
      </c>
      <c r="C127" s="422" t="s">
        <v>168</v>
      </c>
      <c r="D127" s="389">
        <v>4354648635.3699999</v>
      </c>
      <c r="E127" s="204">
        <f t="shared" si="32"/>
        <v>0.13959911081724147</v>
      </c>
      <c r="F127" s="389">
        <v>192.31639999999999</v>
      </c>
      <c r="G127" s="389">
        <v>196.9196</v>
      </c>
      <c r="H127" s="398">
        <v>4.87E-2</v>
      </c>
      <c r="I127" s="398"/>
      <c r="J127" s="389">
        <v>4366708962.9099998</v>
      </c>
      <c r="K127" s="205">
        <f t="shared" si="28"/>
        <v>0.13964119136665876</v>
      </c>
      <c r="L127" s="389">
        <v>192.84739999999999</v>
      </c>
      <c r="M127" s="389">
        <v>197.46610000000001</v>
      </c>
      <c r="N127" s="398">
        <v>0.14396999999999999</v>
      </c>
      <c r="O127" s="398">
        <v>5.1700000000000003E-2</v>
      </c>
      <c r="P127" s="83">
        <f t="shared" si="29"/>
        <v>2.7695294270223565E-3</v>
      </c>
      <c r="Q127" s="83">
        <f t="shared" si="30"/>
        <v>2.7752443129074448E-3</v>
      </c>
      <c r="R127" s="241">
        <f t="shared" si="31"/>
        <v>9.5269999999999994E-2</v>
      </c>
      <c r="S127" s="120"/>
      <c r="U127" s="123"/>
    </row>
    <row r="128" spans="1:23" s="122" customFormat="1" ht="12" customHeight="1">
      <c r="A128" s="420">
        <v>105</v>
      </c>
      <c r="B128" s="421" t="s">
        <v>9</v>
      </c>
      <c r="C128" s="422" t="s">
        <v>182</v>
      </c>
      <c r="D128" s="390">
        <v>2325537171.3157201</v>
      </c>
      <c r="E128" s="204">
        <f t="shared" si="32"/>
        <v>7.4550887676964925E-2</v>
      </c>
      <c r="F128" s="389">
        <v>4362.37694352778</v>
      </c>
      <c r="G128" s="389">
        <v>4390.9135297029998</v>
      </c>
      <c r="H128" s="398">
        <v>-0.86029864993861105</v>
      </c>
      <c r="I128" s="398"/>
      <c r="J128" s="361">
        <v>2334194556.6071301</v>
      </c>
      <c r="K128" s="205">
        <f t="shared" si="28"/>
        <v>7.4644248456845794E-2</v>
      </c>
      <c r="L128" s="370">
        <v>4378.14225947451</v>
      </c>
      <c r="M128" s="389">
        <v>4406.1711271848098</v>
      </c>
      <c r="N128" s="371">
        <v>0.18844052860722568</v>
      </c>
      <c r="O128" s="398">
        <v>0.17787566899088314</v>
      </c>
      <c r="P128" s="83">
        <f t="shared" si="29"/>
        <v>3.7227464682974202E-3</v>
      </c>
      <c r="Q128" s="83">
        <f t="shared" si="30"/>
        <v>3.4748116487828217E-3</v>
      </c>
      <c r="R128" s="241">
        <f t="shared" si="31"/>
        <v>1.0487391785458366</v>
      </c>
      <c r="S128" s="120"/>
      <c r="U128" s="121"/>
    </row>
    <row r="129" spans="1:22" s="122" customFormat="1" ht="11.25" customHeight="1">
      <c r="A129" s="420">
        <v>106</v>
      </c>
      <c r="B129" s="421" t="s">
        <v>191</v>
      </c>
      <c r="C129" s="422" t="s">
        <v>197</v>
      </c>
      <c r="D129" s="389">
        <v>1921889025.23</v>
      </c>
      <c r="E129" s="204">
        <f t="shared" si="32"/>
        <v>6.1610940738672682E-2</v>
      </c>
      <c r="F129" s="389">
        <v>1.3234999999999999</v>
      </c>
      <c r="G129" s="389">
        <v>1.3481000000000001</v>
      </c>
      <c r="H129" s="398">
        <v>6.2470383825619924E-2</v>
      </c>
      <c r="I129" s="398"/>
      <c r="J129" s="389">
        <v>1923154245.5</v>
      </c>
      <c r="K129" s="205">
        <f t="shared" si="28"/>
        <v>6.1499759270538482E-2</v>
      </c>
      <c r="L129" s="389">
        <v>1.3244</v>
      </c>
      <c r="M129" s="389">
        <v>1.3489</v>
      </c>
      <c r="N129" s="398">
        <v>6.9999999999999999E-4</v>
      </c>
      <c r="O129" s="398">
        <v>0.03</v>
      </c>
      <c r="P129" s="83">
        <f t="shared" si="29"/>
        <v>6.5832118992852203E-4</v>
      </c>
      <c r="Q129" s="83">
        <f t="shared" si="30"/>
        <v>5.9342778725607283E-4</v>
      </c>
      <c r="R129" s="241">
        <f t="shared" si="31"/>
        <v>-6.1770383825619925E-2</v>
      </c>
      <c r="S129" s="120"/>
    </row>
    <row r="130" spans="1:22" s="122" customFormat="1" ht="12" customHeight="1">
      <c r="A130" s="420">
        <v>107</v>
      </c>
      <c r="B130" s="421" t="s">
        <v>61</v>
      </c>
      <c r="C130" s="422" t="s">
        <v>31</v>
      </c>
      <c r="D130" s="390">
        <v>1178392986</v>
      </c>
      <c r="E130" s="204">
        <f t="shared" si="32"/>
        <v>3.7776322916784955E-2</v>
      </c>
      <c r="F130" s="389">
        <v>552.20000000000005</v>
      </c>
      <c r="G130" s="389">
        <v>552.20000000000005</v>
      </c>
      <c r="H130" s="398">
        <v>2.3900000000000001E-2</v>
      </c>
      <c r="I130" s="398"/>
      <c r="J130" s="390">
        <v>1182012382</v>
      </c>
      <c r="K130" s="367">
        <f t="shared" si="28"/>
        <v>3.7799088199967149E-2</v>
      </c>
      <c r="L130" s="370">
        <v>552.20000000000005</v>
      </c>
      <c r="M130" s="370">
        <v>552.20000000000005</v>
      </c>
      <c r="N130" s="371">
        <v>3.0699999999999998E-3</v>
      </c>
      <c r="O130" s="398">
        <v>2.7E-2</v>
      </c>
      <c r="P130" s="83">
        <f t="shared" si="29"/>
        <v>3.071467704747523E-3</v>
      </c>
      <c r="Q130" s="83">
        <f t="shared" si="30"/>
        <v>0</v>
      </c>
      <c r="R130" s="241">
        <f t="shared" si="31"/>
        <v>-2.0830000000000001E-2</v>
      </c>
      <c r="S130" s="120"/>
    </row>
    <row r="131" spans="1:22" s="122" customFormat="1" ht="12" customHeight="1">
      <c r="A131" s="420">
        <v>108</v>
      </c>
      <c r="B131" s="421" t="s">
        <v>263</v>
      </c>
      <c r="C131" s="422" t="s">
        <v>56</v>
      </c>
      <c r="D131" s="390">
        <v>2261786761.5700002</v>
      </c>
      <c r="E131" s="204">
        <f t="shared" si="32"/>
        <v>7.2507209470082185E-2</v>
      </c>
      <c r="F131" s="389">
        <v>3.19</v>
      </c>
      <c r="G131" s="389">
        <v>3.25</v>
      </c>
      <c r="H131" s="398">
        <v>-1.3599999999999999E-2</v>
      </c>
      <c r="I131" s="398"/>
      <c r="J131" s="390">
        <v>2261786761.5700002</v>
      </c>
      <c r="K131" s="205">
        <f t="shared" si="28"/>
        <v>7.232874933631829E-2</v>
      </c>
      <c r="L131" s="370">
        <v>3.18</v>
      </c>
      <c r="M131" s="370">
        <v>3.24</v>
      </c>
      <c r="N131" s="371">
        <v>-2.0999999999999999E-3</v>
      </c>
      <c r="O131" s="398">
        <v>3.0700000000000002E-2</v>
      </c>
      <c r="P131" s="83">
        <f t="shared" si="29"/>
        <v>0</v>
      </c>
      <c r="Q131" s="83">
        <f t="shared" si="30"/>
        <v>-3.0769230769230114E-3</v>
      </c>
      <c r="R131" s="241">
        <f t="shared" si="31"/>
        <v>1.15E-2</v>
      </c>
      <c r="S131" s="120"/>
    </row>
    <row r="132" spans="1:22" s="122" customFormat="1" ht="12" customHeight="1">
      <c r="A132" s="420">
        <v>109</v>
      </c>
      <c r="B132" s="421" t="s">
        <v>96</v>
      </c>
      <c r="C132" s="422" t="s">
        <v>52</v>
      </c>
      <c r="D132" s="389">
        <v>163707654.36000001</v>
      </c>
      <c r="E132" s="204">
        <f t="shared" si="32"/>
        <v>5.2480567081827313E-3</v>
      </c>
      <c r="F132" s="389">
        <v>1.66</v>
      </c>
      <c r="G132" s="389">
        <v>1.7</v>
      </c>
      <c r="H132" s="398">
        <v>2.23E-2</v>
      </c>
      <c r="I132" s="398"/>
      <c r="J132" s="389">
        <v>164236785.69999999</v>
      </c>
      <c r="K132" s="205">
        <f t="shared" si="28"/>
        <v>5.2520606745669459E-3</v>
      </c>
      <c r="L132" s="389">
        <v>1.67</v>
      </c>
      <c r="M132" s="389">
        <v>1.71</v>
      </c>
      <c r="N132" s="371">
        <v>-0.40558904109589039</v>
      </c>
      <c r="O132" s="398">
        <v>-1.4803999999999999</v>
      </c>
      <c r="P132" s="83">
        <f t="shared" si="29"/>
        <v>3.2321722650572693E-3</v>
      </c>
      <c r="Q132" s="83">
        <f t="shared" si="30"/>
        <v>5.8823529411764757E-3</v>
      </c>
      <c r="R132" s="241">
        <f t="shared" si="31"/>
        <v>-0.42788904109589038</v>
      </c>
      <c r="S132" s="120"/>
    </row>
    <row r="133" spans="1:22" s="122" customFormat="1" ht="12" customHeight="1">
      <c r="A133" s="420">
        <v>110</v>
      </c>
      <c r="B133" s="421" t="s">
        <v>45</v>
      </c>
      <c r="C133" s="422" t="s">
        <v>260</v>
      </c>
      <c r="D133" s="389">
        <v>702054403.38999999</v>
      </c>
      <c r="E133" s="204">
        <f t="shared" si="32"/>
        <v>2.250610294078197E-2</v>
      </c>
      <c r="F133" s="389">
        <v>1.2644</v>
      </c>
      <c r="G133" s="389">
        <v>1.2876000000000001</v>
      </c>
      <c r="H133" s="398">
        <v>-1.66E-2</v>
      </c>
      <c r="I133" s="398"/>
      <c r="J133" s="389">
        <v>706025762.05999994</v>
      </c>
      <c r="K133" s="205">
        <f t="shared" si="28"/>
        <v>2.2577707694059465E-2</v>
      </c>
      <c r="L133" s="389">
        <v>1.2715000000000001</v>
      </c>
      <c r="M133" s="389">
        <v>1.2937000000000001</v>
      </c>
      <c r="N133" s="398">
        <v>5.5999999999999999E-3</v>
      </c>
      <c r="O133" s="398">
        <v>9.4100000000000003E-2</v>
      </c>
      <c r="P133" s="83">
        <f t="shared" si="29"/>
        <v>5.6567676960980725E-3</v>
      </c>
      <c r="Q133" s="83">
        <f t="shared" si="30"/>
        <v>4.7374961168064568E-3</v>
      </c>
      <c r="R133" s="241">
        <f t="shared" si="31"/>
        <v>2.2200000000000001E-2</v>
      </c>
      <c r="S133" s="120"/>
    </row>
    <row r="134" spans="1:22" s="122" customFormat="1" ht="12" customHeight="1">
      <c r="A134" s="420">
        <v>111</v>
      </c>
      <c r="B134" s="421" t="s">
        <v>114</v>
      </c>
      <c r="C134" s="422" t="s">
        <v>116</v>
      </c>
      <c r="D134" s="389">
        <v>124997954.26000001</v>
      </c>
      <c r="E134" s="204">
        <f t="shared" si="32"/>
        <v>4.007120833340802E-3</v>
      </c>
      <c r="F134" s="389">
        <v>1.2201</v>
      </c>
      <c r="G134" s="389">
        <v>1.2289000000000001</v>
      </c>
      <c r="H134" s="398">
        <v>1.5699999999999999E-2</v>
      </c>
      <c r="I134" s="398"/>
      <c r="J134" s="360">
        <v>126336048.79000001</v>
      </c>
      <c r="K134" s="205">
        <f t="shared" si="28"/>
        <v>4.0400485847436433E-3</v>
      </c>
      <c r="L134" s="370">
        <v>1.2333000000000001</v>
      </c>
      <c r="M134" s="370">
        <v>1.2421</v>
      </c>
      <c r="N134" s="371">
        <v>1.0800000000000001E-2</v>
      </c>
      <c r="O134" s="398">
        <v>2.6700000000000002E-2</v>
      </c>
      <c r="P134" s="83">
        <f t="shared" si="29"/>
        <v>1.0704931436051496E-2</v>
      </c>
      <c r="Q134" s="83">
        <f t="shared" si="30"/>
        <v>1.0741313369680101E-2</v>
      </c>
      <c r="R134" s="241">
        <f t="shared" si="31"/>
        <v>-4.8999999999999981E-3</v>
      </c>
      <c r="S134" s="120"/>
    </row>
    <row r="135" spans="1:22" s="122" customFormat="1" ht="12" customHeight="1">
      <c r="A135" s="420">
        <v>112</v>
      </c>
      <c r="B135" s="421" t="s">
        <v>93</v>
      </c>
      <c r="C135" s="422" t="s">
        <v>291</v>
      </c>
      <c r="D135" s="389">
        <v>133896010.43000001</v>
      </c>
      <c r="E135" s="204">
        <f t="shared" si="32"/>
        <v>4.292370191749331E-3</v>
      </c>
      <c r="F135" s="389">
        <v>87.47</v>
      </c>
      <c r="G135" s="389">
        <v>91.43</v>
      </c>
      <c r="H135" s="398">
        <v>8.5699999999999887E-2</v>
      </c>
      <c r="I135" s="398"/>
      <c r="J135" s="69">
        <v>133856820.12057699</v>
      </c>
      <c r="K135" s="205">
        <f t="shared" si="28"/>
        <v>4.2805522403612404E-3</v>
      </c>
      <c r="L135" s="370">
        <v>87.44</v>
      </c>
      <c r="M135" s="370">
        <v>91.44</v>
      </c>
      <c r="N135" s="371">
        <v>-8.5600000000000009E-2</v>
      </c>
      <c r="O135" s="398">
        <v>0</v>
      </c>
      <c r="P135" s="83">
        <f t="shared" si="29"/>
        <v>-2.9269213695880036E-4</v>
      </c>
      <c r="Q135" s="83">
        <f t="shared" si="30"/>
        <v>1.0937329104222798E-4</v>
      </c>
      <c r="R135" s="241">
        <f t="shared" si="31"/>
        <v>-0.1712999999999999</v>
      </c>
      <c r="S135" s="120"/>
      <c r="T135" s="240"/>
      <c r="U135" s="240"/>
      <c r="V135" s="121"/>
    </row>
    <row r="136" spans="1:22" s="122" customFormat="1" ht="12" customHeight="1">
      <c r="A136" s="420">
        <v>113</v>
      </c>
      <c r="B136" s="421" t="s">
        <v>40</v>
      </c>
      <c r="C136" s="422" t="s">
        <v>124</v>
      </c>
      <c r="D136" s="389">
        <v>172001524.68000001</v>
      </c>
      <c r="E136" s="204">
        <f t="shared" si="32"/>
        <v>5.5139373839509917E-3</v>
      </c>
      <c r="F136" s="389">
        <v>3.86</v>
      </c>
      <c r="G136" s="389">
        <v>3.92</v>
      </c>
      <c r="H136" s="398">
        <v>3.7699999999999997E-2</v>
      </c>
      <c r="I136" s="398"/>
      <c r="J136" s="389">
        <v>172731006.96000001</v>
      </c>
      <c r="K136" s="205">
        <f t="shared" si="28"/>
        <v>5.5236938854251183E-3</v>
      </c>
      <c r="L136" s="389">
        <v>3.88</v>
      </c>
      <c r="M136" s="389">
        <v>3.94</v>
      </c>
      <c r="N136" s="398">
        <v>4.3389999999999998E-2</v>
      </c>
      <c r="O136" s="398">
        <v>0</v>
      </c>
      <c r="P136" s="83">
        <f t="shared" si="29"/>
        <v>4.2411384512850425E-3</v>
      </c>
      <c r="Q136" s="83">
        <f t="shared" si="30"/>
        <v>5.1020408163265354E-3</v>
      </c>
      <c r="R136" s="241">
        <f t="shared" si="31"/>
        <v>5.6900000000000006E-3</v>
      </c>
      <c r="S136" s="120"/>
      <c r="U136" s="234"/>
      <c r="V136" s="121"/>
    </row>
    <row r="137" spans="1:22" s="122" customFormat="1" ht="12" customHeight="1">
      <c r="A137" s="420">
        <v>114</v>
      </c>
      <c r="B137" s="421" t="s">
        <v>94</v>
      </c>
      <c r="C137" s="422" t="s">
        <v>166</v>
      </c>
      <c r="D137" s="389">
        <v>359800628.67000002</v>
      </c>
      <c r="E137" s="204">
        <f t="shared" si="32"/>
        <v>1.1534305529462949E-2</v>
      </c>
      <c r="F137" s="389">
        <v>143.74</v>
      </c>
      <c r="G137" s="389">
        <v>144.66</v>
      </c>
      <c r="H137" s="398">
        <v>4.394E-2</v>
      </c>
      <c r="I137" s="398"/>
      <c r="J137" s="389">
        <v>359009872.99000001</v>
      </c>
      <c r="K137" s="205">
        <f t="shared" si="28"/>
        <v>1.1480629188373438E-2</v>
      </c>
      <c r="L137" s="389">
        <v>143.65</v>
      </c>
      <c r="M137" s="389">
        <v>144.57</v>
      </c>
      <c r="N137" s="398">
        <v>-5.9999999999999995E-4</v>
      </c>
      <c r="O137" s="398">
        <v>4.3299999999999998E-2</v>
      </c>
      <c r="P137" s="83">
        <f t="shared" si="29"/>
        <v>-2.1977606957581724E-3</v>
      </c>
      <c r="Q137" s="83">
        <f t="shared" si="30"/>
        <v>-6.2214848610537405E-4</v>
      </c>
      <c r="R137" s="241">
        <f t="shared" si="31"/>
        <v>-4.4540000000000003E-2</v>
      </c>
      <c r="S137" s="120"/>
    </row>
    <row r="138" spans="1:22" s="122" customFormat="1" ht="12" customHeight="1">
      <c r="A138" s="420">
        <v>115</v>
      </c>
      <c r="B138" s="421" t="s">
        <v>110</v>
      </c>
      <c r="C138" s="422" t="s">
        <v>139</v>
      </c>
      <c r="D138" s="390">
        <v>163101395.71000001</v>
      </c>
      <c r="E138" s="204">
        <f t="shared" si="32"/>
        <v>5.2286215767744608E-3</v>
      </c>
      <c r="F138" s="389">
        <v>147.41655600000001</v>
      </c>
      <c r="G138" s="389">
        <v>151.7449</v>
      </c>
      <c r="H138" s="398">
        <v>-1.5299999999999999E-2</v>
      </c>
      <c r="I138" s="398"/>
      <c r="J138" s="390">
        <v>162888158.83000001</v>
      </c>
      <c r="K138" s="205">
        <v>1.4052378000000001</v>
      </c>
      <c r="L138" s="389">
        <v>147.22382500000001</v>
      </c>
      <c r="M138" s="389">
        <v>151.64154199999999</v>
      </c>
      <c r="N138" s="398">
        <v>1.5900000000000001E-2</v>
      </c>
      <c r="O138" s="398">
        <v>0</v>
      </c>
      <c r="P138" s="83">
        <f t="shared" si="29"/>
        <v>-1.3073884442971774E-3</v>
      </c>
      <c r="Q138" s="83">
        <f t="shared" si="30"/>
        <v>-6.8112997537323676E-4</v>
      </c>
      <c r="R138" s="241">
        <f t="shared" si="31"/>
        <v>3.1199999999999999E-2</v>
      </c>
      <c r="S138" s="120"/>
      <c r="T138" s="121"/>
      <c r="V138" s="149"/>
    </row>
    <row r="139" spans="1:22" s="122" customFormat="1" ht="12" customHeight="1">
      <c r="A139" s="420">
        <v>116</v>
      </c>
      <c r="B139" s="421" t="s">
        <v>109</v>
      </c>
      <c r="C139" s="422" t="s">
        <v>153</v>
      </c>
      <c r="D139" s="390">
        <v>1047028699.78</v>
      </c>
      <c r="E139" s="204">
        <f>(D139/$D$145)</f>
        <v>3.3565113451914902E-2</v>
      </c>
      <c r="F139" s="389">
        <v>2.3795999999999999</v>
      </c>
      <c r="G139" s="389">
        <v>2.4295</v>
      </c>
      <c r="H139" s="398">
        <v>-0.78011329410129604</v>
      </c>
      <c r="I139" s="398"/>
      <c r="J139" s="362">
        <v>1050592113.49</v>
      </c>
      <c r="K139" s="205">
        <f>(J139/$J$145)</f>
        <v>3.3596453442226636E-2</v>
      </c>
      <c r="L139" s="389">
        <v>2.3875999999999999</v>
      </c>
      <c r="M139" s="389">
        <v>2.4378000000000002</v>
      </c>
      <c r="N139" s="398">
        <v>0.17813777085232538</v>
      </c>
      <c r="O139" s="398">
        <v>0.25015393576515216</v>
      </c>
      <c r="P139" s="83">
        <f t="shared" si="29"/>
        <v>3.4033581990147712E-3</v>
      </c>
      <c r="Q139" s="83">
        <f t="shared" si="30"/>
        <v>3.416340810866514E-3</v>
      </c>
      <c r="R139" s="241">
        <f t="shared" si="31"/>
        <v>0.95825106495362145</v>
      </c>
      <c r="S139" s="120"/>
      <c r="T139" s="128"/>
      <c r="V139" s="149"/>
    </row>
    <row r="140" spans="1:22" s="122" customFormat="1" ht="12" customHeight="1">
      <c r="A140" s="420">
        <v>117</v>
      </c>
      <c r="B140" s="421" t="s">
        <v>171</v>
      </c>
      <c r="C140" s="422" t="s">
        <v>203</v>
      </c>
      <c r="D140" s="390">
        <v>20111025.239999998</v>
      </c>
      <c r="E140" s="204">
        <f>(D140/$D$145)</f>
        <v>6.4470901700856918E-4</v>
      </c>
      <c r="F140" s="389">
        <v>1.26</v>
      </c>
      <c r="G140" s="389">
        <v>1.26</v>
      </c>
      <c r="H140" s="398" t="s">
        <v>282</v>
      </c>
      <c r="I140" s="398"/>
      <c r="J140" s="390">
        <v>20158363.510000002</v>
      </c>
      <c r="K140" s="205">
        <f>(J140/$J$145)</f>
        <v>6.4463602233355403E-4</v>
      </c>
      <c r="L140" s="389">
        <v>1.26</v>
      </c>
      <c r="M140" s="389">
        <v>1.26</v>
      </c>
      <c r="N140" s="398">
        <v>2.3540000000000002E-3</v>
      </c>
      <c r="O140" s="398">
        <v>0</v>
      </c>
      <c r="P140" s="83">
        <f t="shared" si="29"/>
        <v>2.3538466803696024E-3</v>
      </c>
      <c r="Q140" s="83">
        <f t="shared" si="30"/>
        <v>0</v>
      </c>
      <c r="R140" s="241" t="e">
        <f t="shared" si="31"/>
        <v>#VALUE!</v>
      </c>
      <c r="S140" s="120"/>
      <c r="T140" s="121"/>
      <c r="V140" s="149"/>
    </row>
    <row r="141" spans="1:22" s="122" customFormat="1" ht="12" customHeight="1">
      <c r="A141" s="420">
        <v>118</v>
      </c>
      <c r="B141" s="421" t="s">
        <v>184</v>
      </c>
      <c r="C141" s="422" t="s">
        <v>228</v>
      </c>
      <c r="D141" s="390">
        <v>228405189.28</v>
      </c>
      <c r="E141" s="204">
        <f>(D141/$D$145)</f>
        <v>7.3220973721161214E-3</v>
      </c>
      <c r="F141" s="389">
        <v>1.1359999999999999</v>
      </c>
      <c r="G141" s="389">
        <v>1.1359999999999999</v>
      </c>
      <c r="H141" s="398">
        <v>-0.60526962289645181</v>
      </c>
      <c r="I141" s="398"/>
      <c r="J141" s="390">
        <v>232107835.13</v>
      </c>
      <c r="K141" s="205">
        <f>(J141/$J$145)</f>
        <v>7.4224810717611438E-3</v>
      </c>
      <c r="L141" s="370">
        <v>1.1345000000000001</v>
      </c>
      <c r="M141" s="370">
        <v>1.1345000000000001</v>
      </c>
      <c r="N141" s="371">
        <v>-6.885060362172378E-2</v>
      </c>
      <c r="O141" s="398">
        <v>0.23200000000000001</v>
      </c>
      <c r="P141" s="83">
        <f t="shared" si="29"/>
        <v>1.6210865706124355E-2</v>
      </c>
      <c r="Q141" s="83">
        <f t="shared" si="30"/>
        <v>-1.3204225352111223E-3</v>
      </c>
      <c r="R141" s="241">
        <f>N141-H141</f>
        <v>0.53641901927472802</v>
      </c>
      <c r="S141" s="120"/>
      <c r="T141" s="121"/>
      <c r="U141" s="150"/>
      <c r="V141" s="149"/>
    </row>
    <row r="142" spans="1:22" s="364" customFormat="1" ht="12" customHeight="1">
      <c r="A142" s="420">
        <v>119</v>
      </c>
      <c r="B142" s="421" t="s">
        <v>194</v>
      </c>
      <c r="C142" s="422" t="s">
        <v>196</v>
      </c>
      <c r="D142" s="389">
        <v>3734808.11</v>
      </c>
      <c r="E142" s="366">
        <f>(D142/$D$145)</f>
        <v>1.1972857855722786E-4</v>
      </c>
      <c r="F142" s="389">
        <v>102.747</v>
      </c>
      <c r="G142" s="389">
        <v>102.99</v>
      </c>
      <c r="H142" s="398">
        <v>1.9754000000000001E-2</v>
      </c>
      <c r="I142" s="398"/>
      <c r="J142" s="369">
        <v>3734808.11</v>
      </c>
      <c r="K142" s="367">
        <f>(J142/$J$145)</f>
        <v>1.1943389367967094E-4</v>
      </c>
      <c r="L142" s="370">
        <v>102.747</v>
      </c>
      <c r="M142" s="370">
        <v>102.99</v>
      </c>
      <c r="N142" s="371">
        <v>1.9754000000000001E-2</v>
      </c>
      <c r="O142" s="398">
        <v>0</v>
      </c>
      <c r="P142" s="363">
        <f t="shared" si="29"/>
        <v>0</v>
      </c>
      <c r="Q142" s="363">
        <f t="shared" si="30"/>
        <v>0</v>
      </c>
      <c r="R142" s="368">
        <f>N142-H142</f>
        <v>0</v>
      </c>
      <c r="S142" s="120"/>
      <c r="T142" s="121"/>
      <c r="U142" s="365"/>
      <c r="V142" s="149"/>
    </row>
    <row r="143" spans="1:22" s="394" customFormat="1" ht="12" customHeight="1">
      <c r="A143" s="420">
        <v>120</v>
      </c>
      <c r="B143" s="421" t="s">
        <v>105</v>
      </c>
      <c r="C143" s="422" t="s">
        <v>254</v>
      </c>
      <c r="D143" s="384">
        <v>166525710.12</v>
      </c>
      <c r="E143" s="397">
        <f>(D143/$D$145)</f>
        <v>5.338396506239935E-3</v>
      </c>
      <c r="F143" s="389">
        <v>105.44</v>
      </c>
      <c r="G143" s="389">
        <v>107.16</v>
      </c>
      <c r="H143" s="398">
        <v>2.23E-2</v>
      </c>
      <c r="I143" s="398"/>
      <c r="J143" s="384">
        <v>166714824.49000001</v>
      </c>
      <c r="K143" s="367">
        <f>(J143/$J$145)</f>
        <v>5.3313048586487253E-3</v>
      </c>
      <c r="L143" s="389">
        <v>105.56</v>
      </c>
      <c r="M143" s="389">
        <v>107.35</v>
      </c>
      <c r="N143" s="398">
        <v>2.3800000000000002E-2</v>
      </c>
      <c r="O143" s="398">
        <v>0</v>
      </c>
      <c r="P143" s="393">
        <f t="shared" si="29"/>
        <v>1.1356466810063573E-3</v>
      </c>
      <c r="Q143" s="393">
        <f t="shared" si="30"/>
        <v>1.7730496453900498E-3</v>
      </c>
      <c r="R143" s="400">
        <f>N143-H143</f>
        <v>1.5000000000000013E-3</v>
      </c>
      <c r="S143" s="120"/>
      <c r="T143" s="121"/>
      <c r="U143" s="365"/>
      <c r="V143" s="149"/>
    </row>
    <row r="144" spans="1:22" s="122" customFormat="1" ht="12" customHeight="1">
      <c r="A144" s="420">
        <v>121</v>
      </c>
      <c r="B144" s="421" t="s">
        <v>266</v>
      </c>
      <c r="C144" s="422" t="s">
        <v>268</v>
      </c>
      <c r="D144" s="384">
        <v>57257677.07</v>
      </c>
      <c r="E144" s="204">
        <f t="shared" si="32"/>
        <v>1.8355374855068202E-3</v>
      </c>
      <c r="F144" s="389">
        <v>106.5204</v>
      </c>
      <c r="G144" s="389">
        <v>106.852</v>
      </c>
      <c r="H144" s="398">
        <v>2.8358999999999999E-2</v>
      </c>
      <c r="I144" s="398"/>
      <c r="J144" s="384">
        <v>57378819.380000003</v>
      </c>
      <c r="K144" s="205">
        <f t="shared" si="28"/>
        <v>1.8348936843494118E-3</v>
      </c>
      <c r="L144" s="389">
        <v>106.681</v>
      </c>
      <c r="M144" s="389">
        <v>107.01300000000001</v>
      </c>
      <c r="N144" s="398">
        <v>2.9909000000000002E-2</v>
      </c>
      <c r="O144" s="398">
        <v>0</v>
      </c>
      <c r="P144" s="83">
        <f t="shared" si="29"/>
        <v>2.115739167201992E-3</v>
      </c>
      <c r="Q144" s="83">
        <f t="shared" si="30"/>
        <v>1.5067570096956664E-3</v>
      </c>
      <c r="R144" s="241">
        <f t="shared" si="31"/>
        <v>1.5500000000000028E-3</v>
      </c>
      <c r="S144" s="120"/>
      <c r="T144" s="121"/>
      <c r="U144" s="150"/>
      <c r="V144" s="149"/>
    </row>
    <row r="145" spans="1:25" s="122" customFormat="1" ht="12" customHeight="1">
      <c r="A145" s="315"/>
      <c r="B145" s="316"/>
      <c r="C145" s="265" t="s">
        <v>46</v>
      </c>
      <c r="D145" s="231">
        <f>SUM(D121:D144)</f>
        <v>31193956823.055714</v>
      </c>
      <c r="E145" s="284">
        <f>(D145/$D$167)</f>
        <v>1.9644270168456168E-2</v>
      </c>
      <c r="F145" s="286"/>
      <c r="G145" s="194"/>
      <c r="H145" s="301"/>
      <c r="I145" s="301"/>
      <c r="J145" s="231">
        <f>SUM(J121:J144)</f>
        <v>31270923143.617718</v>
      </c>
      <c r="K145" s="284">
        <f>(J145/$J$167)</f>
        <v>1.9855393374861696E-2</v>
      </c>
      <c r="L145" s="286"/>
      <c r="M145" s="194"/>
      <c r="N145" s="301"/>
      <c r="O145" s="301"/>
      <c r="P145" s="288">
        <f t="shared" si="29"/>
        <v>2.467347153122865E-3</v>
      </c>
      <c r="Q145" s="288"/>
      <c r="R145" s="289">
        <f t="shared" si="31"/>
        <v>0</v>
      </c>
      <c r="S145" s="120"/>
      <c r="T145" s="121"/>
      <c r="U145" s="150"/>
      <c r="V145" s="149"/>
    </row>
    <row r="146" spans="1:25" s="122" customFormat="1" ht="5.25" customHeight="1">
      <c r="A146" s="459"/>
      <c r="B146" s="460"/>
      <c r="C146" s="460"/>
      <c r="D146" s="460"/>
      <c r="E146" s="460"/>
      <c r="F146" s="460"/>
      <c r="G146" s="460"/>
      <c r="H146" s="460"/>
      <c r="I146" s="460"/>
      <c r="J146" s="460"/>
      <c r="K146" s="460"/>
      <c r="L146" s="460"/>
      <c r="M146" s="460"/>
      <c r="N146" s="460"/>
      <c r="O146" s="460"/>
      <c r="P146" s="460"/>
      <c r="Q146" s="460"/>
      <c r="R146" s="461"/>
      <c r="T146" s="121"/>
      <c r="U146" s="150"/>
      <c r="V146" s="149"/>
    </row>
    <row r="147" spans="1:25" s="122" customFormat="1" ht="12" customHeight="1">
      <c r="A147" s="456" t="s">
        <v>71</v>
      </c>
      <c r="B147" s="457"/>
      <c r="C147" s="457"/>
      <c r="D147" s="457"/>
      <c r="E147" s="457"/>
      <c r="F147" s="457"/>
      <c r="G147" s="457"/>
      <c r="H147" s="457"/>
      <c r="I147" s="457"/>
      <c r="J147" s="457"/>
      <c r="K147" s="457"/>
      <c r="L147" s="457"/>
      <c r="M147" s="457"/>
      <c r="N147" s="457"/>
      <c r="O147" s="457"/>
      <c r="P147" s="457"/>
      <c r="Q147" s="457"/>
      <c r="R147" s="458"/>
      <c r="U147" s="151"/>
      <c r="V147" s="149"/>
    </row>
    <row r="148" spans="1:25" s="122" customFormat="1" ht="12" customHeight="1">
      <c r="A148" s="420">
        <v>122</v>
      </c>
      <c r="B148" s="421" t="s">
        <v>206</v>
      </c>
      <c r="C148" s="422" t="s">
        <v>262</v>
      </c>
      <c r="D148" s="384">
        <v>606564709.72000003</v>
      </c>
      <c r="E148" s="204">
        <f>(D148/$D$151)</f>
        <v>0.19329328565971435</v>
      </c>
      <c r="F148" s="385">
        <v>16.549600000000002</v>
      </c>
      <c r="G148" s="385">
        <v>16.714099999999998</v>
      </c>
      <c r="H148" s="398" t="s">
        <v>283</v>
      </c>
      <c r="I148" s="398"/>
      <c r="J148" s="384">
        <v>607964722.22000003</v>
      </c>
      <c r="K148" s="204">
        <f>(J148/$J$151)</f>
        <v>0.19850373047473963</v>
      </c>
      <c r="L148" s="385">
        <v>16.556699999999999</v>
      </c>
      <c r="M148" s="385">
        <v>16.6525</v>
      </c>
      <c r="N148" s="398">
        <v>7.4000000000000003E-3</v>
      </c>
      <c r="O148" s="398">
        <v>4.5199999999999997E-2</v>
      </c>
      <c r="P148" s="83">
        <f>((J148-D148)/D148)</f>
        <v>2.308100813590471E-3</v>
      </c>
      <c r="Q148" s="119">
        <f>((M148-G148)/G148)</f>
        <v>-3.6855110355926163E-3</v>
      </c>
      <c r="R148" s="241" t="e">
        <f>N148-H148</f>
        <v>#VALUE!</v>
      </c>
      <c r="S148" s="120"/>
      <c r="U148" s="123"/>
      <c r="V148" s="149"/>
    </row>
    <row r="149" spans="1:25" s="122" customFormat="1" ht="11.25" customHeight="1">
      <c r="A149" s="420">
        <v>123</v>
      </c>
      <c r="B149" s="421" t="s">
        <v>5</v>
      </c>
      <c r="C149" s="422" t="s">
        <v>29</v>
      </c>
      <c r="D149" s="384">
        <v>1896919676.9100001</v>
      </c>
      <c r="E149" s="204">
        <f>(D149/$D$151)</f>
        <v>0.60448923438317848</v>
      </c>
      <c r="F149" s="385">
        <v>1.5</v>
      </c>
      <c r="G149" s="385">
        <v>1.51</v>
      </c>
      <c r="H149" s="398">
        <v>-1.95E-2</v>
      </c>
      <c r="I149" s="398"/>
      <c r="J149" s="384">
        <v>1904826585.9400001</v>
      </c>
      <c r="K149" s="204">
        <f>(J149/$J$151)</f>
        <v>0.62193605878290792</v>
      </c>
      <c r="L149" s="385">
        <v>1.5</v>
      </c>
      <c r="M149" s="372">
        <v>1.52</v>
      </c>
      <c r="N149" s="373">
        <v>6.6E-3</v>
      </c>
      <c r="O149" s="398">
        <v>5.5599999999999997E-2</v>
      </c>
      <c r="P149" s="83">
        <f>((J149-D149)/D149)</f>
        <v>4.1682887927442366E-3</v>
      </c>
      <c r="Q149" s="83">
        <f>((M149-G149)/G149)</f>
        <v>6.6225165562913968E-3</v>
      </c>
      <c r="R149" s="241">
        <f>N149-H149</f>
        <v>2.6099999999999998E-2</v>
      </c>
      <c r="S149" s="120"/>
    </row>
    <row r="150" spans="1:25" s="122" customFormat="1" ht="12" customHeight="1">
      <c r="A150" s="420">
        <v>124</v>
      </c>
      <c r="B150" s="421" t="s">
        <v>7</v>
      </c>
      <c r="C150" s="422" t="s">
        <v>30</v>
      </c>
      <c r="D150" s="385">
        <v>634569310.63</v>
      </c>
      <c r="E150" s="204">
        <f>(D150/$D$151)</f>
        <v>0.20221747995710712</v>
      </c>
      <c r="F150" s="385">
        <v>47.402700000000003</v>
      </c>
      <c r="G150" s="385">
        <v>48.831899999999997</v>
      </c>
      <c r="H150" s="374">
        <v>-0.14560000000000001</v>
      </c>
      <c r="I150" s="374"/>
      <c r="J150" s="385">
        <v>549945703.21000004</v>
      </c>
      <c r="K150" s="204">
        <f>(J150/$J$151)</f>
        <v>0.17956021074235251</v>
      </c>
      <c r="L150" s="385">
        <v>47.432200000000002</v>
      </c>
      <c r="M150" s="385">
        <v>48.862400000000001</v>
      </c>
      <c r="N150" s="374">
        <v>3.2599999999999997E-2</v>
      </c>
      <c r="O150" s="374">
        <v>0.18010000000000001</v>
      </c>
      <c r="P150" s="83">
        <f>((J150-D150)/D150)</f>
        <v>-0.13335597231449106</v>
      </c>
      <c r="Q150" s="83">
        <f>((M150-G150)/G150)</f>
        <v>6.2459171156566769E-4</v>
      </c>
      <c r="R150" s="241">
        <f>N150-H150</f>
        <v>0.1782</v>
      </c>
      <c r="S150" s="120"/>
      <c r="W150" s="192"/>
      <c r="X150" s="193"/>
      <c r="Y150" s="120"/>
    </row>
    <row r="151" spans="1:25" s="122" customFormat="1" ht="12.75" customHeight="1">
      <c r="A151" s="228"/>
      <c r="B151" s="12"/>
      <c r="C151" s="311" t="s">
        <v>46</v>
      </c>
      <c r="D151" s="231">
        <f>SUM(D148:D150)</f>
        <v>3138053697.2600002</v>
      </c>
      <c r="E151" s="284">
        <f>(D151/$D$167)</f>
        <v>1.9761768275108993E-3</v>
      </c>
      <c r="F151" s="12"/>
      <c r="G151" s="12"/>
      <c r="H151" s="300"/>
      <c r="I151" s="300"/>
      <c r="J151" s="231">
        <f>SUM(J148:J150)</f>
        <v>3062737011.3699999</v>
      </c>
      <c r="K151" s="284">
        <f>(J151/$J$167)</f>
        <v>1.9446771009992102E-3</v>
      </c>
      <c r="L151" s="286"/>
      <c r="M151" s="194"/>
      <c r="N151" s="301"/>
      <c r="O151" s="301"/>
      <c r="P151" s="288">
        <f>((J151-D151)/D151)</f>
        <v>-2.4001082567759534E-2</v>
      </c>
      <c r="Q151" s="288"/>
      <c r="R151" s="289">
        <f>N151-H151</f>
        <v>0</v>
      </c>
      <c r="S151" s="120"/>
      <c r="V151" s="121"/>
    </row>
    <row r="152" spans="1:25" s="122" customFormat="1" ht="4.5" customHeight="1">
      <c r="A152" s="459"/>
      <c r="B152" s="460"/>
      <c r="C152" s="460"/>
      <c r="D152" s="460"/>
      <c r="E152" s="460"/>
      <c r="F152" s="460"/>
      <c r="G152" s="460"/>
      <c r="H152" s="460"/>
      <c r="I152" s="460"/>
      <c r="J152" s="460"/>
      <c r="K152" s="460"/>
      <c r="L152" s="460"/>
      <c r="M152" s="460"/>
      <c r="N152" s="460"/>
      <c r="O152" s="460"/>
      <c r="P152" s="460"/>
      <c r="Q152" s="460"/>
      <c r="R152" s="461"/>
      <c r="V152" s="121"/>
    </row>
    <row r="153" spans="1:25" s="122" customFormat="1" ht="12.75" customHeight="1">
      <c r="A153" s="456" t="s">
        <v>214</v>
      </c>
      <c r="B153" s="457"/>
      <c r="C153" s="457"/>
      <c r="D153" s="457"/>
      <c r="E153" s="457"/>
      <c r="F153" s="457"/>
      <c r="G153" s="457"/>
      <c r="H153" s="457"/>
      <c r="I153" s="457"/>
      <c r="J153" s="457"/>
      <c r="K153" s="457"/>
      <c r="L153" s="457"/>
      <c r="M153" s="457"/>
      <c r="N153" s="457"/>
      <c r="O153" s="457"/>
      <c r="P153" s="457"/>
      <c r="Q153" s="457"/>
      <c r="R153" s="458"/>
      <c r="V153" s="121"/>
    </row>
    <row r="154" spans="1:25" s="122" customFormat="1" ht="12.75" customHeight="1">
      <c r="A154" s="471" t="s">
        <v>215</v>
      </c>
      <c r="B154" s="472"/>
      <c r="C154" s="472"/>
      <c r="D154" s="472"/>
      <c r="E154" s="472"/>
      <c r="F154" s="472"/>
      <c r="G154" s="472"/>
      <c r="H154" s="472"/>
      <c r="I154" s="472"/>
      <c r="J154" s="472"/>
      <c r="K154" s="472"/>
      <c r="L154" s="472"/>
      <c r="M154" s="472"/>
      <c r="N154" s="472"/>
      <c r="O154" s="472"/>
      <c r="P154" s="472"/>
      <c r="Q154" s="472"/>
      <c r="R154" s="473"/>
      <c r="V154" s="121"/>
    </row>
    <row r="155" spans="1:25" s="122" customFormat="1" ht="12" customHeight="1">
      <c r="A155" s="444">
        <v>125</v>
      </c>
      <c r="B155" s="445" t="s">
        <v>27</v>
      </c>
      <c r="C155" s="446" t="s">
        <v>138</v>
      </c>
      <c r="D155" s="375">
        <v>3745618807.2600002</v>
      </c>
      <c r="E155" s="204">
        <f>(D155/$D$166)</f>
        <v>0.14882803604928138</v>
      </c>
      <c r="F155" s="377">
        <v>1.85</v>
      </c>
      <c r="G155" s="377">
        <v>1.86</v>
      </c>
      <c r="H155" s="381">
        <v>4.99E-2</v>
      </c>
      <c r="I155" s="381"/>
      <c r="J155" s="375">
        <v>3724875608.98</v>
      </c>
      <c r="K155" s="204">
        <f>(J155/$J$166)</f>
        <v>0.14826184707926104</v>
      </c>
      <c r="L155" s="377">
        <v>1.83</v>
      </c>
      <c r="M155" s="377">
        <v>1.85</v>
      </c>
      <c r="N155" s="381">
        <v>4.1599999999999998E-2</v>
      </c>
      <c r="O155" s="381"/>
      <c r="P155" s="119">
        <f>((J155-D155)/D155)</f>
        <v>-5.5379896747085964E-3</v>
      </c>
      <c r="Q155" s="119">
        <f>((M155-G155)/G155)</f>
        <v>-5.3763440860215101E-3</v>
      </c>
      <c r="R155" s="241">
        <f>N155-H155</f>
        <v>-8.3000000000000018E-3</v>
      </c>
      <c r="S155" s="120"/>
      <c r="V155" s="121"/>
    </row>
    <row r="156" spans="1:25" s="122" customFormat="1" ht="12.75" customHeight="1">
      <c r="A156" s="420">
        <v>126</v>
      </c>
      <c r="B156" s="421" t="s">
        <v>5</v>
      </c>
      <c r="C156" s="422" t="s">
        <v>70</v>
      </c>
      <c r="D156" s="375">
        <v>315651675.77999997</v>
      </c>
      <c r="E156" s="204">
        <f>(D156/$D$166)</f>
        <v>1.2542071523921889E-2</v>
      </c>
      <c r="F156" s="377">
        <v>278.77</v>
      </c>
      <c r="G156" s="377">
        <v>281.76</v>
      </c>
      <c r="H156" s="381">
        <v>-1.3100000000000001E-2</v>
      </c>
      <c r="I156" s="381"/>
      <c r="J156" s="375">
        <v>311592445.26999998</v>
      </c>
      <c r="K156" s="204">
        <f>(J156/$J$166)</f>
        <v>1.2402366232123431E-2</v>
      </c>
      <c r="L156" s="377">
        <v>278.82</v>
      </c>
      <c r="M156" s="377">
        <v>281.85000000000002</v>
      </c>
      <c r="N156" s="381">
        <v>2.9999999999999997E-4</v>
      </c>
      <c r="O156" s="381">
        <v>6.1600000000000002E-2</v>
      </c>
      <c r="P156" s="83">
        <f>((J156-D156)/D156)</f>
        <v>-1.2859841469142574E-2</v>
      </c>
      <c r="Q156" s="83">
        <f>((M156-G156)/G156)</f>
        <v>3.1942078364576888E-4</v>
      </c>
      <c r="R156" s="241">
        <f>N156-H156</f>
        <v>1.34E-2</v>
      </c>
      <c r="S156" s="120"/>
      <c r="T156" s="199"/>
    </row>
    <row r="157" spans="1:25" s="122" customFormat="1" ht="6" customHeight="1">
      <c r="A157" s="459"/>
      <c r="B157" s="460"/>
      <c r="C157" s="460"/>
      <c r="D157" s="460"/>
      <c r="E157" s="460"/>
      <c r="F157" s="460"/>
      <c r="G157" s="460"/>
      <c r="H157" s="460"/>
      <c r="I157" s="460"/>
      <c r="J157" s="460"/>
      <c r="K157" s="460"/>
      <c r="L157" s="460"/>
      <c r="M157" s="460"/>
      <c r="N157" s="460"/>
      <c r="O157" s="460"/>
      <c r="P157" s="460"/>
      <c r="Q157" s="460"/>
      <c r="R157" s="461"/>
      <c r="T157" s="199"/>
    </row>
    <row r="158" spans="1:25" s="122" customFormat="1" ht="12" customHeight="1">
      <c r="A158" s="471" t="s">
        <v>216</v>
      </c>
      <c r="B158" s="472"/>
      <c r="C158" s="472"/>
      <c r="D158" s="472"/>
      <c r="E158" s="472"/>
      <c r="F158" s="472"/>
      <c r="G158" s="472"/>
      <c r="H158" s="472"/>
      <c r="I158" s="472"/>
      <c r="J158" s="472"/>
      <c r="K158" s="472"/>
      <c r="L158" s="472"/>
      <c r="M158" s="472"/>
      <c r="N158" s="472"/>
      <c r="O158" s="472"/>
      <c r="P158" s="472"/>
      <c r="Q158" s="472"/>
      <c r="R158" s="473"/>
      <c r="T158" s="199"/>
    </row>
    <row r="159" spans="1:25" s="122" customFormat="1" ht="12" customHeight="1">
      <c r="A159" s="420">
        <v>127</v>
      </c>
      <c r="B159" s="421" t="s">
        <v>5</v>
      </c>
      <c r="C159" s="422" t="s">
        <v>140</v>
      </c>
      <c r="D159" s="390">
        <v>8232753582.1499996</v>
      </c>
      <c r="E159" s="204">
        <f t="shared" ref="E159:E165" si="33">(D159/$D$166)</f>
        <v>0.32711939200384826</v>
      </c>
      <c r="F159" s="391">
        <v>122.54</v>
      </c>
      <c r="G159" s="391">
        <v>122.54</v>
      </c>
      <c r="H159" s="398">
        <v>1.1000000000000001E-3</v>
      </c>
      <c r="I159" s="398"/>
      <c r="J159" s="390">
        <v>8218760838.6300001</v>
      </c>
      <c r="K159" s="204">
        <f t="shared" ref="K159:K165" si="34">(J159/$J$166)</f>
        <v>0.32713271275430744</v>
      </c>
      <c r="L159" s="391">
        <v>122.69</v>
      </c>
      <c r="M159" s="391">
        <v>122.69</v>
      </c>
      <c r="N159" s="383">
        <v>1.1999999999999999E-3</v>
      </c>
      <c r="O159" s="398">
        <v>1.38E-2</v>
      </c>
      <c r="P159" s="83">
        <f t="shared" ref="P159:P167" si="35">((J159-D159)/D159)</f>
        <v>-1.6996431850381305E-3</v>
      </c>
      <c r="Q159" s="83">
        <f t="shared" ref="Q159:Q165" si="36">((M159-G159)/G159)</f>
        <v>1.2240900930307775E-3</v>
      </c>
      <c r="R159" s="241">
        <f t="shared" ref="R159:R166" si="37">N159-H159</f>
        <v>9.9999999999999829E-5</v>
      </c>
      <c r="S159" s="120"/>
      <c r="T159" s="199"/>
    </row>
    <row r="160" spans="1:25" s="122" customFormat="1" ht="12" customHeight="1">
      <c r="A160" s="444">
        <v>128</v>
      </c>
      <c r="B160" s="445" t="s">
        <v>201</v>
      </c>
      <c r="C160" s="446" t="s">
        <v>202</v>
      </c>
      <c r="D160" s="390">
        <v>9585802507.4300003</v>
      </c>
      <c r="E160" s="204">
        <f t="shared" si="33"/>
        <v>0.3808813001397488</v>
      </c>
      <c r="F160" s="390">
        <v>126.06</v>
      </c>
      <c r="G160" s="390">
        <v>126.06</v>
      </c>
      <c r="H160" s="398">
        <v>0.1235</v>
      </c>
      <c r="I160" s="398"/>
      <c r="J160" s="390">
        <v>9572672977.6900005</v>
      </c>
      <c r="K160" s="204">
        <f t="shared" si="34"/>
        <v>0.38102270415056694</v>
      </c>
      <c r="L160" s="390">
        <v>126.29</v>
      </c>
      <c r="M160" s="390">
        <v>126.29</v>
      </c>
      <c r="N160" s="398">
        <v>0.12540000000000001</v>
      </c>
      <c r="O160" s="398"/>
      <c r="P160" s="83">
        <f t="shared" si="35"/>
        <v>-1.36968498253777E-3</v>
      </c>
      <c r="Q160" s="83">
        <f t="shared" si="36"/>
        <v>1.8245280025385052E-3</v>
      </c>
      <c r="R160" s="241">
        <f t="shared" si="37"/>
        <v>1.9000000000000128E-3</v>
      </c>
      <c r="S160" s="120"/>
      <c r="T160" s="199"/>
    </row>
    <row r="161" spans="1:20" s="122" customFormat="1" ht="12" customHeight="1">
      <c r="A161" s="420">
        <v>129</v>
      </c>
      <c r="B161" s="421" t="s">
        <v>45</v>
      </c>
      <c r="C161" s="422" t="s">
        <v>176</v>
      </c>
      <c r="D161" s="390">
        <v>2268874287.4099998</v>
      </c>
      <c r="E161" s="204">
        <f t="shared" si="33"/>
        <v>9.0151219761991044E-2</v>
      </c>
      <c r="F161" s="391">
        <v>1.1258999999999999</v>
      </c>
      <c r="G161" s="391">
        <v>1.1258999999999999</v>
      </c>
      <c r="H161" s="398">
        <v>9.7100000000000006E-2</v>
      </c>
      <c r="I161" s="398"/>
      <c r="J161" s="390">
        <v>2272858774.1500001</v>
      </c>
      <c r="K161" s="204">
        <f t="shared" si="34"/>
        <v>9.046697806321119E-2</v>
      </c>
      <c r="L161" s="391">
        <v>1.1278999999999999</v>
      </c>
      <c r="M161" s="391">
        <v>1.1278999999999999</v>
      </c>
      <c r="N161" s="398">
        <v>9.7000000000000003E-2</v>
      </c>
      <c r="O161" s="398">
        <v>9.9299999999999999E-2</v>
      </c>
      <c r="P161" s="83">
        <f t="shared" si="35"/>
        <v>1.7561513928339681E-3</v>
      </c>
      <c r="Q161" s="83">
        <f t="shared" si="36"/>
        <v>1.7763566924238405E-3</v>
      </c>
      <c r="R161" s="241">
        <f t="shared" si="37"/>
        <v>-1.0000000000000286E-4</v>
      </c>
      <c r="S161" s="120"/>
      <c r="T161" s="199"/>
    </row>
    <row r="162" spans="1:20" s="122" customFormat="1" ht="12" customHeight="1">
      <c r="A162" s="420">
        <v>130</v>
      </c>
      <c r="B162" s="421" t="s">
        <v>188</v>
      </c>
      <c r="C162" s="422" t="s">
        <v>189</v>
      </c>
      <c r="D162" s="390">
        <v>404148927.02999997</v>
      </c>
      <c r="E162" s="204">
        <f t="shared" si="33"/>
        <v>1.6058412288168553E-2</v>
      </c>
      <c r="F162" s="391">
        <v>102.63</v>
      </c>
      <c r="G162" s="391">
        <v>102.63</v>
      </c>
      <c r="H162" s="398">
        <v>0.1017</v>
      </c>
      <c r="I162" s="398"/>
      <c r="J162" s="390">
        <v>407073807.34999996</v>
      </c>
      <c r="K162" s="204">
        <f t="shared" si="34"/>
        <v>1.6202826862136518E-2</v>
      </c>
      <c r="L162" s="391">
        <v>102.82</v>
      </c>
      <c r="M162" s="391">
        <v>102.82</v>
      </c>
      <c r="N162" s="383">
        <v>1.9E-3</v>
      </c>
      <c r="O162" s="398">
        <v>2.2700000000000001E-2</v>
      </c>
      <c r="P162" s="83">
        <f t="shared" si="35"/>
        <v>7.2371349380889955E-3</v>
      </c>
      <c r="Q162" s="83">
        <f t="shared" si="36"/>
        <v>1.8513105329825367E-3</v>
      </c>
      <c r="R162" s="241">
        <f t="shared" si="37"/>
        <v>-9.98E-2</v>
      </c>
      <c r="S162" s="120"/>
      <c r="T162" s="199"/>
    </row>
    <row r="163" spans="1:20" s="122" customFormat="1" ht="12" customHeight="1">
      <c r="A163" s="444">
        <v>131</v>
      </c>
      <c r="B163" s="445" t="s">
        <v>249</v>
      </c>
      <c r="C163" s="446" t="s">
        <v>248</v>
      </c>
      <c r="D163" s="390">
        <v>503284232.76999998</v>
      </c>
      <c r="E163" s="204">
        <f t="shared" si="33"/>
        <v>1.9997444425617211E-2</v>
      </c>
      <c r="F163" s="390">
        <v>1055.47</v>
      </c>
      <c r="G163" s="390">
        <v>1053.0899999999999</v>
      </c>
      <c r="H163" s="398">
        <v>5.5500000000000001E-2</v>
      </c>
      <c r="I163" s="398"/>
      <c r="J163" s="390">
        <v>504384370.08999997</v>
      </c>
      <c r="K163" s="204">
        <f t="shared" si="34"/>
        <v>2.0076095472066142E-2</v>
      </c>
      <c r="L163" s="390">
        <v>1057.78</v>
      </c>
      <c r="M163" s="390">
        <v>1057.78</v>
      </c>
      <c r="N163" s="383">
        <v>5.7799999999999997E-2</v>
      </c>
      <c r="O163" s="398"/>
      <c r="P163" s="83">
        <f t="shared" si="35"/>
        <v>2.1859165226476582E-3</v>
      </c>
      <c r="Q163" s="83">
        <f t="shared" si="36"/>
        <v>4.4535604744134448E-3</v>
      </c>
      <c r="R163" s="241">
        <f t="shared" si="37"/>
        <v>2.2999999999999965E-3</v>
      </c>
      <c r="S163" s="120"/>
      <c r="T163" s="199"/>
    </row>
    <row r="164" spans="1:20" s="378" customFormat="1" ht="12" customHeight="1">
      <c r="A164" s="420">
        <v>132</v>
      </c>
      <c r="B164" s="421" t="s">
        <v>94</v>
      </c>
      <c r="C164" s="422" t="s">
        <v>251</v>
      </c>
      <c r="D164" s="390">
        <v>59734399.329999998</v>
      </c>
      <c r="E164" s="380">
        <f>(D164/$D$166)</f>
        <v>2.3734805366835356E-3</v>
      </c>
      <c r="F164" s="390">
        <v>104.56</v>
      </c>
      <c r="G164" s="390">
        <v>104.56</v>
      </c>
      <c r="H164" s="398">
        <v>6.028E-2</v>
      </c>
      <c r="I164" s="398"/>
      <c r="J164" s="390">
        <v>59786106.200000003</v>
      </c>
      <c r="K164" s="380">
        <f>(J164/$J$166)</f>
        <v>2.3796763879898077E-3</v>
      </c>
      <c r="L164" s="390">
        <v>104.67</v>
      </c>
      <c r="M164" s="390">
        <v>104.67</v>
      </c>
      <c r="N164" s="398">
        <v>1.1000000000000001E-3</v>
      </c>
      <c r="O164" s="398">
        <v>6.0299999999999999E-2</v>
      </c>
      <c r="P164" s="376">
        <f t="shared" si="35"/>
        <v>8.6561295635287957E-4</v>
      </c>
      <c r="Q164" s="376">
        <f t="shared" si="36"/>
        <v>1.0520275439938737E-3</v>
      </c>
      <c r="R164" s="382">
        <f>N164-H164</f>
        <v>-5.9180000000000003E-2</v>
      </c>
      <c r="S164" s="120"/>
      <c r="T164" s="379"/>
    </row>
    <row r="165" spans="1:20" s="122" customFormat="1" ht="12" customHeight="1">
      <c r="A165" s="444">
        <v>133</v>
      </c>
      <c r="B165" s="445" t="s">
        <v>105</v>
      </c>
      <c r="C165" s="451" t="s">
        <v>255</v>
      </c>
      <c r="D165" s="384">
        <v>51559080.990000002</v>
      </c>
      <c r="E165" s="204">
        <f t="shared" si="33"/>
        <v>2.0486432707392402E-3</v>
      </c>
      <c r="F165" s="385">
        <v>99.11</v>
      </c>
      <c r="G165" s="385">
        <v>102.13</v>
      </c>
      <c r="H165" s="398">
        <v>1.4999999999999999E-2</v>
      </c>
      <c r="I165" s="398"/>
      <c r="J165" s="384">
        <v>51623856.520000003</v>
      </c>
      <c r="K165" s="204">
        <f t="shared" si="34"/>
        <v>2.0547929983374246E-3</v>
      </c>
      <c r="L165" s="385">
        <v>99.23</v>
      </c>
      <c r="M165" s="385">
        <v>102.37</v>
      </c>
      <c r="N165" s="398">
        <v>1.6799999999999999E-2</v>
      </c>
      <c r="O165" s="398"/>
      <c r="P165" s="83">
        <f t="shared" si="35"/>
        <v>1.256336008249731E-3</v>
      </c>
      <c r="Q165" s="83">
        <f t="shared" si="36"/>
        <v>2.349946147067552E-3</v>
      </c>
      <c r="R165" s="241">
        <f t="shared" si="37"/>
        <v>1.7999999999999995E-3</v>
      </c>
      <c r="S165" s="120"/>
      <c r="T165" s="199"/>
    </row>
    <row r="166" spans="1:20" s="122" customFormat="1" ht="12" customHeight="1">
      <c r="A166" s="283"/>
      <c r="B166" s="12"/>
      <c r="C166" s="311" t="s">
        <v>46</v>
      </c>
      <c r="D166" s="81">
        <f>SUM(D155:D165)</f>
        <v>25167427500.150002</v>
      </c>
      <c r="E166" s="284">
        <f>(D166/$D$167)</f>
        <v>1.5849087310801434E-2</v>
      </c>
      <c r="F166" s="285"/>
      <c r="G166" s="74"/>
      <c r="H166" s="267"/>
      <c r="I166" s="267"/>
      <c r="J166" s="81">
        <f>SUM(J155:J165)</f>
        <v>25123628784.880001</v>
      </c>
      <c r="K166" s="284">
        <f>(J166/$J$167)</f>
        <v>1.5952184405838444E-2</v>
      </c>
      <c r="L166" s="286"/>
      <c r="M166" s="74"/>
      <c r="N166" s="287"/>
      <c r="O166" s="287"/>
      <c r="P166" s="288">
        <f t="shared" si="35"/>
        <v>-1.740293689918821E-3</v>
      </c>
      <c r="Q166" s="288"/>
      <c r="R166" s="289">
        <f t="shared" si="37"/>
        <v>0</v>
      </c>
      <c r="S166" s="120"/>
      <c r="T166" s="147" t="s">
        <v>181</v>
      </c>
    </row>
    <row r="167" spans="1:20" s="122" customFormat="1" ht="12" customHeight="1">
      <c r="A167" s="290"/>
      <c r="B167" s="291"/>
      <c r="C167" s="292" t="s">
        <v>32</v>
      </c>
      <c r="D167" s="293">
        <f>SUM(D22,D54,D87,D111,D118,D145,D151,D166)</f>
        <v>1587941753781.491</v>
      </c>
      <c r="E167" s="294"/>
      <c r="F167" s="294"/>
      <c r="G167" s="295"/>
      <c r="H167" s="296"/>
      <c r="I167" s="296"/>
      <c r="J167" s="293">
        <f>SUM(J22,J54,J87,J111,J118,J145,J151,J166)</f>
        <v>1574933447715.4641</v>
      </c>
      <c r="K167" s="294"/>
      <c r="L167" s="294"/>
      <c r="M167" s="295"/>
      <c r="N167" s="297"/>
      <c r="O167" s="297"/>
      <c r="P167" s="298">
        <f t="shared" si="35"/>
        <v>-8.1919289766448616E-3</v>
      </c>
      <c r="Q167" s="298"/>
      <c r="R167" s="299"/>
      <c r="T167" s="148">
        <f>((J167-D167)/D167)</f>
        <v>-8.1919289766448616E-3</v>
      </c>
    </row>
    <row r="168" spans="1:20" s="122" customFormat="1" ht="6.75" customHeight="1">
      <c r="A168" s="459"/>
      <c r="B168" s="460"/>
      <c r="C168" s="460"/>
      <c r="D168" s="460"/>
      <c r="E168" s="460"/>
      <c r="F168" s="460"/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1"/>
      <c r="T168" s="199"/>
    </row>
    <row r="169" spans="1:20" s="122" customFormat="1" ht="12" customHeight="1">
      <c r="A169" s="484" t="s">
        <v>217</v>
      </c>
      <c r="B169" s="485"/>
      <c r="C169" s="485"/>
      <c r="D169" s="485"/>
      <c r="E169" s="485"/>
      <c r="F169" s="485"/>
      <c r="G169" s="485"/>
      <c r="H169" s="485"/>
      <c r="I169" s="485"/>
      <c r="J169" s="485"/>
      <c r="K169" s="485"/>
      <c r="L169" s="485"/>
      <c r="M169" s="485"/>
      <c r="N169" s="485"/>
      <c r="O169" s="485"/>
      <c r="P169" s="485"/>
      <c r="Q169" s="485"/>
      <c r="R169" s="486"/>
      <c r="T169" s="199"/>
    </row>
    <row r="170" spans="1:20" s="122" customFormat="1" ht="25.5" customHeight="1">
      <c r="A170" s="262"/>
      <c r="B170" s="263"/>
      <c r="C170" s="263"/>
      <c r="D170" s="279" t="s">
        <v>221</v>
      </c>
      <c r="E170" s="280"/>
      <c r="F170" s="280"/>
      <c r="G170" s="331" t="s">
        <v>222</v>
      </c>
      <c r="H170" s="281"/>
      <c r="I170" s="281"/>
      <c r="J170" s="282" t="s">
        <v>221</v>
      </c>
      <c r="K170" s="280"/>
      <c r="L170" s="278" t="s">
        <v>232</v>
      </c>
      <c r="M170" s="278" t="s">
        <v>233</v>
      </c>
      <c r="N170" s="331"/>
      <c r="O170" s="440"/>
      <c r="P170" s="462" t="s">
        <v>67</v>
      </c>
      <c r="Q170" s="462"/>
      <c r="R170" s="483"/>
      <c r="T170" s="199"/>
    </row>
    <row r="171" spans="1:20" s="122" customFormat="1" ht="12" customHeight="1">
      <c r="A171" s="307" t="s">
        <v>1</v>
      </c>
      <c r="B171" s="308" t="s">
        <v>210</v>
      </c>
      <c r="C171" s="309" t="s">
        <v>2</v>
      </c>
      <c r="D171" s="212"/>
      <c r="E171" s="212"/>
      <c r="F171" s="212"/>
      <c r="G171" s="212"/>
      <c r="H171" s="212"/>
      <c r="I171" s="212"/>
      <c r="J171" s="243"/>
      <c r="K171" s="244"/>
      <c r="L171" s="244"/>
      <c r="M171" s="245"/>
      <c r="N171" s="245"/>
      <c r="O171" s="245"/>
      <c r="P171" s="325" t="s">
        <v>220</v>
      </c>
      <c r="Q171" s="323" t="s">
        <v>223</v>
      </c>
      <c r="R171" s="327" t="s">
        <v>234</v>
      </c>
      <c r="T171" s="199"/>
    </row>
    <row r="172" spans="1:20" s="122" customFormat="1" ht="12" customHeight="1">
      <c r="A172" s="420">
        <v>1</v>
      </c>
      <c r="B172" s="421" t="s">
        <v>125</v>
      </c>
      <c r="C172" s="422" t="s">
        <v>238</v>
      </c>
      <c r="D172" s="390">
        <v>91117290437</v>
      </c>
      <c r="E172" s="204">
        <f>(D172/$D$174)</f>
        <v>0.97651600072554889</v>
      </c>
      <c r="F172" s="391">
        <v>107.59</v>
      </c>
      <c r="G172" s="391">
        <v>107.59</v>
      </c>
      <c r="H172" s="387">
        <v>0.13800000000000001</v>
      </c>
      <c r="I172" s="387"/>
      <c r="J172" s="390">
        <v>91117290437</v>
      </c>
      <c r="K172" s="204">
        <f>(J172/$J$174)</f>
        <v>0.97645370624810723</v>
      </c>
      <c r="L172" s="386">
        <v>107.59</v>
      </c>
      <c r="M172" s="386">
        <v>107.59</v>
      </c>
      <c r="N172" s="387">
        <v>0.13800000000000001</v>
      </c>
      <c r="O172" s="387">
        <v>0.13800000000000001</v>
      </c>
      <c r="P172" s="83">
        <f>((J172-D172)/D172)</f>
        <v>0</v>
      </c>
      <c r="Q172" s="83">
        <f>((M172-G172)/G172)</f>
        <v>0</v>
      </c>
      <c r="R172" s="241">
        <f>N172-H172</f>
        <v>0</v>
      </c>
      <c r="T172" s="199"/>
    </row>
    <row r="173" spans="1:20" s="122" customFormat="1" ht="12" customHeight="1">
      <c r="A173" s="420">
        <v>2</v>
      </c>
      <c r="B173" s="421" t="s">
        <v>45</v>
      </c>
      <c r="C173" s="422" t="s">
        <v>264</v>
      </c>
      <c r="D173" s="390">
        <v>2191257881</v>
      </c>
      <c r="E173" s="204">
        <f>(D173/$D$174)</f>
        <v>2.3483999274451127E-2</v>
      </c>
      <c r="F173" s="392">
        <v>1000000</v>
      </c>
      <c r="G173" s="392">
        <v>1000000</v>
      </c>
      <c r="H173" s="387">
        <v>2.7000000000000001E-3</v>
      </c>
      <c r="I173" s="387"/>
      <c r="J173" s="390">
        <v>2197210654</v>
      </c>
      <c r="K173" s="204">
        <f>(J173/$J$174)</f>
        <v>2.3546293751892725E-2</v>
      </c>
      <c r="L173" s="392">
        <v>1000000</v>
      </c>
      <c r="M173" s="392">
        <v>1000000</v>
      </c>
      <c r="N173" s="387">
        <v>2.7000000000000001E-3</v>
      </c>
      <c r="O173" s="387">
        <v>0.1711</v>
      </c>
      <c r="P173" s="83">
        <f>((J173-D173)/D173)</f>
        <v>2.7166008399172985E-3</v>
      </c>
      <c r="Q173" s="83">
        <f>((M173-G173)/G173)</f>
        <v>0</v>
      </c>
      <c r="R173" s="241">
        <f>N173-H173</f>
        <v>0</v>
      </c>
      <c r="T173" s="147" t="s">
        <v>225</v>
      </c>
    </row>
    <row r="174" spans="1:20" s="122" customFormat="1" ht="12" customHeight="1">
      <c r="A174" s="264"/>
      <c r="B174" s="265"/>
      <c r="C174" s="265" t="s">
        <v>218</v>
      </c>
      <c r="D174" s="82">
        <f>SUM(D172:D173)</f>
        <v>93308548318</v>
      </c>
      <c r="E174" s="266"/>
      <c r="F174" s="79"/>
      <c r="G174" s="79"/>
      <c r="H174" s="242"/>
      <c r="I174" s="242"/>
      <c r="J174" s="82">
        <f>SUM(J172:J173)</f>
        <v>93314501091</v>
      </c>
      <c r="K174" s="247"/>
      <c r="L174" s="79"/>
      <c r="M174" s="79"/>
      <c r="N174" s="242"/>
      <c r="O174" s="242"/>
      <c r="P174" s="83">
        <f>((J174-D174)/D174)</f>
        <v>6.3796652153591164E-5</v>
      </c>
      <c r="Q174" s="229"/>
      <c r="R174" s="241">
        <f>N174-H174</f>
        <v>0</v>
      </c>
      <c r="T174" s="148">
        <f>((J174-D174)/D174)</f>
        <v>6.3796652153591164E-5</v>
      </c>
    </row>
    <row r="175" spans="1:20" s="122" customFormat="1" ht="7.5" customHeight="1">
      <c r="A175" s="487"/>
      <c r="B175" s="488"/>
      <c r="C175" s="488"/>
      <c r="D175" s="488"/>
      <c r="E175" s="488"/>
      <c r="F175" s="488"/>
      <c r="G175" s="488"/>
      <c r="H175" s="488"/>
      <c r="I175" s="488"/>
      <c r="J175" s="488"/>
      <c r="K175" s="488"/>
      <c r="L175" s="488"/>
      <c r="M175" s="488"/>
      <c r="N175" s="488"/>
      <c r="O175" s="488"/>
      <c r="P175" s="488"/>
      <c r="Q175" s="488"/>
      <c r="R175" s="489"/>
      <c r="T175" s="199"/>
    </row>
    <row r="176" spans="1:20" s="122" customFormat="1" ht="12" customHeight="1">
      <c r="A176" s="484" t="s">
        <v>239</v>
      </c>
      <c r="B176" s="485"/>
      <c r="C176" s="485"/>
      <c r="D176" s="485"/>
      <c r="E176" s="485"/>
      <c r="F176" s="485"/>
      <c r="G176" s="485"/>
      <c r="H176" s="485"/>
      <c r="I176" s="485"/>
      <c r="J176" s="485"/>
      <c r="K176" s="485"/>
      <c r="L176" s="485"/>
      <c r="M176" s="485"/>
      <c r="N176" s="485"/>
      <c r="O176" s="485"/>
      <c r="P176" s="485"/>
      <c r="Q176" s="485"/>
      <c r="R176" s="486"/>
      <c r="T176" s="199"/>
    </row>
    <row r="177" spans="1:20" s="122" customFormat="1" ht="25.5" customHeight="1">
      <c r="A177" s="273"/>
      <c r="B177" s="274" t="s">
        <v>210</v>
      </c>
      <c r="C177" s="275" t="s">
        <v>50</v>
      </c>
      <c r="D177" s="275" t="s">
        <v>78</v>
      </c>
      <c r="E177" s="276" t="s">
        <v>66</v>
      </c>
      <c r="F177" s="276"/>
      <c r="G177" s="276" t="s">
        <v>79</v>
      </c>
      <c r="H177" s="277"/>
      <c r="I177" s="277"/>
      <c r="J177" s="278" t="s">
        <v>78</v>
      </c>
      <c r="K177" s="276" t="s">
        <v>66</v>
      </c>
      <c r="L177" s="278" t="s">
        <v>232</v>
      </c>
      <c r="M177" s="278" t="s">
        <v>233</v>
      </c>
      <c r="N177" s="276"/>
      <c r="O177" s="276"/>
      <c r="P177" s="462" t="s">
        <v>67</v>
      </c>
      <c r="Q177" s="462"/>
      <c r="R177" s="483"/>
      <c r="T177" s="199"/>
    </row>
    <row r="178" spans="1:20" s="122" customFormat="1" ht="12" customHeight="1">
      <c r="A178" s="200"/>
      <c r="B178" s="70"/>
      <c r="C178" s="70"/>
      <c r="D178" s="212"/>
      <c r="E178" s="212"/>
      <c r="F178" s="212"/>
      <c r="G178" s="212"/>
      <c r="H178" s="236"/>
      <c r="I178" s="236"/>
      <c r="J178" s="232"/>
      <c r="K178" s="212"/>
      <c r="L178" s="212"/>
      <c r="M178" s="212"/>
      <c r="N178" s="235"/>
      <c r="O178" s="235"/>
      <c r="P178" s="323" t="s">
        <v>128</v>
      </c>
      <c r="Q178" s="326" t="s">
        <v>127</v>
      </c>
      <c r="R178" s="327" t="s">
        <v>234</v>
      </c>
      <c r="T178" s="199"/>
    </row>
    <row r="179" spans="1:20" s="122" customFormat="1" ht="12" customHeight="1">
      <c r="A179" s="420">
        <v>1</v>
      </c>
      <c r="B179" s="421" t="s">
        <v>33</v>
      </c>
      <c r="C179" s="422" t="s">
        <v>34</v>
      </c>
      <c r="D179" s="388">
        <v>2980278000</v>
      </c>
      <c r="E179" s="206">
        <f t="shared" ref="E179:E190" si="38">(D179/$D$191)</f>
        <v>0.39133852973011568</v>
      </c>
      <c r="F179" s="392">
        <v>19.86</v>
      </c>
      <c r="G179" s="392">
        <v>20.059999999999999</v>
      </c>
      <c r="H179" s="399"/>
      <c r="I179" s="399"/>
      <c r="J179" s="388">
        <v>2896733000</v>
      </c>
      <c r="K179" s="206">
        <f t="shared" ref="K179:K189" si="39">(J179/$J$191)</f>
        <v>0.38528759692579628</v>
      </c>
      <c r="L179" s="392">
        <v>19.82</v>
      </c>
      <c r="M179" s="392">
        <v>20.02</v>
      </c>
      <c r="N179" s="399">
        <v>0</v>
      </c>
      <c r="O179" s="399">
        <v>0</v>
      </c>
      <c r="P179" s="83">
        <f t="shared" ref="P179:P191" si="40">((J179-D179)/D179)</f>
        <v>-2.8032619775739041E-2</v>
      </c>
      <c r="Q179" s="83">
        <f t="shared" ref="Q179:Q190" si="41">((M179-G179)/G179)</f>
        <v>-1.9940179461614732E-3</v>
      </c>
      <c r="R179" s="241">
        <f t="shared" ref="R179:R191" si="42">N179-H179</f>
        <v>0</v>
      </c>
      <c r="T179" s="199"/>
    </row>
    <row r="180" spans="1:20" s="122" customFormat="1" ht="12" customHeight="1">
      <c r="A180" s="420">
        <v>2</v>
      </c>
      <c r="B180" s="421" t="s">
        <v>33</v>
      </c>
      <c r="C180" s="422" t="s">
        <v>64</v>
      </c>
      <c r="D180" s="80">
        <v>369786197.62</v>
      </c>
      <c r="E180" s="206">
        <f t="shared" si="38"/>
        <v>4.855640543972771E-2</v>
      </c>
      <c r="F180" s="392">
        <v>4.28</v>
      </c>
      <c r="G180" s="392">
        <v>4.38</v>
      </c>
      <c r="H180" s="399"/>
      <c r="I180" s="399"/>
      <c r="J180" s="80">
        <v>369786197.62</v>
      </c>
      <c r="K180" s="206">
        <f t="shared" si="39"/>
        <v>4.9184386499320928E-2</v>
      </c>
      <c r="L180" s="392">
        <v>4.32</v>
      </c>
      <c r="M180" s="392">
        <v>4.42</v>
      </c>
      <c r="N180" s="399">
        <v>0</v>
      </c>
      <c r="O180" s="399">
        <v>0</v>
      </c>
      <c r="P180" s="83">
        <f t="shared" si="40"/>
        <v>0</v>
      </c>
      <c r="Q180" s="83">
        <f t="shared" si="41"/>
        <v>9.1324200913242091E-3</v>
      </c>
      <c r="R180" s="241">
        <f t="shared" si="42"/>
        <v>0</v>
      </c>
      <c r="T180" s="199"/>
    </row>
    <row r="181" spans="1:20" s="122" customFormat="1" ht="12" customHeight="1">
      <c r="A181" s="420">
        <v>3</v>
      </c>
      <c r="B181" s="421" t="s">
        <v>33</v>
      </c>
      <c r="C181" s="422" t="s">
        <v>54</v>
      </c>
      <c r="D181" s="388">
        <v>180795760.63999999</v>
      </c>
      <c r="E181" s="206">
        <f t="shared" si="38"/>
        <v>2.3740183684305798E-2</v>
      </c>
      <c r="F181" s="392">
        <v>6.98</v>
      </c>
      <c r="G181" s="392">
        <v>7.08</v>
      </c>
      <c r="H181" s="399"/>
      <c r="I181" s="399"/>
      <c r="J181" s="388">
        <v>178998075.52000001</v>
      </c>
      <c r="K181" s="206">
        <f t="shared" si="39"/>
        <v>2.3808110161151547E-2</v>
      </c>
      <c r="L181" s="392">
        <v>6.91</v>
      </c>
      <c r="M181" s="392">
        <v>7.01</v>
      </c>
      <c r="N181" s="399">
        <v>0</v>
      </c>
      <c r="O181" s="399">
        <v>0</v>
      </c>
      <c r="P181" s="83">
        <f t="shared" si="40"/>
        <v>-9.943181818181681E-3</v>
      </c>
      <c r="Q181" s="83">
        <f t="shared" si="41"/>
        <v>-9.8870056497175549E-3</v>
      </c>
      <c r="R181" s="241">
        <f t="shared" si="42"/>
        <v>0</v>
      </c>
      <c r="T181" s="199"/>
    </row>
    <row r="182" spans="1:20" s="122" customFormat="1" ht="12" customHeight="1">
      <c r="A182" s="420">
        <v>4</v>
      </c>
      <c r="B182" s="421" t="s">
        <v>33</v>
      </c>
      <c r="C182" s="422" t="s">
        <v>55</v>
      </c>
      <c r="D182" s="80">
        <v>268636866.95999998</v>
      </c>
      <c r="E182" s="206">
        <f t="shared" si="38"/>
        <v>3.5274547054815385E-2</v>
      </c>
      <c r="F182" s="392">
        <v>25.42</v>
      </c>
      <c r="G182" s="392">
        <v>25.62</v>
      </c>
      <c r="H182" s="399"/>
      <c r="I182" s="399"/>
      <c r="J182" s="80">
        <v>267373684.19999999</v>
      </c>
      <c r="K182" s="206">
        <v>0.24610000000000001</v>
      </c>
      <c r="L182" s="392">
        <v>25.29</v>
      </c>
      <c r="M182" s="392">
        <v>25.49</v>
      </c>
      <c r="N182" s="399">
        <v>0</v>
      </c>
      <c r="O182" s="399">
        <v>0</v>
      </c>
      <c r="P182" s="83">
        <f t="shared" si="40"/>
        <v>-4.7021943573667358E-3</v>
      </c>
      <c r="Q182" s="83">
        <f t="shared" si="41"/>
        <v>-5.0741608118658292E-3</v>
      </c>
      <c r="R182" s="241">
        <f t="shared" si="42"/>
        <v>0</v>
      </c>
      <c r="T182" s="199"/>
    </row>
    <row r="183" spans="1:20" s="122" customFormat="1" ht="12" customHeight="1">
      <c r="A183" s="420">
        <v>5</v>
      </c>
      <c r="B183" s="421" t="s">
        <v>33</v>
      </c>
      <c r="C183" s="422" t="s">
        <v>98</v>
      </c>
      <c r="D183" s="388">
        <v>568291553.37</v>
      </c>
      <c r="E183" s="206">
        <f t="shared" si="38"/>
        <v>7.4622025513680051E-2</v>
      </c>
      <c r="F183" s="392">
        <v>141.69999999999999</v>
      </c>
      <c r="G183" s="392">
        <v>143.69999999999999</v>
      </c>
      <c r="H183" s="399"/>
      <c r="I183" s="399"/>
      <c r="J183" s="388">
        <v>563011014.87</v>
      </c>
      <c r="K183" s="206">
        <f t="shared" si="39"/>
        <v>7.4884761889347784E-2</v>
      </c>
      <c r="L183" s="392">
        <v>143.47</v>
      </c>
      <c r="M183" s="392">
        <v>145.47</v>
      </c>
      <c r="N183" s="399">
        <v>0</v>
      </c>
      <c r="O183" s="399">
        <v>0</v>
      </c>
      <c r="P183" s="83">
        <f t="shared" si="40"/>
        <v>-9.2919531685560306E-3</v>
      </c>
      <c r="Q183" s="83">
        <f t="shared" si="41"/>
        <v>1.2317327766179612E-2</v>
      </c>
      <c r="R183" s="241">
        <f t="shared" si="42"/>
        <v>0</v>
      </c>
      <c r="T183" s="199"/>
    </row>
    <row r="184" spans="1:20" s="122" customFormat="1" ht="12" customHeight="1">
      <c r="A184" s="420">
        <v>6</v>
      </c>
      <c r="B184" s="421" t="s">
        <v>35</v>
      </c>
      <c r="C184" s="422" t="s">
        <v>36</v>
      </c>
      <c r="D184" s="388">
        <v>592726343.67999995</v>
      </c>
      <c r="E184" s="206">
        <f t="shared" si="38"/>
        <v>7.7830543280874617E-2</v>
      </c>
      <c r="F184" s="392">
        <v>11100.16</v>
      </c>
      <c r="G184" s="392">
        <v>11100.16</v>
      </c>
      <c r="H184" s="399"/>
      <c r="I184" s="399"/>
      <c r="J184" s="388">
        <v>592717800</v>
      </c>
      <c r="K184" s="206">
        <f t="shared" si="39"/>
        <v>7.8835991034432493E-2</v>
      </c>
      <c r="L184" s="392">
        <v>11100</v>
      </c>
      <c r="M184" s="392">
        <v>11100</v>
      </c>
      <c r="N184" s="399">
        <v>0</v>
      </c>
      <c r="O184" s="399">
        <v>0</v>
      </c>
      <c r="P184" s="83">
        <f t="shared" si="40"/>
        <v>-1.4414206641977929E-5</v>
      </c>
      <c r="Q184" s="83">
        <f t="shared" si="41"/>
        <v>-1.4414206642053312E-5</v>
      </c>
      <c r="R184" s="241">
        <f t="shared" si="42"/>
        <v>0</v>
      </c>
      <c r="T184" s="199"/>
    </row>
    <row r="185" spans="1:20" s="122" customFormat="1" ht="12" customHeight="1">
      <c r="A185" s="420">
        <v>7</v>
      </c>
      <c r="B185" s="421" t="s">
        <v>27</v>
      </c>
      <c r="C185" s="422" t="s">
        <v>102</v>
      </c>
      <c r="D185" s="388">
        <v>572436722.16999996</v>
      </c>
      <c r="E185" s="206">
        <f t="shared" si="38"/>
        <v>7.5166325160785169E-2</v>
      </c>
      <c r="F185" s="392">
        <v>17.14</v>
      </c>
      <c r="G185" s="392">
        <v>17.14</v>
      </c>
      <c r="H185" s="399">
        <v>0.1041</v>
      </c>
      <c r="I185" s="399"/>
      <c r="J185" s="388">
        <v>572316712.51999998</v>
      </c>
      <c r="K185" s="206">
        <f t="shared" si="39"/>
        <v>7.6122490698073517E-2</v>
      </c>
      <c r="L185" s="392">
        <v>17.14</v>
      </c>
      <c r="M185" s="392">
        <v>17.14</v>
      </c>
      <c r="N185" s="399">
        <v>0.1038</v>
      </c>
      <c r="O185" s="399">
        <v>0</v>
      </c>
      <c r="P185" s="83">
        <f t="shared" si="40"/>
        <v>-2.096470148613844E-4</v>
      </c>
      <c r="Q185" s="83">
        <f t="shared" si="41"/>
        <v>0</v>
      </c>
      <c r="R185" s="241">
        <f t="shared" si="42"/>
        <v>-2.9999999999999472E-4</v>
      </c>
      <c r="T185" s="199"/>
    </row>
    <row r="186" spans="1:20" s="122" customFormat="1" ht="12" customHeight="1">
      <c r="A186" s="420">
        <v>8</v>
      </c>
      <c r="B186" s="421" t="s">
        <v>43</v>
      </c>
      <c r="C186" s="422" t="s">
        <v>44</v>
      </c>
      <c r="D186" s="388">
        <v>482078162.77999997</v>
      </c>
      <c r="E186" s="206">
        <f t="shared" si="38"/>
        <v>6.3301396526538989E-2</v>
      </c>
      <c r="F186" s="392">
        <v>265</v>
      </c>
      <c r="G186" s="392">
        <v>265</v>
      </c>
      <c r="H186" s="399">
        <v>-1.38E-2</v>
      </c>
      <c r="I186" s="399"/>
      <c r="J186" s="388">
        <v>481090507.00999999</v>
      </c>
      <c r="K186" s="206">
        <f t="shared" si="39"/>
        <v>6.3988709124967971E-2</v>
      </c>
      <c r="L186" s="392">
        <v>265</v>
      </c>
      <c r="M186" s="392">
        <v>265</v>
      </c>
      <c r="N186" s="399">
        <v>-2E-3</v>
      </c>
      <c r="O186" s="399">
        <v>7.6600000000000001E-2</v>
      </c>
      <c r="P186" s="83">
        <f t="shared" si="40"/>
        <v>-2.0487461292676415E-3</v>
      </c>
      <c r="Q186" s="83">
        <f t="shared" si="41"/>
        <v>0</v>
      </c>
      <c r="R186" s="241">
        <f t="shared" si="42"/>
        <v>1.18E-2</v>
      </c>
      <c r="T186" s="199"/>
    </row>
    <row r="187" spans="1:20" s="122" customFormat="1" ht="12" customHeight="1">
      <c r="A187" s="420">
        <v>9</v>
      </c>
      <c r="B187" s="421" t="s">
        <v>43</v>
      </c>
      <c r="C187" s="422" t="s">
        <v>100</v>
      </c>
      <c r="D187" s="388">
        <v>641171488.98000002</v>
      </c>
      <c r="E187" s="206">
        <f t="shared" si="38"/>
        <v>8.4191846466102255E-2</v>
      </c>
      <c r="F187" s="392">
        <v>80</v>
      </c>
      <c r="G187" s="392">
        <v>80</v>
      </c>
      <c r="H187" s="399">
        <v>-2.81E-2</v>
      </c>
      <c r="I187" s="399"/>
      <c r="J187" s="388">
        <v>641981664.67999995</v>
      </c>
      <c r="K187" s="206">
        <f t="shared" si="39"/>
        <v>8.538846101970031E-2</v>
      </c>
      <c r="L187" s="392">
        <v>80</v>
      </c>
      <c r="M187" s="392">
        <v>80</v>
      </c>
      <c r="N187" s="399">
        <v>1.2999999999999999E-3</v>
      </c>
      <c r="O187" s="399">
        <v>4.6600000000000003E-2</v>
      </c>
      <c r="P187" s="83">
        <f t="shared" si="40"/>
        <v>1.2635865972281249E-3</v>
      </c>
      <c r="Q187" s="83">
        <f t="shared" si="41"/>
        <v>0</v>
      </c>
      <c r="R187" s="241">
        <f t="shared" si="42"/>
        <v>2.9399999999999999E-2</v>
      </c>
      <c r="T187" s="199"/>
    </row>
    <row r="188" spans="1:20" s="122" customFormat="1" ht="12" customHeight="1">
      <c r="A188" s="447">
        <v>10</v>
      </c>
      <c r="B188" s="448" t="s">
        <v>93</v>
      </c>
      <c r="C188" s="449" t="s">
        <v>243</v>
      </c>
      <c r="D188" s="388">
        <v>553404962.46000004</v>
      </c>
      <c r="E188" s="206">
        <f t="shared" si="38"/>
        <v>7.2667276124726038E-2</v>
      </c>
      <c r="F188" s="392">
        <v>127.41</v>
      </c>
      <c r="G188" s="392">
        <v>130.38</v>
      </c>
      <c r="H188" s="399"/>
      <c r="I188" s="399"/>
      <c r="J188" s="388">
        <v>553131704.53999996</v>
      </c>
      <c r="K188" s="206">
        <f t="shared" si="39"/>
        <v>7.3570738216358275E-2</v>
      </c>
      <c r="L188" s="392">
        <v>127.35</v>
      </c>
      <c r="M188" s="392">
        <v>132.32</v>
      </c>
      <c r="N188" s="399">
        <v>0</v>
      </c>
      <c r="O188" s="399">
        <v>0</v>
      </c>
      <c r="P188" s="83">
        <f t="shared" si="40"/>
        <v>-4.9377569508120788E-4</v>
      </c>
      <c r="Q188" s="83">
        <f t="shared" si="41"/>
        <v>1.4879582758091715E-2</v>
      </c>
      <c r="R188" s="241">
        <f t="shared" si="42"/>
        <v>0</v>
      </c>
      <c r="T188" s="199"/>
    </row>
    <row r="189" spans="1:20" s="122" customFormat="1" ht="12" customHeight="1">
      <c r="A189" s="420">
        <v>11</v>
      </c>
      <c r="B189" s="421" t="s">
        <v>59</v>
      </c>
      <c r="C189" s="422" t="s">
        <v>199</v>
      </c>
      <c r="D189" s="388">
        <v>224350840.75</v>
      </c>
      <c r="E189" s="206">
        <f t="shared" si="38"/>
        <v>2.9459375320966812E-2</v>
      </c>
      <c r="F189" s="392">
        <v>16.399999999999999</v>
      </c>
      <c r="G189" s="392">
        <v>16.5</v>
      </c>
      <c r="H189" s="399"/>
      <c r="I189" s="399"/>
      <c r="J189" s="388">
        <v>223248121.65000001</v>
      </c>
      <c r="K189" s="206">
        <f t="shared" si="39"/>
        <v>2.9693704013703141E-2</v>
      </c>
      <c r="L189" s="392">
        <v>16.399999999999999</v>
      </c>
      <c r="M189" s="392">
        <v>16.5</v>
      </c>
      <c r="N189" s="399">
        <v>-4.8999999999999998E-3</v>
      </c>
      <c r="O189" s="399">
        <v>-3.9300000000000002E-2</v>
      </c>
      <c r="P189" s="83">
        <f t="shared" si="40"/>
        <v>-4.9151547474198358E-3</v>
      </c>
      <c r="Q189" s="83">
        <f t="shared" si="41"/>
        <v>0</v>
      </c>
      <c r="R189" s="241">
        <f t="shared" si="42"/>
        <v>-4.8999999999999998E-3</v>
      </c>
      <c r="T189" s="199"/>
    </row>
    <row r="190" spans="1:20" s="122" customFormat="1" ht="12" customHeight="1">
      <c r="A190" s="420">
        <v>12</v>
      </c>
      <c r="B190" s="421" t="s">
        <v>59</v>
      </c>
      <c r="C190" s="422" t="s">
        <v>200</v>
      </c>
      <c r="D190" s="388">
        <v>181643849.27000001</v>
      </c>
      <c r="E190" s="206">
        <f t="shared" si="38"/>
        <v>2.3851545697361306E-2</v>
      </c>
      <c r="F190" s="392">
        <v>17.399999999999999</v>
      </c>
      <c r="G190" s="392">
        <v>17.5</v>
      </c>
      <c r="H190" s="399"/>
      <c r="I190" s="399"/>
      <c r="J190" s="388">
        <v>177977078.88999999</v>
      </c>
      <c r="K190" s="206">
        <f>(J190/$J$191)</f>
        <v>2.3672309817094277E-2</v>
      </c>
      <c r="L190" s="392">
        <v>17.399999999999999</v>
      </c>
      <c r="M190" s="392">
        <v>17.5</v>
      </c>
      <c r="N190" s="399">
        <v>-2.0199999999999999E-2</v>
      </c>
      <c r="O190" s="399">
        <v>-6.2100000000000002E-2</v>
      </c>
      <c r="P190" s="83">
        <f t="shared" si="40"/>
        <v>-2.0186592580680476E-2</v>
      </c>
      <c r="Q190" s="83">
        <f t="shared" si="41"/>
        <v>0</v>
      </c>
      <c r="R190" s="241">
        <f t="shared" si="42"/>
        <v>-2.0199999999999999E-2</v>
      </c>
      <c r="T190" s="201"/>
    </row>
    <row r="191" spans="1:20" s="122" customFormat="1" ht="12" customHeight="1">
      <c r="A191" s="264"/>
      <c r="B191" s="265"/>
      <c r="C191" s="265" t="s">
        <v>37</v>
      </c>
      <c r="D191" s="82">
        <f>SUM(D179:D190)</f>
        <v>7615600748.6800013</v>
      </c>
      <c r="E191" s="266"/>
      <c r="F191" s="246"/>
      <c r="G191" s="79"/>
      <c r="H191" s="242"/>
      <c r="I191" s="242"/>
      <c r="J191" s="82">
        <f>SUM(J179:J190)</f>
        <v>7518365561.5</v>
      </c>
      <c r="K191" s="247"/>
      <c r="L191" s="246"/>
      <c r="M191" s="79"/>
      <c r="N191" s="242"/>
      <c r="O191" s="242"/>
      <c r="P191" s="83">
        <f t="shared" si="40"/>
        <v>-1.2767894535024681E-2</v>
      </c>
      <c r="Q191" s="229"/>
      <c r="R191" s="400">
        <f t="shared" si="42"/>
        <v>0</v>
      </c>
      <c r="T191" s="147" t="s">
        <v>180</v>
      </c>
    </row>
    <row r="192" spans="1:20" s="122" customFormat="1" ht="12" customHeight="1" thickBot="1">
      <c r="A192" s="268"/>
      <c r="B192" s="269"/>
      <c r="C192" s="269" t="s">
        <v>47</v>
      </c>
      <c r="D192" s="270">
        <f>SUM(D167,D174,D191)</f>
        <v>1688865902848.1709</v>
      </c>
      <c r="E192" s="270"/>
      <c r="F192" s="270"/>
      <c r="G192" s="271"/>
      <c r="H192" s="272"/>
      <c r="I192" s="272"/>
      <c r="J192" s="270">
        <f>SUM(J167,J174,J191)</f>
        <v>1675766314367.9641</v>
      </c>
      <c r="K192" s="248"/>
      <c r="L192" s="248"/>
      <c r="M192" s="249"/>
      <c r="N192" s="250"/>
      <c r="O192" s="250"/>
      <c r="P192" s="225"/>
      <c r="Q192" s="230"/>
      <c r="R192" s="226"/>
      <c r="T192" s="148">
        <f>((J191-D191)/D191)</f>
        <v>-1.2767894535024681E-2</v>
      </c>
    </row>
    <row r="193" spans="1:15" ht="12" customHeight="1">
      <c r="A193" s="251"/>
      <c r="B193" s="252"/>
      <c r="C193" s="100"/>
      <c r="D193" s="67"/>
      <c r="E193" s="67"/>
      <c r="F193" s="67"/>
      <c r="G193" s="253"/>
      <c r="H193" s="254"/>
      <c r="I193" s="254"/>
      <c r="J193" s="7"/>
      <c r="K193" s="67"/>
      <c r="L193" s="67"/>
      <c r="M193" s="255"/>
      <c r="N193" s="256"/>
      <c r="O193" s="256"/>
    </row>
    <row r="194" spans="1:15" ht="12" customHeight="1">
      <c r="A194" s="256"/>
      <c r="B194" s="258"/>
      <c r="C194" s="255"/>
      <c r="D194" s="255"/>
      <c r="E194" s="255"/>
      <c r="F194" s="255"/>
      <c r="G194" s="255"/>
      <c r="H194" s="257"/>
      <c r="I194" s="257"/>
      <c r="J194" s="259"/>
      <c r="K194" s="255"/>
      <c r="L194" s="255"/>
      <c r="M194" s="255"/>
      <c r="N194" s="256"/>
      <c r="O194" s="256"/>
    </row>
    <row r="195" spans="1:15" ht="12" customHeight="1">
      <c r="A195" s="256"/>
      <c r="B195" s="255"/>
      <c r="C195" s="258"/>
      <c r="D195" s="255"/>
      <c r="E195" s="255"/>
      <c r="F195" s="255"/>
      <c r="G195" s="255"/>
      <c r="H195" s="257"/>
      <c r="I195" s="257"/>
      <c r="J195" s="259"/>
      <c r="K195" s="255"/>
      <c r="L195" s="255"/>
      <c r="M195" s="255"/>
      <c r="N195" s="256"/>
      <c r="O195" s="256"/>
    </row>
    <row r="196" spans="1:15" ht="12" customHeight="1">
      <c r="A196" s="256"/>
      <c r="B196" s="260"/>
      <c r="C196" s="261"/>
      <c r="D196" s="255"/>
      <c r="E196" s="255"/>
      <c r="F196" s="255"/>
      <c r="G196" s="255"/>
      <c r="H196" s="257"/>
      <c r="I196" s="257"/>
      <c r="J196" s="259"/>
      <c r="K196" s="255"/>
      <c r="L196" s="255"/>
      <c r="M196" s="255"/>
      <c r="N196" s="256"/>
      <c r="O196" s="256"/>
    </row>
    <row r="197" spans="1:15" ht="12" customHeight="1">
      <c r="A197" s="256"/>
      <c r="B197" s="260"/>
      <c r="C197" s="260"/>
      <c r="D197" s="255"/>
      <c r="E197" s="255"/>
      <c r="F197" s="255"/>
      <c r="G197" s="255"/>
      <c r="H197" s="257"/>
      <c r="I197" s="257"/>
      <c r="J197" s="259"/>
      <c r="K197" s="255"/>
      <c r="L197" s="255"/>
      <c r="M197" s="255"/>
      <c r="N197" s="256"/>
      <c r="O197" s="256"/>
    </row>
    <row r="198" spans="1:15" ht="12" customHeight="1">
      <c r="A198" s="256"/>
      <c r="B198" s="260"/>
      <c r="C198" s="260"/>
      <c r="D198" s="255"/>
      <c r="E198" s="255"/>
      <c r="F198" s="255"/>
      <c r="G198" s="255"/>
      <c r="H198" s="257"/>
      <c r="I198" s="257"/>
      <c r="J198" s="259"/>
      <c r="K198" s="255"/>
      <c r="L198" s="255"/>
      <c r="M198" s="255"/>
      <c r="N198" s="256"/>
      <c r="O198" s="256"/>
    </row>
    <row r="199" spans="1:15" ht="12" customHeight="1">
      <c r="A199" s="256"/>
      <c r="B199" s="260"/>
      <c r="C199" s="260"/>
      <c r="D199" s="255"/>
      <c r="E199" s="255"/>
      <c r="F199" s="255"/>
      <c r="G199" s="255"/>
      <c r="H199" s="257"/>
      <c r="I199" s="257"/>
      <c r="J199" s="259"/>
      <c r="K199" s="255"/>
      <c r="L199" s="255"/>
      <c r="M199" s="255"/>
      <c r="N199" s="256"/>
      <c r="O199" s="256"/>
    </row>
    <row r="200" spans="1:15" ht="12" customHeight="1">
      <c r="A200" s="256"/>
      <c r="B200" s="260"/>
      <c r="C200" s="261"/>
      <c r="D200" s="255"/>
      <c r="E200" s="255"/>
      <c r="F200" s="255"/>
      <c r="G200" s="255"/>
      <c r="H200" s="257"/>
      <c r="I200" s="257"/>
      <c r="J200" s="259"/>
      <c r="K200" s="255"/>
      <c r="L200" s="255"/>
      <c r="M200" s="255"/>
      <c r="N200" s="256"/>
      <c r="O200" s="256"/>
    </row>
    <row r="201" spans="1:15" ht="12" customHeight="1">
      <c r="B201" s="260"/>
      <c r="C201" s="260"/>
      <c r="D201" s="255"/>
      <c r="E201" s="255"/>
      <c r="F201" s="255"/>
      <c r="G201" s="255"/>
      <c r="H201" s="257"/>
      <c r="I201" s="257"/>
      <c r="J201" s="259"/>
      <c r="K201" s="255"/>
      <c r="L201" s="255"/>
      <c r="M201" s="255"/>
      <c r="N201" s="256"/>
      <c r="O201" s="256"/>
    </row>
    <row r="202" spans="1:15" ht="12" customHeight="1">
      <c r="B202" s="4"/>
      <c r="C202" s="4"/>
    </row>
    <row r="203" spans="1:15" ht="12" customHeight="1">
      <c r="B203" s="4"/>
      <c r="C203" s="4"/>
    </row>
    <row r="204" spans="1:15" ht="12" customHeight="1">
      <c r="B204" s="4"/>
      <c r="C204" s="6"/>
    </row>
    <row r="205" spans="1:15" ht="12" customHeight="1">
      <c r="B205" s="4"/>
      <c r="C205" s="4"/>
    </row>
    <row r="206" spans="1:15" ht="12" customHeight="1">
      <c r="B206" s="4"/>
      <c r="C206" s="4"/>
    </row>
    <row r="207" spans="1:15" ht="12" customHeight="1">
      <c r="B207" s="4"/>
      <c r="C207" s="4"/>
    </row>
    <row r="208" spans="1:15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H52:I52 N52:O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L76 F76" name="BidOffer Prices_2_1_1_1_1_1_1_1_2"/>
    <protectedRange password="CADF" sqref="M76 G76" name="BidOffer Prices_2_1_1_1_1_1_1_1_1_1"/>
    <protectedRange password="CADF" sqref="J142:J144 D142:D144" name="Fund Name_1_1_1_2"/>
    <protectedRange password="CADF" sqref="N142:O144 H142:I144" name="Yield_1_1_2_2"/>
    <protectedRange password="CADF" sqref="L142:M144 F142:G144" name="Fund Name_1_1_1_1_2"/>
    <protectedRange password="CADF" sqref="N47:O47 H47:I47" name="Yield_1_1_2_1_1_1_1_1"/>
    <protectedRange password="CADF" sqref="J94 D94" name="Yield_2_1_2_6_3"/>
  </protectedRanges>
  <mergeCells count="42">
    <mergeCell ref="A154:R154"/>
    <mergeCell ref="A147:R147"/>
    <mergeCell ref="A120:R120"/>
    <mergeCell ref="A113:R113"/>
    <mergeCell ref="A152:R152"/>
    <mergeCell ref="A146:R146"/>
    <mergeCell ref="W118:W120"/>
    <mergeCell ref="V71:V83"/>
    <mergeCell ref="T121:T122"/>
    <mergeCell ref="P177:R177"/>
    <mergeCell ref="A176:R176"/>
    <mergeCell ref="P170:R170"/>
    <mergeCell ref="A169:R169"/>
    <mergeCell ref="A158:R158"/>
    <mergeCell ref="A157:R157"/>
    <mergeCell ref="A168:R168"/>
    <mergeCell ref="A175:R175"/>
    <mergeCell ref="A88:R88"/>
    <mergeCell ref="A100:R100"/>
    <mergeCell ref="A112:R112"/>
    <mergeCell ref="A119:R119"/>
    <mergeCell ref="A153:R153"/>
    <mergeCell ref="V31:W31"/>
    <mergeCell ref="V32:W32"/>
    <mergeCell ref="V30:W30"/>
    <mergeCell ref="V35:W35"/>
    <mergeCell ref="U40:U41"/>
    <mergeCell ref="A101:R101"/>
    <mergeCell ref="A90:R90"/>
    <mergeCell ref="A89:R89"/>
    <mergeCell ref="U70:V70"/>
    <mergeCell ref="U102:U103"/>
    <mergeCell ref="A1:R1"/>
    <mergeCell ref="A56:R56"/>
    <mergeCell ref="A23:R23"/>
    <mergeCell ref="A55:R55"/>
    <mergeCell ref="A24:R24"/>
    <mergeCell ref="D2:H2"/>
    <mergeCell ref="J2:N2"/>
    <mergeCell ref="P2:Q2"/>
    <mergeCell ref="A4:R4"/>
    <mergeCell ref="A5:R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9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0"/>
      <c r="F3" s="110"/>
      <c r="G3" s="110"/>
    </row>
    <row r="4" spans="1:7">
      <c r="E4" s="110"/>
      <c r="F4" s="110"/>
      <c r="G4" s="110"/>
    </row>
    <row r="5" spans="1:7">
      <c r="E5" s="110"/>
      <c r="F5" s="110"/>
      <c r="G5" s="110"/>
    </row>
    <row r="6" spans="1:7">
      <c r="E6" s="107" t="s">
        <v>69</v>
      </c>
      <c r="F6" s="108" t="s">
        <v>162</v>
      </c>
      <c r="G6" s="110"/>
    </row>
    <row r="7" spans="1:7">
      <c r="E7" s="207" t="s">
        <v>0</v>
      </c>
      <c r="F7" s="109">
        <f>'NAV Trend'!J2</f>
        <v>17018697028.65</v>
      </c>
      <c r="G7" s="110"/>
    </row>
    <row r="8" spans="1:7">
      <c r="E8" s="207" t="s">
        <v>48</v>
      </c>
      <c r="F8" s="109">
        <f>'NAV Trend'!J3</f>
        <v>808804557491.32593</v>
      </c>
      <c r="G8" s="110"/>
    </row>
    <row r="9" spans="1:7">
      <c r="A9" s="110"/>
      <c r="B9" s="110"/>
      <c r="E9" s="207" t="s">
        <v>209</v>
      </c>
      <c r="F9" s="109">
        <f>'NAV Trend'!J4</f>
        <v>338781243498.64948</v>
      </c>
      <c r="G9" s="110"/>
    </row>
    <row r="10" spans="1:7">
      <c r="A10" s="493"/>
      <c r="B10" s="493"/>
      <c r="E10" s="207" t="s">
        <v>211</v>
      </c>
      <c r="F10" s="109">
        <f>'NAV Trend'!J5</f>
        <v>317395334099.62982</v>
      </c>
      <c r="G10" s="110"/>
    </row>
    <row r="11" spans="1:7">
      <c r="A11" s="103"/>
      <c r="B11" s="103"/>
      <c r="E11" s="207" t="s">
        <v>230</v>
      </c>
      <c r="F11" s="109">
        <f>'NAV Trend'!J6</f>
        <v>46442483642.769997</v>
      </c>
      <c r="G11" s="110"/>
    </row>
    <row r="12" spans="1:7">
      <c r="A12" s="104"/>
      <c r="B12" s="105"/>
      <c r="E12" s="207" t="s">
        <v>65</v>
      </c>
      <c r="F12" s="109">
        <f>'NAV Trend'!J7</f>
        <v>31193956823.055714</v>
      </c>
      <c r="G12" s="110"/>
    </row>
    <row r="13" spans="1:7">
      <c r="A13" s="104"/>
      <c r="B13" s="105"/>
      <c r="E13" s="207" t="s">
        <v>71</v>
      </c>
      <c r="F13" s="109">
        <f>'NAV Trend'!J8</f>
        <v>3138053697.2600002</v>
      </c>
      <c r="G13" s="110"/>
    </row>
    <row r="14" spans="1:7">
      <c r="A14" s="104"/>
      <c r="B14" s="105"/>
      <c r="E14" s="207" t="s">
        <v>224</v>
      </c>
      <c r="F14" s="208">
        <f>'NAV Trend'!J9</f>
        <v>25167427500.150002</v>
      </c>
      <c r="G14" s="110"/>
    </row>
    <row r="15" spans="1:7">
      <c r="A15" s="104"/>
      <c r="B15" s="105"/>
      <c r="E15" s="110"/>
      <c r="F15" s="110"/>
      <c r="G15" s="110"/>
    </row>
    <row r="16" spans="1:7">
      <c r="A16" s="104"/>
      <c r="B16" s="105"/>
      <c r="E16" s="110"/>
      <c r="F16" s="110"/>
      <c r="G16" s="110"/>
    </row>
    <row r="17" spans="1:13">
      <c r="A17" s="104"/>
      <c r="B17" s="105"/>
      <c r="E17" s="110"/>
      <c r="F17" s="110"/>
      <c r="G17" s="110"/>
    </row>
    <row r="18" spans="1:13">
      <c r="A18" s="104"/>
      <c r="B18" s="105"/>
      <c r="E18" s="110"/>
      <c r="F18" s="110"/>
      <c r="G18" s="110"/>
    </row>
    <row r="19" spans="1:13">
      <c r="A19" s="104"/>
      <c r="B19" s="105"/>
      <c r="E19" s="110"/>
      <c r="F19" s="110"/>
      <c r="G19" s="110"/>
    </row>
    <row r="24" spans="1:13" s="101" customFormat="1" ht="21.75" customHeight="1"/>
    <row r="25" spans="1:13" ht="30.75" customHeight="1">
      <c r="B25" s="111" t="s">
        <v>164</v>
      </c>
      <c r="M25" s="102"/>
    </row>
    <row r="26" spans="1:13" ht="54" customHeight="1">
      <c r="B26" s="494" t="s">
        <v>293</v>
      </c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10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I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2" t="s">
        <v>69</v>
      </c>
      <c r="C1" s="406">
        <v>44953</v>
      </c>
      <c r="D1" s="406">
        <v>44960</v>
      </c>
      <c r="E1" s="406">
        <v>44967</v>
      </c>
      <c r="F1" s="406">
        <v>44974</v>
      </c>
      <c r="G1" s="406">
        <v>44981</v>
      </c>
      <c r="H1" s="406">
        <v>44988</v>
      </c>
      <c r="I1" s="406">
        <v>44995</v>
      </c>
      <c r="J1" s="406">
        <v>45002</v>
      </c>
      <c r="K1" s="406">
        <v>45009</v>
      </c>
      <c r="L1" s="330"/>
    </row>
    <row r="2" spans="2:24" s="118" customFormat="1" ht="16.5">
      <c r="B2" s="413" t="s">
        <v>0</v>
      </c>
      <c r="C2" s="407">
        <v>16797381909.850002</v>
      </c>
      <c r="D2" s="407">
        <v>17133825597.439997</v>
      </c>
      <c r="E2" s="407">
        <v>17103979411.670002</v>
      </c>
      <c r="F2" s="407">
        <v>17010664326.750002</v>
      </c>
      <c r="G2" s="407">
        <v>17138775616.899998</v>
      </c>
      <c r="H2" s="407">
        <v>17291112299.790001</v>
      </c>
      <c r="I2" s="407">
        <v>17294675587.010002</v>
      </c>
      <c r="J2" s="407">
        <v>17018697028.65</v>
      </c>
      <c r="K2" s="407">
        <v>17022340090.360001</v>
      </c>
    </row>
    <row r="3" spans="2:24" s="118" customFormat="1" ht="16.5">
      <c r="B3" s="413" t="s">
        <v>48</v>
      </c>
      <c r="C3" s="408">
        <v>689393093044.69934</v>
      </c>
      <c r="D3" s="408">
        <v>708387215249.38928</v>
      </c>
      <c r="E3" s="408">
        <v>734404198247.47839</v>
      </c>
      <c r="F3" s="408">
        <v>748848468799.76001</v>
      </c>
      <c r="G3" s="408">
        <v>773728453122.66284</v>
      </c>
      <c r="H3" s="408">
        <v>796016399970.13013</v>
      </c>
      <c r="I3" s="408">
        <v>809621970053.67017</v>
      </c>
      <c r="J3" s="408">
        <v>808804557491.32593</v>
      </c>
      <c r="K3" s="408">
        <v>808555564328.63843</v>
      </c>
    </row>
    <row r="4" spans="2:24" s="118" customFormat="1" ht="16.5">
      <c r="B4" s="413" t="s">
        <v>209</v>
      </c>
      <c r="C4" s="407">
        <v>342048621360.02881</v>
      </c>
      <c r="D4" s="407">
        <v>346326319129.15698</v>
      </c>
      <c r="E4" s="407">
        <v>338349672651.75592</v>
      </c>
      <c r="F4" s="407">
        <v>337557374886.08539</v>
      </c>
      <c r="G4" s="407">
        <v>335945984770.62183</v>
      </c>
      <c r="H4" s="407">
        <v>337420772556.3739</v>
      </c>
      <c r="I4" s="407">
        <v>337681545776.1922</v>
      </c>
      <c r="J4" s="407">
        <v>338781243498.64948</v>
      </c>
      <c r="K4" s="407">
        <v>329560582532.39893</v>
      </c>
    </row>
    <row r="5" spans="2:24" s="118" customFormat="1" ht="16.5">
      <c r="B5" s="413" t="s">
        <v>211</v>
      </c>
      <c r="C5" s="408">
        <v>318454224920.62793</v>
      </c>
      <c r="D5" s="408">
        <v>315407028595.76306</v>
      </c>
      <c r="E5" s="408">
        <v>318608459435.22919</v>
      </c>
      <c r="F5" s="408">
        <v>315347453563.14014</v>
      </c>
      <c r="G5" s="408">
        <v>315837517726.25104</v>
      </c>
      <c r="H5" s="408">
        <v>318565990487.86023</v>
      </c>
      <c r="I5" s="408">
        <v>319613321483.23999</v>
      </c>
      <c r="J5" s="408">
        <v>317395334099.62982</v>
      </c>
      <c r="K5" s="408">
        <v>313889534077.08875</v>
      </c>
    </row>
    <row r="6" spans="2:24" s="118" customFormat="1" ht="16.5">
      <c r="B6" s="413" t="s">
        <v>231</v>
      </c>
      <c r="C6" s="407">
        <v>46212263995.169998</v>
      </c>
      <c r="D6" s="407">
        <v>46289004330.269997</v>
      </c>
      <c r="E6" s="407">
        <v>46332605433.940002</v>
      </c>
      <c r="F6" s="407">
        <v>46362288631.089996</v>
      </c>
      <c r="G6" s="407">
        <v>46378152063.179993</v>
      </c>
      <c r="H6" s="407">
        <v>46384295590.5</v>
      </c>
      <c r="I6" s="407">
        <v>46432760216.860001</v>
      </c>
      <c r="J6" s="407">
        <v>46442483642.769997</v>
      </c>
      <c r="K6" s="407">
        <v>46448137747.110001</v>
      </c>
    </row>
    <row r="7" spans="2:24" s="118" customFormat="1" ht="16.5">
      <c r="B7" s="413" t="s">
        <v>241</v>
      </c>
      <c r="C7" s="409">
        <v>30652475117.892384</v>
      </c>
      <c r="D7" s="409">
        <v>31150543689.963333</v>
      </c>
      <c r="E7" s="409">
        <v>31179910941.77726</v>
      </c>
      <c r="F7" s="409">
        <v>31120048445.681793</v>
      </c>
      <c r="G7" s="409">
        <v>31292470255.431282</v>
      </c>
      <c r="H7" s="409">
        <v>31275370993.764259</v>
      </c>
      <c r="I7" s="409">
        <v>31644276857.633732</v>
      </c>
      <c r="J7" s="409">
        <v>31193956823.055714</v>
      </c>
      <c r="K7" s="409">
        <v>31270923143.617718</v>
      </c>
    </row>
    <row r="8" spans="2:24" s="310" customFormat="1" ht="16.5">
      <c r="B8" s="413" t="s">
        <v>71</v>
      </c>
      <c r="C8" s="407">
        <v>3046932460.8900003</v>
      </c>
      <c r="D8" s="407">
        <v>3049787978.2799997</v>
      </c>
      <c r="E8" s="407">
        <v>3064465697.6700001</v>
      </c>
      <c r="F8" s="407">
        <v>3061691984.0600004</v>
      </c>
      <c r="G8" s="407">
        <v>3158407721.2199998</v>
      </c>
      <c r="H8" s="407">
        <v>3177550412.0600004</v>
      </c>
      <c r="I8" s="407">
        <v>3184420481.5599999</v>
      </c>
      <c r="J8" s="407">
        <v>3138053697.2600002</v>
      </c>
      <c r="K8" s="407">
        <v>3062737011.3699999</v>
      </c>
    </row>
    <row r="9" spans="2:24" ht="16.5">
      <c r="B9" s="413" t="s">
        <v>224</v>
      </c>
      <c r="C9" s="407">
        <v>23218611718.279995</v>
      </c>
      <c r="D9" s="407">
        <v>23178272501.200001</v>
      </c>
      <c r="E9" s="407">
        <v>23806773999.320004</v>
      </c>
      <c r="F9" s="407">
        <v>23850690692.210003</v>
      </c>
      <c r="G9" s="407">
        <v>23767011958.820007</v>
      </c>
      <c r="H9" s="407">
        <v>23646207806.779999</v>
      </c>
      <c r="I9" s="407">
        <v>25118658682.680004</v>
      </c>
      <c r="J9" s="407">
        <v>25167427500.150002</v>
      </c>
      <c r="K9" s="407">
        <v>25123628784.880001</v>
      </c>
    </row>
    <row r="10" spans="2:24" s="1" customFormat="1" ht="15.75">
      <c r="B10" s="414" t="s">
        <v>269</v>
      </c>
      <c r="C10" s="415">
        <f t="shared" ref="C10:G10" si="0">SUM(C2:C9)</f>
        <v>1469823604527.4382</v>
      </c>
      <c r="D10" s="415">
        <f t="shared" si="0"/>
        <v>1490921997071.4626</v>
      </c>
      <c r="E10" s="415">
        <f t="shared" si="0"/>
        <v>1512850065818.8408</v>
      </c>
      <c r="F10" s="415">
        <f t="shared" si="0"/>
        <v>1523158681328.7776</v>
      </c>
      <c r="G10" s="415">
        <f t="shared" si="0"/>
        <v>1547246773235.0869</v>
      </c>
      <c r="H10" s="415">
        <f t="shared" ref="H10:I10" si="1">SUM(H2:H9)</f>
        <v>1573777700117.2585</v>
      </c>
      <c r="I10" s="415">
        <f t="shared" si="1"/>
        <v>1590591629138.8462</v>
      </c>
      <c r="J10" s="415">
        <f t="shared" ref="J10:K10" si="2">SUM(J2:J9)</f>
        <v>1587941753781.491</v>
      </c>
      <c r="K10" s="415">
        <f t="shared" si="2"/>
        <v>1574933447715.4641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2:24" ht="6.75" customHeight="1">
      <c r="B11" s="410"/>
      <c r="C11" s="411"/>
      <c r="D11" s="411"/>
      <c r="E11" s="411"/>
      <c r="F11" s="411"/>
      <c r="G11" s="411"/>
      <c r="H11" s="411"/>
      <c r="I11" s="411"/>
      <c r="J11" s="410"/>
      <c r="K11" s="410"/>
    </row>
    <row r="12" spans="2:24" ht="15.75">
      <c r="B12" s="416" t="s">
        <v>122</v>
      </c>
      <c r="C12" s="417" t="s">
        <v>121</v>
      </c>
      <c r="D12" s="418">
        <f>(C10+D10)/2</f>
        <v>1480372800799.4504</v>
      </c>
      <c r="E12" s="419">
        <f t="shared" ref="E12:K12" si="3">(D10+E10)/2</f>
        <v>1501886031445.1519</v>
      </c>
      <c r="F12" s="419">
        <f t="shared" si="3"/>
        <v>1518004373573.8091</v>
      </c>
      <c r="G12" s="419">
        <f t="shared" si="3"/>
        <v>1535202727281.9321</v>
      </c>
      <c r="H12" s="419">
        <f>(G10+H10)/2</f>
        <v>1560512236676.1729</v>
      </c>
      <c r="I12" s="419">
        <f t="shared" si="3"/>
        <v>1582184664628.0522</v>
      </c>
      <c r="J12" s="419">
        <f t="shared" si="3"/>
        <v>1589266691460.1685</v>
      </c>
      <c r="K12" s="419">
        <f t="shared" si="3"/>
        <v>1581437600748.4775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12"/>
      <c r="I14" s="98"/>
      <c r="J14" s="97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8"/>
    </row>
    <row r="17" spans="2:10" ht="16.5">
      <c r="B17" s="429"/>
      <c r="C17" s="430"/>
      <c r="D17" s="11"/>
      <c r="E17" s="11"/>
      <c r="F17" s="11"/>
      <c r="G17" s="11"/>
      <c r="H17" s="430"/>
      <c r="I17" s="11"/>
    </row>
    <row r="18" spans="2:10" ht="16.5">
      <c r="B18" s="431"/>
      <c r="C18" s="432"/>
      <c r="D18" s="9"/>
      <c r="E18" s="9"/>
      <c r="F18" s="9"/>
      <c r="G18" s="9"/>
      <c r="H18" s="432"/>
      <c r="I18" s="9"/>
    </row>
    <row r="19" spans="2:10" ht="16.5">
      <c r="B19" s="431"/>
      <c r="C19" s="433"/>
      <c r="D19" s="10"/>
      <c r="E19" s="8"/>
      <c r="F19" s="8"/>
      <c r="G19" s="8"/>
      <c r="H19" s="433"/>
      <c r="I19" s="8"/>
    </row>
    <row r="20" spans="2:10" ht="16.5">
      <c r="B20" s="431"/>
      <c r="C20" s="432"/>
      <c r="D20" s="10"/>
      <c r="E20" s="8"/>
      <c r="F20" s="8"/>
      <c r="G20" s="8"/>
      <c r="H20" s="432"/>
      <c r="I20" s="8"/>
      <c r="J20" s="99"/>
    </row>
    <row r="21" spans="2:10" ht="16.5">
      <c r="B21" s="431"/>
      <c r="C21" s="433"/>
      <c r="D21" s="10"/>
      <c r="E21" s="8"/>
      <c r="F21" s="8"/>
      <c r="G21" s="8"/>
      <c r="H21" s="433"/>
      <c r="I21" s="8"/>
    </row>
    <row r="22" spans="2:10" ht="16.5">
      <c r="B22" s="431"/>
      <c r="C22" s="432"/>
      <c r="D22" s="10"/>
      <c r="E22" s="8"/>
      <c r="F22" s="8"/>
      <c r="G22" s="8"/>
      <c r="H22" s="432"/>
    </row>
    <row r="23" spans="2:10" ht="16.5">
      <c r="B23" s="431"/>
      <c r="C23" s="434"/>
      <c r="D23" s="10"/>
      <c r="E23" s="8"/>
      <c r="F23" s="8"/>
      <c r="G23" s="8"/>
      <c r="H23" s="434"/>
    </row>
    <row r="24" spans="2:10" ht="16.5">
      <c r="B24" s="431"/>
      <c r="C24" s="432"/>
      <c r="D24" s="8"/>
      <c r="E24" s="8"/>
      <c r="F24" s="8"/>
      <c r="G24" s="8"/>
      <c r="H24" s="432"/>
    </row>
    <row r="25" spans="2:10" ht="16.5">
      <c r="B25" s="431"/>
      <c r="C25" s="432"/>
      <c r="D25" s="8"/>
      <c r="E25" s="8"/>
      <c r="F25" s="8"/>
      <c r="G25" s="8"/>
      <c r="H25" s="432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" style="328" customWidth="1"/>
    <col min="3" max="3" width="9.28515625" style="328" customWidth="1"/>
    <col min="4" max="4" width="19.140625" style="328" customWidth="1"/>
    <col min="5" max="7" width="9.28515625" style="328" customWidth="1"/>
    <col min="8" max="8" width="20.28515625" style="328" customWidth="1"/>
    <col min="9" max="11" width="9.28515625" style="328" customWidth="1"/>
    <col min="12" max="12" width="18.7109375" style="428" customWidth="1"/>
    <col min="13" max="15" width="9.28515625" style="428" customWidth="1"/>
    <col min="16" max="16" width="19" style="428" customWidth="1"/>
    <col min="17" max="19" width="9.28515625" style="428" customWidth="1"/>
    <col min="20" max="20" width="20.140625" style="428" customWidth="1"/>
    <col min="21" max="23" width="9.28515625" style="428" customWidth="1"/>
    <col min="24" max="24" width="20.5703125" style="428" customWidth="1"/>
    <col min="25" max="27" width="9.28515625" style="428" customWidth="1"/>
    <col min="28" max="28" width="21.140625" style="428" customWidth="1"/>
    <col min="29" max="31" width="9.28515625" style="428" customWidth="1"/>
    <col min="32" max="32" width="18.85546875" style="428" customWidth="1"/>
    <col min="33" max="35" width="9.28515625" style="42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8" customFormat="1" ht="51" customHeight="1" thickBot="1">
      <c r="A1" s="495" t="s">
        <v>76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7"/>
    </row>
    <row r="2" spans="1:49" ht="30.75" customHeight="1">
      <c r="A2" s="213"/>
      <c r="B2" s="498" t="s">
        <v>272</v>
      </c>
      <c r="C2" s="498"/>
      <c r="D2" s="498" t="s">
        <v>273</v>
      </c>
      <c r="E2" s="498"/>
      <c r="F2" s="498" t="s">
        <v>67</v>
      </c>
      <c r="G2" s="498"/>
      <c r="H2" s="498" t="s">
        <v>274</v>
      </c>
      <c r="I2" s="498"/>
      <c r="J2" s="498" t="s">
        <v>67</v>
      </c>
      <c r="K2" s="498"/>
      <c r="L2" s="498" t="s">
        <v>277</v>
      </c>
      <c r="M2" s="498"/>
      <c r="N2" s="498" t="s">
        <v>67</v>
      </c>
      <c r="O2" s="498"/>
      <c r="P2" s="498" t="s">
        <v>278</v>
      </c>
      <c r="Q2" s="498"/>
      <c r="R2" s="498" t="s">
        <v>67</v>
      </c>
      <c r="S2" s="498"/>
      <c r="T2" s="498" t="s">
        <v>279</v>
      </c>
      <c r="U2" s="498"/>
      <c r="V2" s="498" t="s">
        <v>67</v>
      </c>
      <c r="W2" s="498"/>
      <c r="X2" s="498" t="s">
        <v>280</v>
      </c>
      <c r="Y2" s="498"/>
      <c r="Z2" s="498" t="s">
        <v>67</v>
      </c>
      <c r="AA2" s="498"/>
      <c r="AB2" s="498" t="s">
        <v>284</v>
      </c>
      <c r="AC2" s="498"/>
      <c r="AD2" s="498" t="s">
        <v>67</v>
      </c>
      <c r="AE2" s="498"/>
      <c r="AF2" s="498" t="s">
        <v>292</v>
      </c>
      <c r="AG2" s="498"/>
      <c r="AH2" s="498" t="s">
        <v>67</v>
      </c>
      <c r="AI2" s="498"/>
      <c r="AJ2" s="498" t="s">
        <v>84</v>
      </c>
      <c r="AK2" s="498"/>
      <c r="AL2" s="498" t="s">
        <v>85</v>
      </c>
      <c r="AM2" s="498"/>
      <c r="AN2" s="498" t="s">
        <v>75</v>
      </c>
      <c r="AO2" s="499"/>
      <c r="AP2" s="15"/>
      <c r="AQ2" s="500" t="s">
        <v>89</v>
      </c>
      <c r="AR2" s="501"/>
      <c r="AS2" s="15"/>
      <c r="AT2" s="15"/>
    </row>
    <row r="3" spans="1:49" ht="14.25" customHeight="1">
      <c r="A3" s="214" t="s">
        <v>2</v>
      </c>
      <c r="B3" s="202" t="s">
        <v>63</v>
      </c>
      <c r="C3" s="203" t="s">
        <v>3</v>
      </c>
      <c r="D3" s="202" t="s">
        <v>63</v>
      </c>
      <c r="E3" s="203" t="s">
        <v>3</v>
      </c>
      <c r="F3" s="209" t="s">
        <v>63</v>
      </c>
      <c r="G3" s="210" t="s">
        <v>3</v>
      </c>
      <c r="H3" s="202" t="s">
        <v>63</v>
      </c>
      <c r="I3" s="203" t="s">
        <v>3</v>
      </c>
      <c r="J3" s="209" t="s">
        <v>63</v>
      </c>
      <c r="K3" s="210" t="s">
        <v>3</v>
      </c>
      <c r="L3" s="202" t="s">
        <v>63</v>
      </c>
      <c r="M3" s="203" t="s">
        <v>3</v>
      </c>
      <c r="N3" s="209" t="s">
        <v>63</v>
      </c>
      <c r="O3" s="210" t="s">
        <v>3</v>
      </c>
      <c r="P3" s="202" t="s">
        <v>63</v>
      </c>
      <c r="Q3" s="203" t="s">
        <v>3</v>
      </c>
      <c r="R3" s="209" t="s">
        <v>63</v>
      </c>
      <c r="S3" s="210" t="s">
        <v>3</v>
      </c>
      <c r="T3" s="202" t="s">
        <v>63</v>
      </c>
      <c r="U3" s="203" t="s">
        <v>3</v>
      </c>
      <c r="V3" s="209" t="s">
        <v>63</v>
      </c>
      <c r="W3" s="210" t="s">
        <v>3</v>
      </c>
      <c r="X3" s="202" t="s">
        <v>63</v>
      </c>
      <c r="Y3" s="203" t="s">
        <v>3</v>
      </c>
      <c r="Z3" s="209" t="s">
        <v>63</v>
      </c>
      <c r="AA3" s="210" t="s">
        <v>3</v>
      </c>
      <c r="AB3" s="202" t="s">
        <v>63</v>
      </c>
      <c r="AC3" s="203" t="s">
        <v>3</v>
      </c>
      <c r="AD3" s="209" t="s">
        <v>63</v>
      </c>
      <c r="AE3" s="210" t="s">
        <v>3</v>
      </c>
      <c r="AF3" s="202" t="s">
        <v>63</v>
      </c>
      <c r="AG3" s="203" t="s">
        <v>3</v>
      </c>
      <c r="AH3" s="209" t="s">
        <v>63</v>
      </c>
      <c r="AI3" s="210" t="s">
        <v>3</v>
      </c>
      <c r="AJ3" s="209" t="s">
        <v>63</v>
      </c>
      <c r="AK3" s="210" t="s">
        <v>3</v>
      </c>
      <c r="AL3" s="209" t="s">
        <v>63</v>
      </c>
      <c r="AM3" s="210" t="s">
        <v>3</v>
      </c>
      <c r="AN3" s="209" t="s">
        <v>63</v>
      </c>
      <c r="AO3" s="211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15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6" t="s">
        <v>6</v>
      </c>
      <c r="B5" s="390">
        <v>7580898994.7799997</v>
      </c>
      <c r="C5" s="389">
        <v>12940.1</v>
      </c>
      <c r="D5" s="390">
        <v>7697512730.9799995</v>
      </c>
      <c r="E5" s="389">
        <v>13161.69</v>
      </c>
      <c r="F5" s="24">
        <f t="shared" ref="F5:F20" si="0">((D5-B5)/B5)</f>
        <v>1.5382573528587684E-2</v>
      </c>
      <c r="G5" s="24">
        <f t="shared" ref="G5:G20" si="1">((E5-C5)/C5)</f>
        <v>1.7124288065780029E-2</v>
      </c>
      <c r="H5" s="390">
        <v>7655640660.04</v>
      </c>
      <c r="I5" s="389">
        <v>13090.97</v>
      </c>
      <c r="J5" s="24">
        <f t="shared" ref="J5:J20" si="2">((H5-D5)/D5)</f>
        <v>-5.4396884296765155E-3</v>
      </c>
      <c r="K5" s="24">
        <f t="shared" ref="K5:K20" si="3">((I5-E5)/E5)</f>
        <v>-5.3731701627983304E-3</v>
      </c>
      <c r="L5" s="390">
        <v>7561818233.3100004</v>
      </c>
      <c r="M5" s="389">
        <v>12931.66</v>
      </c>
      <c r="N5" s="24">
        <f t="shared" ref="N5:N20" si="4">((L5-H5)/H5)</f>
        <v>-1.2255333145365959E-2</v>
      </c>
      <c r="O5" s="24">
        <f t="shared" ref="O5:O20" si="5">((M5-I5)/I5)</f>
        <v>-1.2169457267108511E-2</v>
      </c>
      <c r="P5" s="390">
        <v>7620155386.3699999</v>
      </c>
      <c r="Q5" s="389">
        <v>13029.31</v>
      </c>
      <c r="R5" s="24">
        <f t="shared" ref="R5:R20" si="6">((P5-L5)/L5)</f>
        <v>7.7146991980080711E-3</v>
      </c>
      <c r="S5" s="24">
        <f t="shared" ref="S5:S20" si="7">((Q5-M5)/M5)</f>
        <v>7.5512347216057053E-3</v>
      </c>
      <c r="T5" s="390">
        <v>7632827109.0200005</v>
      </c>
      <c r="U5" s="389">
        <v>13165.81</v>
      </c>
      <c r="V5" s="24">
        <f t="shared" ref="V5:V20" si="8">((T5-P5)/P5)</f>
        <v>1.6629218181910303E-3</v>
      </c>
      <c r="W5" s="24">
        <f t="shared" ref="W5:W20" si="9">((U5-Q5)/Q5)</f>
        <v>1.0476379792943755E-2</v>
      </c>
      <c r="X5" s="390">
        <v>7620449943.2399998</v>
      </c>
      <c r="Y5" s="389">
        <v>13070.04</v>
      </c>
      <c r="Z5" s="24">
        <f t="shared" ref="Z5:Z20" si="10">((X5-T5)/T5)</f>
        <v>-1.6215703045827047E-3</v>
      </c>
      <c r="AA5" s="24">
        <f t="shared" ref="AA5:AA20" si="11">((Y5-U5)/U5)</f>
        <v>-7.2741441658354953E-3</v>
      </c>
      <c r="AB5" s="390">
        <v>7537530831.6000004</v>
      </c>
      <c r="AC5" s="389">
        <v>13084.42</v>
      </c>
      <c r="AD5" s="24">
        <f t="shared" ref="AD5:AD20" si="12">((AB5-X5)/X5)</f>
        <v>-1.0881130675696628E-2</v>
      </c>
      <c r="AE5" s="24">
        <f t="shared" ref="AE5:AE20" si="13">((AC5-Y5)/Y5)</f>
        <v>1.1002261661019553E-3</v>
      </c>
      <c r="AF5" s="390">
        <v>7532733781</v>
      </c>
      <c r="AG5" s="389">
        <v>13075.22</v>
      </c>
      <c r="AH5" s="24">
        <f t="shared" ref="AH5:AH20" si="14">((AF5-AB5)/AB5)</f>
        <v>-6.3642202031060963E-4</v>
      </c>
      <c r="AI5" s="24">
        <f t="shared" ref="AI5:AI20" si="15">((AG5-AC5)/AC5)</f>
        <v>-7.0312631358522028E-4</v>
      </c>
      <c r="AJ5" s="25">
        <f>AVERAGE(F5,J5,N5,R5,V5,Z5,AD5,AH5)</f>
        <v>-7.5924375385570382E-4</v>
      </c>
      <c r="AK5" s="25">
        <f>AVERAGE(G5,K5,O5,S5,W5,AA5,AE5,AI5)</f>
        <v>1.3415288546379858E-3</v>
      </c>
      <c r="AL5" s="26">
        <f>((AF5-D5)/D5)</f>
        <v>-2.1406778493112139E-2</v>
      </c>
      <c r="AM5" s="26">
        <f>((AG5-E5)/E5)</f>
        <v>-6.5698249996771815E-3</v>
      </c>
      <c r="AN5" s="27">
        <f>STDEV(F5,J5,N5,R5,V5,Z5,AD5,AH5)</f>
        <v>9.2235008938154929E-3</v>
      </c>
      <c r="AO5" s="84">
        <f>STDEV(G5,K5,O5,S5,W5,AA5,AE5,AI5)</f>
        <v>9.8358239480057646E-3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6" t="s">
        <v>49</v>
      </c>
      <c r="B6" s="390">
        <v>1020955662.3</v>
      </c>
      <c r="C6" s="389">
        <v>2.08</v>
      </c>
      <c r="D6" s="390">
        <v>1039220961.4</v>
      </c>
      <c r="E6" s="389">
        <v>2.12</v>
      </c>
      <c r="F6" s="24">
        <f t="shared" si="0"/>
        <v>1.789039404400003E-2</v>
      </c>
      <c r="G6" s="24">
        <f t="shared" si="1"/>
        <v>1.9230769230769246E-2</v>
      </c>
      <c r="H6" s="390">
        <v>1043691566.0599999</v>
      </c>
      <c r="I6" s="389">
        <v>2.13</v>
      </c>
      <c r="J6" s="24">
        <f t="shared" si="2"/>
        <v>4.3018807607357471E-3</v>
      </c>
      <c r="K6" s="24">
        <f t="shared" si="3"/>
        <v>4.7169811320753709E-3</v>
      </c>
      <c r="L6" s="390">
        <v>1043563024.4400001</v>
      </c>
      <c r="M6" s="389">
        <v>2.13</v>
      </c>
      <c r="N6" s="24">
        <f t="shared" si="4"/>
        <v>-1.2316054299944007E-4</v>
      </c>
      <c r="O6" s="24">
        <f t="shared" si="5"/>
        <v>0</v>
      </c>
      <c r="P6" s="390">
        <v>1053849311.92</v>
      </c>
      <c r="Q6" s="389">
        <v>2.15</v>
      </c>
      <c r="R6" s="24">
        <f t="shared" si="6"/>
        <v>9.8568914757398186E-3</v>
      </c>
      <c r="S6" s="24">
        <f t="shared" si="7"/>
        <v>9.3896713615023563E-3</v>
      </c>
      <c r="T6" s="390">
        <v>1065769272.53</v>
      </c>
      <c r="U6" s="389">
        <v>2.17</v>
      </c>
      <c r="V6" s="24">
        <f t="shared" si="8"/>
        <v>1.1310877632289886E-2</v>
      </c>
      <c r="W6" s="24">
        <f t="shared" si="9"/>
        <v>9.3023255813953574E-3</v>
      </c>
      <c r="X6" s="390">
        <v>1069902564.84</v>
      </c>
      <c r="Y6" s="389">
        <v>2.1800000000000002</v>
      </c>
      <c r="Z6" s="24">
        <f t="shared" si="10"/>
        <v>3.8782243179034002E-3</v>
      </c>
      <c r="AA6" s="24">
        <f t="shared" si="11"/>
        <v>4.6082949308756827E-3</v>
      </c>
      <c r="AB6" s="390">
        <v>1048171294.73</v>
      </c>
      <c r="AC6" s="389">
        <v>2.14</v>
      </c>
      <c r="AD6" s="24">
        <f t="shared" si="12"/>
        <v>-2.0311447812306017E-2</v>
      </c>
      <c r="AE6" s="24">
        <f t="shared" si="13"/>
        <v>-1.8348623853211024E-2</v>
      </c>
      <c r="AF6" s="390">
        <v>1048349970.13</v>
      </c>
      <c r="AG6" s="389">
        <v>2.14</v>
      </c>
      <c r="AH6" s="24">
        <f t="shared" si="14"/>
        <v>1.7046393170498092E-4</v>
      </c>
      <c r="AI6" s="24">
        <f t="shared" si="15"/>
        <v>0</v>
      </c>
      <c r="AJ6" s="25">
        <f t="shared" ref="AJ6:AJ69" si="16">AVERAGE(F6,J6,N6,R6,V6,Z6,AD6,AH6)</f>
        <v>3.3717654758835501E-3</v>
      </c>
      <c r="AK6" s="25">
        <f t="shared" ref="AK6:AK69" si="17">AVERAGE(G6,K6,O6,S6,W6,AA6,AE6,AI6)</f>
        <v>3.6124272979258729E-3</v>
      </c>
      <c r="AL6" s="26">
        <f t="shared" ref="AL6:AL69" si="18">((AF6-D6)/D6)</f>
        <v>8.7844732439786022E-3</v>
      </c>
      <c r="AM6" s="26">
        <f t="shared" ref="AM6:AM69" si="19">((AG6-E6)/E6)</f>
        <v>9.4339622641509517E-3</v>
      </c>
      <c r="AN6" s="27">
        <f t="shared" ref="AN6:AN69" si="20">STDEV(F6,J6,N6,R6,V6,Z6,AD6,AH6)</f>
        <v>1.1341176448643226E-2</v>
      </c>
      <c r="AO6" s="84">
        <f t="shared" ref="AO6:AO69" si="21">STDEV(G6,K6,O6,S6,W6,AA6,AE6,AI6)</f>
        <v>1.0825122350485831E-2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6" t="s">
        <v>11</v>
      </c>
      <c r="B7" s="390">
        <v>256063703.93000001</v>
      </c>
      <c r="C7" s="389">
        <v>130.37</v>
      </c>
      <c r="D7" s="390">
        <v>262267538.56999999</v>
      </c>
      <c r="E7" s="389">
        <v>134.13999999999999</v>
      </c>
      <c r="F7" s="24">
        <f t="shared" si="0"/>
        <v>2.4227700157363672E-2</v>
      </c>
      <c r="G7" s="24">
        <f t="shared" si="1"/>
        <v>2.8917695788908352E-2</v>
      </c>
      <c r="H7" s="390">
        <v>256468055.13999999</v>
      </c>
      <c r="I7" s="389">
        <v>134.71</v>
      </c>
      <c r="J7" s="24">
        <f t="shared" si="2"/>
        <v>-2.2112852629880872E-2</v>
      </c>
      <c r="K7" s="24">
        <f t="shared" si="3"/>
        <v>4.2492917847027113E-3</v>
      </c>
      <c r="L7" s="390">
        <v>262521928.58000001</v>
      </c>
      <c r="M7" s="389">
        <v>135.05000000000001</v>
      </c>
      <c r="N7" s="24">
        <f t="shared" si="4"/>
        <v>2.3604785542181296E-2</v>
      </c>
      <c r="O7" s="24">
        <f t="shared" si="5"/>
        <v>2.5239403162348999E-3</v>
      </c>
      <c r="P7" s="390">
        <v>263867396.03999999</v>
      </c>
      <c r="Q7" s="389">
        <v>135.75</v>
      </c>
      <c r="R7" s="24">
        <f t="shared" si="6"/>
        <v>5.1251621808422205E-3</v>
      </c>
      <c r="S7" s="24">
        <f t="shared" si="7"/>
        <v>5.1832654572379752E-3</v>
      </c>
      <c r="T7" s="390">
        <v>271480463</v>
      </c>
      <c r="U7" s="389">
        <v>139.72999999999999</v>
      </c>
      <c r="V7" s="24">
        <f t="shared" si="8"/>
        <v>2.8851866787080939E-2</v>
      </c>
      <c r="W7" s="24">
        <f t="shared" si="9"/>
        <v>2.9318600368324049E-2</v>
      </c>
      <c r="X7" s="390">
        <v>269099988.37</v>
      </c>
      <c r="Y7" s="389">
        <v>138.47999999999999</v>
      </c>
      <c r="Z7" s="24">
        <f t="shared" si="10"/>
        <v>-8.7684933335331582E-3</v>
      </c>
      <c r="AA7" s="24">
        <f t="shared" si="11"/>
        <v>-8.9458240893151089E-3</v>
      </c>
      <c r="AB7" s="390">
        <v>262294308.96000001</v>
      </c>
      <c r="AC7" s="389">
        <v>134.93</v>
      </c>
      <c r="AD7" s="24">
        <f t="shared" si="12"/>
        <v>-2.5290522869300548E-2</v>
      </c>
      <c r="AE7" s="24">
        <f t="shared" si="13"/>
        <v>-2.5635470826111954E-2</v>
      </c>
      <c r="AF7" s="390">
        <v>261189734.56</v>
      </c>
      <c r="AG7" s="389">
        <v>134.36000000000001</v>
      </c>
      <c r="AH7" s="24">
        <f t="shared" si="14"/>
        <v>-4.2112023107922407E-3</v>
      </c>
      <c r="AI7" s="24">
        <f t="shared" si="15"/>
        <v>-4.2244126584154241E-3</v>
      </c>
      <c r="AJ7" s="25">
        <f t="shared" si="16"/>
        <v>2.6783054404951644E-3</v>
      </c>
      <c r="AK7" s="25">
        <f t="shared" si="17"/>
        <v>3.9233857676956871E-3</v>
      </c>
      <c r="AL7" s="26">
        <f t="shared" si="18"/>
        <v>-4.10955932967023E-3</v>
      </c>
      <c r="AM7" s="26">
        <f t="shared" si="19"/>
        <v>1.6400775309380296E-3</v>
      </c>
      <c r="AN7" s="27">
        <f t="shared" si="20"/>
        <v>2.1276035473549924E-2</v>
      </c>
      <c r="AO7" s="84">
        <f t="shared" si="21"/>
        <v>1.8435267450707178E-2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6" t="s">
        <v>13</v>
      </c>
      <c r="B8" s="390">
        <v>727628283.92999995</v>
      </c>
      <c r="C8" s="389">
        <v>18.87</v>
      </c>
      <c r="D8" s="390">
        <v>757132456.65999997</v>
      </c>
      <c r="E8" s="389">
        <v>18.87</v>
      </c>
      <c r="F8" s="24">
        <f t="shared" si="0"/>
        <v>4.0548413773368944E-2</v>
      </c>
      <c r="G8" s="24">
        <f t="shared" si="1"/>
        <v>0</v>
      </c>
      <c r="H8" s="390">
        <v>759488412.97000003</v>
      </c>
      <c r="I8" s="389">
        <v>18.87</v>
      </c>
      <c r="J8" s="24">
        <f t="shared" si="2"/>
        <v>3.1116831530285782E-3</v>
      </c>
      <c r="K8" s="24">
        <f t="shared" si="3"/>
        <v>0</v>
      </c>
      <c r="L8" s="390">
        <v>765387225.60000002</v>
      </c>
      <c r="M8" s="389">
        <v>20.45</v>
      </c>
      <c r="N8" s="24">
        <f t="shared" si="4"/>
        <v>7.7668237319546835E-3</v>
      </c>
      <c r="O8" s="24">
        <f t="shared" si="5"/>
        <v>8.3730789613142453E-2</v>
      </c>
      <c r="P8" s="390">
        <v>766431120.25</v>
      </c>
      <c r="Q8" s="389">
        <v>20.38</v>
      </c>
      <c r="R8" s="24">
        <f t="shared" si="6"/>
        <v>1.3638778060107411E-3</v>
      </c>
      <c r="S8" s="24">
        <f t="shared" si="7"/>
        <v>-3.4229828850855888E-3</v>
      </c>
      <c r="T8" s="390">
        <v>756391532.92999995</v>
      </c>
      <c r="U8" s="389">
        <v>20.54</v>
      </c>
      <c r="V8" s="24">
        <f t="shared" si="8"/>
        <v>-1.3099138402320182E-2</v>
      </c>
      <c r="W8" s="24">
        <f t="shared" si="9"/>
        <v>7.8508341511285655E-3</v>
      </c>
      <c r="X8" s="390">
        <v>762898115.92999995</v>
      </c>
      <c r="Y8" s="389">
        <v>20.38</v>
      </c>
      <c r="Z8" s="24">
        <f t="shared" si="10"/>
        <v>8.6021362174636476E-3</v>
      </c>
      <c r="AA8" s="24">
        <f t="shared" si="11"/>
        <v>-7.7896786757546323E-3</v>
      </c>
      <c r="AB8" s="390">
        <v>735184085.69000006</v>
      </c>
      <c r="AC8" s="389">
        <v>20.38</v>
      </c>
      <c r="AD8" s="24">
        <f t="shared" si="12"/>
        <v>-3.6327301983457516E-2</v>
      </c>
      <c r="AE8" s="24">
        <f t="shared" si="13"/>
        <v>0</v>
      </c>
      <c r="AF8" s="390">
        <v>742740589.78999996</v>
      </c>
      <c r="AG8" s="389">
        <v>20.38</v>
      </c>
      <c r="AH8" s="24">
        <f t="shared" si="14"/>
        <v>1.0278383668911739E-2</v>
      </c>
      <c r="AI8" s="24">
        <f t="shared" si="15"/>
        <v>0</v>
      </c>
      <c r="AJ8" s="25">
        <f t="shared" si="16"/>
        <v>2.7806097456200803E-3</v>
      </c>
      <c r="AK8" s="25">
        <f t="shared" si="17"/>
        <v>1.004612027542885E-2</v>
      </c>
      <c r="AL8" s="26">
        <f t="shared" si="18"/>
        <v>-1.90083871631762E-2</v>
      </c>
      <c r="AM8" s="26">
        <f t="shared" si="19"/>
        <v>8.0021197668256383E-2</v>
      </c>
      <c r="AN8" s="27">
        <f t="shared" si="20"/>
        <v>2.1794783239849815E-2</v>
      </c>
      <c r="AO8" s="84">
        <f t="shared" si="21"/>
        <v>3.0089106645583036E-2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4" customFormat="1">
      <c r="A9" s="216" t="s">
        <v>17</v>
      </c>
      <c r="B9" s="390">
        <v>419366385.54000002</v>
      </c>
      <c r="C9" s="389">
        <v>195.83340000000001</v>
      </c>
      <c r="D9" s="390">
        <v>427697674.54000002</v>
      </c>
      <c r="E9" s="389">
        <v>202.28809999999999</v>
      </c>
      <c r="F9" s="24">
        <f t="shared" si="0"/>
        <v>1.9866372907480789E-2</v>
      </c>
      <c r="G9" s="24">
        <f t="shared" si="1"/>
        <v>3.2960158992286166E-2</v>
      </c>
      <c r="H9" s="390">
        <v>427260800.79000002</v>
      </c>
      <c r="I9" s="389">
        <v>201.98869999999999</v>
      </c>
      <c r="J9" s="24">
        <f t="shared" si="2"/>
        <v>-1.0214545834738734E-3</v>
      </c>
      <c r="K9" s="24">
        <f t="shared" si="3"/>
        <v>-1.4800672901668041E-3</v>
      </c>
      <c r="L9" s="390">
        <v>426597175.04000002</v>
      </c>
      <c r="M9" s="389">
        <v>201.96209999999999</v>
      </c>
      <c r="N9" s="24">
        <f t="shared" si="4"/>
        <v>-1.5532100037564038E-3</v>
      </c>
      <c r="O9" s="24">
        <f t="shared" si="5"/>
        <v>-1.3169053516361043E-4</v>
      </c>
      <c r="P9" s="390">
        <v>431829876.14999998</v>
      </c>
      <c r="Q9" s="389">
        <v>204.5016</v>
      </c>
      <c r="R9" s="24">
        <f t="shared" si="6"/>
        <v>1.2266141025217312E-2</v>
      </c>
      <c r="S9" s="24">
        <f t="shared" si="7"/>
        <v>1.2574141385933321E-2</v>
      </c>
      <c r="T9" s="390">
        <v>436816832.14999998</v>
      </c>
      <c r="U9" s="389">
        <v>206.71549999999999</v>
      </c>
      <c r="V9" s="24">
        <f t="shared" si="8"/>
        <v>1.1548427460511639E-2</v>
      </c>
      <c r="W9" s="24">
        <f t="shared" si="9"/>
        <v>1.0825832169528236E-2</v>
      </c>
      <c r="X9" s="390">
        <v>435912689.94999999</v>
      </c>
      <c r="Y9" s="389">
        <v>206.36539999999999</v>
      </c>
      <c r="Z9" s="24">
        <f t="shared" si="10"/>
        <v>-2.069842857359287E-3</v>
      </c>
      <c r="AA9" s="24">
        <f t="shared" si="11"/>
        <v>-1.6936320691965413E-3</v>
      </c>
      <c r="AB9" s="390">
        <v>429461307.76999998</v>
      </c>
      <c r="AC9" s="389">
        <v>203.44919999999999</v>
      </c>
      <c r="AD9" s="24">
        <f t="shared" si="12"/>
        <v>-1.4799711797194968E-2</v>
      </c>
      <c r="AE9" s="24">
        <f t="shared" si="13"/>
        <v>-1.4131244869537256E-2</v>
      </c>
      <c r="AF9" s="390">
        <v>428538467.31999999</v>
      </c>
      <c r="AG9" s="389">
        <v>203.11279999999999</v>
      </c>
      <c r="AH9" s="24">
        <f t="shared" si="14"/>
        <v>-2.1488325800335419E-3</v>
      </c>
      <c r="AI9" s="24">
        <f t="shared" si="15"/>
        <v>-1.6534840146827691E-3</v>
      </c>
      <c r="AJ9" s="25">
        <f t="shared" si="16"/>
        <v>2.7609861964239574E-3</v>
      </c>
      <c r="AK9" s="25">
        <f t="shared" si="17"/>
        <v>4.6587517211250928E-3</v>
      </c>
      <c r="AL9" s="26">
        <f t="shared" si="18"/>
        <v>1.9658577309410578E-3</v>
      </c>
      <c r="AM9" s="26">
        <f t="shared" si="19"/>
        <v>4.0768586980648247E-3</v>
      </c>
      <c r="AN9" s="27">
        <f t="shared" si="20"/>
        <v>1.1012342670960693E-2</v>
      </c>
      <c r="AO9" s="84">
        <f t="shared" si="21"/>
        <v>1.4119644045878812E-2</v>
      </c>
      <c r="AP9" s="31"/>
      <c r="AQ9" s="34"/>
      <c r="AR9" s="35"/>
      <c r="AS9" s="30"/>
      <c r="AT9" s="30"/>
    </row>
    <row r="10" spans="1:49">
      <c r="A10" s="216" t="s">
        <v>81</v>
      </c>
      <c r="B10" s="389">
        <v>1947867404.49</v>
      </c>
      <c r="C10" s="341">
        <v>1.0437000000000001</v>
      </c>
      <c r="D10" s="389">
        <v>1976784489.8</v>
      </c>
      <c r="E10" s="341">
        <v>1.0429999999999999</v>
      </c>
      <c r="F10" s="24">
        <f t="shared" si="0"/>
        <v>1.4845510142704582E-2</v>
      </c>
      <c r="G10" s="24">
        <f t="shared" si="1"/>
        <v>-6.7069081153602083E-4</v>
      </c>
      <c r="H10" s="389">
        <v>1978296792.0999999</v>
      </c>
      <c r="I10" s="341">
        <v>1.0439000000000001</v>
      </c>
      <c r="J10" s="24">
        <f t="shared" si="2"/>
        <v>7.6503144768854325E-4</v>
      </c>
      <c r="K10" s="24">
        <f t="shared" si="3"/>
        <v>8.628954937680949E-4</v>
      </c>
      <c r="L10" s="389">
        <v>1983978131.98</v>
      </c>
      <c r="M10" s="341">
        <v>1.0448</v>
      </c>
      <c r="N10" s="24">
        <f t="shared" si="4"/>
        <v>2.8718339445767708E-3</v>
      </c>
      <c r="O10" s="24">
        <f t="shared" si="5"/>
        <v>8.6215154708295892E-4</v>
      </c>
      <c r="P10" s="389">
        <v>2016337594.24</v>
      </c>
      <c r="Q10" s="341">
        <v>1.0618000000000001</v>
      </c>
      <c r="R10" s="24">
        <f t="shared" si="6"/>
        <v>1.6310392608866818E-2</v>
      </c>
      <c r="S10" s="24">
        <f t="shared" si="7"/>
        <v>1.6271056661562144E-2</v>
      </c>
      <c r="T10" s="389">
        <v>2072646413.04</v>
      </c>
      <c r="U10" s="341">
        <v>1.0918000000000001</v>
      </c>
      <c r="V10" s="24">
        <f t="shared" si="8"/>
        <v>2.7926285241546531E-2</v>
      </c>
      <c r="W10" s="24">
        <f t="shared" si="9"/>
        <v>2.8253908457336621E-2</v>
      </c>
      <c r="X10" s="389">
        <v>2084138691.0699999</v>
      </c>
      <c r="Y10" s="341">
        <v>1.0980000000000001</v>
      </c>
      <c r="Z10" s="24">
        <f t="shared" si="10"/>
        <v>5.5447364093058078E-3</v>
      </c>
      <c r="AA10" s="24">
        <f t="shared" si="11"/>
        <v>5.6786957318189987E-3</v>
      </c>
      <c r="AB10" s="389">
        <v>2053266136.0699999</v>
      </c>
      <c r="AC10" s="341">
        <v>1.0818000000000001</v>
      </c>
      <c r="AD10" s="24">
        <f t="shared" si="12"/>
        <v>-1.4813100074520465E-2</v>
      </c>
      <c r="AE10" s="24">
        <f t="shared" si="13"/>
        <v>-1.4754098360655729E-2</v>
      </c>
      <c r="AF10" s="389">
        <v>2057001149.2</v>
      </c>
      <c r="AG10" s="341">
        <v>1.0833999999999999</v>
      </c>
      <c r="AH10" s="24">
        <f t="shared" si="14"/>
        <v>1.8190594314037721E-3</v>
      </c>
      <c r="AI10" s="24">
        <f t="shared" si="15"/>
        <v>1.4790164540578884E-3</v>
      </c>
      <c r="AJ10" s="25">
        <f t="shared" si="16"/>
        <v>6.9087186439465448E-3</v>
      </c>
      <c r="AK10" s="25">
        <f t="shared" si="17"/>
        <v>4.7478668966793695E-3</v>
      </c>
      <c r="AL10" s="26">
        <f t="shared" si="18"/>
        <v>4.0579365031398022E-2</v>
      </c>
      <c r="AM10" s="26">
        <f t="shared" si="19"/>
        <v>3.8734419942473626E-2</v>
      </c>
      <c r="AN10" s="27">
        <f t="shared" si="20"/>
        <v>1.2799364133969532E-2</v>
      </c>
      <c r="AO10" s="84">
        <f t="shared" si="21"/>
        <v>1.2743339553667648E-2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6" t="s">
        <v>14</v>
      </c>
      <c r="B11" s="389">
        <v>2389196752.1700001</v>
      </c>
      <c r="C11" s="389">
        <v>23.4833</v>
      </c>
      <c r="D11" s="389">
        <v>2447565095.3200002</v>
      </c>
      <c r="E11" s="389">
        <v>24.052099999999999</v>
      </c>
      <c r="F11" s="24">
        <f t="shared" si="0"/>
        <v>2.4430111541457081E-2</v>
      </c>
      <c r="G11" s="24">
        <f t="shared" si="1"/>
        <v>2.4221468021956009E-2</v>
      </c>
      <c r="H11" s="389">
        <v>2460213036.2199998</v>
      </c>
      <c r="I11" s="389">
        <v>24.1645</v>
      </c>
      <c r="J11" s="24">
        <f t="shared" si="2"/>
        <v>5.1675605785455108E-3</v>
      </c>
      <c r="K11" s="24">
        <f t="shared" si="3"/>
        <v>4.6731886197047641E-3</v>
      </c>
      <c r="L11" s="389">
        <v>2451774803.8299999</v>
      </c>
      <c r="M11" s="389">
        <v>24.0976</v>
      </c>
      <c r="N11" s="24">
        <f t="shared" si="4"/>
        <v>-3.4298787404869655E-3</v>
      </c>
      <c r="O11" s="24">
        <f t="shared" si="5"/>
        <v>-2.7685240745722196E-3</v>
      </c>
      <c r="P11" s="389">
        <v>2470689490.6999998</v>
      </c>
      <c r="Q11" s="389">
        <v>24.279900000000001</v>
      </c>
      <c r="R11" s="24">
        <f t="shared" si="6"/>
        <v>7.7146917573557806E-3</v>
      </c>
      <c r="S11" s="24">
        <f t="shared" si="7"/>
        <v>7.5650687205365457E-3</v>
      </c>
      <c r="T11" s="389">
        <v>2479233328.7800002</v>
      </c>
      <c r="U11" s="389">
        <v>24.3949</v>
      </c>
      <c r="V11" s="24">
        <f t="shared" si="8"/>
        <v>3.4580784482066769E-3</v>
      </c>
      <c r="W11" s="24">
        <f t="shared" si="9"/>
        <v>4.7364280742506534E-3</v>
      </c>
      <c r="X11" s="389">
        <v>2486012624.3099999</v>
      </c>
      <c r="Y11" s="389">
        <v>24.469200000000001</v>
      </c>
      <c r="Z11" s="24">
        <f t="shared" si="10"/>
        <v>2.734432234071224E-3</v>
      </c>
      <c r="AA11" s="24">
        <f t="shared" si="11"/>
        <v>3.0457185723245812E-3</v>
      </c>
      <c r="AB11" s="389">
        <v>2443908316.0900002</v>
      </c>
      <c r="AC11" s="389">
        <v>24.079799999999999</v>
      </c>
      <c r="AD11" s="24">
        <f t="shared" si="12"/>
        <v>-1.6936482062992728E-2</v>
      </c>
      <c r="AE11" s="24">
        <f t="shared" si="13"/>
        <v>-1.591388357608757E-2</v>
      </c>
      <c r="AF11" s="389">
        <v>2440871964</v>
      </c>
      <c r="AG11" s="389">
        <v>24.042300000000001</v>
      </c>
      <c r="AH11" s="24">
        <f t="shared" si="14"/>
        <v>-1.2424165301168095E-3</v>
      </c>
      <c r="AI11" s="24">
        <f t="shared" si="15"/>
        <v>-1.5573219046668939E-3</v>
      </c>
      <c r="AJ11" s="25">
        <f t="shared" si="16"/>
        <v>2.7370121532549708E-3</v>
      </c>
      <c r="AK11" s="25">
        <f t="shared" si="17"/>
        <v>3.000267806680734E-3</v>
      </c>
      <c r="AL11" s="26">
        <f t="shared" si="18"/>
        <v>-2.7346080938963125E-3</v>
      </c>
      <c r="AM11" s="26">
        <f t="shared" si="19"/>
        <v>-4.0744882983184325E-4</v>
      </c>
      <c r="AN11" s="27">
        <f t="shared" si="20"/>
        <v>1.1604852032237991E-2</v>
      </c>
      <c r="AO11" s="84">
        <f t="shared" si="21"/>
        <v>1.1268080293655306E-2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6" t="s">
        <v>57</v>
      </c>
      <c r="B12" s="389">
        <v>382154034.18000001</v>
      </c>
      <c r="C12" s="389">
        <v>177.02</v>
      </c>
      <c r="D12" s="389">
        <v>390977059.31</v>
      </c>
      <c r="E12" s="389">
        <v>181.19</v>
      </c>
      <c r="F12" s="24">
        <f t="shared" si="0"/>
        <v>2.3087614785833255E-2</v>
      </c>
      <c r="G12" s="24">
        <f t="shared" si="1"/>
        <v>2.3556660264376833E-2</v>
      </c>
      <c r="H12" s="389">
        <v>385648510.37</v>
      </c>
      <c r="I12" s="389">
        <v>179.9</v>
      </c>
      <c r="J12" s="24">
        <f t="shared" si="2"/>
        <v>-1.362880203100374E-2</v>
      </c>
      <c r="K12" s="24">
        <f t="shared" si="3"/>
        <v>-7.119598211821801E-3</v>
      </c>
      <c r="L12" s="389">
        <v>380646987.55000001</v>
      </c>
      <c r="M12" s="389">
        <v>177.57</v>
      </c>
      <c r="N12" s="24">
        <f t="shared" si="4"/>
        <v>-1.2969122622051405E-2</v>
      </c>
      <c r="O12" s="24">
        <f t="shared" si="5"/>
        <v>-1.2951639799888896E-2</v>
      </c>
      <c r="P12" s="389">
        <v>377658784.81999999</v>
      </c>
      <c r="Q12" s="389">
        <v>175.87</v>
      </c>
      <c r="R12" s="24">
        <f t="shared" si="6"/>
        <v>-7.8503254399392899E-3</v>
      </c>
      <c r="S12" s="24">
        <f t="shared" si="7"/>
        <v>-9.5736892493100672E-3</v>
      </c>
      <c r="T12" s="389">
        <v>388947805.66000003</v>
      </c>
      <c r="U12" s="389">
        <v>181.29</v>
      </c>
      <c r="V12" s="24">
        <f t="shared" si="8"/>
        <v>2.9892117683375522E-2</v>
      </c>
      <c r="W12" s="24">
        <f t="shared" si="9"/>
        <v>3.0818218001933174E-2</v>
      </c>
      <c r="X12" s="389">
        <v>388830642.97000003</v>
      </c>
      <c r="Y12" s="389">
        <v>181.25</v>
      </c>
      <c r="Z12" s="24">
        <f t="shared" si="10"/>
        <v>-3.0122985216791726E-4</v>
      </c>
      <c r="AA12" s="24">
        <f t="shared" si="11"/>
        <v>-2.206409619945504E-4</v>
      </c>
      <c r="AB12" s="389">
        <v>379955757.45999998</v>
      </c>
      <c r="AC12" s="389">
        <v>177.1</v>
      </c>
      <c r="AD12" s="24">
        <f t="shared" si="12"/>
        <v>-2.2824552720976742E-2</v>
      </c>
      <c r="AE12" s="24">
        <f t="shared" si="13"/>
        <v>-2.2896551724137962E-2</v>
      </c>
      <c r="AF12" s="389">
        <v>379469811.12</v>
      </c>
      <c r="AG12" s="389">
        <v>176.95</v>
      </c>
      <c r="AH12" s="24">
        <f t="shared" si="14"/>
        <v>-1.2789550637382617E-3</v>
      </c>
      <c r="AI12" s="24">
        <f t="shared" si="15"/>
        <v>-8.4697910784870521E-4</v>
      </c>
      <c r="AJ12" s="25">
        <f t="shared" si="16"/>
        <v>-7.3415690758357201E-4</v>
      </c>
      <c r="AK12" s="25">
        <f t="shared" si="17"/>
        <v>9.5722401413502809E-5</v>
      </c>
      <c r="AL12" s="26">
        <f t="shared" si="18"/>
        <v>-2.9432029107559654E-2</v>
      </c>
      <c r="AM12" s="26">
        <f t="shared" si="19"/>
        <v>-2.3400849936530764E-2</v>
      </c>
      <c r="AN12" s="27">
        <f t="shared" si="20"/>
        <v>1.8363478636633939E-2</v>
      </c>
      <c r="AO12" s="84">
        <f t="shared" si="21"/>
        <v>1.8282360024063998E-2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9"/>
      <c r="AV12" s="90"/>
      <c r="AW12" s="95"/>
    </row>
    <row r="13" spans="1:49" ht="12.75" customHeight="1">
      <c r="A13" s="216" t="s">
        <v>58</v>
      </c>
      <c r="B13" s="389">
        <v>296476092.69999999</v>
      </c>
      <c r="C13" s="389">
        <v>12.664999999999999</v>
      </c>
      <c r="D13" s="389">
        <v>306310105.66000003</v>
      </c>
      <c r="E13" s="389">
        <v>13.0718</v>
      </c>
      <c r="F13" s="24">
        <f t="shared" si="0"/>
        <v>3.3169665960050741E-2</v>
      </c>
      <c r="G13" s="24">
        <f t="shared" si="1"/>
        <v>3.2120015791551562E-2</v>
      </c>
      <c r="H13" s="389">
        <v>306310105.66000003</v>
      </c>
      <c r="I13" s="389">
        <v>13.078799999999999</v>
      </c>
      <c r="J13" s="24">
        <f t="shared" si="2"/>
        <v>0</v>
      </c>
      <c r="K13" s="24">
        <f t="shared" si="3"/>
        <v>5.3550390917851199E-4</v>
      </c>
      <c r="L13" s="389">
        <v>309116527.25999999</v>
      </c>
      <c r="M13" s="389">
        <v>13.102399999999999</v>
      </c>
      <c r="N13" s="24">
        <f t="shared" si="4"/>
        <v>9.1620274621793032E-3</v>
      </c>
      <c r="O13" s="24">
        <f t="shared" si="5"/>
        <v>1.8044468911520986E-3</v>
      </c>
      <c r="P13" s="389">
        <v>312173840.70999998</v>
      </c>
      <c r="Q13" s="389">
        <v>13.1815</v>
      </c>
      <c r="R13" s="24">
        <f t="shared" si="6"/>
        <v>9.8904884740389862E-3</v>
      </c>
      <c r="S13" s="24">
        <f t="shared" si="7"/>
        <v>6.037061912321437E-3</v>
      </c>
      <c r="T13" s="389">
        <v>321766156.55000001</v>
      </c>
      <c r="U13" s="389">
        <v>13.3912</v>
      </c>
      <c r="V13" s="24">
        <f t="shared" si="8"/>
        <v>3.0727481259107178E-2</v>
      </c>
      <c r="W13" s="24">
        <f t="shared" si="9"/>
        <v>1.5908659864203603E-2</v>
      </c>
      <c r="X13" s="389">
        <v>319008569.52999997</v>
      </c>
      <c r="Y13" s="389">
        <v>13.0755</v>
      </c>
      <c r="Z13" s="24">
        <f t="shared" si="10"/>
        <v>-8.5701586815937637E-3</v>
      </c>
      <c r="AA13" s="24">
        <f t="shared" si="11"/>
        <v>-2.3575183702730127E-2</v>
      </c>
      <c r="AB13" s="389">
        <v>312528895.77999997</v>
      </c>
      <c r="AC13" s="389">
        <v>12.9788</v>
      </c>
      <c r="AD13" s="24">
        <f t="shared" si="12"/>
        <v>-2.0311911242844035E-2</v>
      </c>
      <c r="AE13" s="24">
        <f t="shared" si="13"/>
        <v>-7.3955106879278216E-3</v>
      </c>
      <c r="AF13" s="389">
        <v>313263269.95999998</v>
      </c>
      <c r="AG13" s="389">
        <v>13.016299999999999</v>
      </c>
      <c r="AH13" s="24">
        <f t="shared" si="14"/>
        <v>2.3497801000677992E-3</v>
      </c>
      <c r="AI13" s="24">
        <f t="shared" si="15"/>
        <v>2.8893272105279108E-3</v>
      </c>
      <c r="AJ13" s="25">
        <f t="shared" si="16"/>
        <v>7.0521716663757752E-3</v>
      </c>
      <c r="AK13" s="25">
        <f t="shared" si="17"/>
        <v>3.5405401485346464E-3</v>
      </c>
      <c r="AL13" s="26">
        <f t="shared" si="18"/>
        <v>2.2699754828584953E-2</v>
      </c>
      <c r="AM13" s="26">
        <f t="shared" si="19"/>
        <v>-4.2457809942012831E-3</v>
      </c>
      <c r="AN13" s="27">
        <f t="shared" si="20"/>
        <v>1.8204580180705844E-2</v>
      </c>
      <c r="AO13" s="84">
        <f t="shared" si="21"/>
        <v>1.6227478736533459E-2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7" t="s">
        <v>72</v>
      </c>
      <c r="B14" s="390">
        <v>354602282.91000003</v>
      </c>
      <c r="C14" s="389">
        <v>3450.66</v>
      </c>
      <c r="D14" s="390">
        <v>363128838.67000002</v>
      </c>
      <c r="E14" s="389">
        <v>3533.76</v>
      </c>
      <c r="F14" s="24">
        <f t="shared" si="0"/>
        <v>2.4045405714897997E-2</v>
      </c>
      <c r="G14" s="24">
        <f t="shared" si="1"/>
        <v>2.4082349463580986E-2</v>
      </c>
      <c r="H14" s="390">
        <v>358114157.80000001</v>
      </c>
      <c r="I14" s="389">
        <v>3484.85</v>
      </c>
      <c r="J14" s="24">
        <f t="shared" si="2"/>
        <v>-1.3809646428432493E-2</v>
      </c>
      <c r="K14" s="24">
        <f t="shared" si="3"/>
        <v>-1.3840781490537078E-2</v>
      </c>
      <c r="L14" s="390">
        <v>355419691.63</v>
      </c>
      <c r="M14" s="389">
        <v>3458.54</v>
      </c>
      <c r="N14" s="24">
        <f t="shared" si="4"/>
        <v>-7.5240425750071156E-3</v>
      </c>
      <c r="O14" s="24">
        <f t="shared" si="5"/>
        <v>-7.5498228044248526E-3</v>
      </c>
      <c r="P14" s="390">
        <v>350614679.02999997</v>
      </c>
      <c r="Q14" s="389">
        <v>3481.09</v>
      </c>
      <c r="R14" s="24">
        <f t="shared" si="6"/>
        <v>-1.3519263881985896E-2</v>
      </c>
      <c r="S14" s="24">
        <f t="shared" si="7"/>
        <v>6.520092293279876E-3</v>
      </c>
      <c r="T14" s="390">
        <v>354841060.70999998</v>
      </c>
      <c r="U14" s="389">
        <v>3523</v>
      </c>
      <c r="V14" s="24">
        <f t="shared" si="8"/>
        <v>1.2054206320432982E-2</v>
      </c>
      <c r="W14" s="24">
        <f t="shared" si="9"/>
        <v>1.2039332507921326E-2</v>
      </c>
      <c r="X14" s="390">
        <v>354805850.94</v>
      </c>
      <c r="Y14" s="389">
        <v>3522.51</v>
      </c>
      <c r="Z14" s="24">
        <f t="shared" si="10"/>
        <v>-9.9226876195020511E-5</v>
      </c>
      <c r="AA14" s="24">
        <f t="shared" si="11"/>
        <v>-1.3908600624461587E-4</v>
      </c>
      <c r="AB14" s="390">
        <v>348904658.19999999</v>
      </c>
      <c r="AC14" s="389">
        <v>3463.63</v>
      </c>
      <c r="AD14" s="24">
        <f t="shared" si="12"/>
        <v>-1.6632174256331358E-2</v>
      </c>
      <c r="AE14" s="24">
        <f t="shared" si="13"/>
        <v>-1.6715353540515173E-2</v>
      </c>
      <c r="AF14" s="390">
        <v>349493434.01999998</v>
      </c>
      <c r="AG14" s="389">
        <v>3469.32</v>
      </c>
      <c r="AH14" s="24">
        <f t="shared" si="14"/>
        <v>1.6874977337290042E-3</v>
      </c>
      <c r="AI14" s="24">
        <f t="shared" si="15"/>
        <v>1.6427851704714576E-3</v>
      </c>
      <c r="AJ14" s="25">
        <f t="shared" si="16"/>
        <v>-1.7246555311114873E-3</v>
      </c>
      <c r="AK14" s="25">
        <f t="shared" si="17"/>
        <v>7.5493944919149091E-4</v>
      </c>
      <c r="AL14" s="26">
        <f t="shared" si="18"/>
        <v>-3.7549770764396542E-2</v>
      </c>
      <c r="AM14" s="26">
        <f t="shared" si="19"/>
        <v>-1.8235533822330903E-2</v>
      </c>
      <c r="AN14" s="27">
        <f t="shared" si="20"/>
        <v>1.4188852236519778E-2</v>
      </c>
      <c r="AO14" s="84">
        <f t="shared" si="21"/>
        <v>1.359382951680929E-2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4" customFormat="1" ht="12.75" customHeight="1">
      <c r="A15" s="216" t="s">
        <v>87</v>
      </c>
      <c r="B15" s="390">
        <v>265833314.18000001</v>
      </c>
      <c r="C15" s="389">
        <v>142.97</v>
      </c>
      <c r="D15" s="390">
        <v>277239452.17000002</v>
      </c>
      <c r="E15" s="389">
        <v>142.97</v>
      </c>
      <c r="F15" s="24">
        <f t="shared" si="0"/>
        <v>4.2907105248203507E-2</v>
      </c>
      <c r="G15" s="24">
        <f t="shared" si="1"/>
        <v>0</v>
      </c>
      <c r="H15" s="390">
        <v>282006437.12</v>
      </c>
      <c r="I15" s="389">
        <v>142.97</v>
      </c>
      <c r="J15" s="24">
        <f t="shared" si="2"/>
        <v>1.719446822120009E-2</v>
      </c>
      <c r="K15" s="24">
        <f t="shared" si="3"/>
        <v>0</v>
      </c>
      <c r="L15" s="390">
        <v>276196031.75999999</v>
      </c>
      <c r="M15" s="389">
        <v>142.97</v>
      </c>
      <c r="N15" s="24">
        <f t="shared" si="4"/>
        <v>-2.0603804010074982E-2</v>
      </c>
      <c r="O15" s="24">
        <f t="shared" si="5"/>
        <v>0</v>
      </c>
      <c r="P15" s="390">
        <v>272383303.36000001</v>
      </c>
      <c r="Q15" s="389">
        <v>142.97</v>
      </c>
      <c r="R15" s="24">
        <f t="shared" si="6"/>
        <v>-1.3804428599875899E-2</v>
      </c>
      <c r="S15" s="24">
        <f t="shared" si="7"/>
        <v>0</v>
      </c>
      <c r="T15" s="390">
        <v>276231686.48000002</v>
      </c>
      <c r="U15" s="389">
        <v>142.97</v>
      </c>
      <c r="V15" s="24">
        <f t="shared" si="8"/>
        <v>1.4128557340072068E-2</v>
      </c>
      <c r="W15" s="24">
        <f t="shared" si="9"/>
        <v>0</v>
      </c>
      <c r="X15" s="390">
        <v>276411289.94999999</v>
      </c>
      <c r="Y15" s="389">
        <v>142.72999999999999</v>
      </c>
      <c r="Z15" s="24">
        <f t="shared" si="10"/>
        <v>6.5019141101675464E-4</v>
      </c>
      <c r="AA15" s="24">
        <f t="shared" si="11"/>
        <v>-1.678673847660412E-3</v>
      </c>
      <c r="AB15" s="390">
        <v>272102441.94</v>
      </c>
      <c r="AC15" s="389">
        <v>140.68</v>
      </c>
      <c r="AD15" s="24">
        <f t="shared" si="12"/>
        <v>-1.5588538408758259E-2</v>
      </c>
      <c r="AE15" s="24">
        <f t="shared" si="13"/>
        <v>-1.4362782876760198E-2</v>
      </c>
      <c r="AF15" s="390">
        <v>270013216.83999997</v>
      </c>
      <c r="AG15" s="389">
        <v>139.41999999999999</v>
      </c>
      <c r="AH15" s="24">
        <f t="shared" si="14"/>
        <v>-7.6780828760835184E-3</v>
      </c>
      <c r="AI15" s="24">
        <f t="shared" si="15"/>
        <v>-8.956497014501132E-3</v>
      </c>
      <c r="AJ15" s="25">
        <f t="shared" si="16"/>
        <v>2.1506835407124709E-3</v>
      </c>
      <c r="AK15" s="25">
        <f t="shared" si="17"/>
        <v>-3.1247442173652175E-3</v>
      </c>
      <c r="AL15" s="26">
        <f t="shared" si="18"/>
        <v>-2.6064960356251891E-2</v>
      </c>
      <c r="AM15" s="26">
        <f t="shared" si="19"/>
        <v>-2.4830383996642731E-2</v>
      </c>
      <c r="AN15" s="27">
        <f t="shared" si="20"/>
        <v>2.1436748344382153E-2</v>
      </c>
      <c r="AO15" s="84">
        <f t="shared" si="21"/>
        <v>5.4930359187258153E-3</v>
      </c>
      <c r="AP15" s="31"/>
      <c r="AQ15" s="29"/>
      <c r="AR15" s="29"/>
      <c r="AS15" s="30"/>
      <c r="AT15" s="30"/>
    </row>
    <row r="16" spans="1:49" s="94" customFormat="1" ht="12.75" customHeight="1">
      <c r="A16" s="216" t="s">
        <v>132</v>
      </c>
      <c r="B16" s="390">
        <v>328100755.11000001</v>
      </c>
      <c r="C16" s="389">
        <v>1.3</v>
      </c>
      <c r="D16" s="390">
        <v>347540583.73000002</v>
      </c>
      <c r="E16" s="389">
        <v>1.32</v>
      </c>
      <c r="F16" s="24">
        <f t="shared" si="0"/>
        <v>5.9249569887404104E-2</v>
      </c>
      <c r="G16" s="24">
        <f t="shared" si="1"/>
        <v>1.5384615384615398E-2</v>
      </c>
      <c r="H16" s="390">
        <v>349368508.86000001</v>
      </c>
      <c r="I16" s="389">
        <v>1.36</v>
      </c>
      <c r="J16" s="24">
        <f t="shared" si="2"/>
        <v>5.259601944560488E-3</v>
      </c>
      <c r="K16" s="24">
        <f t="shared" si="3"/>
        <v>3.0303030303030328E-2</v>
      </c>
      <c r="L16" s="390">
        <v>349942952</v>
      </c>
      <c r="M16" s="389">
        <v>1.36</v>
      </c>
      <c r="N16" s="24">
        <f t="shared" si="4"/>
        <v>1.6442327383037784E-3</v>
      </c>
      <c r="O16" s="24">
        <f t="shared" si="5"/>
        <v>0</v>
      </c>
      <c r="P16" s="390">
        <v>351239379.31999999</v>
      </c>
      <c r="Q16" s="389">
        <v>1.33</v>
      </c>
      <c r="R16" s="24">
        <f t="shared" si="6"/>
        <v>3.7046818991227828E-3</v>
      </c>
      <c r="S16" s="24">
        <f t="shared" si="7"/>
        <v>-2.2058823529411783E-2</v>
      </c>
      <c r="T16" s="390">
        <v>363137399.54000002</v>
      </c>
      <c r="U16" s="389">
        <v>1.37</v>
      </c>
      <c r="V16" s="24">
        <f t="shared" si="8"/>
        <v>3.3874391427961795E-2</v>
      </c>
      <c r="W16" s="24">
        <f t="shared" si="9"/>
        <v>3.0075187969924838E-2</v>
      </c>
      <c r="X16" s="390">
        <v>360682144.88999999</v>
      </c>
      <c r="Y16" s="389">
        <v>1.37</v>
      </c>
      <c r="Z16" s="24">
        <f t="shared" si="10"/>
        <v>-6.7612277146617238E-3</v>
      </c>
      <c r="AA16" s="24">
        <f t="shared" si="11"/>
        <v>0</v>
      </c>
      <c r="AB16" s="390">
        <v>354100762.80000001</v>
      </c>
      <c r="AC16" s="389">
        <v>1.34</v>
      </c>
      <c r="AD16" s="24">
        <f t="shared" si="12"/>
        <v>-1.8247041566216562E-2</v>
      </c>
      <c r="AE16" s="24">
        <f t="shared" si="13"/>
        <v>-2.1897810218978121E-2</v>
      </c>
      <c r="AF16" s="390">
        <v>354100762.80000001</v>
      </c>
      <c r="AG16" s="389">
        <v>1.33</v>
      </c>
      <c r="AH16" s="24">
        <f t="shared" si="14"/>
        <v>0</v>
      </c>
      <c r="AI16" s="24">
        <f t="shared" si="15"/>
        <v>-7.462686567164185E-3</v>
      </c>
      <c r="AJ16" s="25">
        <f t="shared" si="16"/>
        <v>9.8405260770593299E-3</v>
      </c>
      <c r="AK16" s="25">
        <f t="shared" si="17"/>
        <v>3.0429391677520585E-3</v>
      </c>
      <c r="AL16" s="26">
        <f t="shared" si="18"/>
        <v>1.8876008665211066E-2</v>
      </c>
      <c r="AM16" s="26">
        <f t="shared" si="19"/>
        <v>7.575757575757582E-3</v>
      </c>
      <c r="AN16" s="27">
        <f t="shared" si="20"/>
        <v>2.4802242429397516E-2</v>
      </c>
      <c r="AO16" s="84">
        <f t="shared" si="21"/>
        <v>2.0726789483192176E-2</v>
      </c>
      <c r="AP16" s="31"/>
      <c r="AQ16" s="29"/>
      <c r="AR16" s="29"/>
      <c r="AS16" s="30"/>
      <c r="AT16" s="30"/>
    </row>
    <row r="17" spans="1:46" s="94" customFormat="1" ht="12.75" customHeight="1">
      <c r="A17" s="216" t="s">
        <v>135</v>
      </c>
      <c r="B17" s="389">
        <v>292251055.42000002</v>
      </c>
      <c r="C17" s="389">
        <v>1.512087</v>
      </c>
      <c r="D17" s="389">
        <v>295718639.97000003</v>
      </c>
      <c r="E17" s="389">
        <v>1.530152</v>
      </c>
      <c r="F17" s="24">
        <f t="shared" si="0"/>
        <v>1.1865088203074834E-2</v>
      </c>
      <c r="G17" s="24">
        <f t="shared" si="1"/>
        <v>1.1947063892487666E-2</v>
      </c>
      <c r="H17" s="389">
        <v>296691417.77999997</v>
      </c>
      <c r="I17" s="389">
        <v>1.5355380000000001</v>
      </c>
      <c r="J17" s="24">
        <f t="shared" si="2"/>
        <v>3.2895383601744847E-3</v>
      </c>
      <c r="K17" s="24">
        <f t="shared" si="3"/>
        <v>3.5199117473297507E-3</v>
      </c>
      <c r="L17" s="389">
        <v>298632258.19999999</v>
      </c>
      <c r="M17" s="389">
        <v>1.5355380000000001</v>
      </c>
      <c r="N17" s="24">
        <f t="shared" si="4"/>
        <v>6.5416129476288786E-3</v>
      </c>
      <c r="O17" s="24">
        <f t="shared" si="5"/>
        <v>0</v>
      </c>
      <c r="P17" s="389">
        <v>301657213.99000001</v>
      </c>
      <c r="Q17" s="389">
        <v>1.56</v>
      </c>
      <c r="R17" s="24">
        <f t="shared" si="6"/>
        <v>1.0129367162920986E-2</v>
      </c>
      <c r="S17" s="24">
        <f t="shared" si="7"/>
        <v>1.5930572867620327E-2</v>
      </c>
      <c r="T17" s="389">
        <v>309006424.43000001</v>
      </c>
      <c r="U17" s="389">
        <v>1.59</v>
      </c>
      <c r="V17" s="24">
        <f t="shared" si="8"/>
        <v>2.4362786962037065E-2</v>
      </c>
      <c r="W17" s="24">
        <f t="shared" si="9"/>
        <v>1.9230769230769246E-2</v>
      </c>
      <c r="X17" s="389">
        <v>306939721.04999995</v>
      </c>
      <c r="Y17" s="389">
        <v>1.58</v>
      </c>
      <c r="Z17" s="24">
        <f t="shared" si="10"/>
        <v>-6.6882213980254323E-3</v>
      </c>
      <c r="AA17" s="24">
        <f t="shared" si="11"/>
        <v>-6.2893081761006345E-3</v>
      </c>
      <c r="AB17" s="389">
        <v>297011968.00999999</v>
      </c>
      <c r="AC17" s="389">
        <v>1.53</v>
      </c>
      <c r="AD17" s="24">
        <f t="shared" si="12"/>
        <v>-3.2344308537319441E-2</v>
      </c>
      <c r="AE17" s="24">
        <f t="shared" si="13"/>
        <v>-3.1645569620253194E-2</v>
      </c>
      <c r="AF17" s="389">
        <v>299478576.27999997</v>
      </c>
      <c r="AG17" s="389">
        <v>1.54</v>
      </c>
      <c r="AH17" s="24">
        <f t="shared" si="14"/>
        <v>8.3047436994758868E-3</v>
      </c>
      <c r="AI17" s="24">
        <f t="shared" si="15"/>
        <v>6.5359477124183061E-3</v>
      </c>
      <c r="AJ17" s="25">
        <f t="shared" si="16"/>
        <v>3.1825759249959084E-3</v>
      </c>
      <c r="AK17" s="25">
        <f t="shared" si="17"/>
        <v>2.403673456783933E-3</v>
      </c>
      <c r="AL17" s="26">
        <f t="shared" si="18"/>
        <v>1.2714573252404311E-2</v>
      </c>
      <c r="AM17" s="26">
        <f t="shared" si="19"/>
        <v>6.4359619175089009E-3</v>
      </c>
      <c r="AN17" s="27">
        <f t="shared" si="20"/>
        <v>1.6773144352627899E-2</v>
      </c>
      <c r="AO17" s="84">
        <f t="shared" si="21"/>
        <v>1.6107773940318287E-2</v>
      </c>
      <c r="AP17" s="31"/>
      <c r="AQ17" s="29"/>
      <c r="AR17" s="29"/>
      <c r="AS17" s="30"/>
      <c r="AT17" s="30"/>
    </row>
    <row r="18" spans="1:46" s="118" customFormat="1" ht="12.75" customHeight="1">
      <c r="A18" s="216" t="s">
        <v>146</v>
      </c>
      <c r="B18" s="389">
        <v>454097186.88</v>
      </c>
      <c r="C18" s="389">
        <v>153.11070000000001</v>
      </c>
      <c r="D18" s="389">
        <v>461533123.02999997</v>
      </c>
      <c r="E18" s="389">
        <v>155.60910000000001</v>
      </c>
      <c r="F18" s="24">
        <f t="shared" si="0"/>
        <v>1.6375208578345589E-2</v>
      </c>
      <c r="G18" s="24">
        <f t="shared" si="1"/>
        <v>1.6317605497199107E-2</v>
      </c>
      <c r="H18" s="389">
        <v>461493096.73000002</v>
      </c>
      <c r="I18" s="389">
        <v>155.60040000000001</v>
      </c>
      <c r="J18" s="24">
        <f t="shared" si="2"/>
        <v>-8.6724653123868158E-5</v>
      </c>
      <c r="K18" s="24">
        <f t="shared" si="3"/>
        <v>-5.590932663966691E-5</v>
      </c>
      <c r="L18" s="389">
        <v>461422365.12</v>
      </c>
      <c r="M18" s="389">
        <v>155.58160000000001</v>
      </c>
      <c r="N18" s="24">
        <f t="shared" si="4"/>
        <v>-1.5326688633307198E-4</v>
      </c>
      <c r="O18" s="24">
        <f t="shared" si="5"/>
        <v>-1.2082231151075972E-4</v>
      </c>
      <c r="P18" s="389">
        <v>465764172.81999999</v>
      </c>
      <c r="Q18" s="389">
        <v>157.0453</v>
      </c>
      <c r="R18" s="24">
        <f t="shared" si="6"/>
        <v>9.4096169327874558E-3</v>
      </c>
      <c r="S18" s="24">
        <f t="shared" si="7"/>
        <v>9.4079248445830908E-3</v>
      </c>
      <c r="T18" s="389">
        <v>476783461.86000001</v>
      </c>
      <c r="U18" s="389">
        <v>160.76939999999999</v>
      </c>
      <c r="V18" s="24">
        <f t="shared" si="8"/>
        <v>2.3658515796273052E-2</v>
      </c>
      <c r="W18" s="24">
        <f t="shared" si="9"/>
        <v>2.3713539978592119E-2</v>
      </c>
      <c r="X18" s="389">
        <v>474727635.32999998</v>
      </c>
      <c r="Y18" s="389">
        <v>160.06960000000001</v>
      </c>
      <c r="Z18" s="24">
        <f t="shared" si="10"/>
        <v>-4.3118662756882545E-3</v>
      </c>
      <c r="AA18" s="24">
        <f t="shared" si="11"/>
        <v>-4.352818384592976E-3</v>
      </c>
      <c r="AB18" s="389">
        <v>461296914.10000002</v>
      </c>
      <c r="AC18" s="389">
        <v>155.51669999999999</v>
      </c>
      <c r="AD18" s="24">
        <f t="shared" si="12"/>
        <v>-2.8291424872840591E-2</v>
      </c>
      <c r="AE18" s="24">
        <f t="shared" si="13"/>
        <v>-2.8443252185299531E-2</v>
      </c>
      <c r="AF18" s="389">
        <v>461966312.47000003</v>
      </c>
      <c r="AG18" s="389">
        <v>156.00899999999999</v>
      </c>
      <c r="AH18" s="24">
        <f t="shared" si="14"/>
        <v>1.4511225840433272E-3</v>
      </c>
      <c r="AI18" s="24">
        <f t="shared" si="15"/>
        <v>3.1655764300554234E-3</v>
      </c>
      <c r="AJ18" s="25">
        <f t="shared" si="16"/>
        <v>2.2563976504329547E-3</v>
      </c>
      <c r="AK18" s="25">
        <f t="shared" si="17"/>
        <v>2.4539805677983506E-3</v>
      </c>
      <c r="AL18" s="26">
        <f t="shared" si="18"/>
        <v>9.3858797642980784E-4</v>
      </c>
      <c r="AM18" s="26">
        <f t="shared" si="19"/>
        <v>2.5699011176079927E-3</v>
      </c>
      <c r="AN18" s="27">
        <f t="shared" si="20"/>
        <v>1.556927723070763E-2</v>
      </c>
      <c r="AO18" s="84">
        <f t="shared" si="21"/>
        <v>1.5615620993675628E-2</v>
      </c>
      <c r="AP18" s="31"/>
      <c r="AQ18" s="29"/>
      <c r="AR18" s="29"/>
      <c r="AS18" s="30"/>
      <c r="AT18" s="30"/>
    </row>
    <row r="19" spans="1:46" s="328" customFormat="1" ht="12.75" customHeight="1">
      <c r="A19" s="216" t="s">
        <v>236</v>
      </c>
      <c r="B19" s="77">
        <v>25899730.210000001</v>
      </c>
      <c r="C19" s="389">
        <v>104.29</v>
      </c>
      <c r="D19" s="77">
        <v>26283144.050000001</v>
      </c>
      <c r="E19" s="389">
        <v>105.84</v>
      </c>
      <c r="F19" s="24">
        <f t="shared" si="0"/>
        <v>1.4803777371084818E-2</v>
      </c>
      <c r="G19" s="24">
        <f t="shared" si="1"/>
        <v>1.4862402914948673E-2</v>
      </c>
      <c r="H19" s="77">
        <v>26228019.760000002</v>
      </c>
      <c r="I19" s="389">
        <v>105.62</v>
      </c>
      <c r="J19" s="24">
        <f t="shared" si="2"/>
        <v>-2.0973248061621876E-3</v>
      </c>
      <c r="K19" s="24">
        <f t="shared" si="3"/>
        <v>-2.0786092214663534E-3</v>
      </c>
      <c r="L19" s="77">
        <v>26318530.52</v>
      </c>
      <c r="M19" s="389">
        <v>105.98</v>
      </c>
      <c r="N19" s="24">
        <f t="shared" si="4"/>
        <v>3.4509185530672295E-3</v>
      </c>
      <c r="O19" s="24">
        <f t="shared" si="5"/>
        <v>3.4084453701950334E-3</v>
      </c>
      <c r="P19" s="77">
        <v>26711927.949999999</v>
      </c>
      <c r="Q19" s="389">
        <v>107.57</v>
      </c>
      <c r="R19" s="24">
        <f t="shared" si="6"/>
        <v>1.4947545407257779E-2</v>
      </c>
      <c r="S19" s="24">
        <f t="shared" si="7"/>
        <v>1.500283072277778E-2</v>
      </c>
      <c r="T19" s="77">
        <v>27196500.620000001</v>
      </c>
      <c r="U19" s="389">
        <v>109.53</v>
      </c>
      <c r="V19" s="24">
        <f t="shared" si="8"/>
        <v>1.8140684974406792E-2</v>
      </c>
      <c r="W19" s="24">
        <f t="shared" si="9"/>
        <v>1.8220693501905812E-2</v>
      </c>
      <c r="X19" s="77">
        <v>26679311.77</v>
      </c>
      <c r="Y19" s="389">
        <v>107.44</v>
      </c>
      <c r="Z19" s="24">
        <f t="shared" si="10"/>
        <v>-1.9016742529723352E-2</v>
      </c>
      <c r="AA19" s="24">
        <f t="shared" si="11"/>
        <v>-1.9081530174381477E-2</v>
      </c>
      <c r="AB19" s="77">
        <v>25526916.879999999</v>
      </c>
      <c r="AC19" s="389">
        <v>102.78</v>
      </c>
      <c r="AD19" s="24">
        <f t="shared" si="12"/>
        <v>-4.3194325998162759E-2</v>
      </c>
      <c r="AE19" s="24">
        <f t="shared" si="13"/>
        <v>-4.3373045420699897E-2</v>
      </c>
      <c r="AF19" s="77">
        <v>25667814.68</v>
      </c>
      <c r="AG19" s="389">
        <v>103.2</v>
      </c>
      <c r="AH19" s="24">
        <f t="shared" si="14"/>
        <v>5.5195776545342344E-3</v>
      </c>
      <c r="AI19" s="24">
        <f t="shared" si="15"/>
        <v>4.0863981319322991E-3</v>
      </c>
      <c r="AJ19" s="25">
        <f t="shared" si="16"/>
        <v>-9.3073617171218097E-4</v>
      </c>
      <c r="AK19" s="25">
        <f t="shared" si="17"/>
        <v>-1.1190517718485159E-3</v>
      </c>
      <c r="AL19" s="26">
        <f t="shared" si="18"/>
        <v>-2.3411558709621007E-2</v>
      </c>
      <c r="AM19" s="26">
        <f t="shared" si="19"/>
        <v>-2.4943310657596376E-2</v>
      </c>
      <c r="AN19" s="27">
        <f t="shared" si="20"/>
        <v>2.0835734665949356E-2</v>
      </c>
      <c r="AO19" s="84">
        <f t="shared" si="21"/>
        <v>2.0859783711863669E-2</v>
      </c>
      <c r="AP19" s="31"/>
      <c r="AQ19" s="29"/>
      <c r="AR19" s="29"/>
      <c r="AS19" s="30"/>
      <c r="AT19" s="30"/>
    </row>
    <row r="20" spans="1:46">
      <c r="A20" s="216" t="s">
        <v>265</v>
      </c>
      <c r="B20" s="77">
        <v>55990271.119999997</v>
      </c>
      <c r="C20" s="389">
        <v>107.05970000000001</v>
      </c>
      <c r="D20" s="77">
        <v>56913703.579999998</v>
      </c>
      <c r="E20" s="389">
        <v>108.9726</v>
      </c>
      <c r="F20" s="24">
        <f t="shared" si="0"/>
        <v>1.6492730639236827E-2</v>
      </c>
      <c r="G20" s="24">
        <f t="shared" si="1"/>
        <v>1.7867600974035919E-2</v>
      </c>
      <c r="H20" s="77">
        <v>57059834.270000003</v>
      </c>
      <c r="I20" s="389">
        <v>109.2428</v>
      </c>
      <c r="J20" s="24">
        <f t="shared" si="2"/>
        <v>2.5675835661370795E-3</v>
      </c>
      <c r="K20" s="24">
        <f t="shared" si="3"/>
        <v>2.4795223753494243E-3</v>
      </c>
      <c r="L20" s="77">
        <v>57328459.93</v>
      </c>
      <c r="M20" s="389">
        <v>109.5461</v>
      </c>
      <c r="N20" s="24">
        <f t="shared" si="4"/>
        <v>4.7077889979296713E-3</v>
      </c>
      <c r="O20" s="24">
        <f t="shared" si="5"/>
        <v>2.7763843475267294E-3</v>
      </c>
      <c r="P20" s="77">
        <v>57412139.229999997</v>
      </c>
      <c r="Q20" s="389">
        <v>110.3099</v>
      </c>
      <c r="R20" s="24">
        <f t="shared" si="6"/>
        <v>1.4596467461741043E-3</v>
      </c>
      <c r="S20" s="24">
        <f t="shared" si="7"/>
        <v>6.9724070505476996E-3</v>
      </c>
      <c r="T20" s="77">
        <v>58036852.490000002</v>
      </c>
      <c r="U20" s="389">
        <v>110.8841</v>
      </c>
      <c r="V20" s="24">
        <f t="shared" si="8"/>
        <v>1.0881205061830709E-2</v>
      </c>
      <c r="W20" s="24">
        <f t="shared" si="9"/>
        <v>5.2053351512421344E-3</v>
      </c>
      <c r="X20" s="77">
        <v>58175802.869999997</v>
      </c>
      <c r="Y20" s="389">
        <v>111.00620000000001</v>
      </c>
      <c r="Z20" s="24">
        <f t="shared" si="10"/>
        <v>2.3941749774238183E-3</v>
      </c>
      <c r="AA20" s="24">
        <f t="shared" si="11"/>
        <v>1.1011497590727904E-3</v>
      </c>
      <c r="AB20" s="77">
        <v>57452432.57</v>
      </c>
      <c r="AC20" s="389">
        <v>109.61199999999999</v>
      </c>
      <c r="AD20" s="24">
        <f t="shared" si="12"/>
        <v>-1.2434212581757483E-2</v>
      </c>
      <c r="AE20" s="24">
        <f t="shared" si="13"/>
        <v>-1.2559658829867268E-2</v>
      </c>
      <c r="AF20" s="77">
        <v>57461236.189999998</v>
      </c>
      <c r="AG20" s="389">
        <v>109.6285</v>
      </c>
      <c r="AH20" s="24">
        <f t="shared" si="14"/>
        <v>1.532331984249926E-4</v>
      </c>
      <c r="AI20" s="24">
        <f t="shared" si="15"/>
        <v>1.5053096376316217E-4</v>
      </c>
      <c r="AJ20" s="25">
        <f t="shared" si="16"/>
        <v>3.2777688256749654E-3</v>
      </c>
      <c r="AK20" s="25">
        <f t="shared" si="17"/>
        <v>2.9991589739588242E-3</v>
      </c>
      <c r="AL20" s="26">
        <f t="shared" si="18"/>
        <v>9.6204002825148668E-3</v>
      </c>
      <c r="AM20" s="26">
        <f t="shared" si="19"/>
        <v>6.01894421166424E-3</v>
      </c>
      <c r="AN20" s="27">
        <f t="shared" si="20"/>
        <v>8.4152257226767051E-3</v>
      </c>
      <c r="AO20" s="84">
        <f t="shared" si="21"/>
        <v>8.4162942627017262E-3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8" t="s">
        <v>46</v>
      </c>
      <c r="B21" s="72">
        <f>SUM(B5:B20)</f>
        <v>16797381909.850002</v>
      </c>
      <c r="C21" s="93"/>
      <c r="D21" s="72">
        <f>SUM(D5:D20)</f>
        <v>17133825597.439997</v>
      </c>
      <c r="E21" s="93"/>
      <c r="F21" s="24">
        <f>((D21-B21)/B21)</f>
        <v>2.0029531351710442E-2</v>
      </c>
      <c r="G21" s="24"/>
      <c r="H21" s="72">
        <f>SUM(H5:H20)</f>
        <v>17103979411.670002</v>
      </c>
      <c r="I21" s="93"/>
      <c r="J21" s="24">
        <f>((H21-D21)/D21)</f>
        <v>-1.7419452299347626E-3</v>
      </c>
      <c r="K21" s="24"/>
      <c r="L21" s="72">
        <f>SUM(L5:L20)</f>
        <v>17010664326.750002</v>
      </c>
      <c r="M21" s="93"/>
      <c r="N21" s="24">
        <f>((L21-H21)/H21)</f>
        <v>-5.4557528791417641E-3</v>
      </c>
      <c r="O21" s="24"/>
      <c r="P21" s="72">
        <f>SUM(P5:P20)</f>
        <v>17138775616.899998</v>
      </c>
      <c r="Q21" s="93"/>
      <c r="R21" s="24">
        <f>((P21-L21)/L21)</f>
        <v>7.5312338007008511E-3</v>
      </c>
      <c r="S21" s="24"/>
      <c r="T21" s="72">
        <f>SUM(T5:T20)</f>
        <v>17291112299.790001</v>
      </c>
      <c r="U21" s="93"/>
      <c r="V21" s="24">
        <f>((T21-P21)/P21)</f>
        <v>8.8884227377239756E-3</v>
      </c>
      <c r="W21" s="24"/>
      <c r="X21" s="72">
        <f>SUM(X5:X20)</f>
        <v>17294675587.010002</v>
      </c>
      <c r="Y21" s="93"/>
      <c r="Z21" s="24">
        <f>((X21-T21)/T21)</f>
        <v>2.0607622911826768E-4</v>
      </c>
      <c r="AA21" s="24"/>
      <c r="AB21" s="72">
        <f>SUM(AB5:AB20)</f>
        <v>17018697028.65</v>
      </c>
      <c r="AC21" s="93"/>
      <c r="AD21" s="24">
        <f>((AB21-X21)/X21)</f>
        <v>-1.5957429034823264E-2</v>
      </c>
      <c r="AE21" s="24"/>
      <c r="AF21" s="72">
        <f>SUM(AF5:AF20)</f>
        <v>17022340090.360001</v>
      </c>
      <c r="AG21" s="93"/>
      <c r="AH21" s="24">
        <f>((AF21-AB21)/AB21)</f>
        <v>2.1406231651389682E-4</v>
      </c>
      <c r="AI21" s="24"/>
      <c r="AJ21" s="25">
        <f t="shared" si="16"/>
        <v>1.7142749114834553E-3</v>
      </c>
      <c r="AK21" s="25"/>
      <c r="AL21" s="26">
        <f t="shared" si="18"/>
        <v>-6.5067492630865465E-3</v>
      </c>
      <c r="AM21" s="26"/>
      <c r="AN21" s="27">
        <f t="shared" si="20"/>
        <v>1.0696616313239713E-2</v>
      </c>
      <c r="AO21" s="84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8" customFormat="1" ht="6" customHeight="1">
      <c r="A22" s="218"/>
      <c r="B22" s="93"/>
      <c r="C22" s="93"/>
      <c r="D22" s="93"/>
      <c r="E22" s="93"/>
      <c r="F22" s="24"/>
      <c r="G22" s="24"/>
      <c r="H22" s="93"/>
      <c r="I22" s="93"/>
      <c r="J22" s="24"/>
      <c r="K22" s="24"/>
      <c r="L22" s="93"/>
      <c r="M22" s="93"/>
      <c r="N22" s="24"/>
      <c r="O22" s="24"/>
      <c r="P22" s="93"/>
      <c r="Q22" s="93"/>
      <c r="R22" s="24"/>
      <c r="S22" s="24"/>
      <c r="T22" s="93"/>
      <c r="U22" s="93"/>
      <c r="V22" s="24"/>
      <c r="W22" s="24"/>
      <c r="X22" s="93"/>
      <c r="Y22" s="93"/>
      <c r="Z22" s="24"/>
      <c r="AA22" s="24"/>
      <c r="AB22" s="93"/>
      <c r="AC22" s="93"/>
      <c r="AD22" s="24"/>
      <c r="AE22" s="24"/>
      <c r="AF22" s="93"/>
      <c r="AG22" s="93"/>
      <c r="AH22" s="24"/>
      <c r="AI22" s="24"/>
      <c r="AJ22" s="25"/>
      <c r="AK22" s="25"/>
      <c r="AL22" s="26"/>
      <c r="AM22" s="26"/>
      <c r="AN22" s="27"/>
      <c r="AO22" s="84"/>
      <c r="AP22" s="31"/>
      <c r="AQ22" s="41"/>
      <c r="AR22" s="42"/>
      <c r="AS22" s="30"/>
      <c r="AT22" s="30"/>
    </row>
    <row r="23" spans="1:46">
      <c r="A23" s="215" t="s">
        <v>48</v>
      </c>
      <c r="B23" s="93"/>
      <c r="C23" s="93"/>
      <c r="D23" s="93"/>
      <c r="E23" s="93"/>
      <c r="F23" s="24"/>
      <c r="G23" s="24"/>
      <c r="H23" s="93"/>
      <c r="I23" s="93"/>
      <c r="J23" s="24"/>
      <c r="K23" s="24"/>
      <c r="L23" s="93"/>
      <c r="M23" s="93"/>
      <c r="N23" s="24"/>
      <c r="O23" s="24"/>
      <c r="P23" s="93"/>
      <c r="Q23" s="93"/>
      <c r="R23" s="24"/>
      <c r="S23" s="24"/>
      <c r="T23" s="93"/>
      <c r="U23" s="93"/>
      <c r="V23" s="24"/>
      <c r="W23" s="24"/>
      <c r="X23" s="93"/>
      <c r="Y23" s="93"/>
      <c r="Z23" s="24"/>
      <c r="AA23" s="24"/>
      <c r="AB23" s="93"/>
      <c r="AC23" s="93"/>
      <c r="AD23" s="24"/>
      <c r="AE23" s="24"/>
      <c r="AF23" s="93"/>
      <c r="AG23" s="93"/>
      <c r="AH23" s="24"/>
      <c r="AI23" s="24"/>
      <c r="AJ23" s="25"/>
      <c r="AK23" s="25"/>
      <c r="AL23" s="26"/>
      <c r="AM23" s="26"/>
      <c r="AN23" s="27"/>
      <c r="AO23" s="84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6" t="s">
        <v>38</v>
      </c>
      <c r="B24" s="384">
        <v>287881440453.35999</v>
      </c>
      <c r="C24" s="341">
        <v>100</v>
      </c>
      <c r="D24" s="384">
        <v>301352962735.25</v>
      </c>
      <c r="E24" s="341">
        <v>100</v>
      </c>
      <c r="F24" s="24">
        <f t="shared" ref="F24:F52" si="22">((D24-B24)/B24)</f>
        <v>4.6795383060036312E-2</v>
      </c>
      <c r="G24" s="24">
        <f t="shared" ref="G24:G52" si="23">((E24-C24)/C24)</f>
        <v>0</v>
      </c>
      <c r="H24" s="384">
        <v>309565968511.10999</v>
      </c>
      <c r="I24" s="341">
        <v>100</v>
      </c>
      <c r="J24" s="24">
        <f t="shared" ref="J24:J52" si="24">((H24-D24)/D24)</f>
        <v>2.7253774780623019E-2</v>
      </c>
      <c r="K24" s="24">
        <f t="shared" ref="K24:K52" si="25">((I24-E24)/E24)</f>
        <v>0</v>
      </c>
      <c r="L24" s="384">
        <v>318456254915.25</v>
      </c>
      <c r="M24" s="341">
        <v>100</v>
      </c>
      <c r="N24" s="24">
        <f t="shared" ref="N24:N52" si="26">((L24-H24)/H24)</f>
        <v>2.8718552129288564E-2</v>
      </c>
      <c r="O24" s="24">
        <f t="shared" ref="O24:O52" si="27">((M24-I24)/I24)</f>
        <v>0</v>
      </c>
      <c r="P24" s="384">
        <v>339092815692.19</v>
      </c>
      <c r="Q24" s="341">
        <v>100</v>
      </c>
      <c r="R24" s="24">
        <f t="shared" ref="R24:R52" si="28">((P24-L24)/L24)</f>
        <v>6.4801869828030101E-2</v>
      </c>
      <c r="S24" s="24">
        <f t="shared" ref="S24:S52" si="29">((Q24-M24)/M24)</f>
        <v>0</v>
      </c>
      <c r="T24" s="384">
        <v>357955357976.52002</v>
      </c>
      <c r="U24" s="341">
        <v>100</v>
      </c>
      <c r="V24" s="24">
        <f t="shared" ref="V24:V52" si="30">((T24-P24)/P24)</f>
        <v>5.5626487532110989E-2</v>
      </c>
      <c r="W24" s="24">
        <f t="shared" ref="W24:W52" si="31">((U24-Q24)/Q24)</f>
        <v>0</v>
      </c>
      <c r="X24" s="384">
        <v>362412988556.34998</v>
      </c>
      <c r="Y24" s="341">
        <v>100</v>
      </c>
      <c r="Z24" s="24">
        <f t="shared" ref="Z24:Z52" si="32">((X24-T24)/T24)</f>
        <v>1.245303493996688E-2</v>
      </c>
      <c r="AA24" s="24">
        <f t="shared" ref="AA24:AA52" si="33">((Y24-U24)/U24)</f>
        <v>0</v>
      </c>
      <c r="AB24" s="384">
        <v>364915008733.72998</v>
      </c>
      <c r="AC24" s="341">
        <v>100</v>
      </c>
      <c r="AD24" s="24">
        <f t="shared" ref="AD24:AD52" si="34">((AB24-X24)/X24)</f>
        <v>6.9037817528192066E-3</v>
      </c>
      <c r="AE24" s="24">
        <f t="shared" ref="AE24:AE52" si="35">((AC24-Y24)/Y24)</f>
        <v>0</v>
      </c>
      <c r="AF24" s="384">
        <v>368590836283.82001</v>
      </c>
      <c r="AG24" s="341">
        <v>100</v>
      </c>
      <c r="AH24" s="24">
        <f t="shared" ref="AH24:AH52" si="36">((AF24-AB24)/AB24)</f>
        <v>1.0073105961975363E-2</v>
      </c>
      <c r="AI24" s="24">
        <f t="shared" ref="AI24:AI52" si="37">((AG24-AC24)/AC24)</f>
        <v>0</v>
      </c>
      <c r="AJ24" s="25">
        <f t="shared" si="16"/>
        <v>3.1578248748106302E-2</v>
      </c>
      <c r="AK24" s="25">
        <f t="shared" si="17"/>
        <v>0</v>
      </c>
      <c r="AL24" s="26">
        <f t="shared" si="18"/>
        <v>0.22312000166940793</v>
      </c>
      <c r="AM24" s="26">
        <f t="shared" si="19"/>
        <v>0</v>
      </c>
      <c r="AN24" s="27">
        <f t="shared" si="20"/>
        <v>2.1966341764974823E-2</v>
      </c>
      <c r="AO24" s="84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6" t="s">
        <v>18</v>
      </c>
      <c r="B25" s="384">
        <v>162294211621.66</v>
      </c>
      <c r="C25" s="341">
        <v>100</v>
      </c>
      <c r="D25" s="384">
        <v>166542275515.17999</v>
      </c>
      <c r="E25" s="341">
        <v>100</v>
      </c>
      <c r="F25" s="24">
        <f t="shared" si="22"/>
        <v>2.6175079511911791E-2</v>
      </c>
      <c r="G25" s="24">
        <f t="shared" si="23"/>
        <v>0</v>
      </c>
      <c r="H25" s="384">
        <v>176094192756.67001</v>
      </c>
      <c r="I25" s="341">
        <v>100</v>
      </c>
      <c r="J25" s="24">
        <f t="shared" si="24"/>
        <v>5.7354309660668609E-2</v>
      </c>
      <c r="K25" s="24">
        <f t="shared" si="25"/>
        <v>0</v>
      </c>
      <c r="L25" s="384">
        <v>181623521502.04999</v>
      </c>
      <c r="M25" s="341">
        <v>100</v>
      </c>
      <c r="N25" s="24">
        <f t="shared" si="26"/>
        <v>3.1399835842516939E-2</v>
      </c>
      <c r="O25" s="24">
        <f t="shared" si="27"/>
        <v>0</v>
      </c>
      <c r="P25" s="384">
        <v>184649037678.92001</v>
      </c>
      <c r="Q25" s="341">
        <v>100</v>
      </c>
      <c r="R25" s="24">
        <f t="shared" si="28"/>
        <v>1.6658173742302846E-2</v>
      </c>
      <c r="S25" s="24">
        <f t="shared" si="29"/>
        <v>0</v>
      </c>
      <c r="T25" s="384">
        <v>185048139953.17001</v>
      </c>
      <c r="U25" s="341">
        <v>100</v>
      </c>
      <c r="V25" s="24">
        <f t="shared" si="30"/>
        <v>2.1614099876544469E-3</v>
      </c>
      <c r="W25" s="24">
        <f t="shared" si="31"/>
        <v>0</v>
      </c>
      <c r="X25" s="384">
        <v>188775014355.03</v>
      </c>
      <c r="Y25" s="341">
        <v>100</v>
      </c>
      <c r="Z25" s="24">
        <f t="shared" si="32"/>
        <v>2.0140026280745876E-2</v>
      </c>
      <c r="AA25" s="24">
        <f t="shared" si="33"/>
        <v>0</v>
      </c>
      <c r="AB25" s="384">
        <v>188154815155.57999</v>
      </c>
      <c r="AC25" s="341">
        <v>100</v>
      </c>
      <c r="AD25" s="24">
        <f t="shared" si="34"/>
        <v>-3.2853881726296725E-3</v>
      </c>
      <c r="AE25" s="24">
        <f t="shared" si="35"/>
        <v>0</v>
      </c>
      <c r="AF25" s="384">
        <v>185242091999.23999</v>
      </c>
      <c r="AG25" s="341">
        <v>100</v>
      </c>
      <c r="AH25" s="24">
        <f t="shared" si="36"/>
        <v>-1.548046035352083E-2</v>
      </c>
      <c r="AI25" s="24">
        <f t="shared" si="37"/>
        <v>0</v>
      </c>
      <c r="AJ25" s="25">
        <f t="shared" si="16"/>
        <v>1.6890373312456252E-2</v>
      </c>
      <c r="AK25" s="25">
        <f t="shared" si="17"/>
        <v>0</v>
      </c>
      <c r="AL25" s="26">
        <f t="shared" si="18"/>
        <v>0.11228270075099069</v>
      </c>
      <c r="AM25" s="26">
        <f t="shared" si="19"/>
        <v>0</v>
      </c>
      <c r="AN25" s="27">
        <f t="shared" si="20"/>
        <v>2.2729933575181382E-2</v>
      </c>
      <c r="AO25" s="84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6" t="s">
        <v>82</v>
      </c>
      <c r="B26" s="384">
        <v>49246696123.610001</v>
      </c>
      <c r="C26" s="341">
        <v>1</v>
      </c>
      <c r="D26" s="384">
        <v>47873964795.900002</v>
      </c>
      <c r="E26" s="341">
        <v>1</v>
      </c>
      <c r="F26" s="24">
        <f t="shared" si="22"/>
        <v>-2.7874587246714405E-2</v>
      </c>
      <c r="G26" s="24">
        <f t="shared" si="23"/>
        <v>0</v>
      </c>
      <c r="H26" s="384">
        <v>48650799152.230003</v>
      </c>
      <c r="I26" s="341">
        <v>1</v>
      </c>
      <c r="J26" s="24">
        <f t="shared" si="24"/>
        <v>1.6226655963045098E-2</v>
      </c>
      <c r="K26" s="24">
        <f t="shared" si="25"/>
        <v>0</v>
      </c>
      <c r="L26" s="384">
        <v>47752325115.870003</v>
      </c>
      <c r="M26" s="341">
        <v>1</v>
      </c>
      <c r="N26" s="24">
        <f t="shared" si="26"/>
        <v>-1.8467816603559683E-2</v>
      </c>
      <c r="O26" s="24">
        <f t="shared" si="27"/>
        <v>0</v>
      </c>
      <c r="P26" s="384">
        <v>46614166756.559998</v>
      </c>
      <c r="Q26" s="341">
        <v>1</v>
      </c>
      <c r="R26" s="24">
        <f t="shared" si="28"/>
        <v>-2.3834616566801473E-2</v>
      </c>
      <c r="S26" s="24">
        <f t="shared" si="29"/>
        <v>0</v>
      </c>
      <c r="T26" s="384">
        <v>47958040620.830002</v>
      </c>
      <c r="U26" s="341">
        <v>1</v>
      </c>
      <c r="V26" s="24">
        <f t="shared" si="30"/>
        <v>2.88297304827589E-2</v>
      </c>
      <c r="W26" s="24">
        <f t="shared" si="31"/>
        <v>0</v>
      </c>
      <c r="X26" s="384">
        <v>49990421514.330002</v>
      </c>
      <c r="Y26" s="341">
        <v>1</v>
      </c>
      <c r="Z26" s="24">
        <f t="shared" si="32"/>
        <v>4.2378313775756293E-2</v>
      </c>
      <c r="AA26" s="24">
        <f t="shared" si="33"/>
        <v>0</v>
      </c>
      <c r="AB26" s="384">
        <v>51373094665.279999</v>
      </c>
      <c r="AC26" s="341">
        <v>1</v>
      </c>
      <c r="AD26" s="24">
        <f t="shared" si="34"/>
        <v>2.7658761600032656E-2</v>
      </c>
      <c r="AE26" s="24">
        <f t="shared" si="35"/>
        <v>0</v>
      </c>
      <c r="AF26" s="384">
        <v>47867257060.440002</v>
      </c>
      <c r="AG26" s="341">
        <v>1</v>
      </c>
      <c r="AH26" s="24">
        <f t="shared" si="36"/>
        <v>-6.8242678929159042E-2</v>
      </c>
      <c r="AI26" s="24">
        <f t="shared" si="37"/>
        <v>0</v>
      </c>
      <c r="AJ26" s="25">
        <f t="shared" si="16"/>
        <v>-2.9157796905802079E-3</v>
      </c>
      <c r="AK26" s="25">
        <f t="shared" si="17"/>
        <v>0</v>
      </c>
      <c r="AL26" s="26">
        <f t="shared" si="18"/>
        <v>-1.4011238652566216E-4</v>
      </c>
      <c r="AM26" s="26">
        <f t="shared" si="19"/>
        <v>0</v>
      </c>
      <c r="AN26" s="27">
        <f t="shared" si="20"/>
        <v>3.7665021977835056E-2</v>
      </c>
      <c r="AO26" s="84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6" t="s">
        <v>41</v>
      </c>
      <c r="B27" s="384">
        <v>1661270454.1700001</v>
      </c>
      <c r="C27" s="341">
        <v>100</v>
      </c>
      <c r="D27" s="384">
        <v>1700711484.52</v>
      </c>
      <c r="E27" s="341">
        <v>100</v>
      </c>
      <c r="F27" s="24">
        <f t="shared" si="22"/>
        <v>2.3741486674248555E-2</v>
      </c>
      <c r="G27" s="24">
        <f t="shared" si="23"/>
        <v>0</v>
      </c>
      <c r="H27" s="384">
        <v>1750621270.98</v>
      </c>
      <c r="I27" s="341">
        <v>100</v>
      </c>
      <c r="J27" s="24">
        <f t="shared" si="24"/>
        <v>2.9346415846710366E-2</v>
      </c>
      <c r="K27" s="24">
        <f t="shared" si="25"/>
        <v>0</v>
      </c>
      <c r="L27" s="384">
        <v>1821844864.03</v>
      </c>
      <c r="M27" s="341">
        <v>100</v>
      </c>
      <c r="N27" s="24">
        <f t="shared" si="26"/>
        <v>4.0684752453698278E-2</v>
      </c>
      <c r="O27" s="24">
        <f t="shared" si="27"/>
        <v>0</v>
      </c>
      <c r="P27" s="384">
        <v>1971758446.0899999</v>
      </c>
      <c r="Q27" s="341">
        <v>100</v>
      </c>
      <c r="R27" s="24">
        <f t="shared" si="28"/>
        <v>8.2286689179661865E-2</v>
      </c>
      <c r="S27" s="24">
        <f t="shared" si="29"/>
        <v>0</v>
      </c>
      <c r="T27" s="384">
        <v>1925583033.8399999</v>
      </c>
      <c r="U27" s="341">
        <v>100</v>
      </c>
      <c r="V27" s="24">
        <f t="shared" si="30"/>
        <v>-2.3418392015292701E-2</v>
      </c>
      <c r="W27" s="24">
        <f t="shared" si="31"/>
        <v>0</v>
      </c>
      <c r="X27" s="384">
        <v>1958119876.29</v>
      </c>
      <c r="Y27" s="341">
        <v>100</v>
      </c>
      <c r="Z27" s="24">
        <f t="shared" si="32"/>
        <v>1.6897138102175236E-2</v>
      </c>
      <c r="AA27" s="24">
        <f t="shared" si="33"/>
        <v>0</v>
      </c>
      <c r="AB27" s="384">
        <v>2272988259.2800002</v>
      </c>
      <c r="AC27" s="341">
        <v>100</v>
      </c>
      <c r="AD27" s="24">
        <f t="shared" si="34"/>
        <v>0.16080138238858663</v>
      </c>
      <c r="AE27" s="24">
        <f t="shared" si="35"/>
        <v>0</v>
      </c>
      <c r="AF27" s="384">
        <v>2397783622.0599999</v>
      </c>
      <c r="AG27" s="341">
        <v>100</v>
      </c>
      <c r="AH27" s="24">
        <f t="shared" si="36"/>
        <v>5.4903654812335174E-2</v>
      </c>
      <c r="AI27" s="24">
        <f t="shared" si="37"/>
        <v>0</v>
      </c>
      <c r="AJ27" s="25">
        <f t="shared" si="16"/>
        <v>4.8155390930265426E-2</v>
      </c>
      <c r="AK27" s="25">
        <f t="shared" si="17"/>
        <v>0</v>
      </c>
      <c r="AL27" s="26">
        <f t="shared" si="18"/>
        <v>0.40987089455489739</v>
      </c>
      <c r="AM27" s="26">
        <f t="shared" si="19"/>
        <v>0</v>
      </c>
      <c r="AN27" s="27">
        <f t="shared" si="20"/>
        <v>5.477892641753692E-2</v>
      </c>
      <c r="AO27" s="84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6" t="s">
        <v>19</v>
      </c>
      <c r="B28" s="384">
        <v>73032387522.529999</v>
      </c>
      <c r="C28" s="341">
        <v>1</v>
      </c>
      <c r="D28" s="384">
        <v>73607417069.979996</v>
      </c>
      <c r="E28" s="341">
        <v>1</v>
      </c>
      <c r="F28" s="24">
        <f t="shared" si="22"/>
        <v>7.8736238394589552E-3</v>
      </c>
      <c r="G28" s="24">
        <f t="shared" si="23"/>
        <v>0</v>
      </c>
      <c r="H28" s="384">
        <v>73481044105.070007</v>
      </c>
      <c r="I28" s="341">
        <v>1</v>
      </c>
      <c r="J28" s="24">
        <f t="shared" si="24"/>
        <v>-1.7168509634001039E-3</v>
      </c>
      <c r="K28" s="24">
        <f t="shared" si="25"/>
        <v>0</v>
      </c>
      <c r="L28" s="384">
        <v>73069609765.380005</v>
      </c>
      <c r="M28" s="341">
        <v>1</v>
      </c>
      <c r="N28" s="24">
        <f t="shared" si="26"/>
        <v>-5.5991901680342961E-3</v>
      </c>
      <c r="O28" s="24">
        <f t="shared" si="27"/>
        <v>0</v>
      </c>
      <c r="P28" s="384">
        <v>73191782993.639999</v>
      </c>
      <c r="Q28" s="341">
        <v>1</v>
      </c>
      <c r="R28" s="24">
        <f t="shared" si="28"/>
        <v>1.6720115059089796E-3</v>
      </c>
      <c r="S28" s="24">
        <f t="shared" si="29"/>
        <v>0</v>
      </c>
      <c r="T28" s="384">
        <v>73899653578.940002</v>
      </c>
      <c r="U28" s="341">
        <v>1</v>
      </c>
      <c r="V28" s="24">
        <f t="shared" si="30"/>
        <v>9.6714488477690659E-3</v>
      </c>
      <c r="W28" s="24">
        <f t="shared" si="31"/>
        <v>0</v>
      </c>
      <c r="X28" s="384">
        <v>74104348755.869995</v>
      </c>
      <c r="Y28" s="341">
        <v>1</v>
      </c>
      <c r="Z28" s="24">
        <f t="shared" si="32"/>
        <v>2.7699071242781427E-3</v>
      </c>
      <c r="AA28" s="24">
        <f t="shared" si="33"/>
        <v>0</v>
      </c>
      <c r="AB28" s="384">
        <v>74585025672.039993</v>
      </c>
      <c r="AC28" s="341">
        <v>1</v>
      </c>
      <c r="AD28" s="24">
        <f t="shared" si="34"/>
        <v>6.4864872877237519E-3</v>
      </c>
      <c r="AE28" s="24">
        <f t="shared" si="35"/>
        <v>0</v>
      </c>
      <c r="AF28" s="384">
        <v>75352239204.960007</v>
      </c>
      <c r="AG28" s="341">
        <v>1</v>
      </c>
      <c r="AH28" s="24">
        <f t="shared" si="36"/>
        <v>1.0286428488924179E-2</v>
      </c>
      <c r="AI28" s="24">
        <f t="shared" si="37"/>
        <v>0</v>
      </c>
      <c r="AJ28" s="25">
        <f t="shared" si="16"/>
        <v>3.9304832453285841E-3</v>
      </c>
      <c r="AK28" s="25">
        <f t="shared" si="17"/>
        <v>0</v>
      </c>
      <c r="AL28" s="26">
        <f t="shared" si="18"/>
        <v>2.3704433662183458E-2</v>
      </c>
      <c r="AM28" s="26">
        <f t="shared" si="19"/>
        <v>0</v>
      </c>
      <c r="AN28" s="27">
        <f t="shared" si="20"/>
        <v>5.6643361855277276E-3</v>
      </c>
      <c r="AO28" s="84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6" t="s">
        <v>60</v>
      </c>
      <c r="B29" s="375">
        <v>2033810240.0799999</v>
      </c>
      <c r="C29" s="341">
        <v>10</v>
      </c>
      <c r="D29" s="375">
        <v>2065747472.3299999</v>
      </c>
      <c r="E29" s="341">
        <v>10</v>
      </c>
      <c r="F29" s="24">
        <f t="shared" si="22"/>
        <v>1.5703152447862467E-2</v>
      </c>
      <c r="G29" s="24">
        <f t="shared" si="23"/>
        <v>0</v>
      </c>
      <c r="H29" s="375">
        <v>2210926077.0599999</v>
      </c>
      <c r="I29" s="341">
        <v>10</v>
      </c>
      <c r="J29" s="24">
        <f t="shared" si="24"/>
        <v>7.0278970045767511E-2</v>
      </c>
      <c r="K29" s="24">
        <f t="shared" si="25"/>
        <v>0</v>
      </c>
      <c r="L29" s="375">
        <v>2202197405.5100002</v>
      </c>
      <c r="M29" s="341">
        <v>10</v>
      </c>
      <c r="N29" s="24">
        <f t="shared" si="26"/>
        <v>-3.9479707804644234E-3</v>
      </c>
      <c r="O29" s="24">
        <f t="shared" si="27"/>
        <v>0</v>
      </c>
      <c r="P29" s="375">
        <v>2218195558.8600001</v>
      </c>
      <c r="Q29" s="341">
        <v>10</v>
      </c>
      <c r="R29" s="24">
        <f t="shared" si="28"/>
        <v>7.2646318218211421E-3</v>
      </c>
      <c r="S29" s="24">
        <f t="shared" si="29"/>
        <v>0</v>
      </c>
      <c r="T29" s="375">
        <v>2215237092.71</v>
      </c>
      <c r="U29" s="341">
        <v>10</v>
      </c>
      <c r="V29" s="24">
        <f t="shared" si="30"/>
        <v>-1.3337264778947367E-3</v>
      </c>
      <c r="W29" s="24">
        <f t="shared" si="31"/>
        <v>0</v>
      </c>
      <c r="X29" s="375">
        <v>2257935914.8699999</v>
      </c>
      <c r="Y29" s="341">
        <v>10</v>
      </c>
      <c r="Z29" s="24">
        <f t="shared" si="32"/>
        <v>1.9275057419594056E-2</v>
      </c>
      <c r="AA29" s="24">
        <f t="shared" si="33"/>
        <v>0</v>
      </c>
      <c r="AB29" s="375">
        <v>2255059076.5799999</v>
      </c>
      <c r="AC29" s="341">
        <v>10</v>
      </c>
      <c r="AD29" s="24">
        <f t="shared" si="34"/>
        <v>-1.2741009481509553E-3</v>
      </c>
      <c r="AE29" s="24">
        <f t="shared" si="35"/>
        <v>0</v>
      </c>
      <c r="AF29" s="375">
        <v>2255059076.5799999</v>
      </c>
      <c r="AG29" s="341">
        <v>10</v>
      </c>
      <c r="AH29" s="24">
        <f t="shared" si="36"/>
        <v>0</v>
      </c>
      <c r="AI29" s="24">
        <f t="shared" si="37"/>
        <v>0</v>
      </c>
      <c r="AJ29" s="25">
        <f t="shared" si="16"/>
        <v>1.3245751691066883E-2</v>
      </c>
      <c r="AK29" s="25">
        <f t="shared" si="17"/>
        <v>0</v>
      </c>
      <c r="AL29" s="26">
        <f t="shared" si="18"/>
        <v>9.1643149409967067E-2</v>
      </c>
      <c r="AM29" s="26">
        <f t="shared" si="19"/>
        <v>0</v>
      </c>
      <c r="AN29" s="27">
        <f t="shared" si="20"/>
        <v>2.4568895758272629E-2</v>
      </c>
      <c r="AO29" s="84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6" t="s">
        <v>88</v>
      </c>
      <c r="B30" s="384">
        <v>34524115454.029999</v>
      </c>
      <c r="C30" s="341">
        <v>1</v>
      </c>
      <c r="D30" s="384">
        <v>34986586178.199997</v>
      </c>
      <c r="E30" s="341">
        <v>1</v>
      </c>
      <c r="F30" s="24">
        <f t="shared" si="22"/>
        <v>1.339558503057937E-2</v>
      </c>
      <c r="G30" s="24">
        <f t="shared" si="23"/>
        <v>0</v>
      </c>
      <c r="H30" s="384">
        <v>35530039124.43</v>
      </c>
      <c r="I30" s="341">
        <v>1</v>
      </c>
      <c r="J30" s="24">
        <f t="shared" si="24"/>
        <v>1.5533180158303834E-2</v>
      </c>
      <c r="K30" s="24">
        <f t="shared" si="25"/>
        <v>0</v>
      </c>
      <c r="L30" s="384">
        <v>35398254501.839996</v>
      </c>
      <c r="M30" s="341">
        <v>1</v>
      </c>
      <c r="N30" s="24">
        <f t="shared" si="26"/>
        <v>-3.7091043476895737E-3</v>
      </c>
      <c r="O30" s="24">
        <f t="shared" si="27"/>
        <v>0</v>
      </c>
      <c r="P30" s="384">
        <v>35904539347.110001</v>
      </c>
      <c r="Q30" s="341">
        <v>1</v>
      </c>
      <c r="R30" s="24">
        <f t="shared" si="28"/>
        <v>1.4302537014747088E-2</v>
      </c>
      <c r="S30" s="24">
        <f t="shared" si="29"/>
        <v>0</v>
      </c>
      <c r="T30" s="384">
        <v>36004949767.550003</v>
      </c>
      <c r="U30" s="341">
        <v>1</v>
      </c>
      <c r="V30" s="24">
        <f t="shared" si="30"/>
        <v>2.7965940314475749E-3</v>
      </c>
      <c r="W30" s="24">
        <f t="shared" si="31"/>
        <v>0</v>
      </c>
      <c r="X30" s="384">
        <v>36920276232.629997</v>
      </c>
      <c r="Y30" s="341">
        <v>1</v>
      </c>
      <c r="Z30" s="24">
        <f t="shared" si="32"/>
        <v>2.5422239747295683E-2</v>
      </c>
      <c r="AA30" s="24">
        <f t="shared" si="33"/>
        <v>0</v>
      </c>
      <c r="AB30" s="384">
        <v>35971838996.849998</v>
      </c>
      <c r="AC30" s="341">
        <v>1</v>
      </c>
      <c r="AD30" s="24">
        <f t="shared" si="34"/>
        <v>-2.5688790349346673E-2</v>
      </c>
      <c r="AE30" s="24">
        <f t="shared" si="35"/>
        <v>0</v>
      </c>
      <c r="AF30" s="384">
        <v>35646070514.709999</v>
      </c>
      <c r="AG30" s="341">
        <v>1</v>
      </c>
      <c r="AH30" s="24">
        <f t="shared" si="36"/>
        <v>-9.0562087239556052E-3</v>
      </c>
      <c r="AI30" s="24">
        <f t="shared" si="37"/>
        <v>0</v>
      </c>
      <c r="AJ30" s="25">
        <f t="shared" si="16"/>
        <v>4.1245040701727124E-3</v>
      </c>
      <c r="AK30" s="25">
        <f t="shared" si="17"/>
        <v>0</v>
      </c>
      <c r="AL30" s="26">
        <f t="shared" si="18"/>
        <v>1.8849633775384584E-2</v>
      </c>
      <c r="AM30" s="26">
        <f t="shared" si="19"/>
        <v>0</v>
      </c>
      <c r="AN30" s="27">
        <f t="shared" si="20"/>
        <v>1.647070651478532E-2</v>
      </c>
      <c r="AO30" s="84">
        <f t="shared" si="21"/>
        <v>0</v>
      </c>
      <c r="AP30" s="31"/>
      <c r="AQ30" s="39"/>
      <c r="AR30" s="36"/>
      <c r="AS30" s="30"/>
      <c r="AT30" s="30"/>
    </row>
    <row r="31" spans="1:46">
      <c r="A31" s="216" t="s">
        <v>92</v>
      </c>
      <c r="B31" s="384">
        <v>2132435455.0699999</v>
      </c>
      <c r="C31" s="341">
        <v>100</v>
      </c>
      <c r="D31" s="384">
        <v>1926409642.1700001</v>
      </c>
      <c r="E31" s="341">
        <v>100</v>
      </c>
      <c r="F31" s="24">
        <f t="shared" si="22"/>
        <v>-9.6615263270998647E-2</v>
      </c>
      <c r="G31" s="24">
        <f t="shared" si="23"/>
        <v>0</v>
      </c>
      <c r="H31" s="384">
        <v>1970958099.5981114</v>
      </c>
      <c r="I31" s="341">
        <v>100</v>
      </c>
      <c r="J31" s="24">
        <f t="shared" si="24"/>
        <v>2.3125121704607853E-2</v>
      </c>
      <c r="K31" s="24">
        <f t="shared" si="25"/>
        <v>0</v>
      </c>
      <c r="L31" s="384">
        <v>1698977342.3900001</v>
      </c>
      <c r="M31" s="341">
        <v>100</v>
      </c>
      <c r="N31" s="24">
        <f t="shared" si="26"/>
        <v>-0.13799418529676993</v>
      </c>
      <c r="O31" s="24">
        <f t="shared" si="27"/>
        <v>0</v>
      </c>
      <c r="P31" s="384">
        <v>1890739616.1428459</v>
      </c>
      <c r="Q31" s="341">
        <v>100</v>
      </c>
      <c r="R31" s="24">
        <f t="shared" si="28"/>
        <v>0.11286923549144469</v>
      </c>
      <c r="S31" s="24">
        <f t="shared" si="29"/>
        <v>0</v>
      </c>
      <c r="T31" s="384">
        <v>1895154088.4100001</v>
      </c>
      <c r="U31" s="341">
        <v>100</v>
      </c>
      <c r="V31" s="24">
        <f t="shared" si="30"/>
        <v>2.3347859374522684E-3</v>
      </c>
      <c r="W31" s="24">
        <f t="shared" si="31"/>
        <v>0</v>
      </c>
      <c r="X31" s="384">
        <v>1938666160.8900001</v>
      </c>
      <c r="Y31" s="341">
        <v>100</v>
      </c>
      <c r="Z31" s="24">
        <f t="shared" si="32"/>
        <v>2.2959648899317658E-2</v>
      </c>
      <c r="AA31" s="24">
        <f t="shared" si="33"/>
        <v>0</v>
      </c>
      <c r="AB31" s="384">
        <v>1942064732.1259909</v>
      </c>
      <c r="AC31" s="341">
        <v>100</v>
      </c>
      <c r="AD31" s="24">
        <f t="shared" si="34"/>
        <v>1.753046143040198E-3</v>
      </c>
      <c r="AE31" s="24">
        <f t="shared" si="35"/>
        <v>0</v>
      </c>
      <c r="AF31" s="384">
        <v>1981432324.1183076</v>
      </c>
      <c r="AG31" s="341">
        <v>100</v>
      </c>
      <c r="AH31" s="24">
        <f t="shared" si="36"/>
        <v>2.0270998870990653E-2</v>
      </c>
      <c r="AI31" s="24">
        <f t="shared" si="37"/>
        <v>0</v>
      </c>
      <c r="AJ31" s="25">
        <f t="shared" si="16"/>
        <v>-6.4120764401144042E-3</v>
      </c>
      <c r="AK31" s="25">
        <f t="shared" si="17"/>
        <v>0</v>
      </c>
      <c r="AL31" s="26">
        <f t="shared" si="18"/>
        <v>2.8562295756746386E-2</v>
      </c>
      <c r="AM31" s="26">
        <f t="shared" si="19"/>
        <v>0</v>
      </c>
      <c r="AN31" s="27">
        <f t="shared" si="20"/>
        <v>7.7707147420564865E-2</v>
      </c>
      <c r="AO31" s="84">
        <f t="shared" si="21"/>
        <v>0</v>
      </c>
      <c r="AP31" s="31"/>
      <c r="AQ31" s="39"/>
      <c r="AR31" s="36"/>
      <c r="AS31" s="30"/>
      <c r="AT31" s="30"/>
    </row>
    <row r="32" spans="1:46">
      <c r="A32" s="216" t="s">
        <v>95</v>
      </c>
      <c r="B32" s="384">
        <v>5097600129.79</v>
      </c>
      <c r="C32" s="341">
        <v>100</v>
      </c>
      <c r="D32" s="384">
        <v>5276874127.3199997</v>
      </c>
      <c r="E32" s="341">
        <v>100</v>
      </c>
      <c r="F32" s="24">
        <f t="shared" si="22"/>
        <v>3.5168313120979358E-2</v>
      </c>
      <c r="G32" s="24">
        <f t="shared" si="23"/>
        <v>0</v>
      </c>
      <c r="H32" s="384">
        <v>5325109037.1199999</v>
      </c>
      <c r="I32" s="341">
        <v>100</v>
      </c>
      <c r="J32" s="24">
        <f t="shared" si="24"/>
        <v>9.1408111386006418E-3</v>
      </c>
      <c r="K32" s="24">
        <f t="shared" si="25"/>
        <v>0</v>
      </c>
      <c r="L32" s="384">
        <v>5316462812.9200001</v>
      </c>
      <c r="M32" s="341">
        <v>100</v>
      </c>
      <c r="N32" s="24">
        <f t="shared" si="26"/>
        <v>-1.6236708280955654E-3</v>
      </c>
      <c r="O32" s="24">
        <f t="shared" si="27"/>
        <v>0</v>
      </c>
      <c r="P32" s="384">
        <v>5466857699.9700003</v>
      </c>
      <c r="Q32" s="341">
        <v>100</v>
      </c>
      <c r="R32" s="24">
        <f t="shared" si="28"/>
        <v>2.8288524220373076E-2</v>
      </c>
      <c r="S32" s="24">
        <f t="shared" si="29"/>
        <v>0</v>
      </c>
      <c r="T32" s="384">
        <v>5983450993.5200005</v>
      </c>
      <c r="U32" s="341">
        <v>100</v>
      </c>
      <c r="V32" s="24">
        <f t="shared" si="30"/>
        <v>9.4495471055124597E-2</v>
      </c>
      <c r="W32" s="24">
        <f t="shared" si="31"/>
        <v>0</v>
      </c>
      <c r="X32" s="384">
        <v>6065778548.3100004</v>
      </c>
      <c r="Y32" s="341">
        <v>100</v>
      </c>
      <c r="Z32" s="24">
        <f t="shared" si="32"/>
        <v>1.3759209339085358E-2</v>
      </c>
      <c r="AA32" s="24">
        <f t="shared" si="33"/>
        <v>0</v>
      </c>
      <c r="AB32" s="384">
        <v>5680740532.8299999</v>
      </c>
      <c r="AC32" s="341">
        <v>100</v>
      </c>
      <c r="AD32" s="24">
        <f t="shared" si="34"/>
        <v>-6.3477097360779305E-2</v>
      </c>
      <c r="AE32" s="24">
        <f t="shared" si="35"/>
        <v>0</v>
      </c>
      <c r="AF32" s="384">
        <v>5620145931.1400003</v>
      </c>
      <c r="AG32" s="341">
        <v>100</v>
      </c>
      <c r="AH32" s="24">
        <f t="shared" si="36"/>
        <v>-1.0666673005009243E-2</v>
      </c>
      <c r="AI32" s="24">
        <f t="shared" si="37"/>
        <v>0</v>
      </c>
      <c r="AJ32" s="25">
        <f t="shared" si="16"/>
        <v>1.3135610960034865E-2</v>
      </c>
      <c r="AK32" s="25">
        <f t="shared" si="17"/>
        <v>0</v>
      </c>
      <c r="AL32" s="26">
        <f t="shared" si="18"/>
        <v>6.5052111446581032E-2</v>
      </c>
      <c r="AM32" s="26">
        <f t="shared" si="19"/>
        <v>0</v>
      </c>
      <c r="AN32" s="27">
        <f t="shared" si="20"/>
        <v>4.4728892990575794E-2</v>
      </c>
      <c r="AO32" s="84">
        <f t="shared" si="21"/>
        <v>0</v>
      </c>
      <c r="AP32" s="31"/>
      <c r="AQ32" s="39"/>
      <c r="AR32" s="36"/>
      <c r="AS32" s="30"/>
      <c r="AT32" s="30"/>
    </row>
    <row r="33" spans="1:47">
      <c r="A33" s="216" t="s">
        <v>101</v>
      </c>
      <c r="B33" s="375">
        <v>662781568.05999994</v>
      </c>
      <c r="C33" s="341">
        <v>10</v>
      </c>
      <c r="D33" s="375">
        <v>675469573</v>
      </c>
      <c r="E33" s="341">
        <v>10</v>
      </c>
      <c r="F33" s="24">
        <f t="shared" si="22"/>
        <v>1.9143569392158239E-2</v>
      </c>
      <c r="G33" s="24">
        <f t="shared" si="23"/>
        <v>0</v>
      </c>
      <c r="H33" s="375">
        <v>677879695.49000001</v>
      </c>
      <c r="I33" s="341">
        <v>10</v>
      </c>
      <c r="J33" s="24">
        <f t="shared" si="24"/>
        <v>3.5680696604819674E-3</v>
      </c>
      <c r="K33" s="24">
        <f t="shared" si="25"/>
        <v>0</v>
      </c>
      <c r="L33" s="375">
        <v>681449850.38999999</v>
      </c>
      <c r="M33" s="341">
        <v>10</v>
      </c>
      <c r="N33" s="24">
        <f t="shared" si="26"/>
        <v>5.2666497075403882E-3</v>
      </c>
      <c r="O33" s="24">
        <f t="shared" si="27"/>
        <v>0</v>
      </c>
      <c r="P33" s="375">
        <v>683432000.54999995</v>
      </c>
      <c r="Q33" s="341">
        <v>10</v>
      </c>
      <c r="R33" s="24">
        <f t="shared" si="28"/>
        <v>2.9087249177112062E-3</v>
      </c>
      <c r="S33" s="24">
        <f t="shared" si="29"/>
        <v>0</v>
      </c>
      <c r="T33" s="375">
        <v>688735308.58000004</v>
      </c>
      <c r="U33" s="341">
        <v>10</v>
      </c>
      <c r="V33" s="24">
        <f t="shared" si="30"/>
        <v>7.759818132209482E-3</v>
      </c>
      <c r="W33" s="24">
        <f t="shared" si="31"/>
        <v>0</v>
      </c>
      <c r="X33" s="375">
        <v>693192708.12</v>
      </c>
      <c r="Y33" s="341">
        <v>10</v>
      </c>
      <c r="Z33" s="24">
        <f t="shared" si="32"/>
        <v>6.4718615184547528E-3</v>
      </c>
      <c r="AA33" s="24">
        <f t="shared" si="33"/>
        <v>0</v>
      </c>
      <c r="AB33" s="375">
        <v>691339232.87</v>
      </c>
      <c r="AC33" s="341">
        <v>10</v>
      </c>
      <c r="AD33" s="24">
        <f t="shared" si="34"/>
        <v>-2.6738239284524344E-3</v>
      </c>
      <c r="AE33" s="24">
        <f t="shared" si="35"/>
        <v>0</v>
      </c>
      <c r="AF33" s="375">
        <v>695266452.15999997</v>
      </c>
      <c r="AG33" s="341">
        <v>10</v>
      </c>
      <c r="AH33" s="24">
        <f t="shared" si="36"/>
        <v>5.6805965917725359E-3</v>
      </c>
      <c r="AI33" s="24">
        <f t="shared" si="37"/>
        <v>0</v>
      </c>
      <c r="AJ33" s="25">
        <f t="shared" si="16"/>
        <v>6.0156832489845179E-3</v>
      </c>
      <c r="AK33" s="25">
        <f t="shared" si="17"/>
        <v>0</v>
      </c>
      <c r="AL33" s="26">
        <f t="shared" si="18"/>
        <v>2.9308321131438983E-2</v>
      </c>
      <c r="AM33" s="26">
        <f t="shared" si="19"/>
        <v>0</v>
      </c>
      <c r="AN33" s="27">
        <f t="shared" si="20"/>
        <v>6.1808040547699054E-3</v>
      </c>
      <c r="AO33" s="84">
        <f t="shared" si="21"/>
        <v>0</v>
      </c>
      <c r="AP33" s="31"/>
      <c r="AQ33" s="39"/>
      <c r="AR33" s="36"/>
      <c r="AS33" s="30"/>
      <c r="AT33" s="30"/>
    </row>
    <row r="34" spans="1:47">
      <c r="A34" s="216" t="s">
        <v>103</v>
      </c>
      <c r="B34" s="384">
        <v>4351234721.0900002</v>
      </c>
      <c r="C34" s="341">
        <v>100</v>
      </c>
      <c r="D34" s="384">
        <v>4374181165.1400003</v>
      </c>
      <c r="E34" s="341">
        <v>100</v>
      </c>
      <c r="F34" s="24">
        <f t="shared" si="22"/>
        <v>5.2735477446852197E-3</v>
      </c>
      <c r="G34" s="24">
        <f t="shared" si="23"/>
        <v>0</v>
      </c>
      <c r="H34" s="384">
        <v>4874828076.6199999</v>
      </c>
      <c r="I34" s="341">
        <v>100</v>
      </c>
      <c r="J34" s="24">
        <f t="shared" si="24"/>
        <v>0.11445500142287221</v>
      </c>
      <c r="K34" s="24">
        <f t="shared" si="25"/>
        <v>0</v>
      </c>
      <c r="L34" s="384">
        <v>4875192092.2600002</v>
      </c>
      <c r="M34" s="341">
        <v>100</v>
      </c>
      <c r="N34" s="24">
        <f t="shared" si="26"/>
        <v>7.4672508297510344E-5</v>
      </c>
      <c r="O34" s="24">
        <f t="shared" si="27"/>
        <v>0</v>
      </c>
      <c r="P34" s="384">
        <v>5373341156.46</v>
      </c>
      <c r="Q34" s="341">
        <v>100</v>
      </c>
      <c r="R34" s="24">
        <f t="shared" si="28"/>
        <v>0.10218039715622201</v>
      </c>
      <c r="S34" s="24">
        <f t="shared" si="29"/>
        <v>0</v>
      </c>
      <c r="T34" s="384">
        <v>5638025890.2700005</v>
      </c>
      <c r="U34" s="341">
        <v>100</v>
      </c>
      <c r="V34" s="24">
        <f t="shared" si="30"/>
        <v>4.9258873781313529E-2</v>
      </c>
      <c r="W34" s="24">
        <f t="shared" si="31"/>
        <v>0</v>
      </c>
      <c r="X34" s="384">
        <v>5640578434.3100004</v>
      </c>
      <c r="Y34" s="341">
        <v>100</v>
      </c>
      <c r="Z34" s="24">
        <f t="shared" si="32"/>
        <v>4.5273719732381764E-4</v>
      </c>
      <c r="AA34" s="24">
        <f t="shared" si="33"/>
        <v>0</v>
      </c>
      <c r="AB34" s="384">
        <v>5621722089.6599998</v>
      </c>
      <c r="AC34" s="341">
        <v>100</v>
      </c>
      <c r="AD34" s="24">
        <f t="shared" si="34"/>
        <v>-3.3429806658308134E-3</v>
      </c>
      <c r="AE34" s="24">
        <f t="shared" si="35"/>
        <v>0</v>
      </c>
      <c r="AF34" s="384">
        <v>5414533660.1499996</v>
      </c>
      <c r="AG34" s="341">
        <v>100</v>
      </c>
      <c r="AH34" s="24">
        <f t="shared" si="36"/>
        <v>-3.6854975433787573E-2</v>
      </c>
      <c r="AI34" s="24">
        <f t="shared" si="37"/>
        <v>0</v>
      </c>
      <c r="AJ34" s="25">
        <f t="shared" si="16"/>
        <v>2.8937159213886988E-2</v>
      </c>
      <c r="AK34" s="25">
        <f t="shared" si="17"/>
        <v>0</v>
      </c>
      <c r="AL34" s="26">
        <f t="shared" si="18"/>
        <v>0.23783937055490056</v>
      </c>
      <c r="AM34" s="26">
        <f t="shared" si="19"/>
        <v>0</v>
      </c>
      <c r="AN34" s="27">
        <f t="shared" si="20"/>
        <v>5.4334716184148223E-2</v>
      </c>
      <c r="AO34" s="84">
        <f t="shared" si="21"/>
        <v>0</v>
      </c>
      <c r="AP34" s="31"/>
      <c r="AQ34" s="39"/>
      <c r="AR34" s="36"/>
      <c r="AS34" s="30"/>
      <c r="AT34" s="30"/>
    </row>
    <row r="35" spans="1:47">
      <c r="A35" s="216" t="s">
        <v>104</v>
      </c>
      <c r="B35" s="384">
        <v>12020396759.15</v>
      </c>
      <c r="C35" s="341">
        <v>100</v>
      </c>
      <c r="D35" s="384">
        <v>12504464911.290001</v>
      </c>
      <c r="E35" s="341">
        <v>100</v>
      </c>
      <c r="F35" s="24">
        <f t="shared" si="22"/>
        <v>4.02705635961247E-2</v>
      </c>
      <c r="G35" s="24">
        <f t="shared" si="23"/>
        <v>0</v>
      </c>
      <c r="H35" s="384">
        <v>18333138416.959999</v>
      </c>
      <c r="I35" s="341">
        <v>100</v>
      </c>
      <c r="J35" s="24">
        <f t="shared" si="24"/>
        <v>0.46612738306038348</v>
      </c>
      <c r="K35" s="24">
        <f t="shared" si="25"/>
        <v>0</v>
      </c>
      <c r="L35" s="384">
        <v>18710694208</v>
      </c>
      <c r="M35" s="341">
        <v>100</v>
      </c>
      <c r="N35" s="24">
        <f t="shared" si="26"/>
        <v>2.0594171191699713E-2</v>
      </c>
      <c r="O35" s="24">
        <f t="shared" si="27"/>
        <v>0</v>
      </c>
      <c r="P35" s="384">
        <v>19165226888.130001</v>
      </c>
      <c r="Q35" s="341">
        <v>100</v>
      </c>
      <c r="R35" s="24">
        <f t="shared" si="28"/>
        <v>2.429266787630251E-2</v>
      </c>
      <c r="S35" s="24">
        <f t="shared" si="29"/>
        <v>0</v>
      </c>
      <c r="T35" s="384">
        <v>18955982236.68</v>
      </c>
      <c r="U35" s="341">
        <v>100</v>
      </c>
      <c r="V35" s="24">
        <f t="shared" si="30"/>
        <v>-1.091793239242039E-2</v>
      </c>
      <c r="W35" s="24">
        <f t="shared" si="31"/>
        <v>0</v>
      </c>
      <c r="X35" s="384">
        <v>18992335336.509998</v>
      </c>
      <c r="Y35" s="341">
        <v>100</v>
      </c>
      <c r="Z35" s="24">
        <f t="shared" si="32"/>
        <v>1.9177639742484266E-3</v>
      </c>
      <c r="AA35" s="24">
        <f t="shared" si="33"/>
        <v>0</v>
      </c>
      <c r="AB35" s="384">
        <v>13980669762.65</v>
      </c>
      <c r="AC35" s="341">
        <v>100</v>
      </c>
      <c r="AD35" s="24">
        <f t="shared" si="34"/>
        <v>-0.26387832170516712</v>
      </c>
      <c r="AE35" s="24">
        <f t="shared" si="35"/>
        <v>0</v>
      </c>
      <c r="AF35" s="384">
        <v>15079766415.41</v>
      </c>
      <c r="AG35" s="341">
        <v>100</v>
      </c>
      <c r="AH35" s="24">
        <f t="shared" si="36"/>
        <v>7.8615450577073739E-2</v>
      </c>
      <c r="AI35" s="24">
        <f t="shared" si="37"/>
        <v>0</v>
      </c>
      <c r="AJ35" s="25">
        <f t="shared" si="16"/>
        <v>4.4627718272280639E-2</v>
      </c>
      <c r="AK35" s="25">
        <f t="shared" si="17"/>
        <v>0</v>
      </c>
      <c r="AL35" s="26">
        <f t="shared" si="18"/>
        <v>0.20595055625249642</v>
      </c>
      <c r="AM35" s="26">
        <f t="shared" si="19"/>
        <v>0</v>
      </c>
      <c r="AN35" s="27">
        <f t="shared" si="20"/>
        <v>0.19996881186358262</v>
      </c>
      <c r="AO35" s="84">
        <f t="shared" si="21"/>
        <v>0</v>
      </c>
      <c r="AP35" s="31"/>
      <c r="AQ35" s="39"/>
      <c r="AR35" s="36"/>
      <c r="AS35" s="30"/>
      <c r="AT35" s="30"/>
    </row>
    <row r="36" spans="1:47">
      <c r="A36" s="216" t="s">
        <v>107</v>
      </c>
      <c r="B36" s="384">
        <v>10917044746.450001</v>
      </c>
      <c r="C36" s="71">
        <v>100</v>
      </c>
      <c r="D36" s="384">
        <v>11015445726.200001</v>
      </c>
      <c r="E36" s="71">
        <v>100</v>
      </c>
      <c r="F36" s="24">
        <f t="shared" si="22"/>
        <v>9.0135180385697306E-3</v>
      </c>
      <c r="G36" s="24">
        <f t="shared" si="23"/>
        <v>0</v>
      </c>
      <c r="H36" s="384">
        <v>11286240521.299999</v>
      </c>
      <c r="I36" s="71">
        <v>100</v>
      </c>
      <c r="J36" s="24">
        <f t="shared" si="24"/>
        <v>2.4583189988936979E-2</v>
      </c>
      <c r="K36" s="24">
        <f t="shared" si="25"/>
        <v>0</v>
      </c>
      <c r="L36" s="384">
        <v>11521458203.9</v>
      </c>
      <c r="M36" s="71">
        <v>100</v>
      </c>
      <c r="N36" s="24">
        <f t="shared" si="26"/>
        <v>2.0841101353110892E-2</v>
      </c>
      <c r="O36" s="24">
        <f t="shared" si="27"/>
        <v>0</v>
      </c>
      <c r="P36" s="384">
        <v>11576856609</v>
      </c>
      <c r="Q36" s="71">
        <v>100</v>
      </c>
      <c r="R36" s="24">
        <f t="shared" si="28"/>
        <v>4.8082806984664573E-3</v>
      </c>
      <c r="S36" s="24">
        <f t="shared" si="29"/>
        <v>0</v>
      </c>
      <c r="T36" s="384">
        <v>11556679852.6</v>
      </c>
      <c r="U36" s="71">
        <v>100</v>
      </c>
      <c r="V36" s="24">
        <f t="shared" si="30"/>
        <v>-1.7428527519563423E-3</v>
      </c>
      <c r="W36" s="24">
        <f t="shared" si="31"/>
        <v>0</v>
      </c>
      <c r="X36" s="384">
        <v>12051645668.299999</v>
      </c>
      <c r="Y36" s="71">
        <v>100</v>
      </c>
      <c r="Z36" s="24">
        <f t="shared" si="32"/>
        <v>4.2829413119776123E-2</v>
      </c>
      <c r="AA36" s="24">
        <f t="shared" si="33"/>
        <v>0</v>
      </c>
      <c r="AB36" s="384">
        <v>12190329228</v>
      </c>
      <c r="AC36" s="71">
        <v>100</v>
      </c>
      <c r="AD36" s="24">
        <f t="shared" si="34"/>
        <v>1.1507437533181591E-2</v>
      </c>
      <c r="AE36" s="24">
        <f t="shared" si="35"/>
        <v>0</v>
      </c>
      <c r="AF36" s="384">
        <v>12198025079.200001</v>
      </c>
      <c r="AG36" s="71">
        <v>100</v>
      </c>
      <c r="AH36" s="24">
        <f t="shared" si="36"/>
        <v>6.3130790449236935E-4</v>
      </c>
      <c r="AI36" s="24">
        <f t="shared" si="37"/>
        <v>0</v>
      </c>
      <c r="AJ36" s="25">
        <f t="shared" si="16"/>
        <v>1.4058924485572225E-2</v>
      </c>
      <c r="AK36" s="25">
        <f t="shared" si="17"/>
        <v>0</v>
      </c>
      <c r="AL36" s="26">
        <f t="shared" si="18"/>
        <v>0.10735646858004669</v>
      </c>
      <c r="AM36" s="26">
        <f t="shared" si="19"/>
        <v>0</v>
      </c>
      <c r="AN36" s="27">
        <f t="shared" si="20"/>
        <v>1.4793998672103037E-2</v>
      </c>
      <c r="AO36" s="84">
        <f t="shared" si="21"/>
        <v>0</v>
      </c>
      <c r="AP36" s="31"/>
      <c r="AQ36" s="39"/>
      <c r="AR36" s="36"/>
      <c r="AS36" s="30"/>
      <c r="AT36" s="30"/>
    </row>
    <row r="37" spans="1:47">
      <c r="A37" s="216" t="s">
        <v>106</v>
      </c>
      <c r="B37" s="384">
        <v>564203738.75999999</v>
      </c>
      <c r="C37" s="71">
        <v>1000000</v>
      </c>
      <c r="D37" s="384">
        <v>565070760.17999995</v>
      </c>
      <c r="E37" s="71">
        <v>1000000</v>
      </c>
      <c r="F37" s="24">
        <f t="shared" si="22"/>
        <v>1.5367168992986222E-3</v>
      </c>
      <c r="G37" s="24">
        <f t="shared" si="23"/>
        <v>0</v>
      </c>
      <c r="H37" s="384">
        <v>429441740.11000001</v>
      </c>
      <c r="I37" s="71">
        <v>1000000</v>
      </c>
      <c r="J37" s="24">
        <f t="shared" si="24"/>
        <v>-0.24002130286620407</v>
      </c>
      <c r="K37" s="24">
        <f t="shared" si="25"/>
        <v>0</v>
      </c>
      <c r="L37" s="384">
        <v>430376811.49000001</v>
      </c>
      <c r="M37" s="71">
        <v>1000000</v>
      </c>
      <c r="N37" s="24">
        <f t="shared" si="26"/>
        <v>2.1774114918602927E-3</v>
      </c>
      <c r="O37" s="24">
        <f t="shared" si="27"/>
        <v>0</v>
      </c>
      <c r="P37" s="384">
        <v>431316081.94999999</v>
      </c>
      <c r="Q37" s="71">
        <v>1000000</v>
      </c>
      <c r="R37" s="24">
        <f t="shared" si="28"/>
        <v>2.1824374244238361E-3</v>
      </c>
      <c r="S37" s="24">
        <f t="shared" si="29"/>
        <v>0</v>
      </c>
      <c r="T37" s="384">
        <v>432250747.45999998</v>
      </c>
      <c r="U37" s="71">
        <v>1000000</v>
      </c>
      <c r="V37" s="24">
        <f t="shared" si="30"/>
        <v>2.1670082547683464E-3</v>
      </c>
      <c r="W37" s="24">
        <f t="shared" si="31"/>
        <v>0</v>
      </c>
      <c r="X37" s="384">
        <v>433159382.01999998</v>
      </c>
      <c r="Y37" s="71">
        <v>1000000</v>
      </c>
      <c r="Z37" s="24">
        <f t="shared" si="32"/>
        <v>2.1021006102114061E-3</v>
      </c>
      <c r="AA37" s="24">
        <f t="shared" si="33"/>
        <v>0</v>
      </c>
      <c r="AB37" s="384">
        <v>434059949.23000002</v>
      </c>
      <c r="AC37" s="71">
        <v>1000000</v>
      </c>
      <c r="AD37" s="24">
        <f t="shared" si="34"/>
        <v>2.0790666146957818E-3</v>
      </c>
      <c r="AE37" s="24">
        <f t="shared" si="35"/>
        <v>0</v>
      </c>
      <c r="AF37" s="384">
        <v>434960340.06999999</v>
      </c>
      <c r="AG37" s="71">
        <v>1000000</v>
      </c>
      <c r="AH37" s="24">
        <f t="shared" si="36"/>
        <v>2.0743467385028742E-3</v>
      </c>
      <c r="AI37" s="24">
        <f t="shared" si="37"/>
        <v>0</v>
      </c>
      <c r="AJ37" s="25">
        <f t="shared" si="16"/>
        <v>-2.8212776854055363E-2</v>
      </c>
      <c r="AK37" s="25">
        <f t="shared" si="17"/>
        <v>0</v>
      </c>
      <c r="AL37" s="26">
        <f t="shared" si="18"/>
        <v>-0.23025509242161823</v>
      </c>
      <c r="AM37" s="26">
        <f t="shared" si="19"/>
        <v>0</v>
      </c>
      <c r="AN37" s="27">
        <f t="shared" si="20"/>
        <v>8.5583831453587778E-2</v>
      </c>
      <c r="AO37" s="84">
        <f t="shared" si="21"/>
        <v>0</v>
      </c>
      <c r="AP37" s="31"/>
      <c r="AQ37" s="39"/>
      <c r="AR37" s="36"/>
      <c r="AS37" s="30"/>
      <c r="AT37" s="30"/>
      <c r="AU37" s="96"/>
    </row>
    <row r="38" spans="1:47">
      <c r="A38" s="216" t="s">
        <v>115</v>
      </c>
      <c r="B38" s="384">
        <v>4023325120.48</v>
      </c>
      <c r="C38" s="341">
        <v>1</v>
      </c>
      <c r="D38" s="384">
        <v>4054538294.4499998</v>
      </c>
      <c r="E38" s="341">
        <v>1</v>
      </c>
      <c r="F38" s="24">
        <f t="shared" si="22"/>
        <v>7.7580541058227788E-3</v>
      </c>
      <c r="G38" s="24">
        <f t="shared" si="23"/>
        <v>0</v>
      </c>
      <c r="H38" s="384">
        <v>4141051273.54</v>
      </c>
      <c r="I38" s="341">
        <v>1</v>
      </c>
      <c r="J38" s="24">
        <f t="shared" si="24"/>
        <v>2.1337319518827159E-2</v>
      </c>
      <c r="K38" s="24">
        <f t="shared" si="25"/>
        <v>0</v>
      </c>
      <c r="L38" s="384">
        <v>4165432378.1999998</v>
      </c>
      <c r="M38" s="341">
        <v>1</v>
      </c>
      <c r="N38" s="24">
        <f t="shared" si="26"/>
        <v>5.8876606565553408E-3</v>
      </c>
      <c r="O38" s="24">
        <f t="shared" si="27"/>
        <v>0</v>
      </c>
      <c r="P38" s="384">
        <v>4249172604.6799998</v>
      </c>
      <c r="Q38" s="341">
        <v>1</v>
      </c>
      <c r="R38" s="24">
        <f t="shared" si="28"/>
        <v>2.0103609632041733E-2</v>
      </c>
      <c r="S38" s="24">
        <f t="shared" si="29"/>
        <v>0</v>
      </c>
      <c r="T38" s="384">
        <v>4403602239.7700005</v>
      </c>
      <c r="U38" s="341">
        <v>1</v>
      </c>
      <c r="V38" s="24">
        <f t="shared" si="30"/>
        <v>3.6343460117368082E-2</v>
      </c>
      <c r="W38" s="24">
        <f t="shared" si="31"/>
        <v>0</v>
      </c>
      <c r="X38" s="384">
        <v>4405184484.8699999</v>
      </c>
      <c r="Y38" s="341">
        <v>1</v>
      </c>
      <c r="Z38" s="24">
        <f t="shared" si="32"/>
        <v>3.5930699773694096E-4</v>
      </c>
      <c r="AA38" s="24">
        <f t="shared" si="33"/>
        <v>0</v>
      </c>
      <c r="AB38" s="384">
        <v>4498390504.2799997</v>
      </c>
      <c r="AC38" s="341">
        <v>1</v>
      </c>
      <c r="AD38" s="24">
        <f t="shared" si="34"/>
        <v>2.1158255625870894E-2</v>
      </c>
      <c r="AE38" s="24">
        <f t="shared" si="35"/>
        <v>0</v>
      </c>
      <c r="AF38" s="384">
        <v>4670253756.5299997</v>
      </c>
      <c r="AG38" s="341">
        <v>1</v>
      </c>
      <c r="AH38" s="24">
        <f t="shared" si="36"/>
        <v>3.8205498630339112E-2</v>
      </c>
      <c r="AI38" s="24">
        <f t="shared" si="37"/>
        <v>0</v>
      </c>
      <c r="AJ38" s="25">
        <f t="shared" si="16"/>
        <v>1.8894145660570256E-2</v>
      </c>
      <c r="AK38" s="25">
        <f t="shared" si="17"/>
        <v>0</v>
      </c>
      <c r="AL38" s="26">
        <f t="shared" si="18"/>
        <v>0.15185834178032398</v>
      </c>
      <c r="AM38" s="26">
        <f t="shared" si="19"/>
        <v>0</v>
      </c>
      <c r="AN38" s="27">
        <f t="shared" si="20"/>
        <v>1.3766867345721176E-2</v>
      </c>
      <c r="AO38" s="84">
        <f t="shared" si="21"/>
        <v>0</v>
      </c>
      <c r="AP38" s="31"/>
      <c r="AQ38" s="39"/>
      <c r="AR38" s="36"/>
      <c r="AS38" s="30"/>
      <c r="AT38" s="30"/>
    </row>
    <row r="39" spans="1:47" s="92" customFormat="1">
      <c r="A39" s="216" t="s">
        <v>120</v>
      </c>
      <c r="B39" s="384">
        <v>18748003183.139999</v>
      </c>
      <c r="C39" s="341">
        <v>1</v>
      </c>
      <c r="D39" s="384">
        <v>19639567240.580002</v>
      </c>
      <c r="E39" s="341">
        <v>1</v>
      </c>
      <c r="F39" s="24">
        <f t="shared" si="22"/>
        <v>4.7555147539220723E-2</v>
      </c>
      <c r="G39" s="24">
        <f t="shared" si="23"/>
        <v>0</v>
      </c>
      <c r="H39" s="384">
        <v>19141466809.049999</v>
      </c>
      <c r="I39" s="341">
        <v>1</v>
      </c>
      <c r="J39" s="24">
        <f t="shared" si="24"/>
        <v>-2.5362087943608502E-2</v>
      </c>
      <c r="K39" s="24">
        <f t="shared" si="25"/>
        <v>0</v>
      </c>
      <c r="L39" s="384">
        <v>19049536647.700001</v>
      </c>
      <c r="M39" s="341">
        <v>1</v>
      </c>
      <c r="N39" s="24">
        <f t="shared" si="26"/>
        <v>-4.8026706765509899E-3</v>
      </c>
      <c r="O39" s="24">
        <f t="shared" si="27"/>
        <v>0</v>
      </c>
      <c r="P39" s="384">
        <v>18921688163.380001</v>
      </c>
      <c r="Q39" s="341">
        <v>1</v>
      </c>
      <c r="R39" s="24">
        <f t="shared" si="28"/>
        <v>-6.711369766331605E-3</v>
      </c>
      <c r="S39" s="24">
        <f t="shared" si="29"/>
        <v>0</v>
      </c>
      <c r="T39" s="384">
        <v>18474677012.48</v>
      </c>
      <c r="U39" s="341">
        <v>1</v>
      </c>
      <c r="V39" s="24">
        <f t="shared" si="30"/>
        <v>-2.3624274274064109E-2</v>
      </c>
      <c r="W39" s="24">
        <f t="shared" si="31"/>
        <v>0</v>
      </c>
      <c r="X39" s="384">
        <v>19214793126.740002</v>
      </c>
      <c r="Y39" s="341">
        <v>1</v>
      </c>
      <c r="Z39" s="24">
        <f t="shared" si="32"/>
        <v>4.0061112503349289E-2</v>
      </c>
      <c r="AA39" s="24">
        <f t="shared" si="33"/>
        <v>0</v>
      </c>
      <c r="AB39" s="384">
        <v>20182740300.450001</v>
      </c>
      <c r="AC39" s="341">
        <v>1</v>
      </c>
      <c r="AD39" s="24">
        <f t="shared" si="34"/>
        <v>5.0375102522595923E-2</v>
      </c>
      <c r="AE39" s="24">
        <f t="shared" si="35"/>
        <v>0</v>
      </c>
      <c r="AF39" s="384">
        <v>20171937733.349998</v>
      </c>
      <c r="AG39" s="341">
        <v>1</v>
      </c>
      <c r="AH39" s="24">
        <f t="shared" si="36"/>
        <v>-5.3523787846397803E-4</v>
      </c>
      <c r="AI39" s="24">
        <f t="shared" si="37"/>
        <v>0</v>
      </c>
      <c r="AJ39" s="25">
        <f t="shared" si="16"/>
        <v>9.6194652532683445E-3</v>
      </c>
      <c r="AK39" s="25">
        <f t="shared" si="17"/>
        <v>0</v>
      </c>
      <c r="AL39" s="26">
        <f t="shared" si="18"/>
        <v>2.7107037861302412E-2</v>
      </c>
      <c r="AM39" s="26">
        <f t="shared" si="19"/>
        <v>0</v>
      </c>
      <c r="AN39" s="27">
        <f t="shared" si="20"/>
        <v>3.1472208379013489E-2</v>
      </c>
      <c r="AO39" s="84">
        <f t="shared" si="21"/>
        <v>0</v>
      </c>
      <c r="AP39" s="31"/>
      <c r="AQ39" s="39"/>
      <c r="AR39" s="36"/>
      <c r="AS39" s="30"/>
      <c r="AT39" s="30"/>
    </row>
    <row r="40" spans="1:47" s="94" customFormat="1">
      <c r="A40" s="216" t="s">
        <v>123</v>
      </c>
      <c r="B40" s="384">
        <v>678838566.63999999</v>
      </c>
      <c r="C40" s="341">
        <v>100</v>
      </c>
      <c r="D40" s="384">
        <v>685907164.41999996</v>
      </c>
      <c r="E40" s="341">
        <v>100</v>
      </c>
      <c r="F40" s="24">
        <f t="shared" si="22"/>
        <v>1.0412781664699632E-2</v>
      </c>
      <c r="G40" s="24">
        <f t="shared" si="23"/>
        <v>0</v>
      </c>
      <c r="H40" s="384">
        <v>685280097.52999997</v>
      </c>
      <c r="I40" s="341">
        <v>100</v>
      </c>
      <c r="J40" s="24">
        <f t="shared" si="24"/>
        <v>-9.1421539608823102E-4</v>
      </c>
      <c r="K40" s="24">
        <f t="shared" si="25"/>
        <v>0</v>
      </c>
      <c r="L40" s="384">
        <v>682759880.90999997</v>
      </c>
      <c r="M40" s="341">
        <v>100</v>
      </c>
      <c r="N40" s="24">
        <f t="shared" si="26"/>
        <v>-3.677644555976143E-3</v>
      </c>
      <c r="O40" s="24">
        <f t="shared" si="27"/>
        <v>0</v>
      </c>
      <c r="P40" s="384">
        <v>685469595</v>
      </c>
      <c r="Q40" s="341">
        <v>100</v>
      </c>
      <c r="R40" s="24">
        <f t="shared" si="28"/>
        <v>3.9687658366634789E-3</v>
      </c>
      <c r="S40" s="24">
        <f t="shared" si="29"/>
        <v>0</v>
      </c>
      <c r="T40" s="384">
        <v>695183080.88999999</v>
      </c>
      <c r="U40" s="341">
        <v>100</v>
      </c>
      <c r="V40" s="24">
        <f t="shared" si="30"/>
        <v>1.4170556886626001E-2</v>
      </c>
      <c r="W40" s="24">
        <f t="shared" si="31"/>
        <v>0</v>
      </c>
      <c r="X40" s="384">
        <v>705897969.86000001</v>
      </c>
      <c r="Y40" s="341">
        <v>100</v>
      </c>
      <c r="Z40" s="24">
        <f t="shared" si="32"/>
        <v>1.5413046238528155E-2</v>
      </c>
      <c r="AA40" s="24">
        <f t="shared" si="33"/>
        <v>0</v>
      </c>
      <c r="AB40" s="384">
        <v>708856913.88</v>
      </c>
      <c r="AC40" s="341">
        <v>100</v>
      </c>
      <c r="AD40" s="24">
        <f t="shared" si="34"/>
        <v>4.1917446236413251E-3</v>
      </c>
      <c r="AE40" s="24">
        <f t="shared" si="35"/>
        <v>0</v>
      </c>
      <c r="AF40" s="384">
        <v>724415910.40999997</v>
      </c>
      <c r="AG40" s="341">
        <v>100</v>
      </c>
      <c r="AH40" s="24">
        <f t="shared" si="36"/>
        <v>2.1949417753205271E-2</v>
      </c>
      <c r="AI40" s="24">
        <f t="shared" si="37"/>
        <v>0</v>
      </c>
      <c r="AJ40" s="25">
        <f t="shared" si="16"/>
        <v>8.1893066314124366E-3</v>
      </c>
      <c r="AK40" s="25">
        <f t="shared" si="17"/>
        <v>0</v>
      </c>
      <c r="AL40" s="26">
        <f t="shared" si="18"/>
        <v>5.6142795975258307E-2</v>
      </c>
      <c r="AM40" s="26">
        <f t="shared" si="19"/>
        <v>0</v>
      </c>
      <c r="AN40" s="27">
        <f t="shared" si="20"/>
        <v>8.7809402216213351E-3</v>
      </c>
      <c r="AO40" s="84">
        <f t="shared" si="21"/>
        <v>0</v>
      </c>
      <c r="AP40" s="31"/>
      <c r="AQ40" s="39"/>
      <c r="AR40" s="36"/>
      <c r="AS40" s="30"/>
      <c r="AT40" s="30"/>
    </row>
    <row r="41" spans="1:47" s="94" customFormat="1">
      <c r="A41" s="216" t="s">
        <v>130</v>
      </c>
      <c r="B41" s="405">
        <v>3450376869.5100002</v>
      </c>
      <c r="C41" s="341">
        <v>1</v>
      </c>
      <c r="D41" s="405">
        <v>3405676489.3499999</v>
      </c>
      <c r="E41" s="341">
        <v>1</v>
      </c>
      <c r="F41" s="24">
        <f t="shared" si="22"/>
        <v>-1.2955216734439903E-2</v>
      </c>
      <c r="G41" s="24">
        <f t="shared" si="23"/>
        <v>0</v>
      </c>
      <c r="H41" s="405">
        <v>3381518075.29</v>
      </c>
      <c r="I41" s="341">
        <v>1</v>
      </c>
      <c r="J41" s="24">
        <f t="shared" si="24"/>
        <v>-7.0935727851857023E-3</v>
      </c>
      <c r="K41" s="24">
        <f t="shared" si="25"/>
        <v>0</v>
      </c>
      <c r="L41" s="405">
        <v>3456092475.77</v>
      </c>
      <c r="M41" s="341">
        <v>1</v>
      </c>
      <c r="N41" s="24">
        <f t="shared" si="26"/>
        <v>2.2053527090374787E-2</v>
      </c>
      <c r="O41" s="24">
        <f t="shared" si="27"/>
        <v>0</v>
      </c>
      <c r="P41" s="405">
        <v>3463893456.4499998</v>
      </c>
      <c r="Q41" s="341">
        <v>1</v>
      </c>
      <c r="R41" s="24">
        <f t="shared" si="28"/>
        <v>2.2571678086425653E-3</v>
      </c>
      <c r="S41" s="24">
        <f t="shared" si="29"/>
        <v>0</v>
      </c>
      <c r="T41" s="405">
        <v>3462311440.1999998</v>
      </c>
      <c r="U41" s="341">
        <v>1</v>
      </c>
      <c r="V41" s="24">
        <f t="shared" si="30"/>
        <v>-4.5671619808460929E-4</v>
      </c>
      <c r="W41" s="24">
        <f t="shared" si="31"/>
        <v>0</v>
      </c>
      <c r="X41" s="405">
        <v>3441863108.5100002</v>
      </c>
      <c r="Y41" s="341">
        <v>1</v>
      </c>
      <c r="Z41" s="24">
        <f t="shared" si="32"/>
        <v>-5.9059769876791861E-3</v>
      </c>
      <c r="AA41" s="24">
        <f t="shared" si="33"/>
        <v>0</v>
      </c>
      <c r="AB41" s="384">
        <v>3447863775.1300001</v>
      </c>
      <c r="AC41" s="341">
        <v>1</v>
      </c>
      <c r="AD41" s="24">
        <f t="shared" si="34"/>
        <v>1.7434355843970809E-3</v>
      </c>
      <c r="AE41" s="24">
        <f t="shared" si="35"/>
        <v>0</v>
      </c>
      <c r="AF41" s="384">
        <v>3476810877.98</v>
      </c>
      <c r="AG41" s="341">
        <v>1</v>
      </c>
      <c r="AH41" s="24">
        <f t="shared" si="36"/>
        <v>8.3956631520073523E-3</v>
      </c>
      <c r="AI41" s="24">
        <f t="shared" si="37"/>
        <v>0</v>
      </c>
      <c r="AJ41" s="25">
        <f t="shared" si="16"/>
        <v>1.0047888662540483E-3</v>
      </c>
      <c r="AK41" s="25">
        <f t="shared" si="17"/>
        <v>0</v>
      </c>
      <c r="AL41" s="26">
        <f t="shared" si="18"/>
        <v>2.0887006987436046E-2</v>
      </c>
      <c r="AM41" s="26">
        <f t="shared" si="19"/>
        <v>0</v>
      </c>
      <c r="AN41" s="27">
        <f t="shared" si="20"/>
        <v>1.0758042540183773E-2</v>
      </c>
      <c r="AO41" s="84">
        <f t="shared" si="21"/>
        <v>0</v>
      </c>
      <c r="AP41" s="31"/>
      <c r="AQ41" s="39"/>
      <c r="AR41" s="36"/>
      <c r="AS41" s="30"/>
      <c r="AT41" s="30"/>
    </row>
    <row r="42" spans="1:47" s="94" customFormat="1">
      <c r="A42" s="216" t="s">
        <v>131</v>
      </c>
      <c r="B42" s="384">
        <v>540837911.65999997</v>
      </c>
      <c r="C42" s="341">
        <v>10</v>
      </c>
      <c r="D42" s="384">
        <v>545763593.88999999</v>
      </c>
      <c r="E42" s="341">
        <v>10</v>
      </c>
      <c r="F42" s="24">
        <f t="shared" si="22"/>
        <v>9.1075017557137716E-3</v>
      </c>
      <c r="G42" s="24">
        <f t="shared" si="23"/>
        <v>0</v>
      </c>
      <c r="H42" s="384">
        <v>549338285.57000005</v>
      </c>
      <c r="I42" s="341">
        <v>10</v>
      </c>
      <c r="J42" s="24">
        <f t="shared" si="24"/>
        <v>6.5498903188484841E-3</v>
      </c>
      <c r="K42" s="24">
        <f t="shared" si="25"/>
        <v>0</v>
      </c>
      <c r="L42" s="384">
        <v>547999203.91999996</v>
      </c>
      <c r="M42" s="341">
        <v>10</v>
      </c>
      <c r="N42" s="24">
        <f t="shared" si="26"/>
        <v>-2.4376266595193671E-3</v>
      </c>
      <c r="O42" s="24">
        <f t="shared" si="27"/>
        <v>0</v>
      </c>
      <c r="P42" s="384">
        <v>540555550.78999996</v>
      </c>
      <c r="Q42" s="341">
        <v>10</v>
      </c>
      <c r="R42" s="24">
        <f t="shared" si="28"/>
        <v>-1.3583328363897883E-2</v>
      </c>
      <c r="S42" s="24">
        <f t="shared" si="29"/>
        <v>0</v>
      </c>
      <c r="T42" s="384">
        <v>540795534.75</v>
      </c>
      <c r="U42" s="341">
        <v>10</v>
      </c>
      <c r="V42" s="24">
        <f t="shared" si="30"/>
        <v>4.4395799774752352E-4</v>
      </c>
      <c r="W42" s="24">
        <f t="shared" si="31"/>
        <v>0</v>
      </c>
      <c r="X42" s="384">
        <v>543885418.99000001</v>
      </c>
      <c r="Y42" s="341">
        <v>10</v>
      </c>
      <c r="Z42" s="24">
        <f t="shared" si="32"/>
        <v>5.7135905188795749E-3</v>
      </c>
      <c r="AA42" s="24">
        <f t="shared" si="33"/>
        <v>0</v>
      </c>
      <c r="AB42" s="384">
        <v>557624504.15999997</v>
      </c>
      <c r="AC42" s="341">
        <v>10</v>
      </c>
      <c r="AD42" s="24">
        <f t="shared" si="34"/>
        <v>2.5260991911703678E-2</v>
      </c>
      <c r="AE42" s="24">
        <f t="shared" si="35"/>
        <v>0</v>
      </c>
      <c r="AF42" s="384">
        <v>553782189.70000005</v>
      </c>
      <c r="AG42" s="341">
        <v>10</v>
      </c>
      <c r="AH42" s="24">
        <f t="shared" si="36"/>
        <v>-6.8905050465598592E-3</v>
      </c>
      <c r="AI42" s="24">
        <f t="shared" si="37"/>
        <v>0</v>
      </c>
      <c r="AJ42" s="25">
        <f t="shared" si="16"/>
        <v>3.0205590541144902E-3</v>
      </c>
      <c r="AK42" s="25">
        <f t="shared" si="17"/>
        <v>0</v>
      </c>
      <c r="AL42" s="26">
        <f t="shared" si="18"/>
        <v>1.4692434416239625E-2</v>
      </c>
      <c r="AM42" s="26">
        <f t="shared" si="19"/>
        <v>0</v>
      </c>
      <c r="AN42" s="27">
        <f t="shared" si="20"/>
        <v>1.1721441013787042E-2</v>
      </c>
      <c r="AO42" s="84">
        <f t="shared" si="21"/>
        <v>0</v>
      </c>
      <c r="AP42" s="31"/>
      <c r="AQ42" s="39"/>
      <c r="AR42" s="36"/>
      <c r="AS42" s="30"/>
      <c r="AT42" s="30"/>
    </row>
    <row r="43" spans="1:47" s="94" customFormat="1">
      <c r="A43" s="216" t="s">
        <v>141</v>
      </c>
      <c r="B43" s="384">
        <v>642927561.24000001</v>
      </c>
      <c r="C43" s="341">
        <v>1</v>
      </c>
      <c r="D43" s="384">
        <v>649009247.21000004</v>
      </c>
      <c r="E43" s="341">
        <v>1</v>
      </c>
      <c r="F43" s="24">
        <f t="shared" si="22"/>
        <v>9.4593642217957134E-3</v>
      </c>
      <c r="G43" s="24">
        <f t="shared" si="23"/>
        <v>0</v>
      </c>
      <c r="H43" s="384">
        <v>702862185.64999998</v>
      </c>
      <c r="I43" s="341">
        <v>1</v>
      </c>
      <c r="J43" s="24">
        <f t="shared" si="24"/>
        <v>8.2977151206251973E-2</v>
      </c>
      <c r="K43" s="24">
        <f t="shared" si="25"/>
        <v>0</v>
      </c>
      <c r="L43" s="384">
        <v>745348814.19000006</v>
      </c>
      <c r="M43" s="341">
        <v>1</v>
      </c>
      <c r="N43" s="24">
        <f t="shared" si="26"/>
        <v>6.0448021543097911E-2</v>
      </c>
      <c r="O43" s="24">
        <f t="shared" si="27"/>
        <v>0</v>
      </c>
      <c r="P43" s="384">
        <v>756791710.04999995</v>
      </c>
      <c r="Q43" s="341">
        <v>1</v>
      </c>
      <c r="R43" s="24">
        <f t="shared" si="28"/>
        <v>1.5352403656045715E-2</v>
      </c>
      <c r="S43" s="24">
        <f t="shared" si="29"/>
        <v>0</v>
      </c>
      <c r="T43" s="384">
        <v>783978470.24000001</v>
      </c>
      <c r="U43" s="341">
        <v>1</v>
      </c>
      <c r="V43" s="24">
        <f t="shared" si="30"/>
        <v>3.5923702425603832E-2</v>
      </c>
      <c r="W43" s="24">
        <f t="shared" si="31"/>
        <v>0</v>
      </c>
      <c r="X43" s="384">
        <v>815776068.83000004</v>
      </c>
      <c r="Y43" s="341">
        <v>1</v>
      </c>
      <c r="Z43" s="24">
        <f t="shared" si="32"/>
        <v>4.0559275282477852E-2</v>
      </c>
      <c r="AA43" s="24">
        <f t="shared" si="33"/>
        <v>0</v>
      </c>
      <c r="AB43" s="384">
        <v>816664046.34000003</v>
      </c>
      <c r="AC43" s="341">
        <v>1</v>
      </c>
      <c r="AD43" s="24">
        <f t="shared" si="34"/>
        <v>1.0885064467183291E-3</v>
      </c>
      <c r="AE43" s="24">
        <f t="shared" si="35"/>
        <v>0</v>
      </c>
      <c r="AF43" s="384">
        <v>807604934.26999998</v>
      </c>
      <c r="AG43" s="341">
        <v>1</v>
      </c>
      <c r="AH43" s="24">
        <f t="shared" si="36"/>
        <v>-1.1092825881829615E-2</v>
      </c>
      <c r="AI43" s="24">
        <f t="shared" si="37"/>
        <v>0</v>
      </c>
      <c r="AJ43" s="25">
        <f t="shared" si="16"/>
        <v>2.9339449862520212E-2</v>
      </c>
      <c r="AK43" s="25">
        <f t="shared" si="17"/>
        <v>0</v>
      </c>
      <c r="AL43" s="26">
        <f t="shared" si="18"/>
        <v>0.24436583568228129</v>
      </c>
      <c r="AM43" s="26">
        <f t="shared" si="19"/>
        <v>0</v>
      </c>
      <c r="AN43" s="27">
        <f t="shared" si="20"/>
        <v>3.1707869897659648E-2</v>
      </c>
      <c r="AO43" s="84">
        <f t="shared" si="21"/>
        <v>0</v>
      </c>
      <c r="AP43" s="31"/>
      <c r="AQ43" s="39"/>
      <c r="AR43" s="36"/>
      <c r="AS43" s="30"/>
      <c r="AT43" s="30"/>
    </row>
    <row r="44" spans="1:47" s="94" customFormat="1">
      <c r="A44" s="216" t="s">
        <v>179</v>
      </c>
      <c r="B44" s="384">
        <v>8377701168.6900005</v>
      </c>
      <c r="C44" s="341">
        <v>100</v>
      </c>
      <c r="D44" s="384">
        <v>8419801649.0600004</v>
      </c>
      <c r="E44" s="341">
        <v>100</v>
      </c>
      <c r="F44" s="24">
        <f t="shared" si="22"/>
        <v>5.025302230562018E-3</v>
      </c>
      <c r="G44" s="24">
        <f t="shared" si="23"/>
        <v>0</v>
      </c>
      <c r="H44" s="384">
        <v>9009234563.539999</v>
      </c>
      <c r="I44" s="341">
        <v>100</v>
      </c>
      <c r="J44" s="24">
        <f t="shared" si="24"/>
        <v>7.0005558212384231E-2</v>
      </c>
      <c r="K44" s="24">
        <f t="shared" si="25"/>
        <v>0</v>
      </c>
      <c r="L44" s="384">
        <v>9916730673.4899998</v>
      </c>
      <c r="M44" s="341">
        <v>100</v>
      </c>
      <c r="N44" s="24">
        <f t="shared" si="26"/>
        <v>0.10072954628383193</v>
      </c>
      <c r="O44" s="24">
        <f t="shared" si="27"/>
        <v>0</v>
      </c>
      <c r="P44" s="384">
        <v>10074632097.77</v>
      </c>
      <c r="Q44" s="341">
        <v>100</v>
      </c>
      <c r="R44" s="24">
        <f t="shared" si="28"/>
        <v>1.5922729927728325E-2</v>
      </c>
      <c r="S44" s="24">
        <f t="shared" si="29"/>
        <v>0</v>
      </c>
      <c r="T44" s="384">
        <v>10250967948.57</v>
      </c>
      <c r="U44" s="341">
        <v>100</v>
      </c>
      <c r="V44" s="24">
        <f t="shared" si="30"/>
        <v>1.7502956841374963E-2</v>
      </c>
      <c r="W44" s="24">
        <f t="shared" si="31"/>
        <v>0</v>
      </c>
      <c r="X44" s="384">
        <v>10885735684.75</v>
      </c>
      <c r="Y44" s="341">
        <v>100</v>
      </c>
      <c r="Z44" s="24">
        <f t="shared" si="32"/>
        <v>6.1922712017507556E-2</v>
      </c>
      <c r="AA44" s="24">
        <f t="shared" si="33"/>
        <v>0</v>
      </c>
      <c r="AB44" s="384">
        <v>11051466997.779999</v>
      </c>
      <c r="AC44" s="341">
        <v>100</v>
      </c>
      <c r="AD44" s="24">
        <f t="shared" si="34"/>
        <v>1.5224631373529895E-2</v>
      </c>
      <c r="AE44" s="24">
        <f t="shared" si="35"/>
        <v>0</v>
      </c>
      <c r="AF44" s="384">
        <v>11490691079.289999</v>
      </c>
      <c r="AG44" s="341">
        <v>100</v>
      </c>
      <c r="AH44" s="24">
        <f t="shared" si="36"/>
        <v>3.9743509309508943E-2</v>
      </c>
      <c r="AI44" s="24">
        <f t="shared" si="37"/>
        <v>0</v>
      </c>
      <c r="AJ44" s="25">
        <f t="shared" si="16"/>
        <v>4.0759618274553482E-2</v>
      </c>
      <c r="AK44" s="25">
        <f t="shared" si="17"/>
        <v>0</v>
      </c>
      <c r="AL44" s="26">
        <f t="shared" si="18"/>
        <v>0.36472230086000157</v>
      </c>
      <c r="AM44" s="26">
        <f t="shared" si="19"/>
        <v>0</v>
      </c>
      <c r="AN44" s="27">
        <f t="shared" si="20"/>
        <v>3.3779424222075562E-2</v>
      </c>
      <c r="AO44" s="84">
        <f t="shared" si="21"/>
        <v>0</v>
      </c>
      <c r="AP44" s="31"/>
      <c r="AQ44" s="39"/>
      <c r="AR44" s="36"/>
      <c r="AS44" s="30"/>
      <c r="AT44" s="30"/>
    </row>
    <row r="45" spans="1:47" s="94" customFormat="1">
      <c r="A45" s="216" t="s">
        <v>144</v>
      </c>
      <c r="B45" s="375">
        <v>230763619.41</v>
      </c>
      <c r="C45" s="341">
        <v>1</v>
      </c>
      <c r="D45" s="423">
        <v>273120839.00999999</v>
      </c>
      <c r="E45" s="341">
        <v>1</v>
      </c>
      <c r="F45" s="24">
        <f t="shared" si="22"/>
        <v>0.18355241484032847</v>
      </c>
      <c r="G45" s="24">
        <f t="shared" si="23"/>
        <v>0</v>
      </c>
      <c r="H45" s="384">
        <v>273453910.26999998</v>
      </c>
      <c r="I45" s="341">
        <v>1</v>
      </c>
      <c r="J45" s="24">
        <f t="shared" si="24"/>
        <v>1.2195014529367181E-3</v>
      </c>
      <c r="K45" s="24">
        <f t="shared" si="25"/>
        <v>0</v>
      </c>
      <c r="L45" s="384">
        <v>298788464.45999998</v>
      </c>
      <c r="M45" s="341">
        <v>1</v>
      </c>
      <c r="N45" s="24">
        <f t="shared" si="26"/>
        <v>9.2646523741369932E-2</v>
      </c>
      <c r="O45" s="24">
        <f t="shared" si="27"/>
        <v>0</v>
      </c>
      <c r="P45" s="384">
        <v>264143249.27000001</v>
      </c>
      <c r="Q45" s="341">
        <v>1</v>
      </c>
      <c r="R45" s="24">
        <f t="shared" si="28"/>
        <v>-0.11595231848262356</v>
      </c>
      <c r="S45" s="24">
        <f t="shared" si="29"/>
        <v>0</v>
      </c>
      <c r="T45" s="423">
        <v>264577221.24000001</v>
      </c>
      <c r="U45" s="341">
        <v>1</v>
      </c>
      <c r="V45" s="24">
        <f t="shared" si="30"/>
        <v>1.6429417416471792E-3</v>
      </c>
      <c r="W45" s="24">
        <f t="shared" si="31"/>
        <v>0</v>
      </c>
      <c r="X45" s="384">
        <v>275291743.25</v>
      </c>
      <c r="Y45" s="341">
        <v>1</v>
      </c>
      <c r="Z45" s="24">
        <f t="shared" si="32"/>
        <v>4.049676672762681E-2</v>
      </c>
      <c r="AA45" s="24">
        <f t="shared" si="33"/>
        <v>0</v>
      </c>
      <c r="AB45" s="384">
        <v>286059134.94</v>
      </c>
      <c r="AC45" s="341">
        <v>1</v>
      </c>
      <c r="AD45" s="24">
        <f t="shared" si="34"/>
        <v>3.9112657586035313E-2</v>
      </c>
      <c r="AE45" s="24">
        <f t="shared" si="35"/>
        <v>0</v>
      </c>
      <c r="AF45" s="384">
        <v>275732345.54000002</v>
      </c>
      <c r="AG45" s="341">
        <v>1</v>
      </c>
      <c r="AH45" s="24">
        <f t="shared" si="36"/>
        <v>-3.6100190969835619E-2</v>
      </c>
      <c r="AI45" s="24">
        <f t="shared" si="37"/>
        <v>0</v>
      </c>
      <c r="AJ45" s="25">
        <f t="shared" si="16"/>
        <v>2.5827287079685651E-2</v>
      </c>
      <c r="AK45" s="25">
        <f t="shared" si="17"/>
        <v>0</v>
      </c>
      <c r="AL45" s="26">
        <f t="shared" si="18"/>
        <v>9.5617256430016086E-3</v>
      </c>
      <c r="AM45" s="26">
        <f t="shared" si="19"/>
        <v>0</v>
      </c>
      <c r="AN45" s="27">
        <f t="shared" si="20"/>
        <v>8.8528135787163398E-2</v>
      </c>
      <c r="AO45" s="84">
        <f t="shared" si="21"/>
        <v>0</v>
      </c>
      <c r="AP45" s="31"/>
      <c r="AQ45" s="39"/>
      <c r="AR45" s="36"/>
      <c r="AS45" s="30"/>
      <c r="AT45" s="30"/>
    </row>
    <row r="46" spans="1:47" s="94" customFormat="1">
      <c r="A46" s="216" t="s">
        <v>149</v>
      </c>
      <c r="B46" s="384">
        <v>429020055.66000003</v>
      </c>
      <c r="C46" s="341">
        <v>100</v>
      </c>
      <c r="D46" s="384">
        <v>434932968.81999999</v>
      </c>
      <c r="E46" s="341">
        <v>100</v>
      </c>
      <c r="F46" s="24">
        <f t="shared" si="22"/>
        <v>1.3782370036066501E-2</v>
      </c>
      <c r="G46" s="24">
        <f t="shared" si="23"/>
        <v>0</v>
      </c>
      <c r="H46" s="384">
        <v>442217360.69999999</v>
      </c>
      <c r="I46" s="341">
        <v>100</v>
      </c>
      <c r="J46" s="24">
        <f t="shared" si="24"/>
        <v>1.6748309284906591E-2</v>
      </c>
      <c r="K46" s="24">
        <f t="shared" si="25"/>
        <v>0</v>
      </c>
      <c r="L46" s="384">
        <v>441684363.88</v>
      </c>
      <c r="M46" s="341">
        <v>100</v>
      </c>
      <c r="N46" s="24">
        <f t="shared" si="26"/>
        <v>-1.2052824410970549E-3</v>
      </c>
      <c r="O46" s="24">
        <f t="shared" si="27"/>
        <v>0</v>
      </c>
      <c r="P46" s="384">
        <v>436101731.13999999</v>
      </c>
      <c r="Q46" s="341">
        <v>100</v>
      </c>
      <c r="R46" s="24">
        <f t="shared" si="28"/>
        <v>-1.263941673406564E-2</v>
      </c>
      <c r="S46" s="24">
        <f t="shared" si="29"/>
        <v>0</v>
      </c>
      <c r="T46" s="384">
        <v>418073477.68000001</v>
      </c>
      <c r="U46" s="341">
        <v>100</v>
      </c>
      <c r="V46" s="24">
        <f t="shared" si="30"/>
        <v>-4.1339559494232875E-2</v>
      </c>
      <c r="W46" s="24">
        <f t="shared" si="31"/>
        <v>0</v>
      </c>
      <c r="X46" s="384">
        <v>419286552.29000002</v>
      </c>
      <c r="Y46" s="341">
        <v>100</v>
      </c>
      <c r="Z46" s="24">
        <f t="shared" si="32"/>
        <v>2.9015823168972239E-3</v>
      </c>
      <c r="AA46" s="24">
        <f t="shared" si="33"/>
        <v>0</v>
      </c>
      <c r="AB46" s="384">
        <v>439076582.25</v>
      </c>
      <c r="AC46" s="341">
        <v>100</v>
      </c>
      <c r="AD46" s="24">
        <f t="shared" si="34"/>
        <v>4.7199295689102333E-2</v>
      </c>
      <c r="AE46" s="24">
        <f t="shared" si="35"/>
        <v>0</v>
      </c>
      <c r="AF46" s="384">
        <v>425550249.77999997</v>
      </c>
      <c r="AG46" s="341">
        <v>100</v>
      </c>
      <c r="AH46" s="24">
        <f t="shared" si="36"/>
        <v>-3.0806317204816105E-2</v>
      </c>
      <c r="AI46" s="24">
        <f t="shared" si="37"/>
        <v>0</v>
      </c>
      <c r="AJ46" s="25">
        <f t="shared" si="16"/>
        <v>-6.6987731840487856E-4</v>
      </c>
      <c r="AK46" s="25">
        <f t="shared" si="17"/>
        <v>0</v>
      </c>
      <c r="AL46" s="26">
        <f t="shared" si="18"/>
        <v>-2.1572793309865466E-2</v>
      </c>
      <c r="AM46" s="26">
        <f t="shared" si="19"/>
        <v>0</v>
      </c>
      <c r="AN46" s="27">
        <f t="shared" si="20"/>
        <v>2.8087257701340181E-2</v>
      </c>
      <c r="AO46" s="84">
        <f t="shared" si="21"/>
        <v>0</v>
      </c>
      <c r="AP46" s="31"/>
      <c r="AQ46" s="39"/>
      <c r="AR46" s="36"/>
      <c r="AS46" s="30"/>
      <c r="AT46" s="30"/>
    </row>
    <row r="47" spans="1:47" s="101" customFormat="1">
      <c r="A47" s="216" t="s">
        <v>161</v>
      </c>
      <c r="B47" s="384">
        <v>638236296.75999999</v>
      </c>
      <c r="C47" s="341">
        <v>1</v>
      </c>
      <c r="D47" s="384">
        <v>677833734.87</v>
      </c>
      <c r="E47" s="341">
        <v>1</v>
      </c>
      <c r="F47" s="24">
        <f t="shared" si="22"/>
        <v>6.204197146263226E-2</v>
      </c>
      <c r="G47" s="24">
        <f t="shared" si="23"/>
        <v>0</v>
      </c>
      <c r="H47" s="384">
        <v>695101758.38</v>
      </c>
      <c r="I47" s="341">
        <v>1</v>
      </c>
      <c r="J47" s="24">
        <f t="shared" si="24"/>
        <v>2.5475308503658024E-2</v>
      </c>
      <c r="K47" s="24">
        <f t="shared" si="25"/>
        <v>0</v>
      </c>
      <c r="L47" s="384">
        <v>697420849.95000005</v>
      </c>
      <c r="M47" s="341">
        <v>1</v>
      </c>
      <c r="N47" s="24">
        <f t="shared" si="26"/>
        <v>3.3363339137638111E-3</v>
      </c>
      <c r="O47" s="24">
        <f t="shared" si="27"/>
        <v>0</v>
      </c>
      <c r="P47" s="384">
        <v>695377963.96000004</v>
      </c>
      <c r="Q47" s="341">
        <v>1</v>
      </c>
      <c r="R47" s="24">
        <f t="shared" si="28"/>
        <v>-2.9292011991704429E-3</v>
      </c>
      <c r="S47" s="24">
        <f t="shared" si="29"/>
        <v>0</v>
      </c>
      <c r="T47" s="384">
        <v>759408780.99000001</v>
      </c>
      <c r="U47" s="341">
        <v>1</v>
      </c>
      <c r="V47" s="24">
        <f t="shared" si="30"/>
        <v>9.2080595515798072E-2</v>
      </c>
      <c r="W47" s="24">
        <f t="shared" si="31"/>
        <v>0</v>
      </c>
      <c r="X47" s="384">
        <v>827005790.65999997</v>
      </c>
      <c r="Y47" s="341">
        <v>1</v>
      </c>
      <c r="Z47" s="24">
        <f t="shared" si="32"/>
        <v>8.9012678496918879E-2</v>
      </c>
      <c r="AA47" s="24">
        <f t="shared" si="33"/>
        <v>0</v>
      </c>
      <c r="AB47" s="384">
        <v>885317970.19000006</v>
      </c>
      <c r="AC47" s="341">
        <v>1</v>
      </c>
      <c r="AD47" s="24">
        <f t="shared" si="34"/>
        <v>7.0510001487974455E-2</v>
      </c>
      <c r="AE47" s="24">
        <f t="shared" si="35"/>
        <v>0</v>
      </c>
      <c r="AF47" s="384">
        <v>969381616.28999996</v>
      </c>
      <c r="AG47" s="341">
        <v>1</v>
      </c>
      <c r="AH47" s="24">
        <f t="shared" si="36"/>
        <v>9.4953055207903231E-2</v>
      </c>
      <c r="AI47" s="24">
        <f t="shared" si="37"/>
        <v>0</v>
      </c>
      <c r="AJ47" s="25">
        <f t="shared" si="16"/>
        <v>5.4310092923684786E-2</v>
      </c>
      <c r="AK47" s="25">
        <f t="shared" si="17"/>
        <v>0</v>
      </c>
      <c r="AL47" s="26">
        <f t="shared" si="18"/>
        <v>0.43011710161624689</v>
      </c>
      <c r="AM47" s="26">
        <f t="shared" si="19"/>
        <v>0</v>
      </c>
      <c r="AN47" s="27">
        <f t="shared" si="20"/>
        <v>4.0197823981317528E-2</v>
      </c>
      <c r="AO47" s="84">
        <f t="shared" si="21"/>
        <v>0</v>
      </c>
      <c r="AP47" s="31"/>
      <c r="AQ47" s="39"/>
      <c r="AR47" s="36"/>
      <c r="AS47" s="30"/>
      <c r="AT47" s="30"/>
    </row>
    <row r="48" spans="1:47" s="101" customFormat="1">
      <c r="A48" s="216" t="s">
        <v>169</v>
      </c>
      <c r="B48" s="384">
        <v>1112434252.27</v>
      </c>
      <c r="C48" s="341">
        <v>1</v>
      </c>
      <c r="D48" s="384">
        <v>941319300.09000003</v>
      </c>
      <c r="E48" s="341">
        <v>1</v>
      </c>
      <c r="F48" s="24">
        <f t="shared" si="22"/>
        <v>-0.15382028360851702</v>
      </c>
      <c r="G48" s="24">
        <f t="shared" si="23"/>
        <v>0</v>
      </c>
      <c r="H48" s="384">
        <v>942664777.26999998</v>
      </c>
      <c r="I48" s="341">
        <v>1</v>
      </c>
      <c r="J48" s="24">
        <f t="shared" si="24"/>
        <v>1.4293525904242117E-3</v>
      </c>
      <c r="K48" s="24">
        <f t="shared" si="25"/>
        <v>0</v>
      </c>
      <c r="L48" s="384">
        <v>928082945.66999996</v>
      </c>
      <c r="M48" s="341">
        <v>1</v>
      </c>
      <c r="N48" s="24">
        <f t="shared" si="26"/>
        <v>-1.5468734964543462E-2</v>
      </c>
      <c r="O48" s="24">
        <f t="shared" si="27"/>
        <v>0</v>
      </c>
      <c r="P48" s="384">
        <v>951501566.41999996</v>
      </c>
      <c r="Q48" s="341">
        <v>1</v>
      </c>
      <c r="R48" s="24">
        <f t="shared" si="28"/>
        <v>2.5233327321938528E-2</v>
      </c>
      <c r="S48" s="24">
        <f t="shared" si="29"/>
        <v>0</v>
      </c>
      <c r="T48" s="384">
        <v>953231845.66999996</v>
      </c>
      <c r="U48" s="341">
        <v>1</v>
      </c>
      <c r="V48" s="24">
        <f t="shared" si="30"/>
        <v>1.8184723084693712E-3</v>
      </c>
      <c r="W48" s="24">
        <f t="shared" si="31"/>
        <v>0</v>
      </c>
      <c r="X48" s="384">
        <v>957746188.88999999</v>
      </c>
      <c r="Y48" s="341">
        <v>1</v>
      </c>
      <c r="Z48" s="24">
        <f t="shared" si="32"/>
        <v>4.7358292114412347E-3</v>
      </c>
      <c r="AA48" s="24">
        <f t="shared" si="33"/>
        <v>0</v>
      </c>
      <c r="AB48" s="384">
        <v>1159340009.8</v>
      </c>
      <c r="AC48" s="341">
        <v>1</v>
      </c>
      <c r="AD48" s="24">
        <f t="shared" si="34"/>
        <v>0.21048772968090987</v>
      </c>
      <c r="AE48" s="24">
        <f t="shared" si="35"/>
        <v>0</v>
      </c>
      <c r="AF48" s="384">
        <v>1357157146.6500001</v>
      </c>
      <c r="AG48" s="341">
        <v>1</v>
      </c>
      <c r="AH48" s="24">
        <f t="shared" si="36"/>
        <v>0.17062909515572225</v>
      </c>
      <c r="AI48" s="24">
        <f t="shared" si="37"/>
        <v>0</v>
      </c>
      <c r="AJ48" s="25">
        <f t="shared" si="16"/>
        <v>3.0630598461980622E-2</v>
      </c>
      <c r="AK48" s="25">
        <f t="shared" si="17"/>
        <v>0</v>
      </c>
      <c r="AL48" s="26">
        <f t="shared" si="18"/>
        <v>0.44176067198477881</v>
      </c>
      <c r="AM48" s="26">
        <f t="shared" si="19"/>
        <v>0</v>
      </c>
      <c r="AN48" s="27">
        <f t="shared" si="20"/>
        <v>0.11369003232473808</v>
      </c>
      <c r="AO48" s="84">
        <f t="shared" si="21"/>
        <v>0</v>
      </c>
      <c r="AP48" s="31"/>
      <c r="AQ48" s="39"/>
      <c r="AR48" s="36"/>
      <c r="AS48" s="30"/>
      <c r="AT48" s="30"/>
    </row>
    <row r="49" spans="1:48" s="112" customFormat="1">
      <c r="A49" s="216" t="s">
        <v>174</v>
      </c>
      <c r="B49" s="384">
        <v>136922925.28</v>
      </c>
      <c r="C49" s="341">
        <v>1</v>
      </c>
      <c r="D49" s="384">
        <v>137522920.72999999</v>
      </c>
      <c r="E49" s="341">
        <v>1</v>
      </c>
      <c r="F49" s="24">
        <f t="shared" si="22"/>
        <v>4.3819940946560245E-3</v>
      </c>
      <c r="G49" s="24">
        <f t="shared" si="23"/>
        <v>0</v>
      </c>
      <c r="H49" s="384">
        <v>137411921.59</v>
      </c>
      <c r="I49" s="341">
        <v>1</v>
      </c>
      <c r="J49" s="24">
        <f t="shared" si="24"/>
        <v>-8.0713192688738281E-4</v>
      </c>
      <c r="K49" s="24">
        <f t="shared" si="25"/>
        <v>0</v>
      </c>
      <c r="L49" s="384">
        <v>137391891.61000001</v>
      </c>
      <c r="M49" s="341">
        <v>1</v>
      </c>
      <c r="N49" s="24">
        <f t="shared" si="26"/>
        <v>-1.4576595515310026E-4</v>
      </c>
      <c r="O49" s="24">
        <f t="shared" si="27"/>
        <v>0</v>
      </c>
      <c r="P49" s="384">
        <v>137391891.53</v>
      </c>
      <c r="Q49" s="341">
        <v>1</v>
      </c>
      <c r="R49" s="24">
        <f t="shared" si="28"/>
        <v>-5.8227608758826552E-10</v>
      </c>
      <c r="S49" s="24">
        <f t="shared" si="29"/>
        <v>0</v>
      </c>
      <c r="T49" s="384">
        <v>138164876.38</v>
      </c>
      <c r="U49" s="341">
        <v>1</v>
      </c>
      <c r="V49" s="24">
        <f t="shared" si="30"/>
        <v>5.6261315088686299E-3</v>
      </c>
      <c r="W49" s="24">
        <f t="shared" si="31"/>
        <v>0</v>
      </c>
      <c r="X49" s="384">
        <v>138214875.97</v>
      </c>
      <c r="Y49" s="341">
        <v>1</v>
      </c>
      <c r="Z49" s="24">
        <f t="shared" si="32"/>
        <v>3.6188350693766661E-4</v>
      </c>
      <c r="AA49" s="24">
        <f t="shared" si="33"/>
        <v>0</v>
      </c>
      <c r="AB49" s="384">
        <v>137814878.81</v>
      </c>
      <c r="AC49" s="341">
        <v>1</v>
      </c>
      <c r="AD49" s="24">
        <f t="shared" si="34"/>
        <v>-2.8940239405692999E-3</v>
      </c>
      <c r="AE49" s="24">
        <f t="shared" si="35"/>
        <v>0</v>
      </c>
      <c r="AF49" s="384">
        <v>137584800.62</v>
      </c>
      <c r="AG49" s="341">
        <v>1</v>
      </c>
      <c r="AH49" s="24">
        <f t="shared" si="36"/>
        <v>-1.6694727883278658E-3</v>
      </c>
      <c r="AI49" s="24">
        <f t="shared" si="37"/>
        <v>0</v>
      </c>
      <c r="AJ49" s="25">
        <f t="shared" si="16"/>
        <v>6.067017396560729E-4</v>
      </c>
      <c r="AK49" s="25">
        <f t="shared" si="17"/>
        <v>0</v>
      </c>
      <c r="AL49" s="26">
        <f t="shared" si="18"/>
        <v>4.4996055691330796E-4</v>
      </c>
      <c r="AM49" s="26">
        <f t="shared" si="19"/>
        <v>0</v>
      </c>
      <c r="AN49" s="27">
        <f t="shared" si="20"/>
        <v>2.9246908331529674E-3</v>
      </c>
      <c r="AO49" s="84">
        <f t="shared" si="21"/>
        <v>0</v>
      </c>
      <c r="AP49" s="31"/>
      <c r="AQ49" s="39"/>
      <c r="AR49" s="36"/>
      <c r="AS49" s="30"/>
      <c r="AT49" s="30"/>
    </row>
    <row r="50" spans="1:48" s="112" customFormat="1">
      <c r="A50" s="216" t="s">
        <v>185</v>
      </c>
      <c r="B50" s="384">
        <v>1031879897.52</v>
      </c>
      <c r="C50" s="341">
        <v>1</v>
      </c>
      <c r="D50" s="384">
        <v>1037042805.53</v>
      </c>
      <c r="E50" s="341">
        <v>1</v>
      </c>
      <c r="F50" s="24">
        <f t="shared" si="22"/>
        <v>5.003400126708954E-3</v>
      </c>
      <c r="G50" s="24">
        <f t="shared" si="23"/>
        <v>0</v>
      </c>
      <c r="H50" s="384">
        <v>1084925020.8199999</v>
      </c>
      <c r="I50" s="341">
        <v>1</v>
      </c>
      <c r="J50" s="24">
        <f t="shared" si="24"/>
        <v>4.6171879342558932E-2</v>
      </c>
      <c r="K50" s="24">
        <f t="shared" si="25"/>
        <v>0</v>
      </c>
      <c r="L50" s="384">
        <v>1088639256.3900001</v>
      </c>
      <c r="M50" s="341">
        <v>1</v>
      </c>
      <c r="N50" s="24">
        <f t="shared" si="26"/>
        <v>3.4234951713003224E-3</v>
      </c>
      <c r="O50" s="24">
        <f t="shared" si="27"/>
        <v>0</v>
      </c>
      <c r="P50" s="384">
        <v>1089932870.6099999</v>
      </c>
      <c r="Q50" s="341">
        <v>1</v>
      </c>
      <c r="R50" s="24">
        <f t="shared" si="28"/>
        <v>1.1882854787815577E-3</v>
      </c>
      <c r="S50" s="24">
        <f t="shared" si="29"/>
        <v>0</v>
      </c>
      <c r="T50" s="384">
        <v>1226226130.6500001</v>
      </c>
      <c r="U50" s="341">
        <v>1</v>
      </c>
      <c r="V50" s="24">
        <f t="shared" si="30"/>
        <v>0.12504738935318219</v>
      </c>
      <c r="W50" s="24">
        <f t="shared" si="31"/>
        <v>0</v>
      </c>
      <c r="X50" s="384">
        <v>1228915509.6700001</v>
      </c>
      <c r="Y50" s="341">
        <v>1</v>
      </c>
      <c r="Z50" s="24">
        <f t="shared" si="32"/>
        <v>2.1932162043997467E-3</v>
      </c>
      <c r="AA50" s="24">
        <f t="shared" si="33"/>
        <v>0</v>
      </c>
      <c r="AB50" s="384">
        <v>1274877255.9100001</v>
      </c>
      <c r="AC50" s="341">
        <v>1</v>
      </c>
      <c r="AD50" s="24">
        <f t="shared" si="34"/>
        <v>3.7400249145152449E-2</v>
      </c>
      <c r="AE50" s="24">
        <f t="shared" si="35"/>
        <v>0</v>
      </c>
      <c r="AF50" s="384">
        <v>1315553282.3</v>
      </c>
      <c r="AG50" s="341">
        <v>1</v>
      </c>
      <c r="AH50" s="24">
        <f t="shared" si="36"/>
        <v>3.1905837367037782E-2</v>
      </c>
      <c r="AI50" s="24">
        <f t="shared" si="37"/>
        <v>0</v>
      </c>
      <c r="AJ50" s="25">
        <f t="shared" si="16"/>
        <v>3.1541719023640238E-2</v>
      </c>
      <c r="AK50" s="25">
        <f t="shared" si="17"/>
        <v>0</v>
      </c>
      <c r="AL50" s="26">
        <f t="shared" si="18"/>
        <v>0.26856218015770528</v>
      </c>
      <c r="AM50" s="26">
        <f t="shared" si="19"/>
        <v>0</v>
      </c>
      <c r="AN50" s="27">
        <f t="shared" si="20"/>
        <v>4.1866094976834939E-2</v>
      </c>
      <c r="AO50" s="84">
        <f t="shared" si="21"/>
        <v>0</v>
      </c>
      <c r="AP50" s="31"/>
      <c r="AQ50" s="39"/>
      <c r="AR50" s="36"/>
      <c r="AS50" s="30"/>
      <c r="AT50" s="30"/>
    </row>
    <row r="51" spans="1:48" s="118" customFormat="1">
      <c r="A51" s="216" t="s">
        <v>195</v>
      </c>
      <c r="B51" s="384">
        <v>38546362.039286934</v>
      </c>
      <c r="C51" s="341">
        <v>100</v>
      </c>
      <c r="D51" s="384">
        <v>38546362.039286934</v>
      </c>
      <c r="E51" s="341">
        <v>100</v>
      </c>
      <c r="F51" s="24">
        <f t="shared" si="22"/>
        <v>0</v>
      </c>
      <c r="G51" s="24">
        <f t="shared" si="23"/>
        <v>0</v>
      </c>
      <c r="H51" s="384">
        <v>36923152.729999997</v>
      </c>
      <c r="I51" s="341">
        <v>100</v>
      </c>
      <c r="J51" s="24">
        <f t="shared" si="24"/>
        <v>-4.2110570840188287E-2</v>
      </c>
      <c r="K51" s="24">
        <f t="shared" si="25"/>
        <v>0</v>
      </c>
      <c r="L51" s="384">
        <v>42423296.57</v>
      </c>
      <c r="M51" s="341">
        <v>100</v>
      </c>
      <c r="N51" s="24">
        <f t="shared" si="26"/>
        <v>0.14896192316565499</v>
      </c>
      <c r="O51" s="24">
        <f t="shared" si="27"/>
        <v>0</v>
      </c>
      <c r="P51" s="384">
        <v>44693935.140000001</v>
      </c>
      <c r="Q51" s="341">
        <v>100</v>
      </c>
      <c r="R51" s="24">
        <f t="shared" si="28"/>
        <v>5.3523388175488983E-2</v>
      </c>
      <c r="S51" s="24">
        <f t="shared" si="29"/>
        <v>0</v>
      </c>
      <c r="T51" s="384">
        <v>45250576.920000002</v>
      </c>
      <c r="U51" s="341">
        <v>100</v>
      </c>
      <c r="V51" s="24">
        <f t="shared" si="30"/>
        <v>1.2454526061676323E-2</v>
      </c>
      <c r="W51" s="24">
        <f t="shared" si="31"/>
        <v>0</v>
      </c>
      <c r="X51" s="384">
        <v>45471762.240000002</v>
      </c>
      <c r="Y51" s="341">
        <v>100</v>
      </c>
      <c r="Z51" s="24">
        <f t="shared" si="32"/>
        <v>4.8880110499152571E-3</v>
      </c>
      <c r="AA51" s="24">
        <f t="shared" si="33"/>
        <v>0</v>
      </c>
      <c r="AB51" s="384">
        <v>45471762.240000002</v>
      </c>
      <c r="AC51" s="341">
        <v>100</v>
      </c>
      <c r="AD51" s="24">
        <f t="shared" si="34"/>
        <v>0</v>
      </c>
      <c r="AE51" s="24">
        <f t="shared" si="35"/>
        <v>0</v>
      </c>
      <c r="AF51" s="384">
        <v>45471762.240000002</v>
      </c>
      <c r="AG51" s="341">
        <v>100</v>
      </c>
      <c r="AH51" s="24">
        <f t="shared" si="36"/>
        <v>0</v>
      </c>
      <c r="AI51" s="24">
        <f t="shared" si="37"/>
        <v>0</v>
      </c>
      <c r="AJ51" s="25">
        <f t="shared" si="16"/>
        <v>2.2214659701568409E-2</v>
      </c>
      <c r="AK51" s="25">
        <f t="shared" si="17"/>
        <v>0</v>
      </c>
      <c r="AL51" s="26">
        <f t="shared" si="18"/>
        <v>0.17966417151519029</v>
      </c>
      <c r="AM51" s="26">
        <f t="shared" si="19"/>
        <v>0</v>
      </c>
      <c r="AN51" s="27">
        <f t="shared" si="20"/>
        <v>5.7394358654679956E-2</v>
      </c>
      <c r="AO51" s="84">
        <f t="shared" si="21"/>
        <v>0</v>
      </c>
      <c r="AP51" s="31"/>
      <c r="AQ51" s="39"/>
      <c r="AR51" s="36"/>
      <c r="AS51" s="30"/>
      <c r="AT51" s="30"/>
    </row>
    <row r="52" spans="1:48">
      <c r="A52" s="216" t="s">
        <v>204</v>
      </c>
      <c r="B52" s="384">
        <v>2893650266.5900002</v>
      </c>
      <c r="C52" s="341">
        <v>100</v>
      </c>
      <c r="D52" s="384">
        <v>2979051482.6799998</v>
      </c>
      <c r="E52" s="341">
        <v>100</v>
      </c>
      <c r="F52" s="24">
        <f t="shared" si="22"/>
        <v>2.9513316476437935E-2</v>
      </c>
      <c r="G52" s="24">
        <f t="shared" si="23"/>
        <v>0</v>
      </c>
      <c r="H52" s="384">
        <v>2999562470.8000002</v>
      </c>
      <c r="I52" s="341">
        <v>100</v>
      </c>
      <c r="J52" s="24">
        <f t="shared" si="24"/>
        <v>6.8850733997884344E-3</v>
      </c>
      <c r="K52" s="24">
        <f t="shared" si="25"/>
        <v>0</v>
      </c>
      <c r="L52" s="384">
        <v>3091518265.77</v>
      </c>
      <c r="M52" s="341">
        <v>100</v>
      </c>
      <c r="N52" s="24">
        <f t="shared" si="26"/>
        <v>3.065640268044648E-2</v>
      </c>
      <c r="O52" s="24">
        <f t="shared" si="27"/>
        <v>0</v>
      </c>
      <c r="P52" s="384">
        <v>3187040210.9000001</v>
      </c>
      <c r="Q52" s="341">
        <v>100</v>
      </c>
      <c r="R52" s="24">
        <f t="shared" si="28"/>
        <v>3.0898069142156145E-2</v>
      </c>
      <c r="S52" s="24">
        <f t="shared" si="29"/>
        <v>0</v>
      </c>
      <c r="T52" s="384">
        <v>3442710192.6199999</v>
      </c>
      <c r="U52" s="341">
        <v>100</v>
      </c>
      <c r="V52" s="24">
        <f t="shared" si="30"/>
        <v>8.0221762137039437E-2</v>
      </c>
      <c r="W52" s="24">
        <f t="shared" si="31"/>
        <v>0</v>
      </c>
      <c r="X52" s="384">
        <v>3482440324.3200002</v>
      </c>
      <c r="Y52" s="341">
        <v>100</v>
      </c>
      <c r="Z52" s="24">
        <f t="shared" si="32"/>
        <v>1.1540364851264036E-2</v>
      </c>
      <c r="AA52" s="24">
        <f t="shared" si="33"/>
        <v>0</v>
      </c>
      <c r="AB52" s="384">
        <v>3244236768.46</v>
      </c>
      <c r="AC52" s="341">
        <v>100</v>
      </c>
      <c r="AD52" s="24">
        <f t="shared" si="34"/>
        <v>-6.8401331731797313E-2</v>
      </c>
      <c r="AE52" s="24">
        <f t="shared" si="35"/>
        <v>0</v>
      </c>
      <c r="AF52" s="384">
        <v>3358168679.6300001</v>
      </c>
      <c r="AG52" s="341">
        <v>100</v>
      </c>
      <c r="AH52" s="24">
        <f t="shared" si="36"/>
        <v>3.511824792741073E-2</v>
      </c>
      <c r="AI52" s="24">
        <f t="shared" si="37"/>
        <v>0</v>
      </c>
      <c r="AJ52" s="25">
        <f t="shared" si="16"/>
        <v>1.9553988110343236E-2</v>
      </c>
      <c r="AK52" s="25">
        <f t="shared" si="17"/>
        <v>0</v>
      </c>
      <c r="AL52" s="26">
        <f t="shared" si="18"/>
        <v>0.12726104236672697</v>
      </c>
      <c r="AM52" s="26">
        <f t="shared" si="19"/>
        <v>0</v>
      </c>
      <c r="AN52" s="27">
        <f t="shared" si="20"/>
        <v>4.1807078758898067E-2</v>
      </c>
      <c r="AO52" s="84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8" t="s">
        <v>46</v>
      </c>
      <c r="B53" s="81">
        <f>SUM(B24:B52)</f>
        <v>689393093044.69934</v>
      </c>
      <c r="C53" s="93"/>
      <c r="D53" s="81">
        <f>SUM(D24:D52)</f>
        <v>708387215249.38928</v>
      </c>
      <c r="E53" s="93"/>
      <c r="F53" s="24">
        <f>((D53-B53)/B53)</f>
        <v>2.7551947352420583E-2</v>
      </c>
      <c r="G53" s="24"/>
      <c r="H53" s="81">
        <f>SUM(H24:H52)</f>
        <v>734404198247.47839</v>
      </c>
      <c r="I53" s="93"/>
      <c r="J53" s="24">
        <f>((H53-D53)/D53)</f>
        <v>3.6727064574322919E-2</v>
      </c>
      <c r="K53" s="24"/>
      <c r="L53" s="81">
        <f>SUM(L24:L52)</f>
        <v>748848468799.76001</v>
      </c>
      <c r="M53" s="93"/>
      <c r="N53" s="24">
        <f>((L53-H53)/H53)</f>
        <v>1.966801195683553E-2</v>
      </c>
      <c r="O53" s="24"/>
      <c r="P53" s="81">
        <f>SUM(P24:P52)</f>
        <v>773728453122.66284</v>
      </c>
      <c r="Q53" s="93"/>
      <c r="R53" s="24">
        <f>((P53-L53)/L53)</f>
        <v>3.3224324225139962E-2</v>
      </c>
      <c r="S53" s="24"/>
      <c r="T53" s="81">
        <f>SUM(T24:T52)</f>
        <v>796016399970.13013</v>
      </c>
      <c r="U53" s="93"/>
      <c r="V53" s="24">
        <f>((T53-P53)/P53)</f>
        <v>2.8805903101425522E-2</v>
      </c>
      <c r="W53" s="24"/>
      <c r="X53" s="81">
        <f>SUM(X24:X52)</f>
        <v>809621970053.67017</v>
      </c>
      <c r="Y53" s="93"/>
      <c r="Z53" s="24">
        <f>((X53-T53)/T53)</f>
        <v>1.7092072580477711E-2</v>
      </c>
      <c r="AA53" s="24"/>
      <c r="AB53" s="81">
        <f>SUM(AB24:AB52)</f>
        <v>808804557491.32593</v>
      </c>
      <c r="AC53" s="93"/>
      <c r="AD53" s="24">
        <f>((AB53-X53)/X53)</f>
        <v>-1.0096225060321074E-3</v>
      </c>
      <c r="AE53" s="24"/>
      <c r="AF53" s="81">
        <f>SUM(AF24:AF52)</f>
        <v>808555564328.63843</v>
      </c>
      <c r="AG53" s="93"/>
      <c r="AH53" s="24">
        <f>((AF53-AB53)/AB53)</f>
        <v>-3.0785331311658731E-4</v>
      </c>
      <c r="AI53" s="24"/>
      <c r="AJ53" s="25">
        <f t="shared" si="16"/>
        <v>2.021898099643419E-2</v>
      </c>
      <c r="AK53" s="25"/>
      <c r="AL53" s="26">
        <f t="shared" si="18"/>
        <v>0.1414033835209528</v>
      </c>
      <c r="AM53" s="26"/>
      <c r="AN53" s="27">
        <f t="shared" si="20"/>
        <v>1.4398655985330574E-2</v>
      </c>
      <c r="AO53" s="84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8" customFormat="1" ht="8.25" customHeight="1">
      <c r="A54" s="218"/>
      <c r="B54" s="93"/>
      <c r="C54" s="93"/>
      <c r="D54" s="93"/>
      <c r="E54" s="93"/>
      <c r="F54" s="24"/>
      <c r="G54" s="24"/>
      <c r="H54" s="93"/>
      <c r="I54" s="93"/>
      <c r="J54" s="24"/>
      <c r="K54" s="24"/>
      <c r="L54" s="93"/>
      <c r="M54" s="93"/>
      <c r="N54" s="24"/>
      <c r="O54" s="24"/>
      <c r="P54" s="93"/>
      <c r="Q54" s="93"/>
      <c r="R54" s="24"/>
      <c r="S54" s="24"/>
      <c r="T54" s="93"/>
      <c r="U54" s="93"/>
      <c r="V54" s="24"/>
      <c r="W54" s="24"/>
      <c r="X54" s="93"/>
      <c r="Y54" s="93"/>
      <c r="Z54" s="24"/>
      <c r="AA54" s="24"/>
      <c r="AB54" s="93"/>
      <c r="AC54" s="93"/>
      <c r="AD54" s="24"/>
      <c r="AE54" s="24"/>
      <c r="AF54" s="93"/>
      <c r="AG54" s="93"/>
      <c r="AH54" s="24"/>
      <c r="AI54" s="24"/>
      <c r="AJ54" s="25"/>
      <c r="AK54" s="25"/>
      <c r="AL54" s="26"/>
      <c r="AM54" s="26"/>
      <c r="AN54" s="27"/>
      <c r="AO54" s="84"/>
      <c r="AP54" s="31"/>
      <c r="AQ54" s="44"/>
      <c r="AR54" s="45"/>
      <c r="AS54" s="30"/>
      <c r="AT54" s="30"/>
    </row>
    <row r="55" spans="1:48">
      <c r="A55" s="219" t="s">
        <v>209</v>
      </c>
      <c r="B55" s="93"/>
      <c r="C55" s="93"/>
      <c r="D55" s="93"/>
      <c r="E55" s="93"/>
      <c r="F55" s="24"/>
      <c r="G55" s="24"/>
      <c r="H55" s="93"/>
      <c r="I55" s="93"/>
      <c r="J55" s="24"/>
      <c r="K55" s="24"/>
      <c r="L55" s="93"/>
      <c r="M55" s="93"/>
      <c r="N55" s="24"/>
      <c r="O55" s="24"/>
      <c r="P55" s="93"/>
      <c r="Q55" s="93"/>
      <c r="R55" s="24"/>
      <c r="S55" s="24"/>
      <c r="T55" s="93"/>
      <c r="U55" s="93"/>
      <c r="V55" s="24"/>
      <c r="W55" s="24"/>
      <c r="X55" s="93"/>
      <c r="Y55" s="93"/>
      <c r="Z55" s="24"/>
      <c r="AA55" s="24"/>
      <c r="AB55" s="93"/>
      <c r="AC55" s="93"/>
      <c r="AD55" s="24"/>
      <c r="AE55" s="24"/>
      <c r="AF55" s="93"/>
      <c r="AG55" s="93"/>
      <c r="AH55" s="24"/>
      <c r="AI55" s="24"/>
      <c r="AJ55" s="25"/>
      <c r="AK55" s="25"/>
      <c r="AL55" s="26"/>
      <c r="AM55" s="26"/>
      <c r="AN55" s="27"/>
      <c r="AO55" s="84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6" t="s">
        <v>20</v>
      </c>
      <c r="B56" s="390">
        <v>45266681411.410004</v>
      </c>
      <c r="C56" s="391">
        <v>245.82</v>
      </c>
      <c r="D56" s="390">
        <v>45134879962.370003</v>
      </c>
      <c r="E56" s="391">
        <v>245.96</v>
      </c>
      <c r="F56" s="24">
        <f t="shared" ref="F56:F84" si="38">((D56-B56)/B56)</f>
        <v>-2.9116658197695668E-3</v>
      </c>
      <c r="G56" s="24">
        <f t="shared" ref="G56:G84" si="39">((E56-C56)/C56)</f>
        <v>5.6952241477509875E-4</v>
      </c>
      <c r="H56" s="390">
        <v>44924763261.139999</v>
      </c>
      <c r="I56" s="391">
        <v>246.1</v>
      </c>
      <c r="J56" s="24">
        <f t="shared" ref="J56:J84" si="40">((H56-D56)/D56)</f>
        <v>-4.6553065257996153E-3</v>
      </c>
      <c r="K56" s="24">
        <f t="shared" ref="K56:K85" si="41">((I56-E56)/E56)</f>
        <v>5.6919824361679279E-4</v>
      </c>
      <c r="L56" s="390">
        <v>44117869609.199997</v>
      </c>
      <c r="M56" s="391">
        <v>246.38</v>
      </c>
      <c r="N56" s="24">
        <f t="shared" ref="N56:N84" si="42">((L56-H56)/H56)</f>
        <v>-1.7960999532700195E-2</v>
      </c>
      <c r="O56" s="24">
        <f t="shared" ref="O56:O85" si="43">((M56-I56)/I56)</f>
        <v>1.1377488825680664E-3</v>
      </c>
      <c r="P56" s="390">
        <v>43675340216.230003</v>
      </c>
      <c r="Q56" s="391">
        <v>246.66</v>
      </c>
      <c r="R56" s="24">
        <f t="shared" ref="R56:R84" si="44">((P56-L56)/L56)</f>
        <v>-1.0030615641461346E-2</v>
      </c>
      <c r="S56" s="24">
        <f t="shared" ref="S56:S85" si="45">((Q56-M56)/M56)</f>
        <v>1.1364558811591896E-3</v>
      </c>
      <c r="T56" s="390">
        <v>43302059932.540001</v>
      </c>
      <c r="U56" s="391">
        <v>246.83</v>
      </c>
      <c r="V56" s="24">
        <f t="shared" ref="V56:V84" si="46">((T56-P56)/P56)</f>
        <v>-8.5467058033651989E-3</v>
      </c>
      <c r="W56" s="24">
        <f t="shared" ref="W56:W85" si="47">((U56-Q56)/Q56)</f>
        <v>6.8920781642753555E-4</v>
      </c>
      <c r="X56" s="390">
        <v>43198589214.580002</v>
      </c>
      <c r="Y56" s="391">
        <v>247</v>
      </c>
      <c r="Z56" s="24">
        <f t="shared" ref="Z56:Z84" si="48">((X56-T56)/T56)</f>
        <v>-2.389510293995146E-3</v>
      </c>
      <c r="AA56" s="24">
        <f t="shared" ref="AA56:AA85" si="49">((Y56-U56)/U56)</f>
        <v>6.8873313616654166E-4</v>
      </c>
      <c r="AB56" s="390">
        <v>43009272064.739998</v>
      </c>
      <c r="AC56" s="391">
        <v>247.06</v>
      </c>
      <c r="AD56" s="24">
        <f t="shared" ref="AD56:AD84" si="50">((AB56-X56)/X56)</f>
        <v>-4.3824845505859101E-3</v>
      </c>
      <c r="AE56" s="24">
        <f t="shared" ref="AE56:AE85" si="51">((AC56-Y56)/Y56)</f>
        <v>2.4291497975709422E-4</v>
      </c>
      <c r="AF56" s="390">
        <v>41959766006.419998</v>
      </c>
      <c r="AG56" s="391">
        <v>247.28</v>
      </c>
      <c r="AH56" s="24">
        <f t="shared" ref="AH56:AH84" si="52">((AF56-AB56)/AB56)</f>
        <v>-2.4401855877500638E-2</v>
      </c>
      <c r="AI56" s="24">
        <f t="shared" ref="AI56:AI85" si="53">((AG56-AC56)/AC56)</f>
        <v>8.9047195013356622E-4</v>
      </c>
      <c r="AJ56" s="25">
        <f t="shared" si="16"/>
        <v>-9.4098930056472005E-3</v>
      </c>
      <c r="AK56" s="25">
        <f t="shared" si="17"/>
        <v>7.4053166307548569E-4</v>
      </c>
      <c r="AL56" s="26">
        <f t="shared" si="18"/>
        <v>-7.0347233859870031E-2</v>
      </c>
      <c r="AM56" s="26">
        <f t="shared" si="19"/>
        <v>5.3667262969588269E-3</v>
      </c>
      <c r="AN56" s="27">
        <f t="shared" si="20"/>
        <v>7.9138614438803278E-3</v>
      </c>
      <c r="AO56" s="84">
        <f t="shared" si="21"/>
        <v>3.0438661679299897E-4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6" t="s">
        <v>21</v>
      </c>
      <c r="B57" s="390">
        <v>1442895699.1199999</v>
      </c>
      <c r="C57" s="391">
        <v>311.63119999999998</v>
      </c>
      <c r="D57" s="390">
        <v>1448176779.3299999</v>
      </c>
      <c r="E57" s="391">
        <v>312.77179999999998</v>
      </c>
      <c r="F57" s="24">
        <f t="shared" si="38"/>
        <v>3.6600567963581071E-3</v>
      </c>
      <c r="G57" s="24">
        <f t="shared" si="39"/>
        <v>3.6600956515265683E-3</v>
      </c>
      <c r="H57" s="390">
        <v>1469837436.77</v>
      </c>
      <c r="I57" s="391">
        <v>317.47230000000002</v>
      </c>
      <c r="J57" s="24">
        <f t="shared" si="40"/>
        <v>1.4957191517751982E-2</v>
      </c>
      <c r="K57" s="24">
        <f t="shared" si="41"/>
        <v>1.5028528786802499E-2</v>
      </c>
      <c r="L57" s="390">
        <v>1491562874.8399999</v>
      </c>
      <c r="M57" s="391">
        <v>322.14299999999997</v>
      </c>
      <c r="N57" s="24">
        <f t="shared" si="42"/>
        <v>1.4780844144058584E-2</v>
      </c>
      <c r="O57" s="24">
        <f t="shared" si="43"/>
        <v>1.4712149689909809E-2</v>
      </c>
      <c r="P57" s="390">
        <v>1518561816.52</v>
      </c>
      <c r="Q57" s="391">
        <v>327.9742</v>
      </c>
      <c r="R57" s="24">
        <f t="shared" si="44"/>
        <v>1.8101108666234565E-2</v>
      </c>
      <c r="S57" s="24">
        <f t="shared" si="45"/>
        <v>1.8101278003867922E-2</v>
      </c>
      <c r="T57" s="390">
        <v>1524666231.8499999</v>
      </c>
      <c r="U57" s="391">
        <v>329.28179999999998</v>
      </c>
      <c r="V57" s="24">
        <f t="shared" si="46"/>
        <v>4.0198662073494366E-3</v>
      </c>
      <c r="W57" s="24">
        <f t="shared" si="47"/>
        <v>3.98689896949205E-3</v>
      </c>
      <c r="X57" s="390">
        <v>1527722304.27</v>
      </c>
      <c r="Y57" s="391">
        <v>329.9418</v>
      </c>
      <c r="Z57" s="24">
        <f t="shared" si="48"/>
        <v>2.004420610989658E-3</v>
      </c>
      <c r="AA57" s="24">
        <f t="shared" si="49"/>
        <v>2.0043622210520746E-3</v>
      </c>
      <c r="AB57" s="390">
        <v>1530808824.01</v>
      </c>
      <c r="AC57" s="391">
        <v>330.60840000000002</v>
      </c>
      <c r="AD57" s="24">
        <f t="shared" si="50"/>
        <v>2.0203408246205179E-3</v>
      </c>
      <c r="AE57" s="24">
        <f t="shared" si="51"/>
        <v>2.0203563173869354E-3</v>
      </c>
      <c r="AF57" s="390">
        <v>1533857195.3299999</v>
      </c>
      <c r="AG57" s="391">
        <v>331.26679999999999</v>
      </c>
      <c r="AH57" s="24">
        <f t="shared" si="52"/>
        <v>1.9913468436996806E-3</v>
      </c>
      <c r="AI57" s="24">
        <f t="shared" si="53"/>
        <v>1.9914799502976084E-3</v>
      </c>
      <c r="AJ57" s="25">
        <f t="shared" si="16"/>
        <v>7.6918969513828156E-3</v>
      </c>
      <c r="AK57" s="25">
        <f t="shared" si="17"/>
        <v>7.6881436987919346E-3</v>
      </c>
      <c r="AL57" s="26">
        <f t="shared" si="18"/>
        <v>5.9164334923005817E-2</v>
      </c>
      <c r="AM57" s="26">
        <f t="shared" si="19"/>
        <v>5.9132568856911032E-2</v>
      </c>
      <c r="AN57" s="27">
        <f t="shared" si="20"/>
        <v>6.950222178707827E-3</v>
      </c>
      <c r="AO57" s="84">
        <f t="shared" si="21"/>
        <v>6.9534865522604475E-3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91"/>
      <c r="AV57" s="91"/>
    </row>
    <row r="58" spans="1:48">
      <c r="A58" s="216" t="s">
        <v>229</v>
      </c>
      <c r="B58" s="390">
        <v>65901740998.370003</v>
      </c>
      <c r="C58" s="390">
        <v>1483.71</v>
      </c>
      <c r="D58" s="390">
        <v>65781795758.760002</v>
      </c>
      <c r="E58" s="390">
        <v>1487.3</v>
      </c>
      <c r="F58" s="24">
        <f t="shared" si="38"/>
        <v>-1.8200617736785938E-3</v>
      </c>
      <c r="G58" s="24">
        <f t="shared" si="39"/>
        <v>2.4196103012043579E-3</v>
      </c>
      <c r="H58" s="390">
        <v>66073147157.080002</v>
      </c>
      <c r="I58" s="390">
        <v>1490.89</v>
      </c>
      <c r="J58" s="24">
        <f t="shared" si="40"/>
        <v>4.4290581453334853E-3</v>
      </c>
      <c r="K58" s="24">
        <f t="shared" si="41"/>
        <v>2.4137699186446214E-3</v>
      </c>
      <c r="L58" s="390">
        <v>66432295735.940002</v>
      </c>
      <c r="M58" s="390">
        <v>1494.54</v>
      </c>
      <c r="N58" s="24">
        <f t="shared" si="42"/>
        <v>5.4356208885611773E-3</v>
      </c>
      <c r="O58" s="24">
        <f t="shared" si="43"/>
        <v>2.4482020806363067E-3</v>
      </c>
      <c r="P58" s="390">
        <v>65262601403.059998</v>
      </c>
      <c r="Q58" s="390">
        <v>1498.02</v>
      </c>
      <c r="R58" s="24">
        <f t="shared" si="44"/>
        <v>-1.7607314633975503E-2</v>
      </c>
      <c r="S58" s="24">
        <f t="shared" si="45"/>
        <v>2.3284756513710027E-3</v>
      </c>
      <c r="T58" s="390">
        <v>65341249283.900002</v>
      </c>
      <c r="U58" s="390">
        <v>1501.66</v>
      </c>
      <c r="V58" s="24">
        <f t="shared" si="46"/>
        <v>1.2050987724849774E-3</v>
      </c>
      <c r="W58" s="24">
        <f t="shared" si="47"/>
        <v>2.429874100479366E-3</v>
      </c>
      <c r="X58" s="390">
        <v>65613417472.910004</v>
      </c>
      <c r="Y58" s="390">
        <v>1504.69</v>
      </c>
      <c r="Z58" s="24">
        <f t="shared" si="48"/>
        <v>4.1653349452726801E-3</v>
      </c>
      <c r="AA58" s="24">
        <f t="shared" si="49"/>
        <v>2.0177670045149849E-3</v>
      </c>
      <c r="AB58" s="390">
        <v>66596249051.779999</v>
      </c>
      <c r="AC58" s="390">
        <v>1507.51</v>
      </c>
      <c r="AD58" s="24">
        <f t="shared" si="50"/>
        <v>1.4979124952236782E-2</v>
      </c>
      <c r="AE58" s="24">
        <f t="shared" si="51"/>
        <v>1.8741401883444007E-3</v>
      </c>
      <c r="AF58" s="390">
        <v>64168047203.940002</v>
      </c>
      <c r="AG58" s="390">
        <v>1510.32</v>
      </c>
      <c r="AH58" s="24">
        <f t="shared" si="52"/>
        <v>-3.6461540738608536E-2</v>
      </c>
      <c r="AI58" s="24">
        <f t="shared" si="53"/>
        <v>1.8640009021498667E-3</v>
      </c>
      <c r="AJ58" s="25">
        <f t="shared" si="16"/>
        <v>-3.2093349302966916E-3</v>
      </c>
      <c r="AK58" s="25">
        <f t="shared" si="17"/>
        <v>2.2244800184181134E-3</v>
      </c>
      <c r="AL58" s="26">
        <f t="shared" si="18"/>
        <v>-2.4531841008689714E-2</v>
      </c>
      <c r="AM58" s="26">
        <f t="shared" si="19"/>
        <v>1.5477711288912782E-2</v>
      </c>
      <c r="AN58" s="27">
        <f t="shared" si="20"/>
        <v>1.626878893572347E-2</v>
      </c>
      <c r="AO58" s="84">
        <f t="shared" si="21"/>
        <v>2.5977279502583674E-4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12" customFormat="1">
      <c r="A59" s="216" t="s">
        <v>186</v>
      </c>
      <c r="B59" s="390">
        <v>681006688.22000003</v>
      </c>
      <c r="C59" s="352">
        <v>1.0757000000000001</v>
      </c>
      <c r="D59" s="390">
        <v>682370353.85000002</v>
      </c>
      <c r="E59" s="352">
        <v>1.0778000000000001</v>
      </c>
      <c r="F59" s="24">
        <f t="shared" si="38"/>
        <v>2.0024261928532801E-3</v>
      </c>
      <c r="G59" s="24">
        <f t="shared" si="39"/>
        <v>1.952217160918463E-3</v>
      </c>
      <c r="H59" s="390">
        <v>683545437.17999995</v>
      </c>
      <c r="I59" s="352">
        <v>1.0799000000000001</v>
      </c>
      <c r="J59" s="24">
        <f t="shared" si="40"/>
        <v>1.7220609356341304E-3</v>
      </c>
      <c r="K59" s="24">
        <f t="shared" si="41"/>
        <v>1.9484134347745321E-3</v>
      </c>
      <c r="L59" s="390">
        <v>684829394.50999999</v>
      </c>
      <c r="M59" s="352">
        <v>1.0819000000000001</v>
      </c>
      <c r="N59" s="24">
        <f t="shared" si="42"/>
        <v>1.8783789052810762E-3</v>
      </c>
      <c r="O59" s="24">
        <f t="shared" si="43"/>
        <v>1.8520233354940288E-3</v>
      </c>
      <c r="P59" s="390">
        <v>686458377.69000006</v>
      </c>
      <c r="Q59" s="352">
        <v>1.0840000000000001</v>
      </c>
      <c r="R59" s="24">
        <f t="shared" si="44"/>
        <v>2.3786700644846228E-3</v>
      </c>
      <c r="S59" s="24">
        <f t="shared" si="45"/>
        <v>1.9410296700249473E-3</v>
      </c>
      <c r="T59" s="390">
        <v>688336622.59000003</v>
      </c>
      <c r="U59" s="352">
        <v>1.0861000000000001</v>
      </c>
      <c r="V59" s="24">
        <f t="shared" si="46"/>
        <v>2.7361380690267851E-3</v>
      </c>
      <c r="W59" s="24">
        <f t="shared" si="47"/>
        <v>1.9372693726937183E-3</v>
      </c>
      <c r="X59" s="390">
        <v>690994080.95000005</v>
      </c>
      <c r="Y59" s="352">
        <v>1.0882000000000001</v>
      </c>
      <c r="Z59" s="24">
        <f t="shared" si="48"/>
        <v>3.860695875806828E-3</v>
      </c>
      <c r="AA59" s="24">
        <f t="shared" si="49"/>
        <v>1.9335236166098801E-3</v>
      </c>
      <c r="AB59" s="390">
        <v>692369762.98000002</v>
      </c>
      <c r="AC59" s="352">
        <v>1.0904</v>
      </c>
      <c r="AD59" s="24">
        <f t="shared" si="50"/>
        <v>1.990873826456865E-3</v>
      </c>
      <c r="AE59" s="24">
        <f t="shared" si="51"/>
        <v>2.0216871898547876E-3</v>
      </c>
      <c r="AF59" s="390">
        <v>693703744.47000003</v>
      </c>
      <c r="AG59" s="352">
        <v>1.0923</v>
      </c>
      <c r="AH59" s="24">
        <f t="shared" si="52"/>
        <v>1.9266894098010218E-3</v>
      </c>
      <c r="AI59" s="24">
        <f t="shared" si="53"/>
        <v>1.7424798239178399E-3</v>
      </c>
      <c r="AJ59" s="25">
        <f t="shared" si="16"/>
        <v>2.3119916599180761E-3</v>
      </c>
      <c r="AK59" s="25">
        <f t="shared" si="17"/>
        <v>1.9160804505360248E-3</v>
      </c>
      <c r="AL59" s="26">
        <f t="shared" si="18"/>
        <v>1.6608855522599875E-2</v>
      </c>
      <c r="AM59" s="26">
        <f t="shared" si="19"/>
        <v>1.3453330859157503E-2</v>
      </c>
      <c r="AN59" s="27">
        <f t="shared" si="20"/>
        <v>7.0369174258296473E-4</v>
      </c>
      <c r="AO59" s="84">
        <f t="shared" si="21"/>
        <v>8.3768607028352797E-5</v>
      </c>
      <c r="AP59" s="31"/>
      <c r="AQ59" s="32"/>
      <c r="AR59" s="32"/>
      <c r="AS59" s="30"/>
      <c r="AT59" s="30"/>
    </row>
    <row r="60" spans="1:48">
      <c r="A60" s="217" t="s">
        <v>22</v>
      </c>
      <c r="B60" s="390">
        <v>2789583219.0589099</v>
      </c>
      <c r="C60" s="390">
        <v>3734.5709536272698</v>
      </c>
      <c r="D60" s="390">
        <v>2792536039.86694</v>
      </c>
      <c r="E60" s="390">
        <v>3740.2730861172299</v>
      </c>
      <c r="F60" s="24">
        <f t="shared" si="38"/>
        <v>1.0585168378759778E-3</v>
      </c>
      <c r="G60" s="24">
        <f t="shared" si="39"/>
        <v>1.5268507576276867E-3</v>
      </c>
      <c r="H60" s="390">
        <v>2801866564.71591</v>
      </c>
      <c r="I60" s="390">
        <v>3745.6839867844401</v>
      </c>
      <c r="J60" s="24">
        <f t="shared" si="40"/>
        <v>3.3412370389370233E-3</v>
      </c>
      <c r="K60" s="24">
        <f t="shared" si="41"/>
        <v>1.4466592525807299E-3</v>
      </c>
      <c r="L60" s="390">
        <v>2806857804.0954599</v>
      </c>
      <c r="M60" s="390">
        <v>3750.97828280573</v>
      </c>
      <c r="N60" s="24">
        <f t="shared" si="42"/>
        <v>1.7813979589195953E-3</v>
      </c>
      <c r="O60" s="24">
        <f t="shared" si="43"/>
        <v>1.4134390514440958E-3</v>
      </c>
      <c r="P60" s="390">
        <v>2808141245.8317699</v>
      </c>
      <c r="Q60" s="390">
        <v>3756.17268771403</v>
      </c>
      <c r="R60" s="24">
        <f t="shared" si="44"/>
        <v>4.572521395410011E-4</v>
      </c>
      <c r="S60" s="24">
        <f t="shared" si="45"/>
        <v>1.3848133784487063E-3</v>
      </c>
      <c r="T60" s="390">
        <v>2811044952.52388</v>
      </c>
      <c r="U60" s="390">
        <v>3761.35290289879</v>
      </c>
      <c r="V60" s="24">
        <f t="shared" si="46"/>
        <v>1.0340315667597359E-3</v>
      </c>
      <c r="W60" s="24">
        <f t="shared" si="47"/>
        <v>1.3791206143700227E-3</v>
      </c>
      <c r="X60" s="390">
        <v>2813464088.7721701</v>
      </c>
      <c r="Y60" s="390">
        <v>3766.56497147757</v>
      </c>
      <c r="Z60" s="24">
        <f t="shared" si="48"/>
        <v>8.6058255529427045E-4</v>
      </c>
      <c r="AA60" s="24">
        <f t="shared" si="49"/>
        <v>1.3856898603593242E-3</v>
      </c>
      <c r="AB60" s="390">
        <v>2817601027.7495198</v>
      </c>
      <c r="AC60" s="390">
        <v>3771.84795831474</v>
      </c>
      <c r="AD60" s="24">
        <f t="shared" si="50"/>
        <v>1.4704075996062095E-3</v>
      </c>
      <c r="AE60" s="24">
        <f t="shared" si="51"/>
        <v>1.4026007455534711E-3</v>
      </c>
      <c r="AF60" s="390">
        <v>2820506775.7290502</v>
      </c>
      <c r="AG60" s="390">
        <v>3777.1996313684499</v>
      </c>
      <c r="AH60" s="24">
        <f t="shared" si="52"/>
        <v>1.0312843979373544E-3</v>
      </c>
      <c r="AI60" s="24">
        <f t="shared" si="53"/>
        <v>1.4188464415466522E-3</v>
      </c>
      <c r="AJ60" s="25">
        <f t="shared" si="16"/>
        <v>1.3793387618588962E-3</v>
      </c>
      <c r="AK60" s="25">
        <f t="shared" si="17"/>
        <v>1.4197525127413362E-3</v>
      </c>
      <c r="AL60" s="26">
        <f t="shared" si="18"/>
        <v>1.0016248837183458E-2</v>
      </c>
      <c r="AM60" s="26">
        <f t="shared" si="19"/>
        <v>9.8726869405018104E-3</v>
      </c>
      <c r="AN60" s="27">
        <f t="shared" si="20"/>
        <v>8.8492512417709987E-4</v>
      </c>
      <c r="AO60" s="84">
        <f t="shared" si="21"/>
        <v>4.8639826627426543E-5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6" t="s">
        <v>167</v>
      </c>
      <c r="B61" s="390">
        <v>100918801811.34</v>
      </c>
      <c r="C61" s="390">
        <v>1.9626999999999999</v>
      </c>
      <c r="D61" s="390">
        <v>100939786075.22</v>
      </c>
      <c r="E61" s="390">
        <v>1.9652000000000001</v>
      </c>
      <c r="F61" s="24">
        <f t="shared" si="38"/>
        <v>2.0793215439907187E-4</v>
      </c>
      <c r="G61" s="24">
        <f t="shared" si="39"/>
        <v>1.2737555408366887E-3</v>
      </c>
      <c r="H61" s="390">
        <v>101080280753.25</v>
      </c>
      <c r="I61" s="390">
        <v>1.968</v>
      </c>
      <c r="J61" s="24">
        <f t="shared" si="40"/>
        <v>1.3918662154217625E-3</v>
      </c>
      <c r="K61" s="24">
        <f t="shared" si="41"/>
        <v>1.4247913698350874E-3</v>
      </c>
      <c r="L61" s="390">
        <v>101154044855.03999</v>
      </c>
      <c r="M61" s="390">
        <v>1.9702999999999999</v>
      </c>
      <c r="N61" s="24">
        <f t="shared" si="42"/>
        <v>7.2975758714067065E-4</v>
      </c>
      <c r="O61" s="24">
        <f t="shared" si="43"/>
        <v>1.1686991869918541E-3</v>
      </c>
      <c r="P61" s="390">
        <v>101031842025.12</v>
      </c>
      <c r="Q61" s="390">
        <v>1.9730000000000001</v>
      </c>
      <c r="R61" s="24">
        <f t="shared" si="44"/>
        <v>-1.2080864397970678E-3</v>
      </c>
      <c r="S61" s="24">
        <f t="shared" si="45"/>
        <v>1.3703496929402359E-3</v>
      </c>
      <c r="T61" s="390">
        <v>101141911998.03</v>
      </c>
      <c r="U61" s="390">
        <v>1.9755</v>
      </c>
      <c r="V61" s="24">
        <f t="shared" si="46"/>
        <v>1.0894582411220067E-3</v>
      </c>
      <c r="W61" s="24">
        <f t="shared" si="47"/>
        <v>1.2671059300557255E-3</v>
      </c>
      <c r="X61" s="390">
        <v>101246774163.89</v>
      </c>
      <c r="Y61" s="390">
        <v>1.9781</v>
      </c>
      <c r="Z61" s="24">
        <f t="shared" si="48"/>
        <v>1.0367825146714951E-3</v>
      </c>
      <c r="AA61" s="24">
        <f t="shared" si="49"/>
        <v>1.3161225006327185E-3</v>
      </c>
      <c r="AB61" s="390">
        <v>101383037450.89</v>
      </c>
      <c r="AC61" s="390">
        <v>1.9807999999999999</v>
      </c>
      <c r="AD61" s="24">
        <f t="shared" si="50"/>
        <v>1.3458531210034221E-3</v>
      </c>
      <c r="AE61" s="24">
        <f t="shared" si="51"/>
        <v>1.3649461604569662E-3</v>
      </c>
      <c r="AF61" s="390">
        <v>100780052811.61</v>
      </c>
      <c r="AG61" s="390">
        <v>1.9834000000000001</v>
      </c>
      <c r="AH61" s="24">
        <f t="shared" si="52"/>
        <v>-5.9475890093753101E-3</v>
      </c>
      <c r="AI61" s="24">
        <f t="shared" si="53"/>
        <v>1.3126009693054108E-3</v>
      </c>
      <c r="AJ61" s="25">
        <f t="shared" si="16"/>
        <v>-1.6925320192674362E-4</v>
      </c>
      <c r="AK61" s="25">
        <f t="shared" si="17"/>
        <v>1.3122964188818358E-3</v>
      </c>
      <c r="AL61" s="26">
        <f t="shared" si="18"/>
        <v>-1.5824608890192011E-3</v>
      </c>
      <c r="AM61" s="26">
        <f t="shared" si="19"/>
        <v>9.26114390392835E-3</v>
      </c>
      <c r="AN61" s="27">
        <f t="shared" si="20"/>
        <v>2.4839584204942684E-3</v>
      </c>
      <c r="AO61" s="84">
        <f t="shared" si="21"/>
        <v>7.8339707252294134E-5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6" t="s">
        <v>53</v>
      </c>
      <c r="B62" s="390">
        <v>9816509334.4599991</v>
      </c>
      <c r="C62" s="391">
        <v>1</v>
      </c>
      <c r="D62" s="390">
        <v>9875463395.9500008</v>
      </c>
      <c r="E62" s="391">
        <v>1</v>
      </c>
      <c r="F62" s="24">
        <f t="shared" si="38"/>
        <v>6.005603364838517E-3</v>
      </c>
      <c r="G62" s="24">
        <f t="shared" si="39"/>
        <v>0</v>
      </c>
      <c r="H62" s="390">
        <v>9886268816.0599995</v>
      </c>
      <c r="I62" s="391">
        <v>1</v>
      </c>
      <c r="J62" s="24">
        <f t="shared" si="40"/>
        <v>1.094168412839248E-3</v>
      </c>
      <c r="K62" s="24">
        <f t="shared" si="41"/>
        <v>0</v>
      </c>
      <c r="L62" s="390">
        <v>9888728146.8999996</v>
      </c>
      <c r="M62" s="391">
        <v>1</v>
      </c>
      <c r="N62" s="24">
        <f t="shared" si="42"/>
        <v>2.487622869413616E-4</v>
      </c>
      <c r="O62" s="24">
        <f t="shared" si="43"/>
        <v>0</v>
      </c>
      <c r="P62" s="390">
        <v>9876879572.9599991</v>
      </c>
      <c r="Q62" s="391">
        <v>1</v>
      </c>
      <c r="R62" s="24">
        <f t="shared" si="44"/>
        <v>-1.1981898747732208E-3</v>
      </c>
      <c r="S62" s="24">
        <f t="shared" si="45"/>
        <v>0</v>
      </c>
      <c r="T62" s="390">
        <v>9889007015.1700001</v>
      </c>
      <c r="U62" s="391">
        <v>1</v>
      </c>
      <c r="V62" s="24">
        <f t="shared" si="46"/>
        <v>1.2278617067684387E-3</v>
      </c>
      <c r="W62" s="24">
        <f t="shared" si="47"/>
        <v>0</v>
      </c>
      <c r="X62" s="390">
        <v>9891023152.25</v>
      </c>
      <c r="Y62" s="391">
        <v>1</v>
      </c>
      <c r="Z62" s="24">
        <f t="shared" si="48"/>
        <v>2.0387659518363328E-4</v>
      </c>
      <c r="AA62" s="24">
        <f t="shared" si="49"/>
        <v>0</v>
      </c>
      <c r="AB62" s="390">
        <v>9875918059.3700008</v>
      </c>
      <c r="AC62" s="391">
        <v>1</v>
      </c>
      <c r="AD62" s="24">
        <f t="shared" si="50"/>
        <v>-1.5271517058943562E-3</v>
      </c>
      <c r="AE62" s="24">
        <f t="shared" si="51"/>
        <v>0</v>
      </c>
      <c r="AF62" s="390">
        <v>9866152181.8999996</v>
      </c>
      <c r="AG62" s="391">
        <v>1</v>
      </c>
      <c r="AH62" s="24">
        <f t="shared" si="52"/>
        <v>-9.8885768505699821E-4</v>
      </c>
      <c r="AI62" s="24">
        <f t="shared" si="53"/>
        <v>0</v>
      </c>
      <c r="AJ62" s="25">
        <f t="shared" si="16"/>
        <v>6.3325913760582816E-4</v>
      </c>
      <c r="AK62" s="25">
        <f t="shared" si="17"/>
        <v>0</v>
      </c>
      <c r="AL62" s="26">
        <f t="shared" si="18"/>
        <v>-9.428635069236084E-4</v>
      </c>
      <c r="AM62" s="26">
        <f t="shared" si="19"/>
        <v>0</v>
      </c>
      <c r="AN62" s="27">
        <f t="shared" si="20"/>
        <v>2.4027699120289818E-3</v>
      </c>
      <c r="AO62" s="84">
        <f t="shared" si="21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6" t="s">
        <v>23</v>
      </c>
      <c r="B63" s="390">
        <v>3484348469.6100001</v>
      </c>
      <c r="C63" s="391">
        <v>23.685300000000002</v>
      </c>
      <c r="D63" s="390">
        <v>3487799753.27</v>
      </c>
      <c r="E63" s="391">
        <v>23.717600000000001</v>
      </c>
      <c r="F63" s="24">
        <f t="shared" si="38"/>
        <v>9.9051047566035963E-4</v>
      </c>
      <c r="G63" s="24">
        <f t="shared" si="39"/>
        <v>1.3637150468855926E-3</v>
      </c>
      <c r="H63" s="390">
        <v>3471159531.71</v>
      </c>
      <c r="I63" s="391">
        <v>23.717600000000001</v>
      </c>
      <c r="J63" s="24">
        <f t="shared" si="40"/>
        <v>-4.7709796253064237E-3</v>
      </c>
      <c r="K63" s="24">
        <f t="shared" si="41"/>
        <v>0</v>
      </c>
      <c r="L63" s="390">
        <v>3475256348.6399999</v>
      </c>
      <c r="M63" s="391">
        <v>23.777699999999999</v>
      </c>
      <c r="N63" s="24">
        <f t="shared" si="42"/>
        <v>1.1802444954126352E-3</v>
      </c>
      <c r="O63" s="24">
        <f t="shared" si="43"/>
        <v>2.5339832023475598E-3</v>
      </c>
      <c r="P63" s="390">
        <v>3475668326.9899998</v>
      </c>
      <c r="Q63" s="391">
        <v>23.8079</v>
      </c>
      <c r="R63" s="24">
        <f t="shared" si="44"/>
        <v>1.185461757838749E-4</v>
      </c>
      <c r="S63" s="24">
        <f t="shared" si="45"/>
        <v>1.270097612468854E-3</v>
      </c>
      <c r="T63" s="390">
        <v>3480074606.6799998</v>
      </c>
      <c r="U63" s="391">
        <v>23.838100000000001</v>
      </c>
      <c r="V63" s="24">
        <f t="shared" si="46"/>
        <v>1.2677503361823901E-3</v>
      </c>
      <c r="W63" s="24">
        <f t="shared" si="47"/>
        <v>1.2684865107800633E-3</v>
      </c>
      <c r="X63" s="390">
        <v>3489478822.0100002</v>
      </c>
      <c r="Y63" s="391">
        <v>23.868200000000002</v>
      </c>
      <c r="Z63" s="24">
        <f t="shared" si="48"/>
        <v>2.7023027931496117E-3</v>
      </c>
      <c r="AA63" s="24">
        <f t="shared" si="49"/>
        <v>1.2626845260318945E-3</v>
      </c>
      <c r="AB63" s="390">
        <v>3492696859.6599998</v>
      </c>
      <c r="AC63" s="391">
        <v>23.898399999999999</v>
      </c>
      <c r="AD63" s="24">
        <f t="shared" si="50"/>
        <v>9.2221154336909639E-4</v>
      </c>
      <c r="AE63" s="24">
        <f t="shared" si="51"/>
        <v>1.2652818394347759E-3</v>
      </c>
      <c r="AF63" s="390">
        <v>3310508943.7600002</v>
      </c>
      <c r="AG63" s="391">
        <v>23.9253</v>
      </c>
      <c r="AH63" s="24">
        <f t="shared" si="52"/>
        <v>-5.2162533200128591E-2</v>
      </c>
      <c r="AI63" s="24">
        <f t="shared" si="53"/>
        <v>1.1255983664178882E-3</v>
      </c>
      <c r="AJ63" s="25">
        <f t="shared" si="16"/>
        <v>-6.2189933757346308E-3</v>
      </c>
      <c r="AK63" s="25">
        <f t="shared" si="17"/>
        <v>1.2612308880458284E-3</v>
      </c>
      <c r="AL63" s="26">
        <f t="shared" si="18"/>
        <v>-5.0831705387839446E-2</v>
      </c>
      <c r="AM63" s="26">
        <f t="shared" si="19"/>
        <v>8.7572098357337636E-3</v>
      </c>
      <c r="AN63" s="27">
        <f t="shared" si="20"/>
        <v>1.8694664381195478E-2</v>
      </c>
      <c r="AO63" s="84">
        <f t="shared" si="21"/>
        <v>6.8029938539601131E-4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6" t="s">
        <v>112</v>
      </c>
      <c r="B64" s="390">
        <v>416692178.63</v>
      </c>
      <c r="C64" s="391">
        <v>2.1244999999999998</v>
      </c>
      <c r="D64" s="390">
        <v>416910135.31</v>
      </c>
      <c r="E64" s="391">
        <v>2.1255999999999999</v>
      </c>
      <c r="F64" s="24">
        <f t="shared" si="38"/>
        <v>5.2306400546466903E-4</v>
      </c>
      <c r="G64" s="24">
        <f t="shared" si="39"/>
        <v>5.1776888679694094E-4</v>
      </c>
      <c r="H64" s="390">
        <v>419497477.39999998</v>
      </c>
      <c r="I64" s="391">
        <v>2.1385999999999998</v>
      </c>
      <c r="J64" s="24">
        <f t="shared" si="40"/>
        <v>6.2059946997357488E-3</v>
      </c>
      <c r="K64" s="24">
        <f t="shared" si="41"/>
        <v>6.1159202107639726E-3</v>
      </c>
      <c r="L64" s="390">
        <v>419606403.51999998</v>
      </c>
      <c r="M64" s="391">
        <v>2.1391</v>
      </c>
      <c r="N64" s="24">
        <f t="shared" si="42"/>
        <v>2.5965858167995931E-4</v>
      </c>
      <c r="O64" s="24">
        <f t="shared" si="43"/>
        <v>2.3379781165256102E-4</v>
      </c>
      <c r="P64" s="390">
        <v>420336175.68000001</v>
      </c>
      <c r="Q64" s="391">
        <v>2.1427999999999998</v>
      </c>
      <c r="R64" s="24">
        <f t="shared" si="44"/>
        <v>1.7391826098889422E-3</v>
      </c>
      <c r="S64" s="24">
        <f t="shared" si="45"/>
        <v>1.7296994062922792E-3</v>
      </c>
      <c r="T64" s="390">
        <v>420336175.68000001</v>
      </c>
      <c r="U64" s="391">
        <v>2.1427999999999998</v>
      </c>
      <c r="V64" s="24">
        <f t="shared" si="46"/>
        <v>0</v>
      </c>
      <c r="W64" s="24">
        <f t="shared" si="47"/>
        <v>0</v>
      </c>
      <c r="X64" s="390">
        <v>420335493.08999997</v>
      </c>
      <c r="Y64" s="391">
        <v>2.1425828066461472</v>
      </c>
      <c r="Z64" s="24">
        <f t="shared" si="48"/>
        <v>-1.6239144749535696E-6</v>
      </c>
      <c r="AA64" s="24">
        <f t="shared" si="49"/>
        <v>-1.0135960138725887E-4</v>
      </c>
      <c r="AB64" s="390">
        <v>422705361.08999997</v>
      </c>
      <c r="AC64" s="391">
        <v>2.1547000000000001</v>
      </c>
      <c r="AD64" s="24">
        <f t="shared" si="50"/>
        <v>5.6380392304691161E-3</v>
      </c>
      <c r="AE64" s="24">
        <f t="shared" si="51"/>
        <v>5.6554142580936178E-3</v>
      </c>
      <c r="AF64" s="390">
        <v>423189763.33999997</v>
      </c>
      <c r="AG64" s="391">
        <v>2.1570999999999998</v>
      </c>
      <c r="AH64" s="24">
        <f t="shared" si="52"/>
        <v>1.1459571952220022E-3</v>
      </c>
      <c r="AI64" s="24">
        <f t="shared" si="53"/>
        <v>1.1138441546385742E-3</v>
      </c>
      <c r="AJ64" s="25">
        <f t="shared" si="16"/>
        <v>1.9387840509981855E-3</v>
      </c>
      <c r="AK64" s="25">
        <f t="shared" si="17"/>
        <v>1.9081356408563357E-3</v>
      </c>
      <c r="AL64" s="26">
        <f t="shared" si="18"/>
        <v>1.5062305993905992E-2</v>
      </c>
      <c r="AM64" s="26">
        <f t="shared" si="19"/>
        <v>1.4819345126081983E-2</v>
      </c>
      <c r="AN64" s="27">
        <f t="shared" si="20"/>
        <v>2.5329199135720737E-3</v>
      </c>
      <c r="AO64" s="84">
        <f t="shared" si="21"/>
        <v>2.5305523424863567E-3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6" t="s">
        <v>68</v>
      </c>
      <c r="B65" s="390">
        <v>15237704481.639999</v>
      </c>
      <c r="C65" s="391">
        <v>334.08</v>
      </c>
      <c r="D65" s="390">
        <v>15199943360.51</v>
      </c>
      <c r="E65" s="391">
        <v>334.41</v>
      </c>
      <c r="F65" s="24">
        <f t="shared" si="38"/>
        <v>-2.4781371219987735E-3</v>
      </c>
      <c r="G65" s="24">
        <f t="shared" si="39"/>
        <v>9.8778735632196169E-4</v>
      </c>
      <c r="H65" s="390">
        <v>15125976500.41</v>
      </c>
      <c r="I65" s="391">
        <v>334.76</v>
      </c>
      <c r="J65" s="24">
        <f t="shared" si="40"/>
        <v>-4.8662589291068644E-3</v>
      </c>
      <c r="K65" s="24">
        <f t="shared" si="41"/>
        <v>1.0466194192756374E-3</v>
      </c>
      <c r="L65" s="390">
        <v>14935685735.74</v>
      </c>
      <c r="M65" s="391">
        <v>335.18</v>
      </c>
      <c r="N65" s="24">
        <f t="shared" si="42"/>
        <v>-1.2580395365868916E-2</v>
      </c>
      <c r="O65" s="24">
        <f t="shared" si="43"/>
        <v>1.2546301828175886E-3</v>
      </c>
      <c r="P65" s="390">
        <v>14980439262.219999</v>
      </c>
      <c r="Q65" s="391">
        <v>335.59</v>
      </c>
      <c r="R65" s="24">
        <f t="shared" si="44"/>
        <v>2.9964159176774615E-3</v>
      </c>
      <c r="S65" s="24">
        <f t="shared" si="45"/>
        <v>1.2232233426814493E-3</v>
      </c>
      <c r="T65" s="390">
        <v>14934839103.09</v>
      </c>
      <c r="U65" s="391">
        <v>336</v>
      </c>
      <c r="V65" s="24">
        <f t="shared" si="46"/>
        <v>-3.0439801084472021E-3</v>
      </c>
      <c r="W65" s="24">
        <f t="shared" si="47"/>
        <v>1.2217288953783635E-3</v>
      </c>
      <c r="X65" s="390">
        <v>14908607764.639999</v>
      </c>
      <c r="Y65" s="391">
        <v>336.36</v>
      </c>
      <c r="Z65" s="24">
        <f t="shared" si="48"/>
        <v>-1.7563857413484642E-3</v>
      </c>
      <c r="AA65" s="24">
        <f t="shared" si="49"/>
        <v>1.071428571428612E-3</v>
      </c>
      <c r="AB65" s="390">
        <v>14977291273.709999</v>
      </c>
      <c r="AC65" s="391">
        <v>336.76</v>
      </c>
      <c r="AD65" s="24">
        <f t="shared" si="50"/>
        <v>4.6069700239147852E-3</v>
      </c>
      <c r="AE65" s="24">
        <f t="shared" si="51"/>
        <v>1.1892020454274505E-3</v>
      </c>
      <c r="AF65" s="390">
        <v>15026247728.280001</v>
      </c>
      <c r="AG65" s="391">
        <v>337.15</v>
      </c>
      <c r="AH65" s="24">
        <f t="shared" si="52"/>
        <v>3.2687121906973958E-3</v>
      </c>
      <c r="AI65" s="24">
        <f t="shared" si="53"/>
        <v>1.1580947856039505E-3</v>
      </c>
      <c r="AJ65" s="25">
        <f t="shared" si="16"/>
        <v>-1.7316323918100725E-3</v>
      </c>
      <c r="AK65" s="25">
        <f t="shared" si="17"/>
        <v>1.1440893248668767E-3</v>
      </c>
      <c r="AL65" s="26">
        <f t="shared" si="18"/>
        <v>-1.1427386807326339E-2</v>
      </c>
      <c r="AM65" s="26">
        <f t="shared" si="19"/>
        <v>8.1935348823299302E-3</v>
      </c>
      <c r="AN65" s="27">
        <f t="shared" si="20"/>
        <v>5.5720917784308696E-3</v>
      </c>
      <c r="AO65" s="84">
        <f t="shared" si="21"/>
        <v>9.7064750410078495E-5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6" t="s">
        <v>39</v>
      </c>
      <c r="B66" s="390">
        <v>6464200299.3000002</v>
      </c>
      <c r="C66" s="391">
        <v>1.01</v>
      </c>
      <c r="D66" s="390">
        <v>6563947332.9499998</v>
      </c>
      <c r="E66" s="391">
        <v>1.01</v>
      </c>
      <c r="F66" s="24">
        <f t="shared" si="38"/>
        <v>1.5430684234954955E-2</v>
      </c>
      <c r="G66" s="24">
        <f t="shared" si="39"/>
        <v>0</v>
      </c>
      <c r="H66" s="390">
        <v>6547686679.6000004</v>
      </c>
      <c r="I66" s="391">
        <v>1.01</v>
      </c>
      <c r="J66" s="24">
        <f t="shared" si="40"/>
        <v>-2.4772674924391095E-3</v>
      </c>
      <c r="K66" s="24">
        <f t="shared" si="41"/>
        <v>0</v>
      </c>
      <c r="L66" s="390">
        <v>6545118096.0600004</v>
      </c>
      <c r="M66" s="391">
        <v>1.01</v>
      </c>
      <c r="N66" s="24">
        <f t="shared" si="42"/>
        <v>-3.9228870678901774E-4</v>
      </c>
      <c r="O66" s="24">
        <f t="shared" si="43"/>
        <v>0</v>
      </c>
      <c r="P66" s="390">
        <v>6576965012.4399996</v>
      </c>
      <c r="Q66" s="391">
        <v>1.02</v>
      </c>
      <c r="R66" s="24">
        <f t="shared" si="44"/>
        <v>4.86575122291074E-3</v>
      </c>
      <c r="S66" s="24">
        <f t="shared" si="45"/>
        <v>9.9009900990099098E-3</v>
      </c>
      <c r="T66" s="390">
        <v>6546996487.2299995</v>
      </c>
      <c r="U66" s="391">
        <v>1.02</v>
      </c>
      <c r="V66" s="24">
        <f t="shared" si="46"/>
        <v>-4.5565888146456724E-3</v>
      </c>
      <c r="W66" s="24">
        <f t="shared" si="47"/>
        <v>0</v>
      </c>
      <c r="X66" s="390">
        <v>6647599294.1800003</v>
      </c>
      <c r="Y66" s="391">
        <v>1.02</v>
      </c>
      <c r="Z66" s="24">
        <f t="shared" si="48"/>
        <v>1.5366253387523244E-2</v>
      </c>
      <c r="AA66" s="24">
        <f t="shared" si="49"/>
        <v>0</v>
      </c>
      <c r="AB66" s="390">
        <v>6681647198.0100002</v>
      </c>
      <c r="AC66" s="391">
        <v>1.02</v>
      </c>
      <c r="AD66" s="24">
        <f t="shared" si="50"/>
        <v>5.1218345636159209E-3</v>
      </c>
      <c r="AE66" s="24">
        <f t="shared" si="51"/>
        <v>0</v>
      </c>
      <c r="AF66" s="390">
        <v>6726909090.79</v>
      </c>
      <c r="AG66" s="391">
        <v>1.02</v>
      </c>
      <c r="AH66" s="24">
        <f t="shared" si="52"/>
        <v>6.7740620596490209E-3</v>
      </c>
      <c r="AI66" s="24">
        <f t="shared" si="53"/>
        <v>0</v>
      </c>
      <c r="AJ66" s="25">
        <f t="shared" si="16"/>
        <v>5.01655505684751E-3</v>
      </c>
      <c r="AK66" s="25">
        <f t="shared" si="17"/>
        <v>1.2376237623762387E-3</v>
      </c>
      <c r="AL66" s="26">
        <f t="shared" si="18"/>
        <v>2.4826792412236055E-2</v>
      </c>
      <c r="AM66" s="26">
        <f t="shared" si="19"/>
        <v>9.9009900990099098E-3</v>
      </c>
      <c r="AN66" s="27">
        <f t="shared" si="20"/>
        <v>7.5190334613851467E-3</v>
      </c>
      <c r="AO66" s="84">
        <f t="shared" si="21"/>
        <v>3.5005286197353869E-3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6" t="s">
        <v>119</v>
      </c>
      <c r="B67" s="390">
        <v>1543349555.27</v>
      </c>
      <c r="C67" s="391">
        <v>3.54</v>
      </c>
      <c r="D67" s="390">
        <v>1504009068.04</v>
      </c>
      <c r="E67" s="391">
        <v>3.54</v>
      </c>
      <c r="F67" s="24">
        <f t="shared" si="38"/>
        <v>-2.5490328549139102E-2</v>
      </c>
      <c r="G67" s="24">
        <f t="shared" si="39"/>
        <v>0</v>
      </c>
      <c r="H67" s="390">
        <v>1504770352.8699999</v>
      </c>
      <c r="I67" s="391">
        <v>3.55</v>
      </c>
      <c r="J67" s="24">
        <f t="shared" si="40"/>
        <v>5.0617037235820505E-4</v>
      </c>
      <c r="K67" s="24">
        <f t="shared" si="41"/>
        <v>2.8248587570620866E-3</v>
      </c>
      <c r="L67" s="390">
        <v>1504042386.28</v>
      </c>
      <c r="M67" s="391">
        <v>3.55</v>
      </c>
      <c r="N67" s="24">
        <f t="shared" si="42"/>
        <v>-4.8377254948669545E-4</v>
      </c>
      <c r="O67" s="24">
        <f t="shared" si="43"/>
        <v>0</v>
      </c>
      <c r="P67" s="390">
        <v>1427980718.4200001</v>
      </c>
      <c r="Q67" s="391">
        <v>3.52</v>
      </c>
      <c r="R67" s="24">
        <f t="shared" si="44"/>
        <v>-5.057149223575131E-2</v>
      </c>
      <c r="S67" s="24">
        <f t="shared" si="45"/>
        <v>-8.450704225352058E-3</v>
      </c>
      <c r="T67" s="390">
        <v>1421574689.28</v>
      </c>
      <c r="U67" s="391">
        <v>3.52</v>
      </c>
      <c r="V67" s="24">
        <f t="shared" si="46"/>
        <v>-4.4860753771858372E-3</v>
      </c>
      <c r="W67" s="24">
        <f t="shared" si="47"/>
        <v>0</v>
      </c>
      <c r="X67" s="390">
        <v>1422977608.54</v>
      </c>
      <c r="Y67" s="391">
        <v>3.52</v>
      </c>
      <c r="Z67" s="24">
        <f t="shared" si="48"/>
        <v>9.8687692639670027E-4</v>
      </c>
      <c r="AA67" s="24">
        <f t="shared" si="49"/>
        <v>0</v>
      </c>
      <c r="AB67" s="390">
        <v>1424233832.3800001</v>
      </c>
      <c r="AC67" s="391">
        <v>3.53</v>
      </c>
      <c r="AD67" s="24">
        <f t="shared" si="50"/>
        <v>8.8281349788002657E-4</v>
      </c>
      <c r="AE67" s="24">
        <f t="shared" si="51"/>
        <v>2.8409090909090303E-3</v>
      </c>
      <c r="AF67" s="390">
        <v>1425107169.76</v>
      </c>
      <c r="AG67" s="391">
        <v>3.53</v>
      </c>
      <c r="AH67" s="24">
        <f t="shared" si="52"/>
        <v>6.1319802980699077E-4</v>
      </c>
      <c r="AI67" s="24">
        <f t="shared" si="53"/>
        <v>0</v>
      </c>
      <c r="AJ67" s="25">
        <f t="shared" si="16"/>
        <v>-9.7553262356401289E-3</v>
      </c>
      <c r="AK67" s="25">
        <f t="shared" si="17"/>
        <v>-3.481170471726177E-4</v>
      </c>
      <c r="AL67" s="26">
        <f t="shared" si="18"/>
        <v>-5.2461052234760552E-2</v>
      </c>
      <c r="AM67" s="26">
        <f t="shared" si="19"/>
        <v>-2.8248587570622119E-3</v>
      </c>
      <c r="AN67" s="27">
        <f t="shared" si="20"/>
        <v>1.8779342643913278E-2</v>
      </c>
      <c r="AO67" s="84">
        <f t="shared" si="21"/>
        <v>3.5151815546748811E-3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7" t="s">
        <v>73</v>
      </c>
      <c r="B68" s="390">
        <v>42997908215.529999</v>
      </c>
      <c r="C68" s="390">
        <v>4591.88</v>
      </c>
      <c r="D68" s="390">
        <v>42631431626.849998</v>
      </c>
      <c r="E68" s="390">
        <v>4598.99</v>
      </c>
      <c r="F68" s="24">
        <f t="shared" si="38"/>
        <v>-8.5231259819201193E-3</v>
      </c>
      <c r="G68" s="24">
        <f t="shared" si="39"/>
        <v>1.5483854107685028E-3</v>
      </c>
      <c r="H68" s="390">
        <v>40527765481.970001</v>
      </c>
      <c r="I68" s="390">
        <v>4608.74</v>
      </c>
      <c r="J68" s="24">
        <f t="shared" si="40"/>
        <v>-4.9345425771605396E-2</v>
      </c>
      <c r="K68" s="24">
        <f t="shared" si="41"/>
        <v>2.1200307023933516E-3</v>
      </c>
      <c r="L68" s="390">
        <v>40407572233.879997</v>
      </c>
      <c r="M68" s="390">
        <v>4616.88</v>
      </c>
      <c r="N68" s="24">
        <f t="shared" si="42"/>
        <v>-2.965701332422967E-3</v>
      </c>
      <c r="O68" s="24">
        <f t="shared" si="43"/>
        <v>1.7662094194943363E-3</v>
      </c>
      <c r="P68" s="390">
        <v>40567992132.209999</v>
      </c>
      <c r="Q68" s="390">
        <v>4626.68</v>
      </c>
      <c r="R68" s="24">
        <f t="shared" si="44"/>
        <v>3.9700454509240899E-3</v>
      </c>
      <c r="S68" s="24">
        <f t="shared" si="45"/>
        <v>2.1226455961602169E-3</v>
      </c>
      <c r="T68" s="390">
        <v>41628770689.550003</v>
      </c>
      <c r="U68" s="390">
        <v>4636.74</v>
      </c>
      <c r="V68" s="24">
        <f t="shared" si="46"/>
        <v>2.614816513183485E-2</v>
      </c>
      <c r="W68" s="24">
        <f t="shared" si="47"/>
        <v>2.1743453188894607E-3</v>
      </c>
      <c r="X68" s="390">
        <v>41592999357.089996</v>
      </c>
      <c r="Y68" s="390">
        <v>4636.74</v>
      </c>
      <c r="Z68" s="24">
        <f t="shared" si="48"/>
        <v>-8.5929350945225795E-4</v>
      </c>
      <c r="AA68" s="24">
        <f t="shared" si="49"/>
        <v>0</v>
      </c>
      <c r="AB68" s="390">
        <v>41791953405.889999</v>
      </c>
      <c r="AC68" s="390">
        <v>4654.46</v>
      </c>
      <c r="AD68" s="24">
        <f t="shared" si="50"/>
        <v>4.7833542152590416E-3</v>
      </c>
      <c r="AE68" s="24">
        <f t="shared" si="51"/>
        <v>3.8216505562098059E-3</v>
      </c>
      <c r="AF68" s="390">
        <v>37036343649.5</v>
      </c>
      <c r="AG68" s="390">
        <v>4661.43</v>
      </c>
      <c r="AH68" s="24">
        <f t="shared" si="52"/>
        <v>-0.11379247364206148</v>
      </c>
      <c r="AI68" s="24">
        <f t="shared" si="53"/>
        <v>1.4974884304517074E-3</v>
      </c>
      <c r="AJ68" s="25">
        <f t="shared" si="16"/>
        <v>-1.7573056929930529E-2</v>
      </c>
      <c r="AK68" s="25">
        <f t="shared" si="17"/>
        <v>1.8813444292959227E-3</v>
      </c>
      <c r="AL68" s="26">
        <f t="shared" si="18"/>
        <v>-0.13124325793990266</v>
      </c>
      <c r="AM68" s="26">
        <f t="shared" si="19"/>
        <v>1.3576894057173534E-2</v>
      </c>
      <c r="AN68" s="27">
        <f t="shared" si="20"/>
        <v>4.426824916297166E-2</v>
      </c>
      <c r="AO68" s="84">
        <f t="shared" si="21"/>
        <v>1.0540232340573912E-3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7" t="s">
        <v>74</v>
      </c>
      <c r="B69" s="390">
        <v>244171568.50999999</v>
      </c>
      <c r="C69" s="390">
        <v>4341.07</v>
      </c>
      <c r="D69" s="390">
        <v>246173710.88</v>
      </c>
      <c r="E69" s="390">
        <v>4377.1099999999997</v>
      </c>
      <c r="F69" s="24">
        <f t="shared" si="38"/>
        <v>8.1997358751373529E-3</v>
      </c>
      <c r="G69" s="24">
        <f t="shared" si="39"/>
        <v>8.3021006341754376E-3</v>
      </c>
      <c r="H69" s="390">
        <v>246408335.30000001</v>
      </c>
      <c r="I69" s="390">
        <v>4372.3100000000004</v>
      </c>
      <c r="J69" s="24">
        <f t="shared" si="40"/>
        <v>9.530847918784751E-4</v>
      </c>
      <c r="K69" s="24">
        <f t="shared" si="41"/>
        <v>-1.096613975888034E-3</v>
      </c>
      <c r="L69" s="390">
        <v>246084212.38999999</v>
      </c>
      <c r="M69" s="390">
        <v>4366.49</v>
      </c>
      <c r="N69" s="24">
        <f t="shared" si="42"/>
        <v>-1.3153893905634702E-3</v>
      </c>
      <c r="O69" s="24">
        <f t="shared" si="43"/>
        <v>-1.3311041531823265E-3</v>
      </c>
      <c r="P69" s="390">
        <v>247111092.53999999</v>
      </c>
      <c r="Q69" s="390">
        <v>4384.62</v>
      </c>
      <c r="R69" s="24">
        <f t="shared" si="44"/>
        <v>4.1728810638716734E-3</v>
      </c>
      <c r="S69" s="24">
        <f t="shared" si="45"/>
        <v>4.1520763817162317E-3</v>
      </c>
      <c r="T69" s="390">
        <v>248200224.75</v>
      </c>
      <c r="U69" s="390">
        <v>4403.96</v>
      </c>
      <c r="V69" s="24">
        <f t="shared" si="46"/>
        <v>4.407459814146991E-3</v>
      </c>
      <c r="W69" s="24">
        <f t="shared" si="47"/>
        <v>4.4108725499587527E-3</v>
      </c>
      <c r="X69" s="390">
        <v>248658483.49000001</v>
      </c>
      <c r="Y69" s="390">
        <v>4412.05</v>
      </c>
      <c r="Z69" s="24">
        <f t="shared" si="48"/>
        <v>1.8463268534973779E-3</v>
      </c>
      <c r="AA69" s="24">
        <f t="shared" si="49"/>
        <v>1.8369830788654178E-3</v>
      </c>
      <c r="AB69" s="390">
        <v>247948427.30000001</v>
      </c>
      <c r="AC69" s="390">
        <v>4399.33</v>
      </c>
      <c r="AD69" s="24">
        <f t="shared" si="50"/>
        <v>-2.8555478181726828E-3</v>
      </c>
      <c r="AE69" s="24">
        <f t="shared" si="51"/>
        <v>-2.8830135651228463E-3</v>
      </c>
      <c r="AF69" s="390">
        <v>248114061.63</v>
      </c>
      <c r="AG69" s="390">
        <v>4402.25</v>
      </c>
      <c r="AH69" s="24">
        <f t="shared" si="52"/>
        <v>6.680192804755221E-4</v>
      </c>
      <c r="AI69" s="24">
        <f t="shared" si="53"/>
        <v>6.6373743274545738E-4</v>
      </c>
      <c r="AJ69" s="25">
        <f t="shared" si="16"/>
        <v>2.0095713087839055E-3</v>
      </c>
      <c r="AK69" s="25">
        <f t="shared" si="17"/>
        <v>1.7568797979085112E-3</v>
      </c>
      <c r="AL69" s="26">
        <f t="shared" si="18"/>
        <v>7.8820388377938734E-3</v>
      </c>
      <c r="AM69" s="26">
        <f t="shared" si="19"/>
        <v>5.743515698714524E-3</v>
      </c>
      <c r="AN69" s="27">
        <f t="shared" si="20"/>
        <v>3.5135500538847472E-3</v>
      </c>
      <c r="AO69" s="84">
        <f t="shared" si="21"/>
        <v>3.7038323547422597E-3</v>
      </c>
      <c r="AP69" s="31"/>
      <c r="AQ69" s="29"/>
      <c r="AR69" s="29"/>
      <c r="AS69" s="30"/>
      <c r="AT69" s="30"/>
    </row>
    <row r="70" spans="1:46">
      <c r="A70" s="217" t="s">
        <v>97</v>
      </c>
      <c r="B70" s="390">
        <v>53887213.490000002</v>
      </c>
      <c r="C70" s="390">
        <v>11.716478</v>
      </c>
      <c r="D70" s="390">
        <v>53499589.799999997</v>
      </c>
      <c r="E70" s="390">
        <v>11.651462</v>
      </c>
      <c r="F70" s="24">
        <f t="shared" si="38"/>
        <v>-7.1932405647944196E-3</v>
      </c>
      <c r="G70" s="24">
        <f t="shared" si="39"/>
        <v>-5.5491078462316032E-3</v>
      </c>
      <c r="H70" s="390">
        <v>53594505.380000003</v>
      </c>
      <c r="I70" s="390">
        <v>11.707857000000001</v>
      </c>
      <c r="J70" s="24">
        <f t="shared" si="40"/>
        <v>1.774136593473576E-3</v>
      </c>
      <c r="K70" s="24">
        <f t="shared" si="41"/>
        <v>4.8401651226258292E-3</v>
      </c>
      <c r="L70" s="390">
        <v>52388518.450000003</v>
      </c>
      <c r="M70" s="390">
        <v>11.7</v>
      </c>
      <c r="N70" s="24">
        <f t="shared" si="42"/>
        <v>-2.2502062878446506E-2</v>
      </c>
      <c r="O70" s="24">
        <f t="shared" si="43"/>
        <v>-6.7108780026962531E-4</v>
      </c>
      <c r="P70" s="390">
        <v>52331384.770000003</v>
      </c>
      <c r="Q70" s="390">
        <v>11.7</v>
      </c>
      <c r="R70" s="24">
        <f t="shared" si="44"/>
        <v>-1.0905763646385327E-3</v>
      </c>
      <c r="S70" s="24">
        <f t="shared" si="45"/>
        <v>0</v>
      </c>
      <c r="T70" s="390">
        <v>52417895.880000003</v>
      </c>
      <c r="U70" s="390">
        <v>11.72</v>
      </c>
      <c r="V70" s="24">
        <f t="shared" si="46"/>
        <v>1.6531400875444368E-3</v>
      </c>
      <c r="W70" s="24">
        <f t="shared" si="47"/>
        <v>1.709401709401825E-3</v>
      </c>
      <c r="X70" s="390">
        <v>52494601.700000003</v>
      </c>
      <c r="Y70" s="390">
        <v>11.75</v>
      </c>
      <c r="Z70" s="24">
        <f t="shared" si="48"/>
        <v>1.4633517563467733E-3</v>
      </c>
      <c r="AA70" s="24">
        <f t="shared" si="49"/>
        <v>2.5597269624572832E-3</v>
      </c>
      <c r="AB70" s="390">
        <v>52239878.969999999</v>
      </c>
      <c r="AC70" s="390">
        <v>11.8</v>
      </c>
      <c r="AD70" s="24">
        <f t="shared" si="50"/>
        <v>-4.8523604666192589E-3</v>
      </c>
      <c r="AE70" s="24">
        <f t="shared" si="51"/>
        <v>4.255319148936231E-3</v>
      </c>
      <c r="AF70" s="390">
        <v>52843655.850000001</v>
      </c>
      <c r="AG70" s="390">
        <v>11.72</v>
      </c>
      <c r="AH70" s="24">
        <f t="shared" si="52"/>
        <v>1.1557777159987986E-2</v>
      </c>
      <c r="AI70" s="24">
        <f t="shared" si="53"/>
        <v>-6.7796610169491584E-3</v>
      </c>
      <c r="AJ70" s="25">
        <f t="shared" ref="AJ70:AJ133" si="54">AVERAGE(F70,J70,N70,R70,V70,Z70,AD70,AH70)</f>
        <v>-2.3987293346432433E-3</v>
      </c>
      <c r="AK70" s="25">
        <f t="shared" ref="AK70:AK133" si="55">AVERAGE(G70,K70,O70,S70,W70,AA70,AE70,AI70)</f>
        <v>4.5594534996347717E-5</v>
      </c>
      <c r="AL70" s="26">
        <f t="shared" ref="AL70:AL133" si="56">((AF70-D70)/D70)</f>
        <v>-1.2260541668676413E-2</v>
      </c>
      <c r="AM70" s="26">
        <f t="shared" ref="AM70:AM133" si="57">((AG70-E70)/E70)</f>
        <v>5.8823519314572031E-3</v>
      </c>
      <c r="AN70" s="27">
        <f t="shared" ref="AN70:AN133" si="58">STDEV(F70,J70,N70,R70,V70,Z70,AD70,AH70)</f>
        <v>9.8444554894820246E-3</v>
      </c>
      <c r="AO70" s="84">
        <f t="shared" ref="AO70:AO133" si="59">STDEV(G70,K70,O70,S70,W70,AA70,AE70,AI70)</f>
        <v>4.2795080681340535E-3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6" t="s">
        <v>91</v>
      </c>
      <c r="B71" s="390">
        <v>15481166021.469999</v>
      </c>
      <c r="C71" s="390">
        <v>1164.53</v>
      </c>
      <c r="D71" s="390">
        <v>15253556583.790001</v>
      </c>
      <c r="E71" s="390">
        <v>1166.44</v>
      </c>
      <c r="F71" s="24">
        <f t="shared" si="38"/>
        <v>-1.4702344601455671E-2</v>
      </c>
      <c r="G71" s="24">
        <f t="shared" si="39"/>
        <v>1.6401466686131589E-3</v>
      </c>
      <c r="H71" s="390">
        <v>15393079324.059999</v>
      </c>
      <c r="I71" s="390">
        <v>1168.4100000000001</v>
      </c>
      <c r="J71" s="24">
        <f t="shared" si="40"/>
        <v>9.1468989218075059E-3</v>
      </c>
      <c r="K71" s="24">
        <f t="shared" si="41"/>
        <v>1.6888995576283625E-3</v>
      </c>
      <c r="L71" s="390">
        <v>15385839766.059999</v>
      </c>
      <c r="M71" s="390">
        <v>1172.68</v>
      </c>
      <c r="N71" s="24">
        <f t="shared" si="42"/>
        <v>-4.7031252471260124E-4</v>
      </c>
      <c r="O71" s="24">
        <f t="shared" si="43"/>
        <v>3.6545390744687064E-3</v>
      </c>
      <c r="P71" s="390">
        <v>15470421656.139999</v>
      </c>
      <c r="Q71" s="390">
        <v>1175.32</v>
      </c>
      <c r="R71" s="24">
        <f t="shared" si="44"/>
        <v>5.4973853469201719E-3</v>
      </c>
      <c r="S71" s="24">
        <f t="shared" si="45"/>
        <v>2.2512535389022348E-3</v>
      </c>
      <c r="T71" s="390">
        <v>15632678902.299999</v>
      </c>
      <c r="U71" s="390">
        <v>1176.8599999999999</v>
      </c>
      <c r="V71" s="24">
        <f t="shared" si="46"/>
        <v>1.0488223900193577E-2</v>
      </c>
      <c r="W71" s="24">
        <f t="shared" si="47"/>
        <v>1.3102814552632166E-3</v>
      </c>
      <c r="X71" s="390">
        <v>15651430173.290001</v>
      </c>
      <c r="Y71" s="390">
        <v>1179.49</v>
      </c>
      <c r="Z71" s="24">
        <f t="shared" si="48"/>
        <v>1.1994918533919895E-3</v>
      </c>
      <c r="AA71" s="24">
        <f t="shared" si="49"/>
        <v>2.2347602943426654E-3</v>
      </c>
      <c r="AB71" s="390">
        <v>15642791633.190001</v>
      </c>
      <c r="AC71" s="390">
        <v>1181.22</v>
      </c>
      <c r="AD71" s="24">
        <f t="shared" si="50"/>
        <v>-5.5193295464733383E-4</v>
      </c>
      <c r="AE71" s="24">
        <f t="shared" si="51"/>
        <v>1.4667356230235256E-3</v>
      </c>
      <c r="AF71" s="390">
        <v>15583760859.870001</v>
      </c>
      <c r="AG71" s="390">
        <v>1182.93</v>
      </c>
      <c r="AH71" s="24">
        <f t="shared" si="52"/>
        <v>-3.7736725454267065E-3</v>
      </c>
      <c r="AI71" s="24">
        <f t="shared" si="53"/>
        <v>1.447655813481008E-3</v>
      </c>
      <c r="AJ71" s="25">
        <f t="shared" si="54"/>
        <v>8.5421717450886677E-4</v>
      </c>
      <c r="AK71" s="25">
        <f t="shared" si="55"/>
        <v>1.9617840032153597E-3</v>
      </c>
      <c r="AL71" s="26">
        <f t="shared" si="56"/>
        <v>2.1647690770748441E-2</v>
      </c>
      <c r="AM71" s="26">
        <f t="shared" si="57"/>
        <v>1.4137032337711334E-2</v>
      </c>
      <c r="AN71" s="27">
        <f t="shared" si="58"/>
        <v>8.021546841323432E-3</v>
      </c>
      <c r="AO71" s="84">
        <f t="shared" si="59"/>
        <v>7.68625968736593E-4</v>
      </c>
      <c r="AP71" s="31"/>
      <c r="AQ71" s="29"/>
      <c r="AR71" s="29"/>
      <c r="AS71" s="30"/>
      <c r="AT71" s="30"/>
    </row>
    <row r="72" spans="1:46">
      <c r="A72" s="216" t="s">
        <v>190</v>
      </c>
      <c r="B72" s="390">
        <v>21232230.949999999</v>
      </c>
      <c r="C72" s="390">
        <v>0.62829999999999997</v>
      </c>
      <c r="D72" s="390">
        <v>21237029.399999999</v>
      </c>
      <c r="E72" s="390">
        <v>0.62839999999999996</v>
      </c>
      <c r="F72" s="24">
        <f t="shared" si="38"/>
        <v>2.2599838949091946E-4</v>
      </c>
      <c r="G72" s="24">
        <f t="shared" si="39"/>
        <v>1.5915963711600985E-4</v>
      </c>
      <c r="H72" s="390">
        <v>21935492.049999997</v>
      </c>
      <c r="I72" s="390">
        <v>0.64910000000000001</v>
      </c>
      <c r="J72" s="24">
        <f t="shared" si="40"/>
        <v>3.2888905356979851E-2</v>
      </c>
      <c r="K72" s="24">
        <f t="shared" si="41"/>
        <v>3.2940802036919244E-2</v>
      </c>
      <c r="L72" s="390">
        <v>21935411</v>
      </c>
      <c r="M72" s="390">
        <v>0.64910000000000001</v>
      </c>
      <c r="N72" s="24">
        <f t="shared" si="42"/>
        <v>-3.694925092734347E-6</v>
      </c>
      <c r="O72" s="24">
        <f t="shared" si="43"/>
        <v>0</v>
      </c>
      <c r="P72" s="390">
        <v>21280949.920000002</v>
      </c>
      <c r="Q72" s="390">
        <v>0.62970000000000004</v>
      </c>
      <c r="R72" s="24">
        <f t="shared" si="44"/>
        <v>-2.9835824822247378E-2</v>
      </c>
      <c r="S72" s="24">
        <f t="shared" si="45"/>
        <v>-2.988753658912336E-2</v>
      </c>
      <c r="T72" s="390">
        <v>21153348.579999998</v>
      </c>
      <c r="U72" s="390">
        <v>0.63060000000000005</v>
      </c>
      <c r="V72" s="24">
        <f t="shared" si="46"/>
        <v>-5.9960359137955048E-3</v>
      </c>
      <c r="W72" s="24">
        <f t="shared" si="47"/>
        <v>1.4292520247737206E-3</v>
      </c>
      <c r="X72" s="390">
        <v>21201287.93</v>
      </c>
      <c r="Y72" s="390">
        <v>0.63200000000000001</v>
      </c>
      <c r="Z72" s="24">
        <f t="shared" si="48"/>
        <v>2.2662771248107279E-3</v>
      </c>
      <c r="AA72" s="24">
        <f t="shared" si="49"/>
        <v>2.2201078338090021E-3</v>
      </c>
      <c r="AB72" s="390">
        <v>21218533.559999999</v>
      </c>
      <c r="AC72" s="390">
        <v>0.63300000000000001</v>
      </c>
      <c r="AD72" s="24">
        <f t="shared" si="50"/>
        <v>8.1342369656686026E-4</v>
      </c>
      <c r="AE72" s="24">
        <f t="shared" si="51"/>
        <v>1.5822784810126597E-3</v>
      </c>
      <c r="AF72" s="390">
        <v>21266499.98</v>
      </c>
      <c r="AG72" s="390">
        <v>0.63439999999999996</v>
      </c>
      <c r="AH72" s="24">
        <f t="shared" si="52"/>
        <v>2.2605907172786634E-3</v>
      </c>
      <c r="AI72" s="24">
        <f t="shared" si="53"/>
        <v>2.2116903633490627E-3</v>
      </c>
      <c r="AJ72" s="25">
        <f t="shared" si="54"/>
        <v>3.2745495299892497E-4</v>
      </c>
      <c r="AK72" s="25">
        <f t="shared" si="55"/>
        <v>1.3319692234820425E-3</v>
      </c>
      <c r="AL72" s="26">
        <f t="shared" si="56"/>
        <v>1.3876978481746575E-3</v>
      </c>
      <c r="AM72" s="26">
        <f t="shared" si="57"/>
        <v>9.5480585614258519E-3</v>
      </c>
      <c r="AN72" s="27">
        <f t="shared" si="58"/>
        <v>1.6978600819628115E-2</v>
      </c>
      <c r="AO72" s="84">
        <f t="shared" si="59"/>
        <v>1.6812241702709271E-2</v>
      </c>
      <c r="AP72" s="31"/>
      <c r="AQ72" s="29"/>
      <c r="AR72" s="29"/>
      <c r="AS72" s="30"/>
      <c r="AT72" s="30"/>
    </row>
    <row r="73" spans="1:46">
      <c r="A73" s="216" t="s">
        <v>108</v>
      </c>
      <c r="B73" s="390">
        <v>359262473.38</v>
      </c>
      <c r="C73" s="390">
        <v>1110.6300000000001</v>
      </c>
      <c r="D73" s="390">
        <v>360065095.25999999</v>
      </c>
      <c r="E73" s="77">
        <v>1113.53</v>
      </c>
      <c r="F73" s="24">
        <f t="shared" si="38"/>
        <v>2.2340821529418242E-3</v>
      </c>
      <c r="G73" s="24">
        <f t="shared" si="39"/>
        <v>2.6111306195581458E-3</v>
      </c>
      <c r="H73" s="390">
        <v>359816791.54000002</v>
      </c>
      <c r="I73" s="77">
        <v>1118.3499999999999</v>
      </c>
      <c r="J73" s="24">
        <f t="shared" si="40"/>
        <v>-6.8960786054719065E-4</v>
      </c>
      <c r="K73" s="24">
        <f t="shared" si="41"/>
        <v>4.328576688548972E-3</v>
      </c>
      <c r="L73" s="390">
        <v>359930585.42000002</v>
      </c>
      <c r="M73" s="77">
        <v>1118.81</v>
      </c>
      <c r="N73" s="24">
        <f t="shared" si="42"/>
        <v>3.1625505722776982E-4</v>
      </c>
      <c r="O73" s="24">
        <f t="shared" si="43"/>
        <v>4.1132024858053063E-4</v>
      </c>
      <c r="P73" s="390">
        <v>360301697.69</v>
      </c>
      <c r="Q73" s="77">
        <v>1120.1199999999999</v>
      </c>
      <c r="R73" s="24">
        <f t="shared" si="44"/>
        <v>1.0310662250804085E-3</v>
      </c>
      <c r="S73" s="24">
        <f t="shared" si="45"/>
        <v>1.1708869245000899E-3</v>
      </c>
      <c r="T73" s="390">
        <v>361937177.19</v>
      </c>
      <c r="U73" s="77">
        <v>1124.6600000000001</v>
      </c>
      <c r="V73" s="24">
        <f t="shared" si="46"/>
        <v>4.5391945430330732E-3</v>
      </c>
      <c r="W73" s="24">
        <f t="shared" si="47"/>
        <v>4.0531371638754697E-3</v>
      </c>
      <c r="X73" s="390">
        <v>362846518.14999998</v>
      </c>
      <c r="Y73" s="77">
        <v>1127.8399999999999</v>
      </c>
      <c r="Z73" s="24">
        <f t="shared" si="48"/>
        <v>2.512427618129478E-3</v>
      </c>
      <c r="AA73" s="24">
        <f t="shared" si="49"/>
        <v>2.8275212064089025E-3</v>
      </c>
      <c r="AB73" s="390">
        <v>364819688.75</v>
      </c>
      <c r="AC73" s="77">
        <v>1134.31</v>
      </c>
      <c r="AD73" s="24">
        <f t="shared" si="50"/>
        <v>5.4380309615767609E-3</v>
      </c>
      <c r="AE73" s="24">
        <f t="shared" si="51"/>
        <v>5.7366293091218861E-3</v>
      </c>
      <c r="AF73" s="390">
        <v>365388928.73000002</v>
      </c>
      <c r="AG73" s="77">
        <v>1136.72</v>
      </c>
      <c r="AH73" s="24">
        <f t="shared" si="52"/>
        <v>1.5603323985896556E-3</v>
      </c>
      <c r="AI73" s="24">
        <f t="shared" si="53"/>
        <v>2.1246396487733352E-3</v>
      </c>
      <c r="AJ73" s="25">
        <f t="shared" si="54"/>
        <v>2.1177226370039724E-3</v>
      </c>
      <c r="AK73" s="25">
        <f t="shared" si="55"/>
        <v>2.9079802261709167E-3</v>
      </c>
      <c r="AL73" s="26">
        <f t="shared" si="56"/>
        <v>1.4785752743280303E-2</v>
      </c>
      <c r="AM73" s="26">
        <f t="shared" si="57"/>
        <v>2.0825662532666434E-2</v>
      </c>
      <c r="AN73" s="27">
        <f t="shared" si="58"/>
        <v>2.0589595541684186E-3</v>
      </c>
      <c r="AO73" s="84">
        <f t="shared" si="59"/>
        <v>1.7439591386427672E-3</v>
      </c>
      <c r="AP73" s="31"/>
      <c r="AQ73" s="29"/>
      <c r="AR73" s="29"/>
      <c r="AS73" s="30"/>
      <c r="AT73" s="30"/>
    </row>
    <row r="74" spans="1:46">
      <c r="A74" s="216" t="s">
        <v>111</v>
      </c>
      <c r="B74" s="390">
        <v>714641406.76999998</v>
      </c>
      <c r="C74" s="391">
        <v>198.16141099999999</v>
      </c>
      <c r="D74" s="390">
        <v>714641406.76999998</v>
      </c>
      <c r="E74" s="391">
        <v>198.16141099999999</v>
      </c>
      <c r="F74" s="24">
        <f t="shared" si="38"/>
        <v>0</v>
      </c>
      <c r="G74" s="24">
        <f t="shared" si="39"/>
        <v>0</v>
      </c>
      <c r="H74" s="390">
        <v>780786261.21000004</v>
      </c>
      <c r="I74" s="391">
        <v>199.10397399999999</v>
      </c>
      <c r="J74" s="24">
        <f t="shared" si="40"/>
        <v>9.2556705801526695E-2</v>
      </c>
      <c r="K74" s="24">
        <f t="shared" si="41"/>
        <v>4.7565416255539632E-3</v>
      </c>
      <c r="L74" s="390">
        <v>778347987.40999997</v>
      </c>
      <c r="M74" s="391">
        <v>198.27907500000001</v>
      </c>
      <c r="N74" s="24">
        <f t="shared" si="42"/>
        <v>-3.1228441394722159E-3</v>
      </c>
      <c r="O74" s="24">
        <f t="shared" si="43"/>
        <v>-4.1430564314099919E-3</v>
      </c>
      <c r="P74" s="390">
        <v>783243322.95000005</v>
      </c>
      <c r="Q74" s="391">
        <v>199.58398099999999</v>
      </c>
      <c r="R74" s="24">
        <f t="shared" si="44"/>
        <v>6.2893919161911196E-3</v>
      </c>
      <c r="S74" s="24">
        <f t="shared" si="45"/>
        <v>6.5811584000983886E-3</v>
      </c>
      <c r="T74" s="390">
        <v>792731577.73000002</v>
      </c>
      <c r="U74" s="391">
        <v>199.09944400000001</v>
      </c>
      <c r="V74" s="24">
        <f t="shared" si="46"/>
        <v>1.2114057665073353E-2</v>
      </c>
      <c r="W74" s="24">
        <f t="shared" si="47"/>
        <v>-2.4277349192668371E-3</v>
      </c>
      <c r="X74" s="390">
        <v>788419376.44000006</v>
      </c>
      <c r="Y74" s="391">
        <v>199.809046</v>
      </c>
      <c r="Z74" s="24">
        <f t="shared" si="48"/>
        <v>-5.4396739213392019E-3</v>
      </c>
      <c r="AA74" s="24">
        <f t="shared" si="49"/>
        <v>3.5640581698459669E-3</v>
      </c>
      <c r="AB74" s="390">
        <v>793113557.49000001</v>
      </c>
      <c r="AC74" s="391">
        <v>200.23645500000001</v>
      </c>
      <c r="AD74" s="24">
        <f t="shared" si="50"/>
        <v>5.9539138563487436E-3</v>
      </c>
      <c r="AE74" s="24">
        <f t="shared" si="51"/>
        <v>2.1390873364162477E-3</v>
      </c>
      <c r="AF74" s="390">
        <v>786291758.03999996</v>
      </c>
      <c r="AG74" s="391">
        <v>200.799667</v>
      </c>
      <c r="AH74" s="24">
        <f t="shared" si="52"/>
        <v>-8.6012896710393957E-3</v>
      </c>
      <c r="AI74" s="24">
        <f t="shared" si="53"/>
        <v>2.8127345742312154E-3</v>
      </c>
      <c r="AJ74" s="25">
        <f t="shared" si="54"/>
        <v>1.2468782688411138E-2</v>
      </c>
      <c r="AK74" s="25">
        <f t="shared" si="55"/>
        <v>1.6603485944336189E-3</v>
      </c>
      <c r="AL74" s="26">
        <f t="shared" si="56"/>
        <v>0.10026056507674472</v>
      </c>
      <c r="AM74" s="26">
        <f t="shared" si="57"/>
        <v>1.3313671853093602E-2</v>
      </c>
      <c r="AN74" s="27">
        <f t="shared" si="58"/>
        <v>3.3075799916632731E-2</v>
      </c>
      <c r="AO74" s="84">
        <f t="shared" si="59"/>
        <v>3.6278834634481658E-3</v>
      </c>
      <c r="AP74" s="31"/>
      <c r="AQ74" s="29"/>
      <c r="AR74" s="29"/>
      <c r="AS74" s="30"/>
      <c r="AT74" s="30"/>
    </row>
    <row r="75" spans="1:46" s="94" customFormat="1">
      <c r="A75" s="216" t="s">
        <v>117</v>
      </c>
      <c r="B75" s="390">
        <v>331462654.23000002</v>
      </c>
      <c r="C75" s="391">
        <v>1.3561000000000001</v>
      </c>
      <c r="D75" s="390">
        <v>331755186.32999998</v>
      </c>
      <c r="E75" s="391">
        <v>1.3561000000000001</v>
      </c>
      <c r="F75" s="24">
        <f t="shared" si="38"/>
        <v>8.8254919903277523E-4</v>
      </c>
      <c r="G75" s="24">
        <f t="shared" si="39"/>
        <v>0</v>
      </c>
      <c r="H75" s="390">
        <v>335225579.20999998</v>
      </c>
      <c r="I75" s="391">
        <v>1.3714</v>
      </c>
      <c r="J75" s="24">
        <f t="shared" si="40"/>
        <v>1.0460704227086183E-2</v>
      </c>
      <c r="K75" s="24">
        <f t="shared" si="41"/>
        <v>1.1282353808716073E-2</v>
      </c>
      <c r="L75" s="390">
        <v>335085343.69</v>
      </c>
      <c r="M75" s="391">
        <v>1.3712</v>
      </c>
      <c r="N75" s="24">
        <f t="shared" si="42"/>
        <v>-4.183318001283287E-4</v>
      </c>
      <c r="O75" s="24">
        <f t="shared" si="43"/>
        <v>-1.4583637159105875E-4</v>
      </c>
      <c r="P75" s="390">
        <v>336424060.22000003</v>
      </c>
      <c r="Q75" s="391">
        <v>1.3766</v>
      </c>
      <c r="R75" s="24">
        <f t="shared" si="44"/>
        <v>3.9951509524645988E-3</v>
      </c>
      <c r="S75" s="24">
        <f t="shared" si="45"/>
        <v>3.9381563593932842E-3</v>
      </c>
      <c r="T75" s="390">
        <v>337701934.48000002</v>
      </c>
      <c r="U75" s="391">
        <v>1.3816999999999999</v>
      </c>
      <c r="V75" s="24">
        <f t="shared" si="46"/>
        <v>3.7984032983976877E-3</v>
      </c>
      <c r="W75" s="24">
        <f t="shared" si="47"/>
        <v>3.7047798924886547E-3</v>
      </c>
      <c r="X75" s="390">
        <v>340882225.94</v>
      </c>
      <c r="Y75" s="391">
        <v>1.3908</v>
      </c>
      <c r="Z75" s="24">
        <f t="shared" si="48"/>
        <v>9.417451116757897E-3</v>
      </c>
      <c r="AA75" s="24">
        <f t="shared" si="49"/>
        <v>6.5860895997684795E-3</v>
      </c>
      <c r="AB75" s="390">
        <v>340596195.69</v>
      </c>
      <c r="AC75" s="391">
        <v>1.3895999999999999</v>
      </c>
      <c r="AD75" s="24">
        <f t="shared" si="50"/>
        <v>-8.390881900963217E-4</v>
      </c>
      <c r="AE75" s="24">
        <f t="shared" si="51"/>
        <v>-8.6281276962905517E-4</v>
      </c>
      <c r="AF75" s="390">
        <v>340795618.30000001</v>
      </c>
      <c r="AG75" s="391">
        <v>1.3905000000000001</v>
      </c>
      <c r="AH75" s="24">
        <f t="shared" si="52"/>
        <v>5.8551038597484076E-4</v>
      </c>
      <c r="AI75" s="24">
        <f t="shared" si="53"/>
        <v>6.4766839378247191E-4</v>
      </c>
      <c r="AJ75" s="25">
        <f t="shared" si="54"/>
        <v>3.485293648686166E-3</v>
      </c>
      <c r="AK75" s="25">
        <f t="shared" si="55"/>
        <v>3.143799864116106E-3</v>
      </c>
      <c r="AL75" s="26">
        <f t="shared" si="56"/>
        <v>2.725031089945773E-2</v>
      </c>
      <c r="AM75" s="26">
        <f t="shared" si="57"/>
        <v>2.5366860850969682E-2</v>
      </c>
      <c r="AN75" s="27">
        <f t="shared" si="58"/>
        <v>4.3642447990024421E-3</v>
      </c>
      <c r="AO75" s="84">
        <f t="shared" si="59"/>
        <v>4.175094883954027E-3</v>
      </c>
      <c r="AP75" s="31"/>
      <c r="AQ75" s="29"/>
      <c r="AR75" s="29"/>
      <c r="AS75" s="30"/>
      <c r="AT75" s="30"/>
    </row>
    <row r="76" spans="1:46" s="94" customFormat="1">
      <c r="A76" s="216" t="s">
        <v>148</v>
      </c>
      <c r="B76" s="390">
        <v>429134588.19999999</v>
      </c>
      <c r="C76" s="391">
        <v>1.2272000000000001</v>
      </c>
      <c r="D76" s="390">
        <v>426638654.23000002</v>
      </c>
      <c r="E76" s="391">
        <v>1.2239</v>
      </c>
      <c r="F76" s="24">
        <f t="shared" si="38"/>
        <v>-5.8162032113727646E-3</v>
      </c>
      <c r="G76" s="24">
        <f t="shared" si="39"/>
        <v>-2.6890482398957633E-3</v>
      </c>
      <c r="H76" s="390">
        <v>426430973.39999998</v>
      </c>
      <c r="I76" s="391">
        <v>1.2234</v>
      </c>
      <c r="J76" s="24">
        <f t="shared" si="40"/>
        <v>-4.867839046953364E-4</v>
      </c>
      <c r="K76" s="24">
        <f t="shared" si="41"/>
        <v>-4.085301086689639E-4</v>
      </c>
      <c r="L76" s="390">
        <v>430345693.22000003</v>
      </c>
      <c r="M76" s="391">
        <v>1.2306999999999999</v>
      </c>
      <c r="N76" s="24">
        <f t="shared" si="42"/>
        <v>9.1801957742126163E-3</v>
      </c>
      <c r="O76" s="24">
        <f t="shared" si="43"/>
        <v>5.9669772764425876E-3</v>
      </c>
      <c r="P76" s="390">
        <v>429448587.36000001</v>
      </c>
      <c r="Q76" s="391">
        <v>1.2317</v>
      </c>
      <c r="R76" s="24">
        <f t="shared" si="44"/>
        <v>-2.0846167955987853E-3</v>
      </c>
      <c r="S76" s="24">
        <f t="shared" si="45"/>
        <v>8.1254570569603635E-4</v>
      </c>
      <c r="T76" s="390">
        <v>432521557.88999999</v>
      </c>
      <c r="U76" s="391">
        <v>1.2404999999999999</v>
      </c>
      <c r="V76" s="24">
        <f t="shared" si="46"/>
        <v>7.1556191368349949E-3</v>
      </c>
      <c r="W76" s="24">
        <f t="shared" si="47"/>
        <v>7.1445968985953713E-3</v>
      </c>
      <c r="X76" s="390">
        <v>436633668.94999999</v>
      </c>
      <c r="Y76" s="391">
        <v>1.254</v>
      </c>
      <c r="Z76" s="24">
        <f t="shared" si="48"/>
        <v>9.5072973473516557E-3</v>
      </c>
      <c r="AA76" s="24">
        <f t="shared" si="49"/>
        <v>1.0882708585247938E-2</v>
      </c>
      <c r="AB76" s="390">
        <v>435253359.00999999</v>
      </c>
      <c r="AC76" s="391">
        <v>1.2501</v>
      </c>
      <c r="AD76" s="24">
        <f t="shared" si="50"/>
        <v>-3.1612540171703073E-3</v>
      </c>
      <c r="AE76" s="24">
        <f t="shared" si="51"/>
        <v>-3.1100478468899639E-3</v>
      </c>
      <c r="AF76" s="390">
        <v>438861132.99000001</v>
      </c>
      <c r="AG76" s="391">
        <v>1.2603</v>
      </c>
      <c r="AH76" s="24">
        <f t="shared" si="52"/>
        <v>8.2889055427533883E-3</v>
      </c>
      <c r="AI76" s="24">
        <f t="shared" si="53"/>
        <v>8.1593472522198118E-3</v>
      </c>
      <c r="AJ76" s="25">
        <f t="shared" si="54"/>
        <v>2.8228949840394327E-3</v>
      </c>
      <c r="AK76" s="25">
        <f t="shared" si="55"/>
        <v>3.3448186903433817E-3</v>
      </c>
      <c r="AL76" s="26">
        <f t="shared" si="56"/>
        <v>2.8648315474506626E-2</v>
      </c>
      <c r="AM76" s="26">
        <f t="shared" si="57"/>
        <v>2.974099191110384E-2</v>
      </c>
      <c r="AN76" s="27">
        <f t="shared" si="58"/>
        <v>6.3158302408207294E-3</v>
      </c>
      <c r="AO76" s="84">
        <f t="shared" si="59"/>
        <v>5.3437063815367919E-3</v>
      </c>
      <c r="AP76" s="31"/>
      <c r="AQ76" s="29"/>
      <c r="AR76" s="29"/>
      <c r="AS76" s="30"/>
      <c r="AT76" s="30"/>
    </row>
    <row r="77" spans="1:46" s="94" customFormat="1">
      <c r="A77" s="216" t="s">
        <v>154</v>
      </c>
      <c r="B77" s="390">
        <v>1003334455.79</v>
      </c>
      <c r="C77" s="391">
        <v>1.117</v>
      </c>
      <c r="D77" s="390">
        <v>1003073941.77</v>
      </c>
      <c r="E77" s="391">
        <v>1.1181000000000001</v>
      </c>
      <c r="F77" s="24">
        <f t="shared" si="38"/>
        <v>-2.5964823444128493E-4</v>
      </c>
      <c r="G77" s="24">
        <f t="shared" si="39"/>
        <v>9.8478066248889966E-4</v>
      </c>
      <c r="H77" s="390">
        <v>1003134841.78</v>
      </c>
      <c r="I77" s="391">
        <v>1.1192</v>
      </c>
      <c r="J77" s="24">
        <f t="shared" si="40"/>
        <v>6.0713380603355899E-5</v>
      </c>
      <c r="K77" s="24">
        <f t="shared" si="41"/>
        <v>9.838118236292629E-4</v>
      </c>
      <c r="L77" s="390">
        <v>1004149663.9400001</v>
      </c>
      <c r="M77" s="391">
        <v>1.1204000000000001</v>
      </c>
      <c r="N77" s="24">
        <f t="shared" si="42"/>
        <v>1.0116507948217085E-3</v>
      </c>
      <c r="O77" s="24">
        <f t="shared" si="43"/>
        <v>1.0721944245890725E-3</v>
      </c>
      <c r="P77" s="390">
        <v>997354750.13999999</v>
      </c>
      <c r="Q77" s="391">
        <v>1.1214999999999999</v>
      </c>
      <c r="R77" s="24">
        <f t="shared" si="44"/>
        <v>-6.7668337141484928E-3</v>
      </c>
      <c r="S77" s="24">
        <f t="shared" si="45"/>
        <v>9.817922170652256E-4</v>
      </c>
      <c r="T77" s="390">
        <v>997550160.86000001</v>
      </c>
      <c r="U77" s="391">
        <v>1.1217999999999999</v>
      </c>
      <c r="V77" s="24">
        <f t="shared" si="46"/>
        <v>1.9592900116292478E-4</v>
      </c>
      <c r="W77" s="24">
        <f t="shared" si="47"/>
        <v>2.6749888542128129E-4</v>
      </c>
      <c r="X77" s="390">
        <v>1003800375.58</v>
      </c>
      <c r="Y77" s="391">
        <v>1.1229</v>
      </c>
      <c r="Z77" s="24">
        <f t="shared" si="48"/>
        <v>6.2655643447660251E-3</v>
      </c>
      <c r="AA77" s="24">
        <f t="shared" si="49"/>
        <v>9.8056694597976565E-4</v>
      </c>
      <c r="AB77" s="390">
        <v>1004898326.08</v>
      </c>
      <c r="AC77" s="391">
        <v>1.1241000000000001</v>
      </c>
      <c r="AD77" s="24">
        <f t="shared" si="50"/>
        <v>1.0937936732346803E-3</v>
      </c>
      <c r="AE77" s="24">
        <f t="shared" si="51"/>
        <v>1.0686615014694897E-3</v>
      </c>
      <c r="AF77" s="390">
        <v>1006790507.09</v>
      </c>
      <c r="AG77" s="391">
        <v>1.1253</v>
      </c>
      <c r="AH77" s="24">
        <f t="shared" si="52"/>
        <v>1.8829576693407228E-3</v>
      </c>
      <c r="AI77" s="24">
        <f t="shared" si="53"/>
        <v>1.0675206832131195E-3</v>
      </c>
      <c r="AJ77" s="25">
        <f t="shared" si="54"/>
        <v>4.3551586441745502E-4</v>
      </c>
      <c r="AK77" s="25">
        <f t="shared" si="55"/>
        <v>9.2585339298201458E-4</v>
      </c>
      <c r="AL77" s="26">
        <f t="shared" si="56"/>
        <v>3.7051758252655744E-3</v>
      </c>
      <c r="AM77" s="26">
        <f t="shared" si="57"/>
        <v>6.4394955728466798E-3</v>
      </c>
      <c r="AN77" s="27">
        <f t="shared" si="58"/>
        <v>3.5738092030092612E-3</v>
      </c>
      <c r="AO77" s="84">
        <f t="shared" si="59"/>
        <v>2.6946095922484827E-4</v>
      </c>
      <c r="AP77" s="31"/>
      <c r="AQ77" s="29"/>
      <c r="AR77" s="29"/>
      <c r="AS77" s="30"/>
      <c r="AT77" s="30"/>
    </row>
    <row r="78" spans="1:46" s="112" customFormat="1" ht="15.75" customHeight="1">
      <c r="A78" s="216" t="s">
        <v>178</v>
      </c>
      <c r="B78" s="390">
        <v>21151189880.599998</v>
      </c>
      <c r="C78" s="391">
        <v>115.75</v>
      </c>
      <c r="D78" s="390">
        <v>26446086162.439999</v>
      </c>
      <c r="E78" s="391">
        <v>115.89</v>
      </c>
      <c r="F78" s="24">
        <f t="shared" si="38"/>
        <v>0.25033562233283679</v>
      </c>
      <c r="G78" s="24">
        <f t="shared" si="39"/>
        <v>1.2095032397408257E-3</v>
      </c>
      <c r="H78" s="390">
        <v>20037422223.549999</v>
      </c>
      <c r="I78" s="391">
        <v>116.05</v>
      </c>
      <c r="J78" s="24">
        <f t="shared" si="40"/>
        <v>-0.24232939042571416</v>
      </c>
      <c r="K78" s="24">
        <f t="shared" si="41"/>
        <v>1.3806195530243902E-3</v>
      </c>
      <c r="L78" s="390">
        <v>19937518624.34</v>
      </c>
      <c r="M78" s="391">
        <v>116.28</v>
      </c>
      <c r="N78" s="24">
        <f t="shared" si="42"/>
        <v>-4.9858508791905528E-3</v>
      </c>
      <c r="O78" s="24">
        <f t="shared" si="43"/>
        <v>1.9819043515726322E-3</v>
      </c>
      <c r="P78" s="390">
        <v>19755466201.150002</v>
      </c>
      <c r="Q78" s="391">
        <v>116.51</v>
      </c>
      <c r="R78" s="24">
        <f t="shared" si="44"/>
        <v>-9.131147492333699E-3</v>
      </c>
      <c r="S78" s="24">
        <f t="shared" si="45"/>
        <v>1.9779841761266253E-3</v>
      </c>
      <c r="T78" s="390">
        <v>20030269202.450001</v>
      </c>
      <c r="U78" s="391">
        <v>116.72</v>
      </c>
      <c r="V78" s="24">
        <f t="shared" si="46"/>
        <v>1.3910226086388306E-2</v>
      </c>
      <c r="W78" s="24">
        <f t="shared" si="47"/>
        <v>1.802420393099251E-3</v>
      </c>
      <c r="X78" s="390">
        <v>19895448661.330002</v>
      </c>
      <c r="Y78" s="391">
        <v>116.89</v>
      </c>
      <c r="Z78" s="24">
        <f t="shared" si="48"/>
        <v>-6.7308401977697017E-3</v>
      </c>
      <c r="AA78" s="24">
        <f t="shared" si="49"/>
        <v>1.4564770390678692E-3</v>
      </c>
      <c r="AB78" s="390">
        <v>19981718338.66</v>
      </c>
      <c r="AC78" s="391">
        <v>117.08</v>
      </c>
      <c r="AD78" s="24">
        <f t="shared" si="50"/>
        <v>4.3361513881150608E-3</v>
      </c>
      <c r="AE78" s="24">
        <f t="shared" si="51"/>
        <v>1.6254598340319764E-3</v>
      </c>
      <c r="AF78" s="390">
        <v>19660167052.049999</v>
      </c>
      <c r="AG78" s="391">
        <v>117.27</v>
      </c>
      <c r="AH78" s="24">
        <f t="shared" si="52"/>
        <v>-1.6092274005678146E-2</v>
      </c>
      <c r="AI78" s="24">
        <f t="shared" si="53"/>
        <v>1.622822002049861E-3</v>
      </c>
      <c r="AJ78" s="25">
        <f t="shared" si="54"/>
        <v>-1.335937899168263E-3</v>
      </c>
      <c r="AK78" s="25">
        <f t="shared" si="55"/>
        <v>1.6321488235891792E-3</v>
      </c>
      <c r="AL78" s="26">
        <f t="shared" si="56"/>
        <v>-0.25659445668855485</v>
      </c>
      <c r="AM78" s="26">
        <f t="shared" si="57"/>
        <v>1.190784364483558E-2</v>
      </c>
      <c r="AN78" s="27">
        <f t="shared" si="58"/>
        <v>0.13201838513030595</v>
      </c>
      <c r="AO78" s="84">
        <f t="shared" si="59"/>
        <v>2.7872464634440654E-4</v>
      </c>
      <c r="AP78" s="31"/>
      <c r="AQ78" s="29"/>
      <c r="AR78" s="29"/>
      <c r="AS78" s="30"/>
      <c r="AT78" s="30"/>
    </row>
    <row r="79" spans="1:46" s="112" customFormat="1" ht="15.75" customHeight="1">
      <c r="A79" s="216" t="s">
        <v>183</v>
      </c>
      <c r="B79" s="390">
        <v>244186014.75</v>
      </c>
      <c r="C79" s="77">
        <v>1104.29</v>
      </c>
      <c r="D79" s="390">
        <v>245300840.37</v>
      </c>
      <c r="E79" s="77">
        <v>1107.05</v>
      </c>
      <c r="F79" s="24">
        <f t="shared" si="38"/>
        <v>4.5654769424095564E-3</v>
      </c>
      <c r="G79" s="24">
        <f t="shared" si="39"/>
        <v>2.4993434695596184E-3</v>
      </c>
      <c r="H79" s="390">
        <v>244211454.37</v>
      </c>
      <c r="I79" s="77">
        <v>1103.78</v>
      </c>
      <c r="J79" s="24">
        <f t="shared" si="40"/>
        <v>-4.4410202523432959E-3</v>
      </c>
      <c r="K79" s="24">
        <f t="shared" si="41"/>
        <v>-2.9537961248362601E-3</v>
      </c>
      <c r="L79" s="390">
        <v>244068967.06999999</v>
      </c>
      <c r="M79" s="77">
        <v>1103.1400000000001</v>
      </c>
      <c r="N79" s="24">
        <f t="shared" si="42"/>
        <v>-5.8345870945157303E-4</v>
      </c>
      <c r="O79" s="24">
        <f t="shared" si="43"/>
        <v>-5.7982568990185782E-4</v>
      </c>
      <c r="P79" s="390">
        <v>246656873.91</v>
      </c>
      <c r="Q79" s="77">
        <v>1114.6300000000001</v>
      </c>
      <c r="R79" s="24">
        <f t="shared" si="44"/>
        <v>1.0603178564924976E-2</v>
      </c>
      <c r="S79" s="24">
        <f t="shared" si="45"/>
        <v>1.0415722392443396E-2</v>
      </c>
      <c r="T79" s="390">
        <v>248207842.50999999</v>
      </c>
      <c r="U79" s="77">
        <v>1120.73</v>
      </c>
      <c r="V79" s="24">
        <f t="shared" si="46"/>
        <v>6.2879601748537135E-3</v>
      </c>
      <c r="W79" s="24">
        <f t="shared" si="47"/>
        <v>5.4726680602530959E-3</v>
      </c>
      <c r="X79" s="390">
        <v>246281086.68000001</v>
      </c>
      <c r="Y79" s="77">
        <v>1123.19</v>
      </c>
      <c r="Z79" s="24">
        <f t="shared" si="48"/>
        <v>-7.7626710361593703E-3</v>
      </c>
      <c r="AA79" s="24">
        <f t="shared" si="49"/>
        <v>2.1949979031524419E-3</v>
      </c>
      <c r="AB79" s="390">
        <v>246917824.09999999</v>
      </c>
      <c r="AC79" s="77">
        <v>1125.58</v>
      </c>
      <c r="AD79" s="24">
        <f t="shared" si="50"/>
        <v>2.5854093328218819E-3</v>
      </c>
      <c r="AE79" s="24">
        <f t="shared" si="51"/>
        <v>2.1278679475421544E-3</v>
      </c>
      <c r="AF79" s="390">
        <v>247148026.52000001</v>
      </c>
      <c r="AG79" s="77">
        <v>1127.9100000000001</v>
      </c>
      <c r="AH79" s="24">
        <f t="shared" si="52"/>
        <v>9.3230377693100976E-4</v>
      </c>
      <c r="AI79" s="24">
        <f t="shared" si="53"/>
        <v>2.0700438884842967E-3</v>
      </c>
      <c r="AJ79" s="25">
        <f t="shared" si="54"/>
        <v>1.5233973492483623E-3</v>
      </c>
      <c r="AK79" s="25">
        <f t="shared" si="55"/>
        <v>2.6558777308371105E-3</v>
      </c>
      <c r="AL79" s="26">
        <f t="shared" si="56"/>
        <v>7.530288714925718E-3</v>
      </c>
      <c r="AM79" s="26">
        <f t="shared" si="57"/>
        <v>1.8842870692380768E-2</v>
      </c>
      <c r="AN79" s="27">
        <f t="shared" si="58"/>
        <v>5.8811949829949738E-3</v>
      </c>
      <c r="AO79" s="84">
        <f t="shared" si="59"/>
        <v>3.9811452612601595E-3</v>
      </c>
      <c r="AP79" s="31"/>
      <c r="AQ79" s="29"/>
      <c r="AR79" s="29"/>
      <c r="AS79" s="30"/>
      <c r="AT79" s="30"/>
    </row>
    <row r="80" spans="1:46" s="310" customFormat="1" ht="15.75" customHeight="1">
      <c r="A80" s="216" t="s">
        <v>192</v>
      </c>
      <c r="B80" s="390">
        <v>1341122344.1199999</v>
      </c>
      <c r="C80" s="391">
        <v>1.046</v>
      </c>
      <c r="D80" s="390">
        <v>1350463246.6500001</v>
      </c>
      <c r="E80" s="391">
        <v>1.0492999999999999</v>
      </c>
      <c r="F80" s="24">
        <f t="shared" si="38"/>
        <v>6.96498911598509E-3</v>
      </c>
      <c r="G80" s="24">
        <f t="shared" si="39"/>
        <v>3.154875717017073E-3</v>
      </c>
      <c r="H80" s="390">
        <v>1346391519.6800001</v>
      </c>
      <c r="I80" s="391">
        <v>1.0125999999999999</v>
      </c>
      <c r="J80" s="24">
        <f t="shared" si="40"/>
        <v>-3.0150594472678005E-3</v>
      </c>
      <c r="K80" s="24">
        <f t="shared" si="41"/>
        <v>-3.4975698084437207E-2</v>
      </c>
      <c r="L80" s="390">
        <v>1311437218.8099999</v>
      </c>
      <c r="M80" s="391">
        <v>1.0125999999999999</v>
      </c>
      <c r="N80" s="24">
        <f t="shared" si="42"/>
        <v>-2.5961468383511353E-2</v>
      </c>
      <c r="O80" s="24">
        <f t="shared" si="43"/>
        <v>0</v>
      </c>
      <c r="P80" s="390">
        <v>1322964935.5699999</v>
      </c>
      <c r="Q80" s="391">
        <v>1.0141</v>
      </c>
      <c r="R80" s="24">
        <f t="shared" si="44"/>
        <v>8.7901400041553324E-3</v>
      </c>
      <c r="S80" s="24">
        <f t="shared" si="45"/>
        <v>1.4813351767727207E-3</v>
      </c>
      <c r="T80" s="390">
        <v>1344822251.6800001</v>
      </c>
      <c r="U80" s="391">
        <v>1.0157</v>
      </c>
      <c r="V80" s="24">
        <f t="shared" si="46"/>
        <v>1.6521462906787399E-2</v>
      </c>
      <c r="W80" s="24">
        <f t="shared" si="47"/>
        <v>1.5777536732078155E-3</v>
      </c>
      <c r="X80" s="390">
        <v>1362929289.6199999</v>
      </c>
      <c r="Y80" s="391">
        <v>1.0177</v>
      </c>
      <c r="Z80" s="24">
        <f t="shared" si="48"/>
        <v>1.3464261107651854E-2</v>
      </c>
      <c r="AA80" s="24">
        <f t="shared" si="49"/>
        <v>1.9690853598503511E-3</v>
      </c>
      <c r="AB80" s="390">
        <v>1348305043.5799999</v>
      </c>
      <c r="AC80" s="391">
        <v>1.0198</v>
      </c>
      <c r="AD80" s="24">
        <f t="shared" si="50"/>
        <v>-1.0730010831359686E-2</v>
      </c>
      <c r="AE80" s="24">
        <f t="shared" si="51"/>
        <v>2.0634764665421936E-3</v>
      </c>
      <c r="AF80" s="390">
        <v>1346983034.3499999</v>
      </c>
      <c r="AG80" s="391">
        <v>1.0215000000000001</v>
      </c>
      <c r="AH80" s="24">
        <f t="shared" si="52"/>
        <v>-9.8049713326729053E-4</v>
      </c>
      <c r="AI80" s="24">
        <f t="shared" si="53"/>
        <v>1.6669935281428071E-3</v>
      </c>
      <c r="AJ80" s="25">
        <f t="shared" si="54"/>
        <v>6.317271673966933E-4</v>
      </c>
      <c r="AK80" s="25">
        <f t="shared" si="55"/>
        <v>-2.882772270363031E-3</v>
      </c>
      <c r="AL80" s="26">
        <f t="shared" si="56"/>
        <v>-2.5770507332452848E-3</v>
      </c>
      <c r="AM80" s="26">
        <f t="shared" si="57"/>
        <v>-2.6493853044886904E-2</v>
      </c>
      <c r="AN80" s="27">
        <f t="shared" si="58"/>
        <v>1.4020459519113307E-2</v>
      </c>
      <c r="AO80" s="84">
        <f t="shared" si="59"/>
        <v>1.2996523984983842E-2</v>
      </c>
      <c r="AP80" s="31"/>
      <c r="AQ80" s="29"/>
      <c r="AR80" s="29"/>
      <c r="AS80" s="30"/>
      <c r="AT80" s="30"/>
    </row>
    <row r="81" spans="1:46" s="310" customFormat="1" ht="15.75" customHeight="1">
      <c r="A81" s="216" t="s">
        <v>240</v>
      </c>
      <c r="B81" s="390">
        <v>2026614723.6400001</v>
      </c>
      <c r="C81" s="391">
        <v>109.18</v>
      </c>
      <c r="D81" s="390">
        <v>1728347180.1600001</v>
      </c>
      <c r="E81" s="391">
        <v>108.04</v>
      </c>
      <c r="F81" s="24">
        <f t="shared" si="38"/>
        <v>-0.14717525733962994</v>
      </c>
      <c r="G81" s="24">
        <f t="shared" si="39"/>
        <v>-1.0441472797215611E-2</v>
      </c>
      <c r="H81" s="390">
        <v>1891581941.0999999</v>
      </c>
      <c r="I81" s="391">
        <v>108.22</v>
      </c>
      <c r="J81" s="24">
        <f t="shared" si="40"/>
        <v>9.4445585246876448E-2</v>
      </c>
      <c r="K81" s="24">
        <f t="shared" si="41"/>
        <v>1.6660496112550223E-3</v>
      </c>
      <c r="L81" s="390">
        <v>1889307273.45</v>
      </c>
      <c r="M81" s="391">
        <v>108.45</v>
      </c>
      <c r="N81" s="24">
        <f t="shared" si="42"/>
        <v>-1.2025213397190099E-3</v>
      </c>
      <c r="O81" s="24">
        <f t="shared" si="43"/>
        <v>2.1253003141748659E-3</v>
      </c>
      <c r="P81" s="390">
        <v>1892230246.96</v>
      </c>
      <c r="Q81" s="391">
        <v>101.37</v>
      </c>
      <c r="R81" s="24">
        <f t="shared" si="44"/>
        <v>1.5471138819375036E-3</v>
      </c>
      <c r="S81" s="24">
        <f t="shared" si="45"/>
        <v>-6.5283540802212978E-2</v>
      </c>
      <c r="T81" s="390">
        <v>2056885407.1500001</v>
      </c>
      <c r="U81" s="391">
        <v>101.55</v>
      </c>
      <c r="V81" s="24">
        <f t="shared" si="46"/>
        <v>8.7016450801655917E-2</v>
      </c>
      <c r="W81" s="24">
        <f t="shared" si="47"/>
        <v>1.7756732761171215E-3</v>
      </c>
      <c r="X81" s="390">
        <v>2061287916.29</v>
      </c>
      <c r="Y81" s="391">
        <v>101.67</v>
      </c>
      <c r="Z81" s="24">
        <f t="shared" si="48"/>
        <v>2.1403764763443674E-3</v>
      </c>
      <c r="AA81" s="24">
        <f t="shared" si="49"/>
        <v>1.1816838995569133E-3</v>
      </c>
      <c r="AB81" s="390">
        <v>1858864175.1900001</v>
      </c>
      <c r="AC81" s="391">
        <v>101.94</v>
      </c>
      <c r="AD81" s="24">
        <f t="shared" si="50"/>
        <v>-9.8202555548053364E-2</v>
      </c>
      <c r="AE81" s="24">
        <f t="shared" si="51"/>
        <v>2.6556506344053901E-3</v>
      </c>
      <c r="AF81" s="390">
        <v>1931307706.05</v>
      </c>
      <c r="AG81" s="391">
        <v>102.09</v>
      </c>
      <c r="AH81" s="24">
        <f t="shared" si="52"/>
        <v>3.8971933413367993E-2</v>
      </c>
      <c r="AI81" s="24">
        <f t="shared" si="53"/>
        <v>1.4714537963508505E-3</v>
      </c>
      <c r="AJ81" s="25">
        <f t="shared" si="54"/>
        <v>-2.8073593009025101E-3</v>
      </c>
      <c r="AK81" s="25">
        <f t="shared" si="55"/>
        <v>-8.106150258446054E-3</v>
      </c>
      <c r="AL81" s="26">
        <f t="shared" si="56"/>
        <v>0.1174304145716898</v>
      </c>
      <c r="AM81" s="26">
        <f t="shared" si="57"/>
        <v>-5.507219548315441E-2</v>
      </c>
      <c r="AN81" s="27">
        <f t="shared" si="58"/>
        <v>8.3887945555207788E-2</v>
      </c>
      <c r="AO81" s="84">
        <f t="shared" si="59"/>
        <v>2.3501815581751354E-2</v>
      </c>
      <c r="AP81" s="31"/>
      <c r="AQ81" s="29"/>
      <c r="AR81" s="29"/>
      <c r="AS81" s="30"/>
      <c r="AT81" s="30"/>
    </row>
    <row r="82" spans="1:46" s="313" customFormat="1" ht="15.75" customHeight="1">
      <c r="A82" s="216" t="s">
        <v>242</v>
      </c>
      <c r="B82" s="390">
        <v>367032930.50999999</v>
      </c>
      <c r="C82" s="391">
        <v>106.25</v>
      </c>
      <c r="D82" s="390">
        <v>367920524.94</v>
      </c>
      <c r="E82" s="391">
        <v>115.08</v>
      </c>
      <c r="F82" s="24">
        <f t="shared" si="38"/>
        <v>2.4182964421385188E-3</v>
      </c>
      <c r="G82" s="24">
        <f t="shared" si="39"/>
        <v>8.3105882352941154E-2</v>
      </c>
      <c r="H82" s="390">
        <v>368789026.88999999</v>
      </c>
      <c r="I82" s="391">
        <v>106.65</v>
      </c>
      <c r="J82" s="24">
        <f t="shared" si="40"/>
        <v>2.3605694467347866E-3</v>
      </c>
      <c r="K82" s="24">
        <f t="shared" si="41"/>
        <v>-7.3253388946819542E-2</v>
      </c>
      <c r="L82" s="390">
        <v>370249049.13999999</v>
      </c>
      <c r="M82" s="391">
        <v>106.82</v>
      </c>
      <c r="N82" s="24">
        <f t="shared" si="42"/>
        <v>3.9589633734831431E-3</v>
      </c>
      <c r="O82" s="24">
        <f t="shared" si="43"/>
        <v>1.5939990623533753E-3</v>
      </c>
      <c r="P82" s="390">
        <v>370220447.52999997</v>
      </c>
      <c r="Q82" s="391">
        <v>107</v>
      </c>
      <c r="R82" s="24">
        <f t="shared" si="44"/>
        <v>-7.7249651461493304E-5</v>
      </c>
      <c r="S82" s="24">
        <f t="shared" si="45"/>
        <v>1.6850777008051566E-3</v>
      </c>
      <c r="T82" s="390">
        <v>371401709.95999998</v>
      </c>
      <c r="U82" s="391">
        <v>107.24</v>
      </c>
      <c r="V82" s="24">
        <f t="shared" si="46"/>
        <v>3.1907001298308521E-3</v>
      </c>
      <c r="W82" s="24">
        <f t="shared" si="47"/>
        <v>2.2429906542055598E-3</v>
      </c>
      <c r="X82" s="390">
        <v>372397193.36000001</v>
      </c>
      <c r="Y82" s="391">
        <v>107.39</v>
      </c>
      <c r="Z82" s="24">
        <f t="shared" si="48"/>
        <v>2.6803414559056541E-3</v>
      </c>
      <c r="AA82" s="24">
        <f t="shared" si="49"/>
        <v>1.3987318164864389E-3</v>
      </c>
      <c r="AB82" s="390">
        <v>371909930.85000002</v>
      </c>
      <c r="AC82" s="391">
        <v>107.56</v>
      </c>
      <c r="AD82" s="24">
        <f t="shared" si="50"/>
        <v>-1.3084483951224333E-3</v>
      </c>
      <c r="AE82" s="24">
        <f t="shared" si="51"/>
        <v>1.5830151783220198E-3</v>
      </c>
      <c r="AF82" s="390">
        <v>368165213.85000002</v>
      </c>
      <c r="AG82" s="391">
        <v>107.75</v>
      </c>
      <c r="AH82" s="24">
        <f t="shared" si="52"/>
        <v>-1.0068881439765403E-2</v>
      </c>
      <c r="AI82" s="24">
        <f t="shared" si="53"/>
        <v>1.7664559315730543E-3</v>
      </c>
      <c r="AJ82" s="25">
        <f t="shared" si="54"/>
        <v>3.9428642021795308E-4</v>
      </c>
      <c r="AK82" s="25">
        <f t="shared" si="55"/>
        <v>2.5153454687334023E-3</v>
      </c>
      <c r="AL82" s="26">
        <f t="shared" si="56"/>
        <v>6.6505914569438545E-4</v>
      </c>
      <c r="AM82" s="26">
        <f t="shared" si="57"/>
        <v>-6.3694820994091059E-2</v>
      </c>
      <c r="AN82" s="27">
        <f t="shared" si="58"/>
        <v>4.5718911113189877E-3</v>
      </c>
      <c r="AO82" s="84">
        <f t="shared" si="59"/>
        <v>4.1815965940038335E-2</v>
      </c>
      <c r="AP82" s="31"/>
      <c r="AQ82" s="29"/>
      <c r="AR82" s="29"/>
      <c r="AS82" s="30"/>
      <c r="AT82" s="30"/>
    </row>
    <row r="83" spans="1:46" s="328" customFormat="1" ht="15.75" customHeight="1">
      <c r="A83" s="216" t="s">
        <v>246</v>
      </c>
      <c r="B83" s="390">
        <v>868481092.48000002</v>
      </c>
      <c r="C83" s="391">
        <v>1.0407</v>
      </c>
      <c r="D83" s="390">
        <v>867392324.47000003</v>
      </c>
      <c r="E83" s="391">
        <v>1.0419</v>
      </c>
      <c r="F83" s="24">
        <f t="shared" si="38"/>
        <v>-1.2536461869203713E-3</v>
      </c>
      <c r="G83" s="24">
        <f t="shared" si="39"/>
        <v>1.1530700490055635E-3</v>
      </c>
      <c r="H83" s="390">
        <v>868095152.28999996</v>
      </c>
      <c r="I83" s="391">
        <v>1.0430999999999999</v>
      </c>
      <c r="J83" s="24">
        <f t="shared" si="40"/>
        <v>8.1027673426713783E-4</v>
      </c>
      <c r="K83" s="24">
        <f t="shared" si="41"/>
        <v>1.1517420097896802E-3</v>
      </c>
      <c r="L83" s="390">
        <v>860056293.79999995</v>
      </c>
      <c r="M83" s="391">
        <v>1.0443</v>
      </c>
      <c r="N83" s="24">
        <f t="shared" si="42"/>
        <v>-9.2603425658970978E-3</v>
      </c>
      <c r="O83" s="24">
        <f t="shared" si="43"/>
        <v>1.1504170261720736E-3</v>
      </c>
      <c r="P83" s="390">
        <v>860086677.69000006</v>
      </c>
      <c r="Q83" s="391">
        <v>1.0452999999999999</v>
      </c>
      <c r="R83" s="24">
        <f t="shared" si="44"/>
        <v>3.5327792167951348E-5</v>
      </c>
      <c r="S83" s="24">
        <f t="shared" si="45"/>
        <v>9.5757923968197822E-4</v>
      </c>
      <c r="T83" s="390">
        <v>871076080.09000003</v>
      </c>
      <c r="U83" s="391">
        <v>1.0465</v>
      </c>
      <c r="V83" s="24">
        <f t="shared" si="46"/>
        <v>1.2777087106517039E-2</v>
      </c>
      <c r="W83" s="24">
        <f t="shared" si="47"/>
        <v>1.147995790682187E-3</v>
      </c>
      <c r="X83" s="390">
        <v>872059303.66999996</v>
      </c>
      <c r="Y83" s="391">
        <v>1.0477000000000001</v>
      </c>
      <c r="Z83" s="24">
        <f t="shared" si="48"/>
        <v>1.1287459298599228E-3</v>
      </c>
      <c r="AA83" s="24">
        <f t="shared" si="49"/>
        <v>1.1466794075490586E-3</v>
      </c>
      <c r="AB83" s="390">
        <v>873059452.58000004</v>
      </c>
      <c r="AC83" s="391">
        <v>1.0488999999999999</v>
      </c>
      <c r="AD83" s="24">
        <f t="shared" si="50"/>
        <v>1.1468817611268291E-3</v>
      </c>
      <c r="AE83" s="24">
        <f t="shared" si="51"/>
        <v>1.1453660398967908E-3</v>
      </c>
      <c r="AF83" s="390">
        <v>877725413.79999995</v>
      </c>
      <c r="AG83" s="391">
        <v>1.0501</v>
      </c>
      <c r="AH83" s="24">
        <f t="shared" si="52"/>
        <v>5.3443797054271731E-3</v>
      </c>
      <c r="AI83" s="24">
        <f t="shared" si="53"/>
        <v>1.1440556773763847E-3</v>
      </c>
      <c r="AJ83" s="25">
        <f t="shared" si="54"/>
        <v>1.3410887845685731E-3</v>
      </c>
      <c r="AK83" s="25">
        <f t="shared" si="55"/>
        <v>1.1246131550192145E-3</v>
      </c>
      <c r="AL83" s="26">
        <f t="shared" si="56"/>
        <v>1.1912820806102611E-2</v>
      </c>
      <c r="AM83" s="26">
        <f t="shared" si="57"/>
        <v>7.8702370668970005E-3</v>
      </c>
      <c r="AN83" s="27">
        <f t="shared" si="58"/>
        <v>6.1875563042224557E-3</v>
      </c>
      <c r="AO83" s="84">
        <f t="shared" si="59"/>
        <v>6.7564042923813991E-5</v>
      </c>
      <c r="AP83" s="31"/>
      <c r="AQ83" s="29"/>
      <c r="AR83" s="29"/>
      <c r="AS83" s="30"/>
      <c r="AT83" s="30"/>
    </row>
    <row r="84" spans="1:46" s="328" customFormat="1" ht="15.75" customHeight="1">
      <c r="A84" s="216" t="s">
        <v>258</v>
      </c>
      <c r="B84" s="390">
        <v>395198998.81</v>
      </c>
      <c r="C84" s="77">
        <v>1000</v>
      </c>
      <c r="D84" s="390">
        <v>395937942.35000002</v>
      </c>
      <c r="E84" s="77">
        <v>1000</v>
      </c>
      <c r="F84" s="24">
        <f t="shared" si="38"/>
        <v>1.8698011437910643E-3</v>
      </c>
      <c r="G84" s="24">
        <f t="shared" si="39"/>
        <v>0</v>
      </c>
      <c r="H84" s="390">
        <v>400914957.50999999</v>
      </c>
      <c r="I84" s="77">
        <v>1000</v>
      </c>
      <c r="J84" s="24">
        <f t="shared" si="40"/>
        <v>1.2570189991037534E-2</v>
      </c>
      <c r="K84" s="24">
        <f t="shared" si="41"/>
        <v>0</v>
      </c>
      <c r="L84" s="390">
        <v>411763668.46999997</v>
      </c>
      <c r="M84" s="77">
        <v>1000</v>
      </c>
      <c r="N84" s="24">
        <f t="shared" si="42"/>
        <v>2.7059880797112391E-2</v>
      </c>
      <c r="O84" s="24">
        <f t="shared" si="43"/>
        <v>0</v>
      </c>
      <c r="P84" s="390">
        <v>435628596.06</v>
      </c>
      <c r="Q84" s="77">
        <v>1000</v>
      </c>
      <c r="R84" s="24">
        <f t="shared" si="44"/>
        <v>5.795782731068895E-2</v>
      </c>
      <c r="S84" s="24">
        <f t="shared" si="45"/>
        <v>0</v>
      </c>
      <c r="T84" s="390">
        <v>434627522.78999996</v>
      </c>
      <c r="U84" s="77">
        <v>1000</v>
      </c>
      <c r="V84" s="24">
        <f t="shared" si="46"/>
        <v>-2.2979971449398622E-3</v>
      </c>
      <c r="W84" s="24">
        <f t="shared" si="47"/>
        <v>0</v>
      </c>
      <c r="X84" s="390">
        <v>444801789.26999998</v>
      </c>
      <c r="Y84" s="77">
        <v>1000</v>
      </c>
      <c r="Z84" s="24">
        <f t="shared" si="48"/>
        <v>2.340916289582504E-2</v>
      </c>
      <c r="AA84" s="24">
        <f t="shared" si="49"/>
        <v>0</v>
      </c>
      <c r="AB84" s="390">
        <v>445718180.58999997</v>
      </c>
      <c r="AC84" s="77">
        <v>1000</v>
      </c>
      <c r="AD84" s="24">
        <f t="shared" si="50"/>
        <v>2.0602239966344481E-3</v>
      </c>
      <c r="AE84" s="24">
        <f t="shared" si="51"/>
        <v>0</v>
      </c>
      <c r="AF84" s="390">
        <v>458389005.96999997</v>
      </c>
      <c r="AG84" s="77">
        <v>1000</v>
      </c>
      <c r="AH84" s="24">
        <f t="shared" si="52"/>
        <v>2.8427885448216502E-2</v>
      </c>
      <c r="AI84" s="24">
        <f t="shared" si="53"/>
        <v>0</v>
      </c>
      <c r="AJ84" s="25">
        <f t="shared" si="54"/>
        <v>1.8882121804795756E-2</v>
      </c>
      <c r="AK84" s="25">
        <f t="shared" si="55"/>
        <v>0</v>
      </c>
      <c r="AL84" s="26">
        <f t="shared" si="56"/>
        <v>0.15772942408432947</v>
      </c>
      <c r="AM84" s="26">
        <f t="shared" si="57"/>
        <v>0</v>
      </c>
      <c r="AN84" s="27">
        <f t="shared" si="58"/>
        <v>1.9879046504811405E-2</v>
      </c>
      <c r="AO84" s="84">
        <f t="shared" si="59"/>
        <v>0</v>
      </c>
      <c r="AP84" s="31"/>
      <c r="AQ84" s="29"/>
      <c r="AR84" s="29"/>
      <c r="AS84" s="30"/>
      <c r="AT84" s="30"/>
    </row>
    <row r="85" spans="1:46" s="118" customFormat="1" ht="15.75" customHeight="1">
      <c r="A85" s="216" t="s">
        <v>267</v>
      </c>
      <c r="B85" s="390">
        <v>55080400.369999997</v>
      </c>
      <c r="C85" s="77">
        <v>102.5847</v>
      </c>
      <c r="D85" s="390">
        <v>55180067.270000003</v>
      </c>
      <c r="E85" s="77">
        <v>102.7688</v>
      </c>
      <c r="F85" s="24" t="e">
        <f>((#REF!-B85)/B85)</f>
        <v>#REF!</v>
      </c>
      <c r="G85" s="24">
        <f>((E85-C85)/C85)</f>
        <v>1.7946145965236611E-3</v>
      </c>
      <c r="H85" s="390">
        <v>55288822.280000001</v>
      </c>
      <c r="I85" s="77">
        <v>102.95269999999999</v>
      </c>
      <c r="J85" s="24" t="e">
        <f>((#REF!-D85)/D85)</f>
        <v>#REF!</v>
      </c>
      <c r="K85" s="24">
        <f t="shared" si="41"/>
        <v>1.7894536084881226E-3</v>
      </c>
      <c r="L85" s="390">
        <v>55396984.780000001</v>
      </c>
      <c r="M85" s="77">
        <v>103.13549999999999</v>
      </c>
      <c r="N85" s="24" t="e">
        <f>((#REF!-H85)/H85)</f>
        <v>#REF!</v>
      </c>
      <c r="O85" s="24">
        <f t="shared" si="43"/>
        <v>1.7755726658941467E-3</v>
      </c>
      <c r="P85" s="390">
        <v>55607004.649999999</v>
      </c>
      <c r="Q85" s="77">
        <v>103.3627</v>
      </c>
      <c r="R85" s="24" t="e">
        <f>((#REF!-L85)/L85)</f>
        <v>#REF!</v>
      </c>
      <c r="S85" s="24">
        <f t="shared" si="45"/>
        <v>2.2029272171076933E-3</v>
      </c>
      <c r="T85" s="390">
        <v>55721971.969999999</v>
      </c>
      <c r="U85" s="77">
        <v>103.48860000000001</v>
      </c>
      <c r="V85" s="24" t="e">
        <f>((#REF!-P85)/P85)</f>
        <v>#REF!</v>
      </c>
      <c r="W85" s="24">
        <f t="shared" si="47"/>
        <v>1.2180409373981277E-3</v>
      </c>
      <c r="X85" s="390">
        <v>55991007.329999998</v>
      </c>
      <c r="Y85" s="77">
        <v>103.7148</v>
      </c>
      <c r="Z85" s="24" t="e">
        <f>((#REF!-T85)/T85)</f>
        <v>#REF!</v>
      </c>
      <c r="AA85" s="24">
        <f t="shared" si="49"/>
        <v>2.1857479954312986E-3</v>
      </c>
      <c r="AB85" s="390">
        <v>56086780.799999997</v>
      </c>
      <c r="AC85" s="77">
        <v>103.8403</v>
      </c>
      <c r="AD85" s="24" t="e">
        <f>((#REF!-X85)/X85)</f>
        <v>#REF!</v>
      </c>
      <c r="AE85" s="24">
        <f t="shared" si="51"/>
        <v>1.2100490961753038E-3</v>
      </c>
      <c r="AF85" s="390">
        <v>56191792.5</v>
      </c>
      <c r="AG85" s="77">
        <v>104.0162</v>
      </c>
      <c r="AH85" s="24" t="e">
        <f>((#REF!-AB85)/AB85)</f>
        <v>#REF!</v>
      </c>
      <c r="AI85" s="24">
        <f t="shared" si="53"/>
        <v>1.6939473402907987E-3</v>
      </c>
      <c r="AJ85" s="25" t="e">
        <f t="shared" si="54"/>
        <v>#REF!</v>
      </c>
      <c r="AK85" s="25">
        <f t="shared" si="55"/>
        <v>1.7337941821636439E-3</v>
      </c>
      <c r="AL85" s="26">
        <f t="shared" si="56"/>
        <v>1.8334976379234064E-2</v>
      </c>
      <c r="AM85" s="26">
        <f t="shared" si="57"/>
        <v>1.2137925129027477E-2</v>
      </c>
      <c r="AN85" s="27" t="e">
        <f t="shared" si="58"/>
        <v>#REF!</v>
      </c>
      <c r="AO85" s="84">
        <f t="shared" si="59"/>
        <v>3.7316956801314771E-4</v>
      </c>
      <c r="AP85" s="31"/>
      <c r="AQ85" s="29"/>
      <c r="AR85" s="29"/>
      <c r="AS85" s="30"/>
      <c r="AT85" s="30"/>
    </row>
    <row r="86" spans="1:46">
      <c r="A86" s="218" t="s">
        <v>46</v>
      </c>
      <c r="B86" s="81">
        <f>SUM(B56:B85)</f>
        <v>342048621360.02881</v>
      </c>
      <c r="C86" s="93"/>
      <c r="D86" s="81">
        <f>SUM(D56:D85)</f>
        <v>346326319129.15698</v>
      </c>
      <c r="E86" s="93"/>
      <c r="F86" s="24">
        <f>((D85-B86)/B86)</f>
        <v>-0.99983867770888646</v>
      </c>
      <c r="G86" s="24"/>
      <c r="H86" s="81">
        <f>SUM(H56:H85)</f>
        <v>338349672651.75592</v>
      </c>
      <c r="I86" s="93"/>
      <c r="J86" s="24">
        <f>((H85-D86)/D86)</f>
        <v>-0.99984035627895951</v>
      </c>
      <c r="K86" s="24"/>
      <c r="L86" s="81">
        <f>SUM(L56:L85)</f>
        <v>337557374886.08539</v>
      </c>
      <c r="M86" s="93"/>
      <c r="N86" s="24">
        <f>((L85-H86)/H86)</f>
        <v>-0.99983627297657518</v>
      </c>
      <c r="O86" s="24"/>
      <c r="P86" s="81">
        <f>SUM(P56:P85)</f>
        <v>335945984770.62183</v>
      </c>
      <c r="Q86" s="93"/>
      <c r="R86" s="24">
        <f>((P85-L86)/L86)</f>
        <v>-0.99983526650937848</v>
      </c>
      <c r="S86" s="24"/>
      <c r="T86" s="81">
        <f>SUM(T56:T85)</f>
        <v>337420772556.3739</v>
      </c>
      <c r="U86" s="93"/>
      <c r="V86" s="24">
        <f>((T85-P86)/P86)</f>
        <v>-0.99983413413317612</v>
      </c>
      <c r="W86" s="24"/>
      <c r="X86" s="81">
        <f>SUM(X56:X85)</f>
        <v>337681545776.1922</v>
      </c>
      <c r="Y86" s="93"/>
      <c r="Z86" s="24">
        <f>((X85-T86)/T86)</f>
        <v>-0.99983406176535661</v>
      </c>
      <c r="AA86" s="24"/>
      <c r="AB86" s="81">
        <f>SUM(AB56:AB85)</f>
        <v>338781243498.64948</v>
      </c>
      <c r="AC86" s="93"/>
      <c r="AD86" s="24">
        <f>((AB85-X86)/X86)</f>
        <v>-0.99983390628981195</v>
      </c>
      <c r="AE86" s="24"/>
      <c r="AF86" s="81">
        <f>SUM(AF56:AF85)</f>
        <v>329560582532.39893</v>
      </c>
      <c r="AG86" s="93"/>
      <c r="AH86" s="24">
        <f>((AF85-AB86)/AB86)</f>
        <v>-0.99983413546771449</v>
      </c>
      <c r="AI86" s="24"/>
      <c r="AJ86" s="25">
        <f t="shared" si="54"/>
        <v>-0.99983585139123232</v>
      </c>
      <c r="AK86" s="25"/>
      <c r="AL86" s="26">
        <f t="shared" si="56"/>
        <v>-4.8410229516820343E-2</v>
      </c>
      <c r="AM86" s="26"/>
      <c r="AN86" s="27">
        <f t="shared" si="58"/>
        <v>2.4401831009196174E-6</v>
      </c>
      <c r="AO86" s="84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8" customFormat="1" ht="7.5" customHeight="1">
      <c r="A87" s="218"/>
      <c r="B87" s="93"/>
      <c r="C87" s="93"/>
      <c r="D87" s="93"/>
      <c r="E87" s="93"/>
      <c r="F87" s="24"/>
      <c r="G87" s="24"/>
      <c r="H87" s="93"/>
      <c r="I87" s="93"/>
      <c r="J87" s="24"/>
      <c r="K87" s="24"/>
      <c r="L87" s="93"/>
      <c r="M87" s="93"/>
      <c r="N87" s="24"/>
      <c r="O87" s="24"/>
      <c r="P87" s="93"/>
      <c r="Q87" s="93"/>
      <c r="R87" s="24"/>
      <c r="S87" s="24"/>
      <c r="T87" s="93"/>
      <c r="U87" s="93"/>
      <c r="V87" s="24"/>
      <c r="W87" s="24"/>
      <c r="X87" s="93"/>
      <c r="Y87" s="93"/>
      <c r="Z87" s="24"/>
      <c r="AA87" s="24"/>
      <c r="AB87" s="93"/>
      <c r="AC87" s="93"/>
      <c r="AD87" s="24"/>
      <c r="AE87" s="24"/>
      <c r="AF87" s="93"/>
      <c r="AG87" s="93"/>
      <c r="AH87" s="24"/>
      <c r="AI87" s="24"/>
      <c r="AJ87" s="25"/>
      <c r="AK87" s="25"/>
      <c r="AL87" s="26"/>
      <c r="AM87" s="26"/>
      <c r="AN87" s="27"/>
      <c r="AO87" s="84"/>
      <c r="AP87" s="31"/>
      <c r="AQ87" s="41"/>
      <c r="AR87" s="14"/>
      <c r="AS87" s="30"/>
      <c r="AT87" s="30"/>
    </row>
    <row r="88" spans="1:46" s="118" customFormat="1">
      <c r="A88" s="215" t="s">
        <v>211</v>
      </c>
      <c r="B88" s="93"/>
      <c r="C88" s="93"/>
      <c r="D88" s="93"/>
      <c r="E88" s="93"/>
      <c r="F88" s="24"/>
      <c r="G88" s="24"/>
      <c r="H88" s="93"/>
      <c r="I88" s="93"/>
      <c r="J88" s="24"/>
      <c r="K88" s="24"/>
      <c r="L88" s="93"/>
      <c r="M88" s="93"/>
      <c r="N88" s="24"/>
      <c r="O88" s="24"/>
      <c r="P88" s="93"/>
      <c r="Q88" s="93"/>
      <c r="R88" s="24"/>
      <c r="S88" s="24"/>
      <c r="T88" s="93"/>
      <c r="U88" s="93"/>
      <c r="V88" s="24"/>
      <c r="W88" s="24"/>
      <c r="X88" s="93"/>
      <c r="Y88" s="93"/>
      <c r="Z88" s="24"/>
      <c r="AA88" s="24"/>
      <c r="AB88" s="93"/>
      <c r="AC88" s="93"/>
      <c r="AD88" s="24"/>
      <c r="AE88" s="24"/>
      <c r="AF88" s="93"/>
      <c r="AG88" s="93"/>
      <c r="AH88" s="24"/>
      <c r="AI88" s="24"/>
      <c r="AJ88" s="25"/>
      <c r="AK88" s="25"/>
      <c r="AL88" s="26"/>
      <c r="AM88" s="26"/>
      <c r="AN88" s="27"/>
      <c r="AO88" s="84"/>
      <c r="AP88" s="31"/>
      <c r="AQ88" s="41"/>
      <c r="AR88" s="14"/>
      <c r="AS88" s="30"/>
      <c r="AT88" s="30"/>
    </row>
    <row r="89" spans="1:46" s="118" customFormat="1">
      <c r="A89" s="214" t="s">
        <v>212</v>
      </c>
      <c r="B89" s="93"/>
      <c r="C89" s="93"/>
      <c r="D89" s="93"/>
      <c r="E89" s="93"/>
      <c r="F89" s="24"/>
      <c r="G89" s="24"/>
      <c r="H89" s="93"/>
      <c r="I89" s="93"/>
      <c r="J89" s="24"/>
      <c r="K89" s="24"/>
      <c r="L89" s="93"/>
      <c r="M89" s="93"/>
      <c r="N89" s="24"/>
      <c r="O89" s="24"/>
      <c r="P89" s="93"/>
      <c r="Q89" s="93"/>
      <c r="R89" s="24"/>
      <c r="S89" s="24"/>
      <c r="T89" s="93"/>
      <c r="U89" s="93"/>
      <c r="V89" s="24"/>
      <c r="W89" s="24"/>
      <c r="X89" s="93"/>
      <c r="Y89" s="93"/>
      <c r="Z89" s="24"/>
      <c r="AA89" s="24"/>
      <c r="AB89" s="93"/>
      <c r="AC89" s="93"/>
      <c r="AD89" s="24"/>
      <c r="AE89" s="24"/>
      <c r="AF89" s="93"/>
      <c r="AG89" s="93"/>
      <c r="AH89" s="24"/>
      <c r="AI89" s="24"/>
      <c r="AJ89" s="25" t="e">
        <f t="shared" si="54"/>
        <v>#DIV/0!</v>
      </c>
      <c r="AK89" s="25" t="e">
        <f t="shared" si="55"/>
        <v>#DIV/0!</v>
      </c>
      <c r="AL89" s="26" t="e">
        <f t="shared" si="56"/>
        <v>#DIV/0!</v>
      </c>
      <c r="AM89" s="26" t="e">
        <f t="shared" si="57"/>
        <v>#DIV/0!</v>
      </c>
      <c r="AN89" s="27" t="e">
        <f t="shared" si="58"/>
        <v>#DIV/0!</v>
      </c>
      <c r="AO89" s="84" t="e">
        <f t="shared" si="59"/>
        <v>#DIV/0!</v>
      </c>
      <c r="AP89" s="31"/>
      <c r="AQ89" s="41"/>
      <c r="AR89" s="14"/>
      <c r="AS89" s="30"/>
      <c r="AT89" s="30"/>
    </row>
    <row r="90" spans="1:46">
      <c r="A90" s="216" t="s">
        <v>259</v>
      </c>
      <c r="B90" s="390">
        <v>13170785930.469999</v>
      </c>
      <c r="C90" s="390">
        <v>55682.43</v>
      </c>
      <c r="D90" s="390">
        <v>13163655023.09</v>
      </c>
      <c r="E90" s="390">
        <v>55652.29</v>
      </c>
      <c r="F90" s="24">
        <f>((D90-B90)/B90)</f>
        <v>-5.4141851652923301E-4</v>
      </c>
      <c r="G90" s="24">
        <f>((E90-C90)/C90)</f>
        <v>-5.4128384842398974E-4</v>
      </c>
      <c r="H90" s="390">
        <v>13163655023.09</v>
      </c>
      <c r="I90" s="390">
        <v>55652.29</v>
      </c>
      <c r="J90" s="24">
        <f>((H90-D90)/D90)</f>
        <v>0</v>
      </c>
      <c r="K90" s="24">
        <f t="shared" ref="K90:K98" si="60">((I90-E90)/E90)</f>
        <v>0</v>
      </c>
      <c r="L90" s="390">
        <v>13156524115.709999</v>
      </c>
      <c r="M90" s="390">
        <v>55622.14</v>
      </c>
      <c r="N90" s="24">
        <f>((L90-H90)/H90)</f>
        <v>-5.4171180933357353E-4</v>
      </c>
      <c r="O90" s="24">
        <f t="shared" ref="O90:O98" si="61">((M90-I90)/I90)</f>
        <v>-5.417566824294464E-4</v>
      </c>
      <c r="P90" s="390">
        <v>13154242225.35</v>
      </c>
      <c r="Q90" s="390">
        <v>55612.49</v>
      </c>
      <c r="R90" s="24">
        <f>((P90-L90)/L90)</f>
        <v>-1.7344173430077427E-4</v>
      </c>
      <c r="S90" s="24">
        <f t="shared" ref="S90:S98" si="62">((Q90-M90)/M90)</f>
        <v>-1.7349206628873782E-4</v>
      </c>
      <c r="T90" s="390">
        <v>13170785930.469999</v>
      </c>
      <c r="U90" s="390">
        <v>55682.43</v>
      </c>
      <c r="V90" s="24">
        <f>((T90-P90)/P90)</f>
        <v>1.2576707070299329E-3</v>
      </c>
      <c r="W90" s="24">
        <f t="shared" ref="W90:W98" si="63">((U90-Q90)/Q90)</f>
        <v>1.2576311544403485E-3</v>
      </c>
      <c r="X90" s="390">
        <v>13163655023.09</v>
      </c>
      <c r="Y90" s="390">
        <v>56219.93</v>
      </c>
      <c r="Z90" s="24">
        <f>((X90-T90)/T90)</f>
        <v>-5.4141851652923301E-4</v>
      </c>
      <c r="AA90" s="24">
        <f t="shared" ref="AA90:AA98" si="64">((Y90-U90)/U90)</f>
        <v>9.6529551601824849E-3</v>
      </c>
      <c r="AB90" s="390">
        <v>13173067820.83</v>
      </c>
      <c r="AC90" s="390">
        <v>56338.64</v>
      </c>
      <c r="AD90" s="24">
        <f>((AB90-X90)/X90)</f>
        <v>7.1505958819864581E-4</v>
      </c>
      <c r="AE90" s="24">
        <f t="shared" ref="AE90:AE98" si="65">((AC90-Y90)/Y90)</f>
        <v>2.1115287763609652E-3</v>
      </c>
      <c r="AF90" s="390">
        <v>13158806006.07</v>
      </c>
      <c r="AG90" s="390">
        <v>56356.07</v>
      </c>
      <c r="AH90" s="24">
        <f>((AF90-AB90)/AB90)</f>
        <v>-1.0826494597901213E-3</v>
      </c>
      <c r="AI90" s="24">
        <f t="shared" ref="AI90:AI98" si="66">((AG90-AC90)/AC90)</f>
        <v>3.0937914014254322E-4</v>
      </c>
      <c r="AJ90" s="25">
        <f t="shared" si="54"/>
        <v>-1.1348871765679458E-4</v>
      </c>
      <c r="AK90" s="25">
        <f t="shared" si="55"/>
        <v>1.509370204248021E-3</v>
      </c>
      <c r="AL90" s="26">
        <f t="shared" si="56"/>
        <v>-3.6836403046835639E-4</v>
      </c>
      <c r="AM90" s="26">
        <f t="shared" si="57"/>
        <v>1.2646020496191601E-2</v>
      </c>
      <c r="AN90" s="27">
        <f t="shared" si="58"/>
        <v>7.62696335579699E-4</v>
      </c>
      <c r="AO90" s="84">
        <f t="shared" si="59"/>
        <v>3.4164820956165982E-3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6" t="s">
        <v>177</v>
      </c>
      <c r="B91" s="390">
        <v>73991820810.800003</v>
      </c>
      <c r="C91" s="390">
        <v>58133.03</v>
      </c>
      <c r="D91" s="390">
        <v>74073614442.820007</v>
      </c>
      <c r="E91" s="390">
        <v>58150.34</v>
      </c>
      <c r="F91" s="24">
        <f>((D103-B91)/B91)</f>
        <v>-0.9174655234796083</v>
      </c>
      <c r="G91" s="24">
        <f t="shared" ref="G91:G98" si="67">((E91-C91)/C91)</f>
        <v>2.9776531517448294E-4</v>
      </c>
      <c r="H91" s="390">
        <v>74233890489.979996</v>
      </c>
      <c r="I91" s="390">
        <v>58208.49</v>
      </c>
      <c r="J91" s="24">
        <f>((H103-D91)/D91)</f>
        <v>-0.91585510697980843</v>
      </c>
      <c r="K91" s="24">
        <f t="shared" si="60"/>
        <v>9.999941530866622E-4</v>
      </c>
      <c r="L91" s="390">
        <v>73852641480.039993</v>
      </c>
      <c r="M91" s="390">
        <v>58235.07</v>
      </c>
      <c r="N91" s="24">
        <f>((L103-H91)/H91)</f>
        <v>-0.91464369260809164</v>
      </c>
      <c r="O91" s="24">
        <f t="shared" si="61"/>
        <v>4.5663441879357716E-4</v>
      </c>
      <c r="P91" s="390">
        <v>73097274373.770004</v>
      </c>
      <c r="Q91" s="390">
        <v>58235.07</v>
      </c>
      <c r="R91" s="24">
        <f>((P103-L91)/L91)</f>
        <v>-0.91659561114730403</v>
      </c>
      <c r="S91" s="24">
        <f t="shared" si="62"/>
        <v>0</v>
      </c>
      <c r="T91" s="390">
        <v>73584960847.979996</v>
      </c>
      <c r="U91" s="390">
        <v>58414.559999999998</v>
      </c>
      <c r="V91" s="24">
        <f>((T103-P91)/P91)</f>
        <v>-0.91573373315804085</v>
      </c>
      <c r="W91" s="24">
        <f t="shared" si="63"/>
        <v>3.0821633768105365E-3</v>
      </c>
      <c r="X91" s="390">
        <v>74396446213.309998</v>
      </c>
      <c r="Y91" s="390">
        <v>58442.01</v>
      </c>
      <c r="Z91" s="24">
        <f>((X103-T91)/T91)</f>
        <v>-0.91829883622361075</v>
      </c>
      <c r="AA91" s="24">
        <f t="shared" si="64"/>
        <v>4.6991708916414615E-4</v>
      </c>
      <c r="AB91" s="390">
        <v>71142641000.550003</v>
      </c>
      <c r="AC91" s="390">
        <v>58541.99</v>
      </c>
      <c r="AD91" s="24">
        <f>((AB103-X91)/X91)</f>
        <v>-0.91886474896794068</v>
      </c>
      <c r="AE91" s="24">
        <f t="shared" si="65"/>
        <v>1.7107556704500054E-3</v>
      </c>
      <c r="AF91" s="390">
        <v>67457423864.040001</v>
      </c>
      <c r="AG91" s="390">
        <v>58536.73</v>
      </c>
      <c r="AH91" s="24">
        <f>((AF103-AB91)/AB91)</f>
        <v>-0.91502100884414372</v>
      </c>
      <c r="AI91" s="24">
        <f t="shared" si="66"/>
        <v>-8.9850037554151495E-5</v>
      </c>
      <c r="AJ91" s="25">
        <f t="shared" si="54"/>
        <v>-0.91655978267606841</v>
      </c>
      <c r="AK91" s="25">
        <f t="shared" si="55"/>
        <v>8.6592249824065737E-4</v>
      </c>
      <c r="AL91" s="26">
        <f t="shared" si="56"/>
        <v>-8.931912704067213E-2</v>
      </c>
      <c r="AM91" s="26">
        <f t="shared" si="57"/>
        <v>6.6446731007936792E-3</v>
      </c>
      <c r="AN91" s="27">
        <f t="shared" si="58"/>
        <v>1.5295647666660707E-3</v>
      </c>
      <c r="AO91" s="84">
        <f t="shared" si="59"/>
        <v>1.0659606293417522E-3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6" t="s">
        <v>129</v>
      </c>
      <c r="B92" s="390">
        <v>6374295367.1899996</v>
      </c>
      <c r="C92" s="390">
        <v>460.41</v>
      </c>
      <c r="D92" s="390">
        <v>4983719407.1000004</v>
      </c>
      <c r="E92" s="390">
        <v>459.7</v>
      </c>
      <c r="F92" s="24">
        <f>((D104-B92)/B92)</f>
        <v>-0.94114001784868706</v>
      </c>
      <c r="G92" s="24">
        <f t="shared" si="67"/>
        <v>-1.5421037770683441E-3</v>
      </c>
      <c r="H92" s="390">
        <v>6318388736.75</v>
      </c>
      <c r="I92" s="390">
        <v>460.52</v>
      </c>
      <c r="J92" s="24">
        <f>((H104-D92)/D92)</f>
        <v>-0.92544837542204261</v>
      </c>
      <c r="K92" s="24">
        <f t="shared" si="60"/>
        <v>1.7837720252338333E-3</v>
      </c>
      <c r="L92" s="390">
        <v>6343533464.6800003</v>
      </c>
      <c r="M92" s="390">
        <v>460.5</v>
      </c>
      <c r="N92" s="24">
        <f>((L104-H92)/H92)</f>
        <v>-0.9409473908261109</v>
      </c>
      <c r="O92" s="24">
        <f t="shared" si="61"/>
        <v>-4.3429167028536896E-5</v>
      </c>
      <c r="P92" s="390">
        <v>6195141455.7399998</v>
      </c>
      <c r="Q92" s="390">
        <v>460.45</v>
      </c>
      <c r="R92" s="24">
        <f>((P104-L92)/L92)</f>
        <v>-0.94076636505157074</v>
      </c>
      <c r="S92" s="24">
        <f t="shared" si="62"/>
        <v>-1.0857763300762512E-4</v>
      </c>
      <c r="T92" s="390">
        <v>6202534144.6000004</v>
      </c>
      <c r="U92" s="390">
        <v>460.46</v>
      </c>
      <c r="V92" s="24">
        <f>((T104-P92)/P92)</f>
        <v>-0.93944195673653308</v>
      </c>
      <c r="W92" s="24">
        <f t="shared" si="63"/>
        <v>2.1717884678012609E-5</v>
      </c>
      <c r="X92" s="390">
        <v>5980767684.2799997</v>
      </c>
      <c r="Y92" s="390">
        <v>460.55</v>
      </c>
      <c r="Z92" s="24">
        <f>((X104-T92)/T92)</f>
        <v>-0.93980722986022724</v>
      </c>
      <c r="AA92" s="24">
        <f t="shared" si="64"/>
        <v>1.9545671719591677E-4</v>
      </c>
      <c r="AB92" s="390">
        <v>5983470761.6700001</v>
      </c>
      <c r="AC92" s="390">
        <v>460.39</v>
      </c>
      <c r="AD92" s="24">
        <f>((AB104-X92)/X92)</f>
        <v>-0.94013435974095971</v>
      </c>
      <c r="AE92" s="24">
        <f t="shared" si="65"/>
        <v>-3.4741070459238957E-4</v>
      </c>
      <c r="AF92" s="390">
        <v>5813282404.3199997</v>
      </c>
      <c r="AG92" s="390">
        <v>460.4</v>
      </c>
      <c r="AH92" s="24">
        <f>((AF104-AB92)/AB92)</f>
        <v>-0.93974112309034374</v>
      </c>
      <c r="AI92" s="24">
        <f t="shared" si="66"/>
        <v>2.1720715045919558E-5</v>
      </c>
      <c r="AJ92" s="25">
        <f t="shared" si="54"/>
        <v>-0.93842835232205923</v>
      </c>
      <c r="AK92" s="25">
        <f t="shared" si="55"/>
        <v>-2.3567424429016719E-6</v>
      </c>
      <c r="AL92" s="26">
        <f t="shared" si="56"/>
        <v>0.16645459534462786</v>
      </c>
      <c r="AM92" s="26">
        <f t="shared" si="57"/>
        <v>1.5227322166630165E-3</v>
      </c>
      <c r="AN92" s="27">
        <f t="shared" si="58"/>
        <v>5.2807915307573582E-3</v>
      </c>
      <c r="AO92" s="84">
        <f t="shared" si="59"/>
        <v>9.0501763520729533E-4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6" t="s">
        <v>137</v>
      </c>
      <c r="B93" s="390">
        <f>1737078.23*460.91</f>
        <v>800636726.98930001</v>
      </c>
      <c r="C93" s="390">
        <f>126.88*460.91</f>
        <v>58480.260800000004</v>
      </c>
      <c r="D93" s="390">
        <f>1703823.57*460.2</f>
        <v>784099606.91400003</v>
      </c>
      <c r="E93" s="390">
        <f>126.78*460.2</f>
        <v>58344.156000000003</v>
      </c>
      <c r="F93" s="24">
        <f>((D105-B93)/B93)</f>
        <v>1.2236162359672635</v>
      </c>
      <c r="G93" s="24">
        <f t="shared" si="67"/>
        <v>-2.3273630818007734E-3</v>
      </c>
      <c r="H93" s="390">
        <f>1673281.9*460.99</f>
        <v>771366223.08099997</v>
      </c>
      <c r="I93" s="390">
        <f>124.594756*460.99</f>
        <v>57436.936568440004</v>
      </c>
      <c r="J93" s="24">
        <f>((H105-D93)/D93)</f>
        <v>1.3817392807419211</v>
      </c>
      <c r="K93" s="24">
        <f t="shared" si="60"/>
        <v>-1.5549448201118875E-2</v>
      </c>
      <c r="L93" s="390">
        <f>1660839.34*461</f>
        <v>765646935.74000001</v>
      </c>
      <c r="M93" s="390">
        <f>124.43*461</f>
        <v>57362.23</v>
      </c>
      <c r="N93" s="24">
        <f>((L105-H93)/H93)</f>
        <v>1.4238237024831253</v>
      </c>
      <c r="O93" s="24">
        <f t="shared" si="61"/>
        <v>-1.3006711865801281E-3</v>
      </c>
      <c r="P93" s="390">
        <f>1638207.04*460.95</f>
        <v>755131535.08799994</v>
      </c>
      <c r="Q93" s="390">
        <f>124.66*460.95</f>
        <v>57462.026999999995</v>
      </c>
      <c r="R93" s="24">
        <f>((P105-L93)/L93)</f>
        <v>1.2301993944945764</v>
      </c>
      <c r="S93" s="24">
        <f t="shared" si="62"/>
        <v>1.7397684852906064E-3</v>
      </c>
      <c r="T93" s="390">
        <f>1642014.82*460.97</f>
        <v>756919571.57540011</v>
      </c>
      <c r="U93" s="390">
        <f>125.48*460.97</f>
        <v>57842.515600000006</v>
      </c>
      <c r="V93" s="24">
        <f>((T105-P93)/P93)</f>
        <v>1.2514591315977279</v>
      </c>
      <c r="W93" s="24">
        <f t="shared" si="63"/>
        <v>6.621565925615738E-3</v>
      </c>
      <c r="X93" s="390">
        <f>1696565.63*461.02</f>
        <v>782150686.74259996</v>
      </c>
      <c r="Y93" s="390">
        <f>127.7*461.02</f>
        <v>58872.254000000001</v>
      </c>
      <c r="Z93" s="24">
        <f>((X105-T93)/T93)</f>
        <v>1.2483784206139938</v>
      </c>
      <c r="AA93" s="24">
        <f t="shared" si="64"/>
        <v>1.7802448412184802E-2</v>
      </c>
      <c r="AB93" s="390">
        <f>1683523.4*460.94</f>
        <v>776003275.99599993</v>
      </c>
      <c r="AC93" s="390">
        <f>127*460.94</f>
        <v>58539.38</v>
      </c>
      <c r="AD93" s="24">
        <f>((AB105-X93)/X93)</f>
        <v>1.1803963904762049</v>
      </c>
      <c r="AE93" s="24">
        <f t="shared" si="65"/>
        <v>-5.6541745454489209E-3</v>
      </c>
      <c r="AF93" s="390">
        <f>1692768.98*460.9</f>
        <v>780197222.88199997</v>
      </c>
      <c r="AG93" s="390">
        <f>127.13*460.9</f>
        <v>58594.216999999997</v>
      </c>
      <c r="AH93" s="24">
        <f>((AF105-AB93)/AB93)</f>
        <v>1.196482983629263</v>
      </c>
      <c r="AI93" s="24">
        <f t="shared" si="66"/>
        <v>9.3675402780144814E-4</v>
      </c>
      <c r="AJ93" s="25">
        <f t="shared" si="54"/>
        <v>1.2670119425005095</v>
      </c>
      <c r="AK93" s="25">
        <f t="shared" si="55"/>
        <v>2.8360997949298682E-4</v>
      </c>
      <c r="AL93" s="26">
        <f t="shared" si="56"/>
        <v>-4.9768983399427697E-3</v>
      </c>
      <c r="AM93" s="26">
        <f t="shared" si="57"/>
        <v>4.2859648188242573E-3</v>
      </c>
      <c r="AN93" s="27">
        <f t="shared" si="58"/>
        <v>8.7876802726335856E-2</v>
      </c>
      <c r="AO93" s="84">
        <f t="shared" si="59"/>
        <v>9.5983370873951434E-3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6" t="s">
        <v>155</v>
      </c>
      <c r="B94" s="390">
        <v>804372051.39999998</v>
      </c>
      <c r="C94" s="390">
        <f>105.8168*455.06</f>
        <v>48152.993007999998</v>
      </c>
      <c r="D94" s="390">
        <v>790231292.03999996</v>
      </c>
      <c r="E94" s="390">
        <f>106.2165*460.2</f>
        <v>48880.833299999998</v>
      </c>
      <c r="F94" s="24">
        <f>((D106-B94)/B94)</f>
        <v>-0.87292983257921286</v>
      </c>
      <c r="G94" s="24">
        <f t="shared" si="67"/>
        <v>1.5115162039441235E-2</v>
      </c>
      <c r="H94" s="390">
        <v>791632314.23000002</v>
      </c>
      <c r="I94" s="390">
        <f>106.339*460.99</f>
        <v>49021.215609999999</v>
      </c>
      <c r="J94" s="24">
        <f>((H106-D94)/D94)</f>
        <v>-0.8727350028516595</v>
      </c>
      <c r="K94" s="24">
        <f t="shared" si="60"/>
        <v>2.8719295585331373E-3</v>
      </c>
      <c r="L94" s="390">
        <v>800573217.45000005</v>
      </c>
      <c r="M94" s="390">
        <f>106.4609*460.5</f>
        <v>49025.244449999998</v>
      </c>
      <c r="N94" s="24">
        <f>((L106-H94)/H94)</f>
        <v>-0.87231218787686848</v>
      </c>
      <c r="O94" s="24">
        <f t="shared" si="61"/>
        <v>8.2185640438854794E-5</v>
      </c>
      <c r="P94" s="390">
        <v>796514967.11000001</v>
      </c>
      <c r="Q94" s="390">
        <f>106.5763*460.95</f>
        <v>49126.345484999998</v>
      </c>
      <c r="R94" s="24">
        <f>((P106-L94)/L94)</f>
        <v>-0.87133965581801009</v>
      </c>
      <c r="S94" s="24">
        <f t="shared" si="62"/>
        <v>2.0622239855042617E-3</v>
      </c>
      <c r="T94" s="390">
        <v>788637969.12</v>
      </c>
      <c r="U94" s="390">
        <f>106.753*460.97</f>
        <v>49209.930410000001</v>
      </c>
      <c r="V94" s="24">
        <f>((T106-P94)/P94)</f>
        <v>-0.87083156208188173</v>
      </c>
      <c r="W94" s="24">
        <f t="shared" si="63"/>
        <v>1.701427699838252E-3</v>
      </c>
      <c r="X94" s="390">
        <v>791220411.33000004</v>
      </c>
      <c r="Y94" s="390">
        <f>106.9615*460.52</f>
        <v>49257.909979999997</v>
      </c>
      <c r="Z94" s="24">
        <f>((X106-T94)/T94)</f>
        <v>-0.87047960736156549</v>
      </c>
      <c r="AA94" s="24">
        <f t="shared" si="64"/>
        <v>9.7499772099344194E-4</v>
      </c>
      <c r="AB94" s="390">
        <v>791994864.57000005</v>
      </c>
      <c r="AC94" s="390">
        <f>107.0848*460.44</f>
        <v>49306.125312000004</v>
      </c>
      <c r="AD94" s="24">
        <f>((AB106-X94)/X94)</f>
        <v>-0.87616832726508664</v>
      </c>
      <c r="AE94" s="24">
        <f t="shared" si="65"/>
        <v>9.7883430335521187E-4</v>
      </c>
      <c r="AF94" s="390">
        <v>792837584.21000004</v>
      </c>
      <c r="AG94" s="390">
        <f>107.208*460.4</f>
        <v>49358.563199999997</v>
      </c>
      <c r="AH94" s="24">
        <f>((AF106-AB94)/AB94)</f>
        <v>-0.87643673343370443</v>
      </c>
      <c r="AI94" s="24">
        <f t="shared" si="66"/>
        <v>1.06351670645738E-3</v>
      </c>
      <c r="AJ94" s="25">
        <f t="shared" si="54"/>
        <v>-0.87290411365849851</v>
      </c>
      <c r="AK94" s="25">
        <f t="shared" si="55"/>
        <v>3.1062847068202208E-3</v>
      </c>
      <c r="AL94" s="26">
        <f t="shared" si="56"/>
        <v>3.2981384010646732E-3</v>
      </c>
      <c r="AM94" s="26">
        <f t="shared" si="57"/>
        <v>9.7733583441180511E-3</v>
      </c>
      <c r="AN94" s="27">
        <f t="shared" si="58"/>
        <v>2.2720462193711786E-3</v>
      </c>
      <c r="AO94" s="84">
        <f t="shared" si="59"/>
        <v>4.9239683303362669E-3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6" t="s">
        <v>156</v>
      </c>
      <c r="B95" s="390">
        <f>11149549.15*460.41</f>
        <v>5133363924.1515007</v>
      </c>
      <c r="C95" s="390">
        <f>1.1301*460.41</f>
        <v>520.30934100000013</v>
      </c>
      <c r="D95" s="390">
        <f>11166736.42 *459.7</f>
        <v>5133348732.2740002</v>
      </c>
      <c r="E95" s="390">
        <f>1.1312 *459.7</f>
        <v>520.01264000000003</v>
      </c>
      <c r="F95" s="24">
        <f>((D109-B95)/B95)</f>
        <v>-1</v>
      </c>
      <c r="G95" s="24">
        <f t="shared" si="67"/>
        <v>-5.7023961828142188E-4</v>
      </c>
      <c r="H95" s="390">
        <f>11182378.13 *461</f>
        <v>5155076317.9300003</v>
      </c>
      <c r="I95" s="390">
        <f>1.1322*461</f>
        <v>521.94420000000002</v>
      </c>
      <c r="J95" s="24">
        <f>((H109-D95)/D95)</f>
        <v>-1</v>
      </c>
      <c r="K95" s="24">
        <f t="shared" si="60"/>
        <v>3.7144481718751881E-3</v>
      </c>
      <c r="L95" s="390">
        <f>11204270.26 *460.5</f>
        <v>5159566454.7299995</v>
      </c>
      <c r="M95" s="390">
        <f>1.1335*460.5</f>
        <v>521.97674999999992</v>
      </c>
      <c r="N95" s="24" t="e">
        <f>((#REF!-H95)/H95)</f>
        <v>#REF!</v>
      </c>
      <c r="O95" s="24">
        <f t="shared" si="61"/>
        <v>6.2362988227287596E-5</v>
      </c>
      <c r="P95" s="390">
        <f>11212855.72*460.45</f>
        <v>5162959416.2740002</v>
      </c>
      <c r="Q95" s="390">
        <f>1.1348*460.45</f>
        <v>522.51865999999995</v>
      </c>
      <c r="R95" s="24" t="e">
        <f>((#REF!-L95)/L95)</f>
        <v>#REF!</v>
      </c>
      <c r="S95" s="24">
        <f t="shared" si="62"/>
        <v>1.0381880035845081E-3</v>
      </c>
      <c r="T95" s="390">
        <f>11280084.75*460.46</f>
        <v>5194027823.9849997</v>
      </c>
      <c r="U95" s="390">
        <f>1.1359*460.46</f>
        <v>523.0365139999999</v>
      </c>
      <c r="V95" s="24" t="e">
        <f>((#REF!-P95)/P95)</f>
        <v>#REF!</v>
      </c>
      <c r="W95" s="24">
        <f t="shared" si="63"/>
        <v>9.9107273987103744E-4</v>
      </c>
      <c r="X95" s="390">
        <f>11293819.96*460.55</f>
        <v>5201368782.5780001</v>
      </c>
      <c r="Y95" s="390">
        <f>1.1364*460.55</f>
        <v>523.36902000000009</v>
      </c>
      <c r="Z95" s="24" t="e">
        <f>((#REF!-T95)/T95)</f>
        <v>#REF!</v>
      </c>
      <c r="AA95" s="24">
        <f t="shared" si="64"/>
        <v>6.3572234652855251E-4</v>
      </c>
      <c r="AB95" s="390">
        <f>11301314.56*460.36</f>
        <v>5202673170.8416004</v>
      </c>
      <c r="AC95" s="390">
        <f>1.1372*460.36</f>
        <v>523.52139199999999</v>
      </c>
      <c r="AD95" s="24" t="e">
        <f>((#REF!-X95)/X95)</f>
        <v>#REF!</v>
      </c>
      <c r="AE95" s="24">
        <f t="shared" si="65"/>
        <v>2.9113683496187877E-4</v>
      </c>
      <c r="AF95" s="390">
        <f>11301341.53*460.4</f>
        <v>5203137640.4119997</v>
      </c>
      <c r="AG95" s="390">
        <f>1.1386*460.4</f>
        <v>524.21144000000004</v>
      </c>
      <c r="AH95" s="24" t="e">
        <f>((#REF!-AB95)/AB95)</f>
        <v>#REF!</v>
      </c>
      <c r="AI95" s="24">
        <f t="shared" si="66"/>
        <v>1.3180894048357189E-3</v>
      </c>
      <c r="AJ95" s="25" t="e">
        <f t="shared" si="54"/>
        <v>#REF!</v>
      </c>
      <c r="AK95" s="25">
        <f t="shared" si="55"/>
        <v>9.3509760895034368E-4</v>
      </c>
      <c r="AL95" s="26">
        <f t="shared" si="56"/>
        <v>1.3595201062267212E-2</v>
      </c>
      <c r="AM95" s="26">
        <f t="shared" si="57"/>
        <v>8.0744191141200062E-3</v>
      </c>
      <c r="AN95" s="27" t="e">
        <f t="shared" si="58"/>
        <v>#REF!</v>
      </c>
      <c r="AO95" s="84">
        <f t="shared" si="59"/>
        <v>1.2771200874388071E-3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28" customFormat="1">
      <c r="A96" s="227" t="s">
        <v>187</v>
      </c>
      <c r="B96" s="390">
        <v>1003244687.8461001</v>
      </c>
      <c r="C96" s="390">
        <v>48449.845198000003</v>
      </c>
      <c r="D96" s="390">
        <v>1004853414.318</v>
      </c>
      <c r="E96" s="390">
        <v>48457.449299999993</v>
      </c>
      <c r="F96" s="24">
        <f>((D96-B96)/B96)</f>
        <v>1.6035235385633551E-3</v>
      </c>
      <c r="G96" s="24">
        <f t="shared" si="67"/>
        <v>1.5694791116286434E-4</v>
      </c>
      <c r="H96" s="390">
        <v>1007824006.0574</v>
      </c>
      <c r="I96" s="390">
        <v>48600.682298</v>
      </c>
      <c r="J96" s="24">
        <f t="shared" ref="J96:J98" si="68">((H96-D96)/D96)</f>
        <v>2.9562438631073247E-3</v>
      </c>
      <c r="K96" s="24">
        <f t="shared" si="60"/>
        <v>2.9558509593282864E-3</v>
      </c>
      <c r="L96" s="390">
        <v>1006925825.6799999</v>
      </c>
      <c r="M96" s="390">
        <v>48646.333500000001</v>
      </c>
      <c r="N96" s="24">
        <f t="shared" ref="N96:N98" si="69">((L96-H96)/H96)</f>
        <v>-8.9120756402074166E-4</v>
      </c>
      <c r="O96" s="24">
        <f t="shared" si="61"/>
        <v>9.3931195698212545E-4</v>
      </c>
      <c r="P96" s="390">
        <v>1004909438.6205001</v>
      </c>
      <c r="Q96" s="390">
        <v>48675.444194999996</v>
      </c>
      <c r="R96" s="24">
        <f t="shared" ref="R96:R98" si="70">((P96-L96)/L96)</f>
        <v>-2.0025179691246352E-3</v>
      </c>
      <c r="S96" s="24">
        <f t="shared" si="62"/>
        <v>5.9841498640376988E-4</v>
      </c>
      <c r="T96" s="390">
        <v>1007064368.7312001</v>
      </c>
      <c r="U96" s="390">
        <v>48756.476736000004</v>
      </c>
      <c r="V96" s="24">
        <f t="shared" ref="V96:V98" si="71">((T96-P96)/P96)</f>
        <v>2.1444022992342612E-3</v>
      </c>
      <c r="W96" s="24">
        <f t="shared" si="63"/>
        <v>1.6647519573808334E-3</v>
      </c>
      <c r="X96" s="390">
        <v>1008235531.5945001</v>
      </c>
      <c r="Y96" s="390">
        <v>48813.167930999996</v>
      </c>
      <c r="Z96" s="24">
        <f t="shared" ref="Z96:Z98" si="72">((X96-T96)/T96)</f>
        <v>1.1629473742334002E-3</v>
      </c>
      <c r="AA96" s="24">
        <f t="shared" si="64"/>
        <v>1.1627418303204308E-3</v>
      </c>
      <c r="AB96" s="390">
        <v>1007635437.2375998</v>
      </c>
      <c r="AC96" s="390">
        <v>48851.113769999996</v>
      </c>
      <c r="AD96" s="24">
        <f t="shared" ref="AD96:AD98" si="73">((AB96-X96)/X96)</f>
        <v>-5.9519262919764443E-4</v>
      </c>
      <c r="AE96" s="24">
        <f t="shared" si="65"/>
        <v>7.7736890696458044E-4</v>
      </c>
      <c r="AF96" s="390">
        <v>1010765628.0919999</v>
      </c>
      <c r="AG96" s="390">
        <v>48893.839059999998</v>
      </c>
      <c r="AH96" s="24">
        <f t="shared" ref="AH96:AH98" si="74">((AF96-AB96)/AB96)</f>
        <v>3.1064715855779706E-3</v>
      </c>
      <c r="AI96" s="24">
        <f t="shared" si="66"/>
        <v>8.746021677450515E-4</v>
      </c>
      <c r="AJ96" s="25">
        <f t="shared" si="54"/>
        <v>9.3558381229666139E-4</v>
      </c>
      <c r="AK96" s="25">
        <f t="shared" si="55"/>
        <v>1.1412488345359927E-3</v>
      </c>
      <c r="AL96" s="26">
        <f t="shared" si="56"/>
        <v>5.8836579442908942E-3</v>
      </c>
      <c r="AM96" s="26">
        <f t="shared" si="57"/>
        <v>9.00562795409055E-3</v>
      </c>
      <c r="AN96" s="27">
        <f t="shared" si="58"/>
        <v>1.8923826965389777E-3</v>
      </c>
      <c r="AO96" s="84">
        <f t="shared" si="59"/>
        <v>8.5147794060380926E-4</v>
      </c>
      <c r="AP96" s="31"/>
      <c r="AQ96" s="29"/>
      <c r="AR96" s="33"/>
      <c r="AS96" s="30"/>
      <c r="AT96" s="30"/>
    </row>
    <row r="97" spans="1:46" s="328" customFormat="1">
      <c r="A97" s="227" t="s">
        <v>256</v>
      </c>
      <c r="B97" s="390">
        <f>79646.33*460.91</f>
        <v>36709789.960300006</v>
      </c>
      <c r="C97" s="390">
        <f>100.79*460.91</f>
        <v>46455.118900000009</v>
      </c>
      <c r="D97" s="390">
        <f>79699.39*460.2</f>
        <v>36677659.277999997</v>
      </c>
      <c r="E97" s="390">
        <f>100.85*460.2</f>
        <v>46411.17</v>
      </c>
      <c r="F97" s="24">
        <f>((D97-B97)/B97)</f>
        <v>-8.7526194878142117E-4</v>
      </c>
      <c r="G97" s="24">
        <f t="shared" si="67"/>
        <v>-9.4605074834950686E-4</v>
      </c>
      <c r="H97" s="390">
        <f>79752.44*460.99</f>
        <v>36765077.3156</v>
      </c>
      <c r="I97" s="390">
        <f>100.92*460.99</f>
        <v>46523.110800000002</v>
      </c>
      <c r="J97" s="24">
        <f t="shared" si="68"/>
        <v>2.3834137543351434E-3</v>
      </c>
      <c r="K97" s="24">
        <f t="shared" si="60"/>
        <v>2.4119366092258381E-3</v>
      </c>
      <c r="L97" s="390">
        <f>79805.48*461</f>
        <v>36790326.280000001</v>
      </c>
      <c r="M97" s="390">
        <f>100.99*461</f>
        <v>46556.39</v>
      </c>
      <c r="N97" s="24">
        <f t="shared" si="69"/>
        <v>6.8676489330507507E-4</v>
      </c>
      <c r="O97" s="24">
        <f t="shared" si="61"/>
        <v>7.1532619869428885E-4</v>
      </c>
      <c r="P97" s="390">
        <f>79858.49*460.95</f>
        <v>36810770.965500005</v>
      </c>
      <c r="Q97" s="390">
        <f>101.05*460.95</f>
        <v>46578.997499999998</v>
      </c>
      <c r="R97" s="24">
        <f t="shared" si="70"/>
        <v>5.557081865598338E-4</v>
      </c>
      <c r="S97" s="24">
        <f t="shared" si="62"/>
        <v>4.8559392169363335E-4</v>
      </c>
      <c r="T97" s="390">
        <f>79911.5*460.97</f>
        <v>36836804.155000001</v>
      </c>
      <c r="U97" s="390">
        <f>101.12*460.97</f>
        <v>46613.286400000005</v>
      </c>
      <c r="V97" s="24">
        <f t="shared" si="71"/>
        <v>7.0721663299026186E-4</v>
      </c>
      <c r="W97" s="24">
        <f t="shared" si="63"/>
        <v>7.3614508341461908E-4</v>
      </c>
      <c r="X97" s="390">
        <f>79964.49*461.02</f>
        <v>36865229.179800004</v>
      </c>
      <c r="Y97" s="390">
        <f>101.19*461.02</f>
        <v>46650.613799999999</v>
      </c>
      <c r="Z97" s="24">
        <f t="shared" si="72"/>
        <v>7.7164741763148677E-4</v>
      </c>
      <c r="AA97" s="24">
        <f t="shared" si="64"/>
        <v>8.0078884976440248E-4</v>
      </c>
      <c r="AB97" s="390">
        <f>80017.47*460.94</f>
        <v>36883252.621799998</v>
      </c>
      <c r="AC97" s="390">
        <f>101.26*460.94</f>
        <v>46674.784400000004</v>
      </c>
      <c r="AD97" s="24">
        <f t="shared" si="73"/>
        <v>4.8890085321563693E-4</v>
      </c>
      <c r="AE97" s="24">
        <f t="shared" si="65"/>
        <v>5.1811965655219146E-4</v>
      </c>
      <c r="AF97" s="390">
        <f>80070.43*460.9</f>
        <v>36904461.186999992</v>
      </c>
      <c r="AG97" s="390">
        <f>101.32*460.9</f>
        <v>46698.387999999992</v>
      </c>
      <c r="AH97" s="24">
        <f t="shared" si="74"/>
        <v>5.7501884168041466E-4</v>
      </c>
      <c r="AI97" s="24">
        <f t="shared" si="66"/>
        <v>5.0570346073173578E-4</v>
      </c>
      <c r="AJ97" s="25">
        <f t="shared" si="54"/>
        <v>6.6167607886705388E-4</v>
      </c>
      <c r="AK97" s="25">
        <f t="shared" si="55"/>
        <v>6.5344537896590022E-4</v>
      </c>
      <c r="AL97" s="26">
        <f t="shared" si="56"/>
        <v>6.1836527593252056E-3</v>
      </c>
      <c r="AM97" s="26">
        <f t="shared" si="57"/>
        <v>6.1885533159365185E-3</v>
      </c>
      <c r="AN97" s="27">
        <f t="shared" si="58"/>
        <v>8.7749205609293098E-4</v>
      </c>
      <c r="AO97" s="84">
        <f t="shared" si="59"/>
        <v>9.0643514312229389E-4</v>
      </c>
      <c r="AP97" s="31"/>
      <c r="AQ97" s="29"/>
      <c r="AR97" s="33"/>
      <c r="AS97" s="30"/>
      <c r="AT97" s="30"/>
    </row>
    <row r="98" spans="1:46">
      <c r="A98" s="227" t="s">
        <v>270</v>
      </c>
      <c r="B98" s="390">
        <f>496760.4*460.91</f>
        <v>228961835.96400002</v>
      </c>
      <c r="C98" s="390">
        <f>100.89*460.91</f>
        <v>46501.209900000002</v>
      </c>
      <c r="D98" s="390">
        <f>783353.69*460.2</f>
        <v>360499368.13799995</v>
      </c>
      <c r="E98" s="390">
        <f>101.05*460.2</f>
        <v>46503.21</v>
      </c>
      <c r="F98" s="24">
        <f>((D98-B98)/B98)</f>
        <v>0.57449544645808026</v>
      </c>
      <c r="G98" s="24">
        <f t="shared" si="67"/>
        <v>4.3011784086879719E-5</v>
      </c>
      <c r="H98" s="390">
        <f>987259.97*460.99</f>
        <v>455116973.57029998</v>
      </c>
      <c r="I98" s="390">
        <f>101.24*460.99</f>
        <v>46670.6276</v>
      </c>
      <c r="J98" s="24">
        <f t="shared" si="68"/>
        <v>0.26246261101927981</v>
      </c>
      <c r="K98" s="24">
        <f t="shared" si="60"/>
        <v>3.6001299695225487E-3</v>
      </c>
      <c r="L98" s="390">
        <f>973055.3*461</f>
        <v>448578493.30000001</v>
      </c>
      <c r="M98" s="390">
        <f>101.45*461</f>
        <v>46768.450000000004</v>
      </c>
      <c r="N98" s="24">
        <f t="shared" si="69"/>
        <v>-1.4366592876127921E-2</v>
      </c>
      <c r="O98" s="24">
        <f t="shared" si="61"/>
        <v>2.0960163818325118E-3</v>
      </c>
      <c r="P98" s="390">
        <f>1054882.8*460.95</f>
        <v>486248226.66000003</v>
      </c>
      <c r="Q98" s="390">
        <f>101.66*460.95</f>
        <v>46860.176999999996</v>
      </c>
      <c r="R98" s="24">
        <f t="shared" si="70"/>
        <v>8.3975790018107885E-2</v>
      </c>
      <c r="S98" s="24">
        <f t="shared" si="62"/>
        <v>1.9613008342160509E-3</v>
      </c>
      <c r="T98" s="390">
        <f>1149865.16*460.97</f>
        <v>530053342.80519998</v>
      </c>
      <c r="U98" s="390">
        <f>101.92*460.97</f>
        <v>46982.062400000003</v>
      </c>
      <c r="V98" s="24">
        <f t="shared" si="71"/>
        <v>9.0087971006277551E-2</v>
      </c>
      <c r="W98" s="24">
        <f t="shared" si="63"/>
        <v>2.6010443793246128E-3</v>
      </c>
      <c r="X98" s="390">
        <f>1166951.88*461.02</f>
        <v>537988155.71759987</v>
      </c>
      <c r="Y98" s="390">
        <f>102.13*461.02</f>
        <v>47083.972599999994</v>
      </c>
      <c r="Z98" s="24">
        <f t="shared" si="72"/>
        <v>1.4969838451365097E-2</v>
      </c>
      <c r="AA98" s="24">
        <f t="shared" si="64"/>
        <v>2.1691299784232366E-3</v>
      </c>
      <c r="AB98" s="390">
        <f>1190162.79*460.94</f>
        <v>548593636.42260003</v>
      </c>
      <c r="AC98" s="390">
        <f>102.34*460.94</f>
        <v>47172.599600000001</v>
      </c>
      <c r="AD98" s="24">
        <f t="shared" si="73"/>
        <v>1.9713223408894486E-2</v>
      </c>
      <c r="AE98" s="24">
        <f t="shared" si="65"/>
        <v>1.8823178059535208E-3</v>
      </c>
      <c r="AF98" s="390">
        <f>1225411.12*460.9</f>
        <v>564791985.20800006</v>
      </c>
      <c r="AG98" s="390">
        <f>102.54*460.9</f>
        <v>47260.686000000002</v>
      </c>
      <c r="AH98" s="24">
        <f t="shared" si="74"/>
        <v>2.9527044628206191E-2</v>
      </c>
      <c r="AI98" s="24">
        <f t="shared" si="66"/>
        <v>1.8673212997996434E-3</v>
      </c>
      <c r="AJ98" s="25">
        <f t="shared" si="54"/>
        <v>0.13260816651426041</v>
      </c>
      <c r="AK98" s="25">
        <f t="shared" si="55"/>
        <v>2.0275340541448753E-3</v>
      </c>
      <c r="AL98" s="26">
        <f t="shared" si="56"/>
        <v>0.56669341232186698</v>
      </c>
      <c r="AM98" s="26">
        <f t="shared" si="57"/>
        <v>1.6288682007113107E-2</v>
      </c>
      <c r="AN98" s="27">
        <f t="shared" si="58"/>
        <v>0.19824622568877134</v>
      </c>
      <c r="AO98" s="84">
        <f t="shared" si="59"/>
        <v>9.8678283949842419E-4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8"/>
      <c r="B99" s="93"/>
      <c r="C99" s="93"/>
      <c r="D99" s="93"/>
      <c r="E99" s="93"/>
      <c r="F99" s="24"/>
      <c r="G99" s="24"/>
      <c r="H99" s="93"/>
      <c r="I99" s="93"/>
      <c r="J99" s="24"/>
      <c r="K99" s="24"/>
      <c r="L99" s="93"/>
      <c r="M99" s="93"/>
      <c r="N99" s="24"/>
      <c r="O99" s="24"/>
      <c r="P99" s="93"/>
      <c r="Q99" s="93"/>
      <c r="R99" s="24"/>
      <c r="S99" s="24"/>
      <c r="T99" s="93"/>
      <c r="U99" s="93"/>
      <c r="V99" s="24"/>
      <c r="W99" s="24"/>
      <c r="X99" s="93"/>
      <c r="Y99" s="93"/>
      <c r="Z99" s="24"/>
      <c r="AA99" s="24"/>
      <c r="AB99" s="93"/>
      <c r="AC99" s="93"/>
      <c r="AD99" s="24"/>
      <c r="AE99" s="24"/>
      <c r="AF99" s="93"/>
      <c r="AG99" s="93"/>
      <c r="AH99" s="24"/>
      <c r="AI99" s="24"/>
      <c r="AJ99" s="25"/>
      <c r="AK99" s="25"/>
      <c r="AL99" s="26"/>
      <c r="AM99" s="26"/>
      <c r="AN99" s="27"/>
      <c r="AO99" s="84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14" t="s">
        <v>213</v>
      </c>
      <c r="B100" s="93"/>
      <c r="C100" s="93"/>
      <c r="D100" s="93"/>
      <c r="E100" s="93"/>
      <c r="F100" s="24"/>
      <c r="G100" s="24"/>
      <c r="H100" s="93"/>
      <c r="I100" s="93"/>
      <c r="J100" s="24"/>
      <c r="K100" s="24"/>
      <c r="L100" s="93"/>
      <c r="M100" s="93"/>
      <c r="N100" s="24"/>
      <c r="O100" s="24"/>
      <c r="P100" s="93"/>
      <c r="Q100" s="93"/>
      <c r="R100" s="24"/>
      <c r="S100" s="24"/>
      <c r="T100" s="93"/>
      <c r="U100" s="93"/>
      <c r="V100" s="24"/>
      <c r="W100" s="24"/>
      <c r="X100" s="93"/>
      <c r="Y100" s="93"/>
      <c r="Z100" s="24"/>
      <c r="AA100" s="24"/>
      <c r="AB100" s="93"/>
      <c r="AC100" s="93"/>
      <c r="AD100" s="24"/>
      <c r="AE100" s="24"/>
      <c r="AF100" s="93"/>
      <c r="AG100" s="93"/>
      <c r="AH100" s="24"/>
      <c r="AI100" s="24"/>
      <c r="AJ100" s="25"/>
      <c r="AK100" s="25"/>
      <c r="AL100" s="26"/>
      <c r="AM100" s="26"/>
      <c r="AN100" s="27"/>
      <c r="AO100" s="84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6" t="s">
        <v>99</v>
      </c>
      <c r="B101" s="390">
        <v>197778223405.81</v>
      </c>
      <c r="C101" s="389">
        <v>633.34</v>
      </c>
      <c r="D101" s="390">
        <v>195942992273.41</v>
      </c>
      <c r="E101" s="389">
        <v>633.73</v>
      </c>
      <c r="F101" s="24">
        <f t="shared" ref="F101:F109" si="75">((D101-B101)/B101)</f>
        <v>-9.2792376268563525E-3</v>
      </c>
      <c r="G101" s="24">
        <f t="shared" ref="G101:G109" si="76">((E101-C101)/C101)</f>
        <v>6.1578299175795988E-4</v>
      </c>
      <c r="H101" s="390">
        <v>197230770544.98999</v>
      </c>
      <c r="I101" s="389">
        <v>634.65</v>
      </c>
      <c r="J101" s="24">
        <f>((H101-D101)/D101)</f>
        <v>6.5722088687054396E-3</v>
      </c>
      <c r="K101" s="24">
        <f t="shared" ref="K101:K109" si="77">((I101-E101)/E101)</f>
        <v>1.4517223423223754E-3</v>
      </c>
      <c r="L101" s="390">
        <v>193651807461.64001</v>
      </c>
      <c r="M101" s="389">
        <v>635.14</v>
      </c>
      <c r="N101" s="24">
        <f>((L101-H101)/H101)</f>
        <v>-1.8146068554417496E-2</v>
      </c>
      <c r="O101" s="24">
        <f t="shared" ref="O101:O107" si="78">((M101-I101)/I101)</f>
        <v>7.7207909871584198E-4</v>
      </c>
      <c r="P101" s="390">
        <v>194865597734.47</v>
      </c>
      <c r="Q101" s="389">
        <v>635.86</v>
      </c>
      <c r="R101" s="24">
        <f>((P101-L101)/L101)</f>
        <v>6.2679005620457388E-3</v>
      </c>
      <c r="S101" s="24">
        <f t="shared" ref="S101:S108" si="79">((Q101-M101)/M101)</f>
        <v>1.1336083383191536E-3</v>
      </c>
      <c r="T101" s="390">
        <v>195204777744.07999</v>
      </c>
      <c r="U101" s="389">
        <v>637.49</v>
      </c>
      <c r="V101" s="24">
        <f>((T101-P101)/P101)</f>
        <v>1.7405843491787745E-3</v>
      </c>
      <c r="W101" s="24">
        <f t="shared" ref="W101:W108" si="80">((U101-Q101)/Q101)</f>
        <v>2.5634573648287287E-3</v>
      </c>
      <c r="X101" s="390">
        <v>195610440002.25</v>
      </c>
      <c r="Y101" s="389">
        <v>637.92999999999995</v>
      </c>
      <c r="Z101" s="24">
        <f>((X101-T101)/T101)</f>
        <v>2.0781369332150785E-3</v>
      </c>
      <c r="AA101" s="24">
        <f t="shared" ref="AA101:AA108" si="81">((Y101-U101)/U101)</f>
        <v>6.9020690520626342E-4</v>
      </c>
      <c r="AB101" s="390">
        <v>196257723513.31</v>
      </c>
      <c r="AC101" s="389">
        <v>639.22</v>
      </c>
      <c r="AD101" s="24">
        <f>((AB101-X101)/X101)</f>
        <v>3.3090437864796594E-3</v>
      </c>
      <c r="AE101" s="24">
        <f t="shared" ref="AE101:AE108" si="82">((AC101-Y101)/Y101)</f>
        <v>2.0221654413494859E-3</v>
      </c>
      <c r="AF101" s="390">
        <v>196214409513.01999</v>
      </c>
      <c r="AG101" s="389">
        <v>639.36</v>
      </c>
      <c r="AH101" s="24">
        <f>((AF101-AB101)/AB101)</f>
        <v>-2.2069959599358663E-4</v>
      </c>
      <c r="AI101" s="24">
        <f t="shared" ref="AI101:AI108" si="83">((AG101-AC101)/AC101)</f>
        <v>2.190169268796132E-4</v>
      </c>
      <c r="AJ101" s="25">
        <f t="shared" si="54"/>
        <v>-9.5976640970534314E-4</v>
      </c>
      <c r="AK101" s="25">
        <f t="shared" si="55"/>
        <v>1.183504926172428E-3</v>
      </c>
      <c r="AL101" s="26">
        <f t="shared" si="56"/>
        <v>1.3851847236836211E-3</v>
      </c>
      <c r="AM101" s="26">
        <f t="shared" si="57"/>
        <v>8.8839095513862289E-3</v>
      </c>
      <c r="AN101" s="27">
        <f t="shared" si="58"/>
        <v>8.525944567525227E-3</v>
      </c>
      <c r="AO101" s="84">
        <f t="shared" si="59"/>
        <v>7.8805455658300955E-4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6" t="s">
        <v>133</v>
      </c>
      <c r="B102" s="389">
        <v>4001400661.2600002</v>
      </c>
      <c r="C102" s="389">
        <v>460.28</v>
      </c>
      <c r="D102" s="389">
        <v>4071477187.6900001</v>
      </c>
      <c r="E102" s="389">
        <v>459.7</v>
      </c>
      <c r="F102" s="24">
        <f t="shared" si="75"/>
        <v>1.751299916263158E-2</v>
      </c>
      <c r="G102" s="24">
        <f t="shared" si="76"/>
        <v>-1.2601025462761451E-3</v>
      </c>
      <c r="H102" s="389">
        <v>4183159164.9699998</v>
      </c>
      <c r="I102" s="389">
        <v>459.99</v>
      </c>
      <c r="J102" s="24">
        <f t="shared" ref="J102:J109" si="84">((H102-D102)/D102)</f>
        <v>2.7430333545197586E-2</v>
      </c>
      <c r="K102" s="24">
        <f t="shared" si="77"/>
        <v>6.308462040461616E-4</v>
      </c>
      <c r="L102" s="389">
        <v>4164052459</v>
      </c>
      <c r="M102" s="389">
        <v>460.47</v>
      </c>
      <c r="N102" s="24">
        <f t="shared" ref="N102:N107" si="85">((L102-H102)/H102)</f>
        <v>-4.5675302364778219E-3</v>
      </c>
      <c r="O102" s="24">
        <f t="shared" si="78"/>
        <v>1.0435009456727716E-3</v>
      </c>
      <c r="P102" s="389">
        <v>4233685316.79</v>
      </c>
      <c r="Q102" s="389">
        <v>460.94</v>
      </c>
      <c r="R102" s="24">
        <f t="shared" ref="R102:R108" si="86">((P102-L102)/L102)</f>
        <v>1.6722377653888235E-2</v>
      </c>
      <c r="S102" s="24">
        <f t="shared" si="79"/>
        <v>1.0206962451407701E-3</v>
      </c>
      <c r="T102" s="389">
        <v>4298316034.3699999</v>
      </c>
      <c r="U102" s="389">
        <v>460.97</v>
      </c>
      <c r="V102" s="24">
        <f t="shared" ref="V102:V108" si="87">((T102-P102)/P102)</f>
        <v>1.5265829352901278E-2</v>
      </c>
      <c r="W102" s="24">
        <f t="shared" si="80"/>
        <v>6.5084392762679655E-5</v>
      </c>
      <c r="X102" s="389">
        <v>4339760300.5900002</v>
      </c>
      <c r="Y102" s="389">
        <v>460.51</v>
      </c>
      <c r="Z102" s="24">
        <f t="shared" ref="Z102:Z108" si="88">((X102-T102)/T102)</f>
        <v>9.6419774368858655E-3</v>
      </c>
      <c r="AA102" s="24">
        <f t="shared" si="81"/>
        <v>-9.9789574158846853E-4</v>
      </c>
      <c r="AB102" s="389">
        <v>4614690682.6000004</v>
      </c>
      <c r="AC102" s="389">
        <v>460.39</v>
      </c>
      <c r="AD102" s="24">
        <f t="shared" ref="AD102:AD108" si="89">((AB102-X102)/X102)</f>
        <v>6.3351513209755572E-2</v>
      </c>
      <c r="AE102" s="24">
        <f t="shared" si="82"/>
        <v>-2.6058066057198443E-4</v>
      </c>
      <c r="AF102" s="389">
        <v>4609779197.9200001</v>
      </c>
      <c r="AG102" s="389">
        <v>459.9</v>
      </c>
      <c r="AH102" s="24">
        <f t="shared" ref="AH102:AH108" si="90">((AF102-AB102)/AB102)</f>
        <v>-1.0643150360043385E-3</v>
      </c>
      <c r="AI102" s="24">
        <f t="shared" si="83"/>
        <v>-1.0643150372510461E-3</v>
      </c>
      <c r="AJ102" s="25">
        <f t="shared" si="54"/>
        <v>1.8036648136097243E-2</v>
      </c>
      <c r="AK102" s="25">
        <f t="shared" si="55"/>
        <v>-1.0284577475815769E-4</v>
      </c>
      <c r="AL102" s="26">
        <f t="shared" si="56"/>
        <v>0.13221295009524833</v>
      </c>
      <c r="AM102" s="26">
        <f t="shared" si="57"/>
        <v>4.3506634761798703E-4</v>
      </c>
      <c r="AN102" s="27">
        <f t="shared" si="58"/>
        <v>2.1036103129876173E-2</v>
      </c>
      <c r="AO102" s="84">
        <f t="shared" si="59"/>
        <v>9.4359669427410858E-4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6" t="s">
        <v>152</v>
      </c>
      <c r="B103" s="389">
        <v>5928484256.0600004</v>
      </c>
      <c r="C103" s="389">
        <v>51441.43</v>
      </c>
      <c r="D103" s="389">
        <v>6106876197.4099998</v>
      </c>
      <c r="E103" s="389">
        <v>52996.639999999999</v>
      </c>
      <c r="F103" s="24">
        <f t="shared" si="75"/>
        <v>3.0090649421502653E-2</v>
      </c>
      <c r="G103" s="24">
        <f t="shared" si="76"/>
        <v>3.023263544578755E-2</v>
      </c>
      <c r="H103" s="389">
        <v>6232916362.9099998</v>
      </c>
      <c r="I103" s="389">
        <v>53784.13</v>
      </c>
      <c r="J103" s="24">
        <f t="shared" si="84"/>
        <v>2.0639056929540371E-2</v>
      </c>
      <c r="K103" s="24">
        <f t="shared" si="77"/>
        <v>1.4859243906783486E-2</v>
      </c>
      <c r="L103" s="389">
        <v>6336330775.5600004</v>
      </c>
      <c r="M103" s="389">
        <v>54378.2</v>
      </c>
      <c r="N103" s="24">
        <f t="shared" si="85"/>
        <v>1.6591657360491011E-2</v>
      </c>
      <c r="O103" s="24">
        <f t="shared" si="78"/>
        <v>1.1045451511440266E-2</v>
      </c>
      <c r="P103" s="389">
        <v>6159634427.8000002</v>
      </c>
      <c r="Q103" s="389">
        <v>52549.94</v>
      </c>
      <c r="R103" s="24">
        <f t="shared" si="86"/>
        <v>-2.7886225327998906E-2</v>
      </c>
      <c r="S103" s="24">
        <f t="shared" si="79"/>
        <v>-3.3621193787216105E-2</v>
      </c>
      <c r="T103" s="389">
        <v>6159634427.8000002</v>
      </c>
      <c r="U103" s="389">
        <v>52549.94</v>
      </c>
      <c r="V103" s="24">
        <f t="shared" si="87"/>
        <v>0</v>
      </c>
      <c r="W103" s="24">
        <f t="shared" si="80"/>
        <v>0</v>
      </c>
      <c r="X103" s="389">
        <v>6011976937.7200003</v>
      </c>
      <c r="Y103" s="389">
        <v>52674.28</v>
      </c>
      <c r="Z103" s="24">
        <f t="shared" si="88"/>
        <v>-2.3971794399613073E-2</v>
      </c>
      <c r="AA103" s="24">
        <f t="shared" si="81"/>
        <v>2.366130199197116E-3</v>
      </c>
      <c r="AB103" s="389">
        <v>6036174339.4099998</v>
      </c>
      <c r="AC103" s="389">
        <v>52734.15</v>
      </c>
      <c r="AD103" s="24">
        <f t="shared" si="89"/>
        <v>4.0248660200576675E-3</v>
      </c>
      <c r="AE103" s="24">
        <f t="shared" si="82"/>
        <v>1.1366078473213611E-3</v>
      </c>
      <c r="AF103" s="389">
        <v>6045629860.3900003</v>
      </c>
      <c r="AG103" s="389" t="s">
        <v>290</v>
      </c>
      <c r="AH103" s="24">
        <f t="shared" si="90"/>
        <v>1.5664757921695013E-3</v>
      </c>
      <c r="AI103" s="24" t="e">
        <f t="shared" si="83"/>
        <v>#VALUE!</v>
      </c>
      <c r="AJ103" s="25">
        <f t="shared" si="54"/>
        <v>2.6318357245186533E-3</v>
      </c>
      <c r="AK103" s="25" t="e">
        <f t="shared" si="55"/>
        <v>#VALUE!</v>
      </c>
      <c r="AL103" s="26">
        <f t="shared" si="56"/>
        <v>-1.0029077885347473E-2</v>
      </c>
      <c r="AM103" s="26" t="e">
        <f t="shared" si="57"/>
        <v>#VALUE!</v>
      </c>
      <c r="AN103" s="27">
        <f t="shared" si="58"/>
        <v>2.0431874104440056E-2</v>
      </c>
      <c r="AO103" s="84" t="e">
        <f t="shared" si="59"/>
        <v>#VALUE!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6" t="s">
        <v>158</v>
      </c>
      <c r="B104" s="389">
        <v>389448978.44</v>
      </c>
      <c r="C104" s="390">
        <v>44718.38</v>
      </c>
      <c r="D104" s="389">
        <v>375190911.54000002</v>
      </c>
      <c r="E104" s="390">
        <v>44789.85</v>
      </c>
      <c r="F104" s="24">
        <f t="shared" si="75"/>
        <v>-3.6610872513038649E-2</v>
      </c>
      <c r="G104" s="24">
        <f t="shared" si="76"/>
        <v>1.5982242648325178E-3</v>
      </c>
      <c r="H104" s="389">
        <v>371544378.24000001</v>
      </c>
      <c r="I104" s="390">
        <v>44352.58</v>
      </c>
      <c r="J104" s="24">
        <f t="shared" si="84"/>
        <v>-9.7191408102945114E-3</v>
      </c>
      <c r="K104" s="24">
        <f t="shared" si="77"/>
        <v>-9.7627029338119425E-3</v>
      </c>
      <c r="L104" s="389">
        <v>373117340.68000001</v>
      </c>
      <c r="M104" s="390">
        <v>44541.3</v>
      </c>
      <c r="N104" s="24">
        <f t="shared" si="85"/>
        <v>4.2335788996488025E-3</v>
      </c>
      <c r="O104" s="24">
        <f t="shared" si="78"/>
        <v>4.2549948616292703E-3</v>
      </c>
      <c r="P104" s="389">
        <v>375750545.52999997</v>
      </c>
      <c r="Q104" s="390">
        <v>44854.29</v>
      </c>
      <c r="R104" s="24">
        <f t="shared" si="86"/>
        <v>7.057310296007667E-3</v>
      </c>
      <c r="S104" s="24">
        <f t="shared" si="79"/>
        <v>7.0269614941637975E-3</v>
      </c>
      <c r="T104" s="389">
        <v>375165644.30000001</v>
      </c>
      <c r="U104" s="390">
        <v>44785.24</v>
      </c>
      <c r="V104" s="24">
        <f t="shared" si="87"/>
        <v>-1.556621106630598E-3</v>
      </c>
      <c r="W104" s="24">
        <f t="shared" si="80"/>
        <v>-1.539429115921864E-3</v>
      </c>
      <c r="X104" s="389">
        <v>373347712.05000001</v>
      </c>
      <c r="Y104" s="390">
        <v>44568.91</v>
      </c>
      <c r="Z104" s="24">
        <f t="shared" si="88"/>
        <v>-4.8456789090908772E-3</v>
      </c>
      <c r="AA104" s="24">
        <f t="shared" si="81"/>
        <v>-4.8303860825574339E-3</v>
      </c>
      <c r="AB104" s="389">
        <v>358042486.66000003</v>
      </c>
      <c r="AC104" s="390">
        <v>42741.599999999999</v>
      </c>
      <c r="AD104" s="24">
        <f t="shared" si="89"/>
        <v>-4.0994560555791641E-2</v>
      </c>
      <c r="AE104" s="24">
        <f t="shared" si="82"/>
        <v>-4.0999656486999679E-2</v>
      </c>
      <c r="AF104" s="389">
        <v>360557228.12</v>
      </c>
      <c r="AG104" s="390">
        <v>43040.78</v>
      </c>
      <c r="AH104" s="24">
        <f t="shared" si="90"/>
        <v>7.0235839423939562E-3</v>
      </c>
      <c r="AI104" s="24">
        <f t="shared" si="83"/>
        <v>6.9997379602073926E-3</v>
      </c>
      <c r="AJ104" s="25">
        <f t="shared" si="54"/>
        <v>-9.4265500945994816E-3</v>
      </c>
      <c r="AK104" s="25">
        <f t="shared" si="55"/>
        <v>-4.6565320048072428E-3</v>
      </c>
      <c r="AL104" s="26">
        <f t="shared" si="56"/>
        <v>-3.9003299306838046E-2</v>
      </c>
      <c r="AM104" s="26">
        <f t="shared" si="57"/>
        <v>-3.9050588470378886E-2</v>
      </c>
      <c r="AN104" s="27">
        <f t="shared" si="58"/>
        <v>1.9076747737194838E-2</v>
      </c>
      <c r="AO104" s="84">
        <f t="shared" si="59"/>
        <v>1.5800326268178382E-2</v>
      </c>
      <c r="AP104" s="31"/>
      <c r="AQ104" s="29"/>
      <c r="AR104" s="33"/>
      <c r="AS104" s="30"/>
      <c r="AT104" s="30"/>
    </row>
    <row r="105" spans="1:46" ht="16.5" customHeight="1">
      <c r="A105" s="216" t="s">
        <v>163</v>
      </c>
      <c r="B105" s="389">
        <v>1743199502.8051081</v>
      </c>
      <c r="C105" s="389">
        <v>524.2104612801852</v>
      </c>
      <c r="D105" s="389">
        <v>1780308825.2450969</v>
      </c>
      <c r="E105" s="389">
        <v>524.71771100104058</v>
      </c>
      <c r="F105" s="24">
        <f t="shared" si="75"/>
        <v>2.1288052446248158E-2</v>
      </c>
      <c r="G105" s="24">
        <f t="shared" si="76"/>
        <v>9.6764516987436517E-4</v>
      </c>
      <c r="H105" s="389">
        <v>1867520833.8013735</v>
      </c>
      <c r="I105" s="389">
        <v>525.0532684556332</v>
      </c>
      <c r="J105" s="24">
        <f t="shared" si="84"/>
        <v>4.8987011309271015E-2</v>
      </c>
      <c r="K105" s="24">
        <f t="shared" si="77"/>
        <v>6.3950091174252738E-4</v>
      </c>
      <c r="L105" s="389">
        <v>1869655734.7986135</v>
      </c>
      <c r="M105" s="389">
        <v>525.65349562640313</v>
      </c>
      <c r="N105" s="24">
        <f t="shared" si="85"/>
        <v>1.1431738584112261E-3</v>
      </c>
      <c r="O105" s="24">
        <f t="shared" si="78"/>
        <v>1.1431738584075598E-3</v>
      </c>
      <c r="P105" s="389">
        <v>1707545332.4839759</v>
      </c>
      <c r="Q105" s="389">
        <v>526.24933481900109</v>
      </c>
      <c r="R105" s="24">
        <f t="shared" si="86"/>
        <v>-8.6706017208081937E-2</v>
      </c>
      <c r="S105" s="24">
        <f t="shared" si="79"/>
        <v>1.1335208413061593E-3</v>
      </c>
      <c r="T105" s="389">
        <v>1700147790.2312875</v>
      </c>
      <c r="U105" s="389">
        <v>526.81810721115846</v>
      </c>
      <c r="V105" s="24">
        <f t="shared" si="87"/>
        <v>-4.3322669752651087E-3</v>
      </c>
      <c r="W105" s="24">
        <f t="shared" si="80"/>
        <v>1.0808040115680051E-3</v>
      </c>
      <c r="X105" s="389">
        <v>1701841630.8705189</v>
      </c>
      <c r="Y105" s="389">
        <v>527.34654550272035</v>
      </c>
      <c r="Z105" s="24">
        <f t="shared" si="88"/>
        <v>9.9629023368669255E-4</v>
      </c>
      <c r="AA105" s="24">
        <f t="shared" si="81"/>
        <v>1.0030754150788437E-3</v>
      </c>
      <c r="AB105" s="389">
        <v>1705398534.1820498</v>
      </c>
      <c r="AC105" s="389">
        <v>527.7750411141335</v>
      </c>
      <c r="AD105" s="24">
        <f t="shared" si="89"/>
        <v>2.0900319083811672E-3</v>
      </c>
      <c r="AE105" s="24">
        <f t="shared" si="82"/>
        <v>8.1255033349022707E-4</v>
      </c>
      <c r="AF105" s="389">
        <v>1704477990.9657764</v>
      </c>
      <c r="AG105" s="389">
        <v>528.06456764343159</v>
      </c>
      <c r="AH105" s="24">
        <f t="shared" si="90"/>
        <v>-5.3978187375118309E-4</v>
      </c>
      <c r="AI105" s="24">
        <f t="shared" si="83"/>
        <v>5.4857942635350078E-4</v>
      </c>
      <c r="AJ105" s="25">
        <f t="shared" si="54"/>
        <v>-2.1341882876374958E-3</v>
      </c>
      <c r="AK105" s="25">
        <f t="shared" si="55"/>
        <v>9.161062459776486E-4</v>
      </c>
      <c r="AL105" s="26">
        <f t="shared" si="56"/>
        <v>-4.2594202311433675E-2</v>
      </c>
      <c r="AM105" s="26">
        <f t="shared" si="57"/>
        <v>6.378394653395578E-3</v>
      </c>
      <c r="AN105" s="27">
        <f t="shared" si="58"/>
        <v>3.8471012041674954E-2</v>
      </c>
      <c r="AO105" s="84">
        <f t="shared" si="59"/>
        <v>2.2630079824333262E-4</v>
      </c>
      <c r="AP105" s="31"/>
      <c r="AQ105" s="29"/>
      <c r="AR105" s="33"/>
      <c r="AS105" s="30"/>
      <c r="AT105" s="30"/>
    </row>
    <row r="106" spans="1:46">
      <c r="A106" s="216" t="s">
        <v>173</v>
      </c>
      <c r="B106" s="389">
        <v>106673959.47499999</v>
      </c>
      <c r="C106" s="389">
        <v>419.89</v>
      </c>
      <c r="D106" s="389">
        <v>102211691.23999999</v>
      </c>
      <c r="E106" s="389">
        <v>401.44</v>
      </c>
      <c r="F106" s="24">
        <f t="shared" si="75"/>
        <v>-4.1830904720901188E-2</v>
      </c>
      <c r="G106" s="24">
        <f t="shared" si="76"/>
        <v>-4.3940079544642616E-2</v>
      </c>
      <c r="H106" s="389">
        <v>100568783.12800001</v>
      </c>
      <c r="I106" s="389">
        <v>392.02</v>
      </c>
      <c r="J106" s="24">
        <f t="shared" si="84"/>
        <v>-1.6073583090825967E-2</v>
      </c>
      <c r="K106" s="24">
        <f t="shared" si="77"/>
        <v>-2.3465524113192547E-2</v>
      </c>
      <c r="L106" s="389">
        <v>101081798.20999999</v>
      </c>
      <c r="M106" s="389">
        <v>396.68</v>
      </c>
      <c r="N106" s="24">
        <f t="shared" si="85"/>
        <v>5.1011364167252759E-3</v>
      </c>
      <c r="O106" s="24">
        <f t="shared" si="78"/>
        <v>1.1887148614866653E-2</v>
      </c>
      <c r="P106" s="389">
        <v>103002025.7</v>
      </c>
      <c r="Q106" s="389">
        <v>401.35</v>
      </c>
      <c r="R106" s="24">
        <f t="shared" si="86"/>
        <v>1.899676820163694E-2</v>
      </c>
      <c r="S106" s="24">
        <f t="shared" si="79"/>
        <v>1.1772713522234586E-2</v>
      </c>
      <c r="T106" s="389">
        <v>102884594.08</v>
      </c>
      <c r="U106" s="389">
        <v>401.36</v>
      </c>
      <c r="V106" s="24">
        <f t="shared" si="87"/>
        <v>-1.1400903933873289E-3</v>
      </c>
      <c r="W106" s="24">
        <f t="shared" si="80"/>
        <v>2.4915908807751101E-5</v>
      </c>
      <c r="X106" s="389">
        <v>102144699.41</v>
      </c>
      <c r="Y106" s="389">
        <v>401.32</v>
      </c>
      <c r="Z106" s="24">
        <f t="shared" si="88"/>
        <v>-7.1915010854266643E-3</v>
      </c>
      <c r="AA106" s="24">
        <f t="shared" si="81"/>
        <v>-9.9661152082969055E-5</v>
      </c>
      <c r="AB106" s="389">
        <v>97978147.037</v>
      </c>
      <c r="AC106" s="389">
        <v>383.012</v>
      </c>
      <c r="AD106" s="24">
        <f t="shared" si="89"/>
        <v>-4.079068612533495E-2</v>
      </c>
      <c r="AE106" s="24">
        <f t="shared" si="82"/>
        <v>-4.5619455795873599E-2</v>
      </c>
      <c r="AF106" s="389">
        <v>97861472.569999993</v>
      </c>
      <c r="AG106" s="389">
        <v>382.57</v>
      </c>
      <c r="AH106" s="24">
        <f t="shared" si="90"/>
        <v>-1.1908213262692877E-3</v>
      </c>
      <c r="AI106" s="24">
        <f t="shared" si="83"/>
        <v>-1.1540108403914429E-3</v>
      </c>
      <c r="AJ106" s="25">
        <f t="shared" si="54"/>
        <v>-1.0514960265472896E-2</v>
      </c>
      <c r="AK106" s="25">
        <f t="shared" si="55"/>
        <v>-1.1324244175034274E-2</v>
      </c>
      <c r="AL106" s="26">
        <f t="shared" si="56"/>
        <v>-4.2560871630481029E-2</v>
      </c>
      <c r="AM106" s="26">
        <f t="shared" si="57"/>
        <v>-4.700577919489838E-2</v>
      </c>
      <c r="AN106" s="27">
        <f t="shared" si="58"/>
        <v>2.1477177145230408E-2</v>
      </c>
      <c r="AO106" s="84">
        <f t="shared" si="59"/>
        <v>2.3353896861605779E-2</v>
      </c>
      <c r="AP106" s="31"/>
      <c r="AQ106" s="29"/>
      <c r="AR106" s="33"/>
      <c r="AS106" s="30"/>
      <c r="AT106" s="30"/>
    </row>
    <row r="107" spans="1:46" s="313" customFormat="1">
      <c r="A107" s="216" t="s">
        <v>208</v>
      </c>
      <c r="B107" s="390">
        <v>4121040307.46</v>
      </c>
      <c r="C107" s="389">
        <f>1.0571*460.91</f>
        <v>487.22796099999999</v>
      </c>
      <c r="D107" s="390">
        <v>4187987405.4299998</v>
      </c>
      <c r="E107" s="389">
        <f>1.0582*460.2</f>
        <v>486.98363999999998</v>
      </c>
      <c r="F107" s="24">
        <f t="shared" si="75"/>
        <v>1.6245193682966567E-2</v>
      </c>
      <c r="G107" s="24">
        <f t="shared" si="76"/>
        <v>-5.0145110616919939E-4</v>
      </c>
      <c r="H107" s="390">
        <v>4201185579.1900001</v>
      </c>
      <c r="I107" s="389">
        <f>1.0597*460.99</f>
        <v>488.51110300000005</v>
      </c>
      <c r="J107" s="24">
        <f t="shared" si="84"/>
        <v>3.1514358765472724E-3</v>
      </c>
      <c r="K107" s="24">
        <f t="shared" si="77"/>
        <v>3.1365797011169995E-3</v>
      </c>
      <c r="L107" s="390">
        <v>4232150206.4499998</v>
      </c>
      <c r="M107" s="389">
        <f>1.0612*461</f>
        <v>489.21319999999997</v>
      </c>
      <c r="N107" s="24">
        <f t="shared" si="85"/>
        <v>7.3704497638425711E-3</v>
      </c>
      <c r="O107" s="24">
        <f t="shared" si="78"/>
        <v>1.4372181014684609E-3</v>
      </c>
      <c r="P107" s="390">
        <v>4162000714.52</v>
      </c>
      <c r="Q107" s="389">
        <f>1.0175*460.95</f>
        <v>469.01662500000003</v>
      </c>
      <c r="R107" s="24">
        <f t="shared" si="86"/>
        <v>-1.6575378591971675E-2</v>
      </c>
      <c r="S107" s="24">
        <f t="shared" si="79"/>
        <v>-4.1283789971325265E-2</v>
      </c>
      <c r="T107" s="390">
        <v>4174760303.8800001</v>
      </c>
      <c r="U107" s="389">
        <f>0.994*460.97</f>
        <v>458.20418000000001</v>
      </c>
      <c r="V107" s="24">
        <f t="shared" si="87"/>
        <v>3.065734543361722E-3</v>
      </c>
      <c r="W107" s="24">
        <f t="shared" si="80"/>
        <v>-2.3053436538630213E-2</v>
      </c>
      <c r="X107" s="390">
        <v>4169011309.5799999</v>
      </c>
      <c r="Y107" s="389">
        <f>0.9955*461.02</f>
        <v>458.94540999999998</v>
      </c>
      <c r="Z107" s="24">
        <f t="shared" si="88"/>
        <v>-1.3770836842194522E-3</v>
      </c>
      <c r="AA107" s="24">
        <f t="shared" si="81"/>
        <v>1.6176849368767722E-3</v>
      </c>
      <c r="AB107" s="390">
        <v>4210786077.3899999</v>
      </c>
      <c r="AC107" s="389">
        <f>0.9971*460.94</f>
        <v>459.603274</v>
      </c>
      <c r="AD107" s="24">
        <f t="shared" si="89"/>
        <v>1.0020305705097373E-2</v>
      </c>
      <c r="AE107" s="24">
        <f t="shared" si="82"/>
        <v>1.4334253827705081E-3</v>
      </c>
      <c r="AF107" s="390">
        <v>4292324383.25</v>
      </c>
      <c r="AG107" s="389">
        <f>0.9971*460.9</f>
        <v>459.56338999999997</v>
      </c>
      <c r="AH107" s="24">
        <f t="shared" si="90"/>
        <v>1.9364153001698099E-2</v>
      </c>
      <c r="AI107" s="24">
        <f t="shared" si="83"/>
        <v>-8.677919035021739E-5</v>
      </c>
      <c r="AJ107" s="25">
        <f t="shared" si="54"/>
        <v>5.1581012871653098E-3</v>
      </c>
      <c r="AK107" s="25">
        <f t="shared" si="55"/>
        <v>-7.1625685855302695E-3</v>
      </c>
      <c r="AL107" s="26">
        <f t="shared" si="56"/>
        <v>2.4913393408184669E-2</v>
      </c>
      <c r="AM107" s="26">
        <f t="shared" si="57"/>
        <v>-5.6306306306306328E-2</v>
      </c>
      <c r="AN107" s="27">
        <f t="shared" si="58"/>
        <v>1.119137764799848E-2</v>
      </c>
      <c r="AO107" s="84">
        <f t="shared" si="59"/>
        <v>1.6222680179802596E-2</v>
      </c>
      <c r="AP107" s="31"/>
      <c r="AQ107" s="29"/>
      <c r="AR107" s="33"/>
      <c r="AS107" s="30"/>
      <c r="AT107" s="30"/>
    </row>
    <row r="108" spans="1:46" s="428" customFormat="1">
      <c r="A108" s="216" t="s">
        <v>247</v>
      </c>
      <c r="B108" s="390">
        <v>2841562724.5466137</v>
      </c>
      <c r="C108" s="389">
        <v>57676.641169500006</v>
      </c>
      <c r="D108" s="390">
        <f>6177462.23 *406.2</f>
        <v>2509285157.8260002</v>
      </c>
      <c r="E108" s="389">
        <f>125.23*460.2</f>
        <v>57630.845999999998</v>
      </c>
      <c r="F108" s="24">
        <f t="shared" si="75"/>
        <v>-0.11693479923925668</v>
      </c>
      <c r="G108" s="24">
        <f t="shared" si="76"/>
        <v>-7.9399855073782088E-4</v>
      </c>
      <c r="H108" s="390">
        <f>6110908.44 *406.99</f>
        <v>2487078625.9956002</v>
      </c>
      <c r="I108" s="389">
        <f>125.33*460.99</f>
        <v>57775.876700000001</v>
      </c>
      <c r="J108" s="24">
        <f t="shared" ref="J108" si="91">((H108-D108)/D108)</f>
        <v>-8.849744223426298E-3</v>
      </c>
      <c r="K108" s="24">
        <f t="shared" ref="K108" si="92">((I108-E108)/E108)</f>
        <v>2.5165464341787205E-3</v>
      </c>
      <c r="L108" s="390">
        <f>6100500.77800758*461</f>
        <v>2812330858.6614943</v>
      </c>
      <c r="M108" s="389">
        <f>125.44*461</f>
        <v>57827.839999999997</v>
      </c>
      <c r="N108" s="24">
        <f t="shared" ref="N108" si="93">((L108-H108)/H108)</f>
        <v>0.13077681954493603</v>
      </c>
      <c r="O108" s="24">
        <f t="shared" ref="O108" si="94">((M108-I108)/I108)</f>
        <v>8.9939440070834614E-4</v>
      </c>
      <c r="P108" s="390">
        <f>6055137.22 *460.95</f>
        <v>2791115501.559</v>
      </c>
      <c r="Q108" s="389">
        <f>125.54*460.95</f>
        <v>57867.663</v>
      </c>
      <c r="R108" s="24">
        <f t="shared" si="86"/>
        <v>-7.5436917520406953E-3</v>
      </c>
      <c r="S108" s="24">
        <f t="shared" si="79"/>
        <v>6.8864754415872982E-4</v>
      </c>
      <c r="T108" s="390">
        <f>6112328.76*460.97</f>
        <v>2817600188.4972</v>
      </c>
      <c r="U108" s="389">
        <f>125.75*460.97</f>
        <v>57966.977500000001</v>
      </c>
      <c r="V108" s="24">
        <f t="shared" si="87"/>
        <v>9.4889254577271206E-3</v>
      </c>
      <c r="W108" s="24">
        <f t="shared" si="80"/>
        <v>1.7162348512328967E-3</v>
      </c>
      <c r="X108" s="390">
        <f>6261236.85 *461.02</f>
        <v>2886555412.5869999</v>
      </c>
      <c r="Y108" s="389">
        <f>125.96*461.02</f>
        <v>58070.079199999993</v>
      </c>
      <c r="Z108" s="24">
        <f t="shared" si="88"/>
        <v>2.4473033601895788E-2</v>
      </c>
      <c r="AA108" s="24">
        <f t="shared" si="81"/>
        <v>1.7786281853317603E-3</v>
      </c>
      <c r="AB108" s="390">
        <f>6351734.48*460.94</f>
        <v>2927768491.2112002</v>
      </c>
      <c r="AC108" s="389">
        <f>126.06*460.94</f>
        <v>58106.096400000002</v>
      </c>
      <c r="AD108" s="24">
        <f t="shared" si="89"/>
        <v>1.4277598290505083E-2</v>
      </c>
      <c r="AE108" s="24">
        <f t="shared" si="82"/>
        <v>6.2023679829955063E-4</v>
      </c>
      <c r="AF108" s="390">
        <f>6536321.58*460.9</f>
        <v>3012590616.2220001</v>
      </c>
      <c r="AG108" s="389">
        <f>126.13*460.9</f>
        <v>58133.316999999995</v>
      </c>
      <c r="AH108" s="24">
        <f t="shared" si="90"/>
        <v>2.8971595693247414E-2</v>
      </c>
      <c r="AI108" s="24">
        <f t="shared" si="83"/>
        <v>4.6846375314231714E-4</v>
      </c>
      <c r="AJ108" s="25">
        <f t="shared" si="54"/>
        <v>9.3324671716984702E-3</v>
      </c>
      <c r="AK108" s="25">
        <f t="shared" si="55"/>
        <v>9.8676917703931243E-4</v>
      </c>
      <c r="AL108" s="26">
        <f t="shared" si="56"/>
        <v>0.20057722687526466</v>
      </c>
      <c r="AM108" s="26">
        <f t="shared" si="57"/>
        <v>8.7187857696900337E-3</v>
      </c>
      <c r="AN108" s="27">
        <f t="shared" si="58"/>
        <v>6.7556285277407341E-2</v>
      </c>
      <c r="AO108" s="84">
        <f t="shared" si="59"/>
        <v>1.0120707465552318E-3</v>
      </c>
      <c r="AP108" s="31"/>
      <c r="AQ108" s="29"/>
      <c r="AR108" s="33"/>
      <c r="AS108" s="30"/>
      <c r="AT108" s="30"/>
    </row>
    <row r="109" spans="1:46" s="94" customFormat="1">
      <c r="A109" s="216" t="s">
        <v>276</v>
      </c>
      <c r="B109" s="390">
        <v>0</v>
      </c>
      <c r="C109" s="389">
        <v>0</v>
      </c>
      <c r="D109" s="390">
        <v>0</v>
      </c>
      <c r="E109" s="389">
        <v>0</v>
      </c>
      <c r="F109" s="24" t="e">
        <f t="shared" si="75"/>
        <v>#DIV/0!</v>
      </c>
      <c r="G109" s="24" t="e">
        <f t="shared" si="76"/>
        <v>#DIV/0!</v>
      </c>
      <c r="H109" s="390">
        <v>0</v>
      </c>
      <c r="I109" s="389">
        <v>0</v>
      </c>
      <c r="J109" s="24" t="e">
        <f t="shared" si="84"/>
        <v>#DIV/0!</v>
      </c>
      <c r="K109" s="24" t="e">
        <f t="shared" si="77"/>
        <v>#DIV/0!</v>
      </c>
      <c r="L109" s="390">
        <v>236146614.53</v>
      </c>
      <c r="M109" s="390">
        <v>464.57</v>
      </c>
      <c r="N109" s="24" t="e">
        <f>((#REF!-H109)/H109)</f>
        <v>#REF!</v>
      </c>
      <c r="O109" s="24" t="e">
        <f>((#REF!-I109)/I109)</f>
        <v>#REF!</v>
      </c>
      <c r="P109" s="390">
        <v>749953717.82000005</v>
      </c>
      <c r="Q109" s="390">
        <v>464.49</v>
      </c>
      <c r="R109" s="24" t="e">
        <f>((#REF!-L109)/L109)</f>
        <v>#REF!</v>
      </c>
      <c r="S109" s="24" t="e">
        <f>((#REF!-M109)/M109)</f>
        <v>#REF!</v>
      </c>
      <c r="T109" s="390">
        <v>2460882957.1999998</v>
      </c>
      <c r="U109" s="390">
        <v>466.09</v>
      </c>
      <c r="V109" s="24" t="e">
        <f>((#REF!-P109)/P109)</f>
        <v>#REF!</v>
      </c>
      <c r="W109" s="24" t="e">
        <f>((#REF!-Q109)/Q109)</f>
        <v>#REF!</v>
      </c>
      <c r="X109" s="390">
        <v>2519545760.3600001</v>
      </c>
      <c r="Y109" s="390">
        <v>466.44</v>
      </c>
      <c r="Z109" s="24" t="e">
        <f>((#REF!-T109)/T109)</f>
        <v>#REF!</v>
      </c>
      <c r="AA109" s="24" t="e">
        <f>((#REF!-U109)/U109)</f>
        <v>#REF!</v>
      </c>
      <c r="AB109" s="390">
        <v>2523808607.0900002</v>
      </c>
      <c r="AC109" s="390">
        <v>467.23</v>
      </c>
      <c r="AD109" s="24" t="e">
        <f>((#REF!-X109)/X109)</f>
        <v>#REF!</v>
      </c>
      <c r="AE109" s="24" t="e">
        <f>((#REF!-Y109)/Y109)</f>
        <v>#REF!</v>
      </c>
      <c r="AF109" s="390">
        <v>2733757018.21</v>
      </c>
      <c r="AG109" s="390">
        <v>467.14</v>
      </c>
      <c r="AH109" s="24" t="e">
        <f>((#REF!-AB109)/AB109)</f>
        <v>#REF!</v>
      </c>
      <c r="AI109" s="24" t="e">
        <f>((#REF!-AC109)/AC109)</f>
        <v>#REF!</v>
      </c>
      <c r="AJ109" s="25" t="e">
        <f t="shared" si="54"/>
        <v>#DIV/0!</v>
      </c>
      <c r="AK109" s="25" t="e">
        <f t="shared" si="55"/>
        <v>#DIV/0!</v>
      </c>
      <c r="AL109" s="26" t="e">
        <f t="shared" si="56"/>
        <v>#DIV/0!</v>
      </c>
      <c r="AM109" s="26" t="e">
        <f t="shared" si="57"/>
        <v>#DIV/0!</v>
      </c>
      <c r="AN109" s="27" t="e">
        <f t="shared" si="58"/>
        <v>#DIV/0!</v>
      </c>
      <c r="AO109" s="84" t="e">
        <f t="shared" si="59"/>
        <v>#DIV/0!</v>
      </c>
      <c r="AP109" s="31"/>
      <c r="AQ109" s="29"/>
      <c r="AR109" s="33"/>
      <c r="AS109" s="30"/>
      <c r="AT109" s="30"/>
    </row>
    <row r="110" spans="1:46" s="112" customFormat="1">
      <c r="A110" s="218" t="s">
        <v>46</v>
      </c>
      <c r="B110" s="81">
        <f>SUM(B90:B109)</f>
        <v>318454224920.62793</v>
      </c>
      <c r="C110" s="93"/>
      <c r="D110" s="81">
        <f>SUM(D90:D109)</f>
        <v>315407028595.76306</v>
      </c>
      <c r="E110" s="93"/>
      <c r="F110" s="24"/>
      <c r="G110" s="24"/>
      <c r="H110" s="81">
        <f>SUM(H90:H109)</f>
        <v>318608459435.22919</v>
      </c>
      <c r="I110" s="93"/>
      <c r="J110" s="24"/>
      <c r="K110" s="24"/>
      <c r="L110" s="81">
        <f>SUM(L90:L109)</f>
        <v>315347453563.14014</v>
      </c>
      <c r="N110" s="24"/>
      <c r="O110" s="24"/>
      <c r="P110" s="81">
        <f>SUM(P90:P109)</f>
        <v>315837517726.25104</v>
      </c>
      <c r="Q110" s="93"/>
      <c r="R110" s="24"/>
      <c r="S110" s="24"/>
      <c r="T110" s="81">
        <f>SUM(T90:T109)</f>
        <v>318565990487.86023</v>
      </c>
      <c r="U110" s="93"/>
      <c r="V110" s="24"/>
      <c r="W110" s="24"/>
      <c r="X110" s="81">
        <f>SUM(X90:X109)</f>
        <v>319613321483.23999</v>
      </c>
      <c r="Y110" s="93"/>
      <c r="Z110" s="24"/>
      <c r="AA110" s="24"/>
      <c r="AB110" s="81">
        <f>SUM(AB90:AB109)</f>
        <v>317395334099.62982</v>
      </c>
      <c r="AC110" s="93"/>
      <c r="AD110" s="24"/>
      <c r="AE110" s="24"/>
      <c r="AF110" s="81">
        <f>SUM(AF90:AF109)</f>
        <v>313889534077.08875</v>
      </c>
      <c r="AG110" s="93"/>
      <c r="AH110" s="24"/>
      <c r="AI110" s="24"/>
      <c r="AJ110" s="25" t="e">
        <f t="shared" si="54"/>
        <v>#DIV/0!</v>
      </c>
      <c r="AK110" s="25"/>
      <c r="AL110" s="26">
        <f t="shared" si="56"/>
        <v>-4.8112260701050884E-3</v>
      </c>
      <c r="AM110" s="26"/>
      <c r="AN110" s="27" t="e">
        <f t="shared" si="58"/>
        <v>#DIV/0!</v>
      </c>
      <c r="AO110" s="84"/>
      <c r="AP110" s="31"/>
      <c r="AQ110" s="29"/>
      <c r="AR110" s="33"/>
      <c r="AS110" s="30"/>
      <c r="AT110" s="30"/>
    </row>
    <row r="111" spans="1:46" s="112" customFormat="1" ht="8.25" customHeight="1">
      <c r="A111" s="218"/>
      <c r="B111" s="93"/>
      <c r="C111" s="93"/>
      <c r="D111" s="93"/>
      <c r="E111" s="93"/>
      <c r="F111" s="24"/>
      <c r="G111" s="24"/>
      <c r="H111" s="93"/>
      <c r="I111" s="93"/>
      <c r="J111" s="24"/>
      <c r="K111" s="24"/>
      <c r="L111" s="81"/>
      <c r="M111" s="93"/>
      <c r="N111" s="24"/>
      <c r="O111" s="24"/>
      <c r="P111" s="93"/>
      <c r="Q111" s="93"/>
      <c r="R111" s="24"/>
      <c r="S111" s="24"/>
      <c r="T111" s="93"/>
      <c r="U111" s="93"/>
      <c r="V111" s="24"/>
      <c r="W111" s="24"/>
      <c r="X111" s="93"/>
      <c r="Y111" s="93"/>
      <c r="Z111" s="24"/>
      <c r="AA111" s="24"/>
      <c r="AB111" s="93"/>
      <c r="AC111" s="93"/>
      <c r="AD111" s="24"/>
      <c r="AE111" s="24"/>
      <c r="AF111" s="93"/>
      <c r="AG111" s="93"/>
      <c r="AH111" s="24"/>
      <c r="AI111" s="24"/>
      <c r="AJ111" s="25"/>
      <c r="AK111" s="25"/>
      <c r="AL111" s="26"/>
      <c r="AM111" s="26"/>
      <c r="AN111" s="27"/>
      <c r="AO111" s="84"/>
      <c r="AP111" s="31"/>
      <c r="AQ111" s="29"/>
      <c r="AR111" s="33"/>
      <c r="AS111" s="30"/>
      <c r="AT111" s="30"/>
    </row>
    <row r="112" spans="1:46">
      <c r="A112" s="220" t="s">
        <v>231</v>
      </c>
      <c r="B112" s="93"/>
      <c r="C112" s="93"/>
      <c r="D112" s="93"/>
      <c r="E112" s="93"/>
      <c r="F112" s="24"/>
      <c r="G112" s="24"/>
      <c r="H112" s="93"/>
      <c r="I112" s="93"/>
      <c r="J112" s="24"/>
      <c r="K112" s="24"/>
      <c r="L112" s="93"/>
      <c r="M112" s="93"/>
      <c r="N112" s="24"/>
      <c r="O112" s="24"/>
      <c r="P112" s="93"/>
      <c r="Q112" s="93"/>
      <c r="R112" s="24"/>
      <c r="S112" s="24"/>
      <c r="T112" s="93"/>
      <c r="U112" s="93"/>
      <c r="V112" s="24"/>
      <c r="W112" s="24"/>
      <c r="X112" s="93"/>
      <c r="Y112" s="93"/>
      <c r="Z112" s="24"/>
      <c r="AA112" s="24"/>
      <c r="AB112" s="93"/>
      <c r="AC112" s="93"/>
      <c r="AD112" s="24"/>
      <c r="AE112" s="24"/>
      <c r="AF112" s="93"/>
      <c r="AG112" s="93"/>
      <c r="AH112" s="24"/>
      <c r="AI112" s="24"/>
      <c r="AJ112" s="25"/>
      <c r="AK112" s="25"/>
      <c r="AL112" s="26"/>
      <c r="AM112" s="26"/>
      <c r="AN112" s="27"/>
      <c r="AO112" s="84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6" t="s">
        <v>150</v>
      </c>
      <c r="B113" s="390">
        <v>2283435577.96</v>
      </c>
      <c r="C113" s="391">
        <v>77</v>
      </c>
      <c r="D113" s="390">
        <v>2298704113.3499999</v>
      </c>
      <c r="E113" s="391">
        <v>77</v>
      </c>
      <c r="F113" s="24">
        <f t="shared" ref="F113:G116" si="95">((D113-B113)/B113)</f>
        <v>6.6866503865375664E-3</v>
      </c>
      <c r="G113" s="24">
        <f t="shared" si="95"/>
        <v>0</v>
      </c>
      <c r="H113" s="390">
        <v>2300602399.3400002</v>
      </c>
      <c r="I113" s="391">
        <v>77</v>
      </c>
      <c r="J113" s="24">
        <f t="shared" ref="J113:J116" si="96">((H113-D113)/D113)</f>
        <v>8.2580701838732716E-4</v>
      </c>
      <c r="K113" s="24">
        <f t="shared" ref="K113:K116" si="97">((I113-E113)/E113)</f>
        <v>0</v>
      </c>
      <c r="L113" s="390">
        <v>2305749540.5599999</v>
      </c>
      <c r="M113" s="391">
        <v>77</v>
      </c>
      <c r="N113" s="24">
        <f t="shared" ref="N113:N116" si="98">((L113-H113)/H113)</f>
        <v>2.2373015091509984E-3</v>
      </c>
      <c r="O113" s="24">
        <f t="shared" ref="O113:O116" si="99">((M113-I113)/I113)</f>
        <v>0</v>
      </c>
      <c r="P113" s="390">
        <v>2308099295.8400002</v>
      </c>
      <c r="Q113" s="391">
        <v>77</v>
      </c>
      <c r="R113" s="24">
        <f t="shared" ref="R113:R116" si="100">((P113-L113)/L113)</f>
        <v>1.0190852209514144E-3</v>
      </c>
      <c r="S113" s="24">
        <f t="shared" ref="S113:S116" si="101">((Q113-M113)/M113)</f>
        <v>0</v>
      </c>
      <c r="T113" s="390">
        <v>2316599670.6100001</v>
      </c>
      <c r="U113" s="391">
        <v>77</v>
      </c>
      <c r="V113" s="24">
        <f t="shared" ref="V113:V116" si="102">((T113-P113)/P113)</f>
        <v>3.6828462212698649E-3</v>
      </c>
      <c r="W113" s="24">
        <f t="shared" ref="W113:W116" si="103">((U113-Q113)/Q113)</f>
        <v>0</v>
      </c>
      <c r="X113" s="390">
        <v>2321145779.7800002</v>
      </c>
      <c r="Y113" s="391">
        <v>77</v>
      </c>
      <c r="Z113" s="24">
        <f t="shared" ref="Z113:Z116" si="104">((X113-T113)/T113)</f>
        <v>1.9624060331507377E-3</v>
      </c>
      <c r="AA113" s="24">
        <f t="shared" ref="AA113:AA116" si="105">((Y113-U113)/U113)</f>
        <v>0</v>
      </c>
      <c r="AB113" s="390">
        <v>2324740232.4000001</v>
      </c>
      <c r="AC113" s="391">
        <v>77</v>
      </c>
      <c r="AD113" s="24">
        <f t="shared" ref="AD113:AD116" si="106">((AB113-X113)/X113)</f>
        <v>1.5485682335473862E-3</v>
      </c>
      <c r="AE113" s="24">
        <f t="shared" ref="AE113:AE116" si="107">((AC113-Y113)/Y113)</f>
        <v>0</v>
      </c>
      <c r="AF113" s="390">
        <v>2329739480.9200001</v>
      </c>
      <c r="AG113" s="391">
        <v>77</v>
      </c>
      <c r="AH113" s="24">
        <f t="shared" ref="AH113:AH116" si="108">((AF113-AB113)/AB113)</f>
        <v>2.1504546832051379E-3</v>
      </c>
      <c r="AI113" s="24">
        <f t="shared" ref="AI113:AI116" si="109">((AG113-AC113)/AC113)</f>
        <v>0</v>
      </c>
      <c r="AJ113" s="25">
        <f t="shared" si="54"/>
        <v>2.5141399132750544E-3</v>
      </c>
      <c r="AK113" s="25">
        <f t="shared" si="55"/>
        <v>0</v>
      </c>
      <c r="AL113" s="26">
        <f t="shared" si="56"/>
        <v>1.3501245066626257E-2</v>
      </c>
      <c r="AM113" s="26">
        <f t="shared" si="57"/>
        <v>0</v>
      </c>
      <c r="AN113" s="27">
        <f t="shared" si="58"/>
        <v>1.9013912189525567E-3</v>
      </c>
      <c r="AO113" s="84">
        <f t="shared" si="59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6" t="s">
        <v>25</v>
      </c>
      <c r="B114" s="390">
        <v>9984464335.5900002</v>
      </c>
      <c r="C114" s="391">
        <v>36.6</v>
      </c>
      <c r="D114" s="390">
        <v>10032401869.309999</v>
      </c>
      <c r="E114" s="391">
        <v>36.6</v>
      </c>
      <c r="F114" s="24">
        <f t="shared" si="95"/>
        <v>4.8012123744209457E-3</v>
      </c>
      <c r="G114" s="24">
        <f t="shared" si="95"/>
        <v>0</v>
      </c>
      <c r="H114" s="390">
        <v>10055995878.450001</v>
      </c>
      <c r="I114" s="391">
        <v>36.6</v>
      </c>
      <c r="J114" s="24">
        <f t="shared" si="96"/>
        <v>2.3517807048955494E-3</v>
      </c>
      <c r="K114" s="24">
        <f t="shared" si="97"/>
        <v>0</v>
      </c>
      <c r="L114" s="390">
        <v>10059201427.91</v>
      </c>
      <c r="M114" s="391">
        <v>36.6</v>
      </c>
      <c r="N114" s="24">
        <f t="shared" si="98"/>
        <v>3.1876996557532179E-4</v>
      </c>
      <c r="O114" s="24">
        <f t="shared" si="99"/>
        <v>0</v>
      </c>
      <c r="P114" s="390">
        <v>10068818195.75</v>
      </c>
      <c r="Q114" s="391">
        <v>36.6</v>
      </c>
      <c r="R114" s="24">
        <f t="shared" si="100"/>
        <v>9.5601702669137511E-4</v>
      </c>
      <c r="S114" s="24">
        <f t="shared" si="101"/>
        <v>0</v>
      </c>
      <c r="T114" s="390">
        <v>10066505311.43</v>
      </c>
      <c r="U114" s="391">
        <v>36.6</v>
      </c>
      <c r="V114" s="24">
        <f t="shared" si="102"/>
        <v>-2.2970762556582383E-4</v>
      </c>
      <c r="W114" s="24">
        <f t="shared" si="103"/>
        <v>0</v>
      </c>
      <c r="X114" s="390">
        <v>10103263870.370001</v>
      </c>
      <c r="Y114" s="391">
        <v>36.6</v>
      </c>
      <c r="Z114" s="24">
        <f t="shared" si="104"/>
        <v>3.6515710072951612E-3</v>
      </c>
      <c r="AA114" s="24">
        <f t="shared" si="105"/>
        <v>0</v>
      </c>
      <c r="AB114" s="390">
        <v>10103642798.32</v>
      </c>
      <c r="AC114" s="391">
        <v>36.6</v>
      </c>
      <c r="AD114" s="24">
        <f t="shared" si="106"/>
        <v>3.7505498704249772E-5</v>
      </c>
      <c r="AE114" s="24">
        <f t="shared" si="107"/>
        <v>0</v>
      </c>
      <c r="AF114" s="390">
        <v>10105268488.299999</v>
      </c>
      <c r="AG114" s="391">
        <v>36.6</v>
      </c>
      <c r="AH114" s="24">
        <f t="shared" si="108"/>
        <v>1.6090137116385949E-4</v>
      </c>
      <c r="AI114" s="24">
        <f t="shared" si="109"/>
        <v>0</v>
      </c>
      <c r="AJ114" s="25">
        <f t="shared" si="54"/>
        <v>1.50600629039758E-3</v>
      </c>
      <c r="AK114" s="25">
        <f t="shared" si="55"/>
        <v>0</v>
      </c>
      <c r="AL114" s="26">
        <f t="shared" si="56"/>
        <v>7.2631280065549577E-3</v>
      </c>
      <c r="AM114" s="26">
        <f t="shared" si="57"/>
        <v>0</v>
      </c>
      <c r="AN114" s="27">
        <f t="shared" si="58"/>
        <v>1.8848148203466661E-3</v>
      </c>
      <c r="AO114" s="84">
        <f t="shared" si="59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6" t="s">
        <v>198</v>
      </c>
      <c r="B115" s="390">
        <v>26432551896.450001</v>
      </c>
      <c r="C115" s="391">
        <v>9.91</v>
      </c>
      <c r="D115" s="390">
        <v>26446086162.439999</v>
      </c>
      <c r="E115" s="391">
        <v>9.91</v>
      </c>
      <c r="F115" s="24">
        <f t="shared" si="95"/>
        <v>5.1203024373199359E-4</v>
      </c>
      <c r="G115" s="24">
        <f t="shared" si="95"/>
        <v>0</v>
      </c>
      <c r="H115" s="390">
        <v>26464194970.98</v>
      </c>
      <c r="I115" s="391">
        <v>9.92</v>
      </c>
      <c r="J115" s="24">
        <f t="shared" si="96"/>
        <v>6.8474436741871908E-4</v>
      </c>
      <c r="K115" s="24">
        <f t="shared" si="97"/>
        <v>1.0090817356205638E-3</v>
      </c>
      <c r="L115" s="390">
        <v>26485525477.450001</v>
      </c>
      <c r="M115" s="391">
        <v>3.1</v>
      </c>
      <c r="N115" s="24">
        <f t="shared" si="98"/>
        <v>8.0601380443998929E-4</v>
      </c>
      <c r="O115" s="24">
        <f t="shared" si="99"/>
        <v>-0.6875</v>
      </c>
      <c r="P115" s="390">
        <v>26489422386.419998</v>
      </c>
      <c r="Q115" s="391">
        <v>9.93</v>
      </c>
      <c r="R115" s="24">
        <f t="shared" si="100"/>
        <v>1.4713353425119946E-4</v>
      </c>
      <c r="S115" s="24">
        <f t="shared" si="101"/>
        <v>2.2032258064516128</v>
      </c>
      <c r="T115" s="390">
        <v>26489378423.290001</v>
      </c>
      <c r="U115" s="391">
        <v>9.93</v>
      </c>
      <c r="V115" s="24">
        <f t="shared" si="102"/>
        <v>-1.6596484950080091E-6</v>
      </c>
      <c r="W115" s="24">
        <f t="shared" si="103"/>
        <v>0</v>
      </c>
      <c r="X115" s="390">
        <v>26496538381.540001</v>
      </c>
      <c r="Y115" s="391">
        <v>9.93</v>
      </c>
      <c r="Z115" s="24">
        <f t="shared" si="104"/>
        <v>2.7029544202912737E-4</v>
      </c>
      <c r="AA115" s="24">
        <f t="shared" si="105"/>
        <v>0</v>
      </c>
      <c r="AB115" s="390">
        <v>26502288426.880001</v>
      </c>
      <c r="AC115" s="391">
        <v>9.93</v>
      </c>
      <c r="AD115" s="24">
        <f t="shared" si="106"/>
        <v>2.170111905639032E-4</v>
      </c>
      <c r="AE115" s="24">
        <f t="shared" si="107"/>
        <v>0</v>
      </c>
      <c r="AF115" s="390">
        <v>26501317592.720001</v>
      </c>
      <c r="AG115" s="391">
        <v>9.93</v>
      </c>
      <c r="AH115" s="24">
        <f t="shared" si="108"/>
        <v>-3.6632087930005952E-5</v>
      </c>
      <c r="AI115" s="24">
        <f t="shared" si="109"/>
        <v>0</v>
      </c>
      <c r="AJ115" s="25">
        <f t="shared" si="54"/>
        <v>3.248671057512398E-4</v>
      </c>
      <c r="AK115" s="25">
        <f t="shared" si="55"/>
        <v>0.18959186102340417</v>
      </c>
      <c r="AL115" s="26">
        <f t="shared" si="56"/>
        <v>2.0884538430660082E-3</v>
      </c>
      <c r="AM115" s="26">
        <f t="shared" si="57"/>
        <v>2.0181634712411276E-3</v>
      </c>
      <c r="AN115" s="27">
        <f t="shared" si="58"/>
        <v>3.115732899276568E-4</v>
      </c>
      <c r="AO115" s="84">
        <f t="shared" si="59"/>
        <v>0.84846926304541159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6" t="s">
        <v>175</v>
      </c>
      <c r="B116" s="390">
        <v>7511812185.1700001</v>
      </c>
      <c r="C116" s="391">
        <v>101.31</v>
      </c>
      <c r="D116" s="390">
        <v>7511812185.1700001</v>
      </c>
      <c r="E116" s="391">
        <v>101.31</v>
      </c>
      <c r="F116" s="24">
        <f t="shared" si="95"/>
        <v>0</v>
      </c>
      <c r="G116" s="24">
        <f t="shared" si="95"/>
        <v>0</v>
      </c>
      <c r="H116" s="390">
        <v>7511812185.1700001</v>
      </c>
      <c r="I116" s="391">
        <v>101.31</v>
      </c>
      <c r="J116" s="24">
        <f t="shared" si="96"/>
        <v>0</v>
      </c>
      <c r="K116" s="24">
        <f t="shared" si="97"/>
        <v>0</v>
      </c>
      <c r="L116" s="390">
        <v>7511812185.1700001</v>
      </c>
      <c r="M116" s="391">
        <v>101.31</v>
      </c>
      <c r="N116" s="24">
        <f t="shared" si="98"/>
        <v>0</v>
      </c>
      <c r="O116" s="24">
        <f t="shared" si="99"/>
        <v>0</v>
      </c>
      <c r="P116" s="390">
        <v>7511812185.1700001</v>
      </c>
      <c r="Q116" s="391">
        <v>101.31</v>
      </c>
      <c r="R116" s="24">
        <f t="shared" si="100"/>
        <v>0</v>
      </c>
      <c r="S116" s="24">
        <f t="shared" si="101"/>
        <v>0</v>
      </c>
      <c r="T116" s="390">
        <v>7511812185.1700001</v>
      </c>
      <c r="U116" s="391">
        <v>101.31</v>
      </c>
      <c r="V116" s="24">
        <f t="shared" si="102"/>
        <v>0</v>
      </c>
      <c r="W116" s="24">
        <f t="shared" si="103"/>
        <v>0</v>
      </c>
      <c r="X116" s="390">
        <v>7511812185.1700001</v>
      </c>
      <c r="Y116" s="391">
        <v>101.31</v>
      </c>
      <c r="Z116" s="24">
        <f t="shared" si="104"/>
        <v>0</v>
      </c>
      <c r="AA116" s="24">
        <f t="shared" si="105"/>
        <v>0</v>
      </c>
      <c r="AB116" s="390">
        <v>7511812185.1700001</v>
      </c>
      <c r="AC116" s="391">
        <v>101.31</v>
      </c>
      <c r="AD116" s="24">
        <f t="shared" si="106"/>
        <v>0</v>
      </c>
      <c r="AE116" s="24">
        <f t="shared" si="107"/>
        <v>0</v>
      </c>
      <c r="AF116" s="390">
        <v>7511812185.1700001</v>
      </c>
      <c r="AG116" s="391">
        <v>101.31</v>
      </c>
      <c r="AH116" s="24">
        <f t="shared" si="108"/>
        <v>0</v>
      </c>
      <c r="AI116" s="24">
        <f t="shared" si="109"/>
        <v>0</v>
      </c>
      <c r="AJ116" s="25">
        <f t="shared" si="54"/>
        <v>0</v>
      </c>
      <c r="AK116" s="25">
        <f t="shared" si="55"/>
        <v>0</v>
      </c>
      <c r="AL116" s="26">
        <f t="shared" si="56"/>
        <v>0</v>
      </c>
      <c r="AM116" s="26">
        <f t="shared" si="57"/>
        <v>0</v>
      </c>
      <c r="AN116" s="27">
        <f t="shared" si="58"/>
        <v>0</v>
      </c>
      <c r="AO116" s="84">
        <f t="shared" si="59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8" t="s">
        <v>46</v>
      </c>
      <c r="B117" s="72">
        <f>SUM(B113:B116)</f>
        <v>46212263995.169998</v>
      </c>
      <c r="C117" s="93"/>
      <c r="D117" s="72">
        <f>SUM(D113:D116)</f>
        <v>46289004330.269997</v>
      </c>
      <c r="E117" s="93"/>
      <c r="F117" s="24">
        <f>((D117-B117)/B117)</f>
        <v>1.6606053992078639E-3</v>
      </c>
      <c r="G117" s="24"/>
      <c r="H117" s="72">
        <f>SUM(H113:H116)</f>
        <v>46332605433.940002</v>
      </c>
      <c r="I117" s="93"/>
      <c r="J117" s="24">
        <f>((H117-D117)/D117)</f>
        <v>9.4193219968426742E-4</v>
      </c>
      <c r="K117" s="24"/>
      <c r="L117" s="72">
        <f>SUM(L113:L116)</f>
        <v>46362288631.089996</v>
      </c>
      <c r="M117" s="93"/>
      <c r="N117" s="24">
        <f>((L117-H117)/H117)</f>
        <v>6.4065460752720969E-4</v>
      </c>
      <c r="O117" s="24"/>
      <c r="P117" s="72">
        <f>SUM(P113:P116)</f>
        <v>46378152063.179993</v>
      </c>
      <c r="Q117" s="93"/>
      <c r="R117" s="24">
        <f>((P117-L117)/L117)</f>
        <v>3.4216240307340025E-4</v>
      </c>
      <c r="S117" s="24"/>
      <c r="T117" s="72">
        <f>SUM(T113:T116)</f>
        <v>46384295590.5</v>
      </c>
      <c r="U117" s="93"/>
      <c r="V117" s="24">
        <f>((T117-P117)/P117)</f>
        <v>1.3246597905923731E-4</v>
      </c>
      <c r="W117" s="24"/>
      <c r="X117" s="72">
        <f>SUM(X113:X116)</f>
        <v>46432760216.860001</v>
      </c>
      <c r="Y117" s="93"/>
      <c r="Z117" s="24">
        <f>((X117-T117)/T117)</f>
        <v>1.0448498946252552E-3</v>
      </c>
      <c r="AA117" s="24"/>
      <c r="AB117" s="72">
        <f>SUM(AB113:AB116)</f>
        <v>46442483642.769997</v>
      </c>
      <c r="AC117" s="93"/>
      <c r="AD117" s="24">
        <f>((AB117-X117)/X117)</f>
        <v>2.0940874211620531E-4</v>
      </c>
      <c r="AE117" s="24"/>
      <c r="AF117" s="72">
        <f>SUM(AF113:AF116)</f>
        <v>46448137747.110001</v>
      </c>
      <c r="AG117" s="93"/>
      <c r="AH117" s="24">
        <f>((AF117-AB117)/AB117)</f>
        <v>1.2174422848473519E-4</v>
      </c>
      <c r="AI117" s="24"/>
      <c r="AJ117" s="25">
        <f t="shared" si="54"/>
        <v>6.3672793172227184E-4</v>
      </c>
      <c r="AK117" s="25"/>
      <c r="AL117" s="26">
        <f t="shared" si="56"/>
        <v>3.4378232831407235E-3</v>
      </c>
      <c r="AM117" s="26"/>
      <c r="AN117" s="27">
        <f t="shared" si="58"/>
        <v>5.4731977346378553E-4</v>
      </c>
      <c r="AO117" s="84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20" t="s">
        <v>241</v>
      </c>
      <c r="B118" s="93"/>
      <c r="C118" s="93"/>
      <c r="D118" s="93"/>
      <c r="E118" s="93"/>
      <c r="F118" s="24"/>
      <c r="G118" s="24"/>
      <c r="H118" s="93"/>
      <c r="I118" s="93"/>
      <c r="J118" s="24"/>
      <c r="K118" s="24"/>
      <c r="L118" s="93"/>
      <c r="M118" s="93"/>
      <c r="N118" s="24"/>
      <c r="O118" s="24"/>
      <c r="P118" s="93"/>
      <c r="Q118" s="93"/>
      <c r="R118" s="24"/>
      <c r="S118" s="24"/>
      <c r="T118" s="93"/>
      <c r="U118" s="93"/>
      <c r="V118" s="24"/>
      <c r="W118" s="24"/>
      <c r="X118" s="93"/>
      <c r="Y118" s="93"/>
      <c r="Z118" s="24"/>
      <c r="AA118" s="24"/>
      <c r="AB118" s="93"/>
      <c r="AC118" s="93"/>
      <c r="AD118" s="24"/>
      <c r="AE118" s="24"/>
      <c r="AF118" s="93"/>
      <c r="AG118" s="93"/>
      <c r="AH118" s="24"/>
      <c r="AI118" s="24"/>
      <c r="AJ118" s="25"/>
      <c r="AK118" s="25"/>
      <c r="AL118" s="26"/>
      <c r="AM118" s="26"/>
      <c r="AN118" s="27"/>
      <c r="AO118" s="84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4" customFormat="1">
      <c r="A119" s="216" t="s">
        <v>26</v>
      </c>
      <c r="B119" s="390">
        <v>1545707045.6800001</v>
      </c>
      <c r="C119" s="389">
        <v>3768.25</v>
      </c>
      <c r="D119" s="390">
        <v>1573599523.54</v>
      </c>
      <c r="E119" s="389">
        <v>3823.71</v>
      </c>
      <c r="F119" s="24">
        <f t="shared" ref="F119:F142" si="110">((D119-B119)/B119)</f>
        <v>1.8045125651691137E-2</v>
      </c>
      <c r="G119" s="24">
        <f t="shared" ref="G119:G142" si="111">((E119-C119)/C119)</f>
        <v>1.4717707158495333E-2</v>
      </c>
      <c r="H119" s="390">
        <v>1589219826.73</v>
      </c>
      <c r="I119" s="389">
        <v>3825.99</v>
      </c>
      <c r="J119" s="24">
        <f t="shared" ref="J119:J142" si="112">((H119-D119)/D119)</f>
        <v>9.9264793591576084E-3</v>
      </c>
      <c r="K119" s="24">
        <f t="shared" ref="K119:K142" si="113">((I119-E119)/E119)</f>
        <v>5.9627952956676773E-4</v>
      </c>
      <c r="L119" s="390">
        <v>1590920059.3499999</v>
      </c>
      <c r="M119" s="389">
        <v>3829.87</v>
      </c>
      <c r="N119" s="24">
        <f t="shared" ref="N119:N142" si="114">((L119-H119)/H119)</f>
        <v>1.069853642273207E-3</v>
      </c>
      <c r="O119" s="24">
        <f t="shared" ref="O119:O142" si="115">((M119-I119)/I119)</f>
        <v>1.0141166077277017E-3</v>
      </c>
      <c r="P119" s="390">
        <v>1603137478.3099999</v>
      </c>
      <c r="Q119" s="389">
        <v>3850.48</v>
      </c>
      <c r="R119" s="24">
        <f t="shared" ref="R119:R142" si="116">((P119-L119)/L119)</f>
        <v>7.6794675434488473E-3</v>
      </c>
      <c r="S119" s="24">
        <f t="shared" ref="S119:S142" si="117">((Q119-M119)/M119)</f>
        <v>5.3813837023189114E-3</v>
      </c>
      <c r="T119" s="390">
        <v>1675072537.7</v>
      </c>
      <c r="U119" s="389">
        <v>3881.69</v>
      </c>
      <c r="V119" s="24">
        <f t="shared" ref="V119:V142" si="118">((T119-P119)/P119)</f>
        <v>4.4871422671643117E-2</v>
      </c>
      <c r="W119" s="24">
        <f t="shared" ref="W119:W142" si="119">((U119-Q119)/Q119)</f>
        <v>8.1054829527747278E-3</v>
      </c>
      <c r="X119" s="390">
        <v>1679122736.01</v>
      </c>
      <c r="Y119" s="389">
        <v>3890.13</v>
      </c>
      <c r="Z119" s="24">
        <f t="shared" ref="Z119:Z142" si="120">((X119-T119)/T119)</f>
        <v>2.4179241309520648E-3</v>
      </c>
      <c r="AA119" s="24">
        <f t="shared" ref="AA119:AA142" si="121">((Y119-U119)/U119)</f>
        <v>2.1743106739590371E-3</v>
      </c>
      <c r="AB119" s="390">
        <v>1655284774.4100001</v>
      </c>
      <c r="AC119" s="389">
        <v>3840.8</v>
      </c>
      <c r="AD119" s="24">
        <f t="shared" ref="AD119:AD142" si="122">((AB119-X119)/X119)</f>
        <v>-1.4196676090900086E-2</v>
      </c>
      <c r="AE119" s="24">
        <f t="shared" ref="AE119:AE142" si="123">((AC119-Y119)/Y119)</f>
        <v>-1.2680810152874049E-2</v>
      </c>
      <c r="AF119" s="390">
        <v>1667769510.96</v>
      </c>
      <c r="AG119" s="389">
        <v>3853.29</v>
      </c>
      <c r="AH119" s="24">
        <f t="shared" ref="AH119:AH142" si="124">((AF119-AB119)/AB119)</f>
        <v>7.5423496566927213E-3</v>
      </c>
      <c r="AI119" s="24">
        <f t="shared" ref="AI119:AI142" si="125">((AG119-AC119)/AC119)</f>
        <v>3.2519266819412054E-3</v>
      </c>
      <c r="AJ119" s="25">
        <f t="shared" si="54"/>
        <v>9.6694933206198288E-3</v>
      </c>
      <c r="AK119" s="25">
        <f t="shared" si="55"/>
        <v>2.8200496442387047E-3</v>
      </c>
      <c r="AL119" s="26">
        <f t="shared" si="56"/>
        <v>5.9843680689578155E-2</v>
      </c>
      <c r="AM119" s="26">
        <f t="shared" si="57"/>
        <v>7.7359423178012783E-3</v>
      </c>
      <c r="AN119" s="27">
        <f t="shared" si="58"/>
        <v>1.6962189600292159E-2</v>
      </c>
      <c r="AO119" s="84">
        <f t="shared" si="59"/>
        <v>7.7931947459769554E-3</v>
      </c>
      <c r="AP119" s="31"/>
      <c r="AQ119" s="29"/>
      <c r="AR119" s="33"/>
      <c r="AS119" s="30"/>
      <c r="AT119" s="30"/>
    </row>
    <row r="120" spans="1:46" s="101" customFormat="1">
      <c r="A120" s="216" t="s">
        <v>226</v>
      </c>
      <c r="B120" s="390">
        <v>196962817.83000001</v>
      </c>
      <c r="C120" s="389">
        <v>150.49</v>
      </c>
      <c r="D120" s="390">
        <v>203347299.5</v>
      </c>
      <c r="E120" s="389">
        <v>150.49</v>
      </c>
      <c r="F120" s="24">
        <f t="shared" si="110"/>
        <v>3.241465440198199E-2</v>
      </c>
      <c r="G120" s="24">
        <f t="shared" si="111"/>
        <v>0</v>
      </c>
      <c r="H120" s="390">
        <v>203523727.40000001</v>
      </c>
      <c r="I120" s="389">
        <v>150.49</v>
      </c>
      <c r="J120" s="24">
        <f t="shared" si="112"/>
        <v>8.6761860341305369E-4</v>
      </c>
      <c r="K120" s="24">
        <f t="shared" si="113"/>
        <v>0</v>
      </c>
      <c r="L120" s="390">
        <v>204789699.62</v>
      </c>
      <c r="M120" s="389">
        <v>158.81</v>
      </c>
      <c r="N120" s="24">
        <f t="shared" si="114"/>
        <v>6.2202684481691486E-3</v>
      </c>
      <c r="O120" s="24">
        <f t="shared" si="115"/>
        <v>5.5286065519303561E-2</v>
      </c>
      <c r="P120" s="390">
        <v>206022819.99000001</v>
      </c>
      <c r="Q120" s="389">
        <v>156.65</v>
      </c>
      <c r="R120" s="24">
        <f t="shared" si="116"/>
        <v>6.0213984018148183E-3</v>
      </c>
      <c r="S120" s="24">
        <f t="shared" si="117"/>
        <v>-1.3601158617215519E-2</v>
      </c>
      <c r="T120" s="390">
        <v>203305133.88999999</v>
      </c>
      <c r="U120" s="389">
        <v>159.66</v>
      </c>
      <c r="V120" s="24">
        <f t="shared" si="118"/>
        <v>-1.3191189695063565E-2</v>
      </c>
      <c r="W120" s="24">
        <f t="shared" si="119"/>
        <v>1.9214810086179323E-2</v>
      </c>
      <c r="X120" s="390">
        <v>205436928.25999999</v>
      </c>
      <c r="Y120" s="389">
        <v>159.32</v>
      </c>
      <c r="Z120" s="24">
        <f t="shared" si="120"/>
        <v>1.0485688822562792E-2</v>
      </c>
      <c r="AA120" s="24">
        <f t="shared" si="121"/>
        <v>-2.1295252411374383E-3</v>
      </c>
      <c r="AB120" s="390">
        <v>200798978.24000001</v>
      </c>
      <c r="AC120" s="389">
        <v>155.84</v>
      </c>
      <c r="AD120" s="24">
        <f t="shared" si="122"/>
        <v>-2.2576028853635379E-2</v>
      </c>
      <c r="AE120" s="24">
        <f t="shared" si="123"/>
        <v>-2.184283203615359E-2</v>
      </c>
      <c r="AF120" s="390">
        <v>202521215.75999999</v>
      </c>
      <c r="AG120" s="389">
        <v>157.19</v>
      </c>
      <c r="AH120" s="24">
        <f t="shared" si="124"/>
        <v>8.5769237228962344E-3</v>
      </c>
      <c r="AI120" s="24">
        <f t="shared" si="125"/>
        <v>8.6627310061601279E-3</v>
      </c>
      <c r="AJ120" s="25">
        <f t="shared" si="54"/>
        <v>3.6024167315173864E-3</v>
      </c>
      <c r="AK120" s="25">
        <f t="shared" si="55"/>
        <v>5.6987613396420585E-3</v>
      </c>
      <c r="AL120" s="26">
        <f t="shared" si="56"/>
        <v>-4.0624278858446775E-3</v>
      </c>
      <c r="AM120" s="26">
        <f t="shared" si="57"/>
        <v>4.4521230646554513E-2</v>
      </c>
      <c r="AN120" s="27">
        <f t="shared" si="58"/>
        <v>1.6430764545574607E-2</v>
      </c>
      <c r="AO120" s="84">
        <f t="shared" si="59"/>
        <v>2.362695051398199E-2</v>
      </c>
      <c r="AP120" s="31"/>
      <c r="AQ120" s="29"/>
      <c r="AR120" s="33"/>
      <c r="AS120" s="30"/>
      <c r="AT120" s="30"/>
    </row>
    <row r="121" spans="1:46" s="112" customFormat="1">
      <c r="A121" s="216" t="s">
        <v>80</v>
      </c>
      <c r="B121" s="389">
        <v>1140276730.72</v>
      </c>
      <c r="C121" s="389">
        <v>1.4814000000000001</v>
      </c>
      <c r="D121" s="389">
        <v>1198519067.8099999</v>
      </c>
      <c r="E121" s="389">
        <v>1.5573999999999999</v>
      </c>
      <c r="F121" s="24">
        <f t="shared" si="110"/>
        <v>5.1077370537259151E-2</v>
      </c>
      <c r="G121" s="24">
        <f t="shared" si="111"/>
        <v>5.1302821655190928E-2</v>
      </c>
      <c r="H121" s="389">
        <v>1202742015.3299999</v>
      </c>
      <c r="I121" s="389">
        <v>1.5619000000000001</v>
      </c>
      <c r="J121" s="24">
        <f t="shared" si="112"/>
        <v>3.5234712850387797E-3</v>
      </c>
      <c r="K121" s="24">
        <f t="shared" si="113"/>
        <v>2.8894311031206952E-3</v>
      </c>
      <c r="L121" s="389">
        <v>1205754879.04</v>
      </c>
      <c r="M121" s="389">
        <v>1.5676000000000001</v>
      </c>
      <c r="N121" s="24">
        <f t="shared" si="114"/>
        <v>2.504995810904128E-3</v>
      </c>
      <c r="O121" s="24">
        <f t="shared" si="115"/>
        <v>3.6494013701261529E-3</v>
      </c>
      <c r="P121" s="389">
        <v>1221425282.1300001</v>
      </c>
      <c r="Q121" s="389">
        <v>1.5867</v>
      </c>
      <c r="R121" s="24">
        <f t="shared" si="116"/>
        <v>1.299634226027486E-2</v>
      </c>
      <c r="S121" s="24">
        <f t="shared" si="117"/>
        <v>1.2184230671089495E-2</v>
      </c>
      <c r="T121" s="389">
        <v>1247786221.75</v>
      </c>
      <c r="U121" s="389">
        <v>1.6195999999999999</v>
      </c>
      <c r="V121" s="24">
        <f t="shared" si="118"/>
        <v>2.1582113949721083E-2</v>
      </c>
      <c r="W121" s="24">
        <f t="shared" si="119"/>
        <v>2.0734858511375766E-2</v>
      </c>
      <c r="X121" s="389">
        <v>1247359013.1199999</v>
      </c>
      <c r="Y121" s="389">
        <v>1.6188</v>
      </c>
      <c r="Z121" s="24">
        <f t="shared" si="120"/>
        <v>-3.423732547719282E-4</v>
      </c>
      <c r="AA121" s="24">
        <f t="shared" si="121"/>
        <v>-4.9394912324025192E-4</v>
      </c>
      <c r="AB121" s="389">
        <v>1226351025.71</v>
      </c>
      <c r="AC121" s="389">
        <v>1.5911999999999999</v>
      </c>
      <c r="AD121" s="24">
        <f t="shared" si="122"/>
        <v>-1.6841973472779815E-2</v>
      </c>
      <c r="AE121" s="24">
        <f t="shared" si="123"/>
        <v>-1.7049666419570095E-2</v>
      </c>
      <c r="AF121" s="389">
        <v>1236999883.1600001</v>
      </c>
      <c r="AG121" s="389">
        <v>1.6063000000000001</v>
      </c>
      <c r="AH121" s="24">
        <f t="shared" si="124"/>
        <v>8.6833681602988474E-3</v>
      </c>
      <c r="AI121" s="24">
        <f t="shared" si="125"/>
        <v>9.4896933132227971E-3</v>
      </c>
      <c r="AJ121" s="25">
        <f t="shared" si="54"/>
        <v>1.0397914409493138E-2</v>
      </c>
      <c r="AK121" s="25">
        <f t="shared" si="55"/>
        <v>1.0338352635164437E-2</v>
      </c>
      <c r="AL121" s="26">
        <f t="shared" si="56"/>
        <v>3.2106969662413803E-2</v>
      </c>
      <c r="AM121" s="26">
        <f t="shared" si="57"/>
        <v>3.1398484653910472E-2</v>
      </c>
      <c r="AN121" s="27">
        <f t="shared" si="58"/>
        <v>1.9844097249625259E-2</v>
      </c>
      <c r="AO121" s="84">
        <f t="shared" si="59"/>
        <v>1.984933750257991E-2</v>
      </c>
      <c r="AP121" s="31"/>
      <c r="AQ121" s="29"/>
      <c r="AR121" s="33"/>
      <c r="AS121" s="30"/>
      <c r="AT121" s="30"/>
    </row>
    <row r="122" spans="1:46">
      <c r="A122" s="216" t="s">
        <v>8</v>
      </c>
      <c r="B122" s="389">
        <v>4870560924.9799995</v>
      </c>
      <c r="C122" s="389">
        <v>553.12210000000005</v>
      </c>
      <c r="D122" s="389">
        <v>4967832864.75</v>
      </c>
      <c r="E122" s="389">
        <v>563.84389999999996</v>
      </c>
      <c r="F122" s="24">
        <f t="shared" si="110"/>
        <v>1.9971403965221911E-2</v>
      </c>
      <c r="G122" s="24">
        <f t="shared" si="111"/>
        <v>1.9384146827617112E-2</v>
      </c>
      <c r="H122" s="389">
        <v>4986068493.75</v>
      </c>
      <c r="I122" s="389">
        <v>565.74350000000004</v>
      </c>
      <c r="J122" s="24">
        <f t="shared" si="112"/>
        <v>3.6707412460257327E-3</v>
      </c>
      <c r="K122" s="24">
        <f t="shared" si="113"/>
        <v>3.3690175596474093E-3</v>
      </c>
      <c r="L122" s="389">
        <v>4964161563.1000004</v>
      </c>
      <c r="M122" s="389">
        <v>563.55229999999995</v>
      </c>
      <c r="N122" s="24">
        <f t="shared" si="114"/>
        <v>-4.3936281014710877E-3</v>
      </c>
      <c r="O122" s="24">
        <f t="shared" si="115"/>
        <v>-3.8731333192517357E-3</v>
      </c>
      <c r="P122" s="389">
        <v>4999524961.9899998</v>
      </c>
      <c r="Q122" s="389">
        <v>567.43110000000001</v>
      </c>
      <c r="R122" s="24">
        <f t="shared" si="116"/>
        <v>7.1237405230453041E-3</v>
      </c>
      <c r="S122" s="24">
        <f t="shared" si="117"/>
        <v>6.882768467097144E-3</v>
      </c>
      <c r="T122" s="389">
        <v>5015746768.6999998</v>
      </c>
      <c r="U122" s="389">
        <v>568.64290000000005</v>
      </c>
      <c r="V122" s="24">
        <f t="shared" si="118"/>
        <v>3.2446696102789627E-3</v>
      </c>
      <c r="W122" s="24">
        <f t="shared" si="119"/>
        <v>2.1355896777600649E-3</v>
      </c>
      <c r="X122" s="389">
        <v>5022341517.5600004</v>
      </c>
      <c r="Y122" s="389">
        <v>569.66520000000003</v>
      </c>
      <c r="Z122" s="24">
        <f t="shared" si="120"/>
        <v>1.3148089734422263E-3</v>
      </c>
      <c r="AA122" s="24">
        <f t="shared" si="121"/>
        <v>1.797789086964724E-3</v>
      </c>
      <c r="AB122" s="389">
        <v>4974734439.8800001</v>
      </c>
      <c r="AC122" s="389">
        <v>564.27769999999998</v>
      </c>
      <c r="AD122" s="24">
        <f t="shared" si="122"/>
        <v>-9.4790602179377886E-3</v>
      </c>
      <c r="AE122" s="24">
        <f t="shared" si="123"/>
        <v>-9.4573093108022838E-3</v>
      </c>
      <c r="AF122" s="389">
        <v>4978111331.3400002</v>
      </c>
      <c r="AG122" s="389">
        <v>564.47370000000001</v>
      </c>
      <c r="AH122" s="24">
        <f t="shared" si="124"/>
        <v>6.7880838682144709E-4</v>
      </c>
      <c r="AI122" s="24">
        <f t="shared" si="125"/>
        <v>3.4734670535452029E-4</v>
      </c>
      <c r="AJ122" s="25">
        <f t="shared" si="54"/>
        <v>2.766435548178338E-3</v>
      </c>
      <c r="AK122" s="25">
        <f t="shared" si="55"/>
        <v>2.573276961798369E-3</v>
      </c>
      <c r="AL122" s="26">
        <f t="shared" si="56"/>
        <v>2.069004104975541E-3</v>
      </c>
      <c r="AM122" s="26">
        <f t="shared" si="57"/>
        <v>1.1169758154695754E-3</v>
      </c>
      <c r="AN122" s="27">
        <f t="shared" si="58"/>
        <v>8.6497531458673439E-3</v>
      </c>
      <c r="AO122" s="84">
        <f t="shared" si="59"/>
        <v>8.3993978905130967E-3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6" t="s">
        <v>16</v>
      </c>
      <c r="B123" s="389">
        <v>2600183971.02</v>
      </c>
      <c r="C123" s="389">
        <v>14.371</v>
      </c>
      <c r="D123" s="389">
        <v>2621902464.75</v>
      </c>
      <c r="E123" s="389">
        <v>14.436</v>
      </c>
      <c r="F123" s="24">
        <f t="shared" si="110"/>
        <v>8.3526757998897624E-3</v>
      </c>
      <c r="G123" s="24">
        <f t="shared" si="111"/>
        <v>4.5229977037088229E-3</v>
      </c>
      <c r="H123" s="389">
        <v>2629579933.9899998</v>
      </c>
      <c r="I123" s="389">
        <v>14.540699999999999</v>
      </c>
      <c r="J123" s="24">
        <f t="shared" si="112"/>
        <v>2.9282055084882126E-3</v>
      </c>
      <c r="K123" s="24">
        <f t="shared" si="113"/>
        <v>7.252701579384826E-3</v>
      </c>
      <c r="L123" s="389">
        <v>2632864636.8800001</v>
      </c>
      <c r="M123" s="389">
        <v>14.5677</v>
      </c>
      <c r="N123" s="24">
        <f t="shared" si="114"/>
        <v>1.2491359732184643E-3</v>
      </c>
      <c r="O123" s="24">
        <f t="shared" si="115"/>
        <v>1.8568569601189093E-3</v>
      </c>
      <c r="P123" s="389">
        <v>2642326137.0700002</v>
      </c>
      <c r="Q123" s="389">
        <v>14.5741</v>
      </c>
      <c r="R123" s="24">
        <f t="shared" si="116"/>
        <v>3.5936143687250607E-3</v>
      </c>
      <c r="S123" s="24">
        <f t="shared" si="117"/>
        <v>4.3932810258306358E-4</v>
      </c>
      <c r="T123" s="389">
        <v>2676783898.23</v>
      </c>
      <c r="U123" s="389">
        <v>14.7569</v>
      </c>
      <c r="V123" s="24">
        <f t="shared" si="118"/>
        <v>1.3040691940552454E-2</v>
      </c>
      <c r="W123" s="24">
        <f t="shared" si="119"/>
        <v>1.2542798526152579E-2</v>
      </c>
      <c r="X123" s="389">
        <v>2682135680.1500001</v>
      </c>
      <c r="Y123" s="389">
        <v>14.8344</v>
      </c>
      <c r="Z123" s="24">
        <f t="shared" si="120"/>
        <v>1.9993328275543258E-3</v>
      </c>
      <c r="AA123" s="24">
        <f t="shared" si="121"/>
        <v>5.2517805230096141E-3</v>
      </c>
      <c r="AB123" s="389">
        <v>2646892579.3899999</v>
      </c>
      <c r="AC123" s="389">
        <v>14.7103</v>
      </c>
      <c r="AD123" s="24">
        <f t="shared" si="122"/>
        <v>-1.3139939571598867E-2</v>
      </c>
      <c r="AE123" s="24">
        <f t="shared" si="123"/>
        <v>-8.3656905570835566E-3</v>
      </c>
      <c r="AF123" s="389">
        <v>2649688853.8699999</v>
      </c>
      <c r="AG123" s="389">
        <v>14.6698</v>
      </c>
      <c r="AH123" s="24">
        <f t="shared" si="124"/>
        <v>1.0564367068664514E-3</v>
      </c>
      <c r="AI123" s="24">
        <f t="shared" si="125"/>
        <v>-2.7531729468467507E-3</v>
      </c>
      <c r="AJ123" s="25">
        <f t="shared" si="54"/>
        <v>2.3850191942119832E-3</v>
      </c>
      <c r="AK123" s="25">
        <f t="shared" si="55"/>
        <v>2.5934499863784384E-3</v>
      </c>
      <c r="AL123" s="26">
        <f t="shared" si="56"/>
        <v>1.0597796635676657E-2</v>
      </c>
      <c r="AM123" s="26">
        <f t="shared" si="57"/>
        <v>1.6195622055971214E-2</v>
      </c>
      <c r="AN123" s="27">
        <f t="shared" si="58"/>
        <v>7.5132312002534627E-3</v>
      </c>
      <c r="AO123" s="84">
        <f t="shared" si="59"/>
        <v>6.384803230286085E-3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7" t="s">
        <v>136</v>
      </c>
      <c r="B124" s="389">
        <v>5048291896.7399998</v>
      </c>
      <c r="C124" s="389">
        <v>207.22</v>
      </c>
      <c r="D124" s="389">
        <v>5172019010.4799995</v>
      </c>
      <c r="E124" s="389">
        <v>212.34</v>
      </c>
      <c r="F124" s="24">
        <f t="shared" si="110"/>
        <v>2.4508708345469914E-2</v>
      </c>
      <c r="G124" s="24">
        <f t="shared" si="111"/>
        <v>2.4708039764501519E-2</v>
      </c>
      <c r="H124" s="389">
        <v>5149407304.21</v>
      </c>
      <c r="I124" s="389">
        <v>212.09</v>
      </c>
      <c r="J124" s="24">
        <f t="shared" si="112"/>
        <v>-4.3719302315365968E-3</v>
      </c>
      <c r="K124" s="24">
        <f t="shared" si="113"/>
        <v>-1.1773570688518413E-3</v>
      </c>
      <c r="L124" s="389">
        <v>5119736472.96</v>
      </c>
      <c r="M124" s="389">
        <v>210.87</v>
      </c>
      <c r="N124" s="24">
        <f t="shared" si="114"/>
        <v>-5.7619895838773565E-3</v>
      </c>
      <c r="O124" s="24">
        <f t="shared" si="115"/>
        <v>-5.7522749776038416E-3</v>
      </c>
      <c r="P124" s="389">
        <v>5152315012.2700005</v>
      </c>
      <c r="Q124" s="389">
        <v>212.23</v>
      </c>
      <c r="R124" s="24">
        <f t="shared" si="116"/>
        <v>6.3633234800393899E-3</v>
      </c>
      <c r="S124" s="24">
        <f t="shared" si="117"/>
        <v>6.4494712382035619E-3</v>
      </c>
      <c r="T124" s="389">
        <v>5159284196.9799995</v>
      </c>
      <c r="U124" s="389">
        <v>212.48</v>
      </c>
      <c r="V124" s="24">
        <f t="shared" si="118"/>
        <v>1.3526317186356605E-3</v>
      </c>
      <c r="W124" s="24">
        <f t="shared" si="119"/>
        <v>1.1779672996277623E-3</v>
      </c>
      <c r="X124" s="389">
        <v>5169957484.2600002</v>
      </c>
      <c r="Y124" s="389">
        <v>212.92</v>
      </c>
      <c r="Z124" s="24">
        <f t="shared" si="120"/>
        <v>2.0687535077537158E-3</v>
      </c>
      <c r="AA124" s="24">
        <f t="shared" si="121"/>
        <v>2.0707831325301098E-3</v>
      </c>
      <c r="AB124" s="389">
        <v>5105017764.8400002</v>
      </c>
      <c r="AC124" s="389">
        <v>210.66</v>
      </c>
      <c r="AD124" s="24">
        <f t="shared" si="122"/>
        <v>-1.2560977458269213E-2</v>
      </c>
      <c r="AE124" s="24">
        <f t="shared" si="123"/>
        <v>-1.0614315235769261E-2</v>
      </c>
      <c r="AF124" s="389">
        <v>5112204220.3800001</v>
      </c>
      <c r="AG124" s="389">
        <v>210.94</v>
      </c>
      <c r="AH124" s="24">
        <f t="shared" si="124"/>
        <v>1.4077239044094096E-3</v>
      </c>
      <c r="AI124" s="24">
        <f t="shared" si="125"/>
        <v>1.3291559859489278E-3</v>
      </c>
      <c r="AJ124" s="25">
        <f t="shared" si="54"/>
        <v>1.6257804603281153E-3</v>
      </c>
      <c r="AK124" s="25">
        <f t="shared" si="55"/>
        <v>2.2739337673233669E-3</v>
      </c>
      <c r="AL124" s="26">
        <f t="shared" si="56"/>
        <v>-1.156507545289324E-2</v>
      </c>
      <c r="AM124" s="26">
        <f t="shared" si="57"/>
        <v>-6.5931995855703389E-3</v>
      </c>
      <c r="AN124" s="27">
        <f t="shared" si="58"/>
        <v>1.0942752764715884E-2</v>
      </c>
      <c r="AO124" s="84">
        <f t="shared" si="59"/>
        <v>1.0456014266692839E-2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6" t="s">
        <v>134</v>
      </c>
      <c r="B125" s="389">
        <v>4358487953.5100002</v>
      </c>
      <c r="C125" s="389">
        <v>197.07220000000001</v>
      </c>
      <c r="D125" s="389">
        <v>4466328069.54</v>
      </c>
      <c r="E125" s="389">
        <v>201.97900000000001</v>
      </c>
      <c r="F125" s="24">
        <f t="shared" si="110"/>
        <v>2.47425522750736E-2</v>
      </c>
      <c r="G125" s="24">
        <f t="shared" si="111"/>
        <v>2.4898488980180888E-2</v>
      </c>
      <c r="H125" s="389">
        <v>4428331905.9099998</v>
      </c>
      <c r="I125" s="389">
        <v>200.25700000000001</v>
      </c>
      <c r="J125" s="24">
        <f t="shared" si="112"/>
        <v>-8.5072486925290847E-3</v>
      </c>
      <c r="K125" s="24">
        <f t="shared" si="113"/>
        <v>-8.5256388040341243E-3</v>
      </c>
      <c r="L125" s="389">
        <v>4378246882.5299997</v>
      </c>
      <c r="M125" s="389">
        <v>197.9828</v>
      </c>
      <c r="N125" s="24">
        <f t="shared" si="114"/>
        <v>-1.1310133125558459E-2</v>
      </c>
      <c r="O125" s="24">
        <f t="shared" si="115"/>
        <v>-1.1356407016983214E-2</v>
      </c>
      <c r="P125" s="389">
        <v>4410050524.1099997</v>
      </c>
      <c r="Q125" s="389">
        <v>199.42840000000001</v>
      </c>
      <c r="R125" s="24">
        <f t="shared" si="116"/>
        <v>7.264012841967005E-3</v>
      </c>
      <c r="S125" s="24">
        <f t="shared" si="117"/>
        <v>7.3016443852698979E-3</v>
      </c>
      <c r="T125" s="389">
        <v>4306244928.5799999</v>
      </c>
      <c r="U125" s="389">
        <v>194.71430000000001</v>
      </c>
      <c r="V125" s="24">
        <f t="shared" si="118"/>
        <v>-2.3538414120765416E-2</v>
      </c>
      <c r="W125" s="24">
        <f t="shared" si="119"/>
        <v>-2.3638057568530869E-2</v>
      </c>
      <c r="X125" s="389">
        <v>4428312204.2799997</v>
      </c>
      <c r="Y125" s="389">
        <v>200.2577</v>
      </c>
      <c r="Z125" s="24">
        <f t="shared" si="120"/>
        <v>2.8346570556136933E-2</v>
      </c>
      <c r="AA125" s="24">
        <f t="shared" si="121"/>
        <v>2.8469403633939527E-2</v>
      </c>
      <c r="AB125" s="389">
        <v>4354648635.3699999</v>
      </c>
      <c r="AC125" s="389">
        <v>196.9196</v>
      </c>
      <c r="AD125" s="24">
        <f t="shared" si="122"/>
        <v>-1.6634682811840461E-2</v>
      </c>
      <c r="AE125" s="24">
        <f t="shared" si="123"/>
        <v>-1.6669021965197827E-2</v>
      </c>
      <c r="AF125" s="389">
        <v>4366708962.9099998</v>
      </c>
      <c r="AG125" s="389">
        <v>197.46610000000001</v>
      </c>
      <c r="AH125" s="24">
        <f t="shared" si="124"/>
        <v>2.7695294270223565E-3</v>
      </c>
      <c r="AI125" s="24">
        <f t="shared" si="125"/>
        <v>2.7752443129074448E-3</v>
      </c>
      <c r="AJ125" s="25">
        <f t="shared" si="54"/>
        <v>3.9152329368830952E-4</v>
      </c>
      <c r="AK125" s="25">
        <f t="shared" si="55"/>
        <v>4.0695699469396547E-4</v>
      </c>
      <c r="AL125" s="26">
        <f t="shared" si="56"/>
        <v>-2.2304475864501412E-2</v>
      </c>
      <c r="AM125" s="26">
        <f t="shared" si="57"/>
        <v>-2.2343411938864941E-2</v>
      </c>
      <c r="AN125" s="27">
        <f t="shared" si="58"/>
        <v>1.8920864562260289E-2</v>
      </c>
      <c r="AO125" s="84">
        <f t="shared" si="59"/>
        <v>1.9005267438156826E-2</v>
      </c>
      <c r="AP125" s="31"/>
      <c r="AQ125" s="502" t="s">
        <v>90</v>
      </c>
      <c r="AR125" s="502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6" t="s">
        <v>10</v>
      </c>
      <c r="B126" s="390">
        <v>2295295653.5358701</v>
      </c>
      <c r="C126" s="389">
        <v>4331.0935922234903</v>
      </c>
      <c r="D126" s="390">
        <v>2316028075.9534702</v>
      </c>
      <c r="E126" s="389">
        <v>4371.0717596189597</v>
      </c>
      <c r="F126" s="24">
        <f t="shared" si="110"/>
        <v>9.0325716365393521E-3</v>
      </c>
      <c r="G126" s="24">
        <f t="shared" si="111"/>
        <v>9.2305018453654551E-3</v>
      </c>
      <c r="H126" s="390">
        <v>2323400695.4302802</v>
      </c>
      <c r="I126" s="389">
        <v>4386.2195132859497</v>
      </c>
      <c r="J126" s="24">
        <f t="shared" si="112"/>
        <v>3.1833031530823707E-3</v>
      </c>
      <c r="K126" s="24">
        <f t="shared" si="113"/>
        <v>3.4654552704736275E-3</v>
      </c>
      <c r="L126" s="390">
        <v>2328026888.6417899</v>
      </c>
      <c r="M126" s="389">
        <v>4366.2637246062104</v>
      </c>
      <c r="N126" s="24">
        <f t="shared" si="114"/>
        <v>1.9911301656268809E-3</v>
      </c>
      <c r="O126" s="24">
        <f t="shared" si="115"/>
        <v>-4.5496557158830686E-3</v>
      </c>
      <c r="P126" s="390">
        <v>2337170001.4313002</v>
      </c>
      <c r="Q126" s="389">
        <v>4413.4056739196603</v>
      </c>
      <c r="R126" s="24">
        <f t="shared" si="116"/>
        <v>3.9274085854070591E-3</v>
      </c>
      <c r="S126" s="24">
        <f t="shared" si="117"/>
        <v>1.0796862554998692E-2</v>
      </c>
      <c r="T126" s="390">
        <v>2361827204.5342498</v>
      </c>
      <c r="U126" s="389">
        <v>4429.2229342110804</v>
      </c>
      <c r="V126" s="24">
        <f t="shared" si="118"/>
        <v>1.0550025495727467E-2</v>
      </c>
      <c r="W126" s="24">
        <f t="shared" si="119"/>
        <v>3.5839126198821368E-3</v>
      </c>
      <c r="X126" s="390">
        <v>2364793165.11373</v>
      </c>
      <c r="Y126" s="389">
        <v>4465.3321889502704</v>
      </c>
      <c r="Z126" s="24">
        <f t="shared" si="120"/>
        <v>1.2557906750274121E-3</v>
      </c>
      <c r="AA126" s="24">
        <f t="shared" si="121"/>
        <v>8.1525033342268721E-3</v>
      </c>
      <c r="AB126" s="390">
        <v>2325537171.3157201</v>
      </c>
      <c r="AC126" s="389">
        <v>4390.9135297029998</v>
      </c>
      <c r="AD126" s="24">
        <f t="shared" si="122"/>
        <v>-1.6600180674203671E-2</v>
      </c>
      <c r="AE126" s="24">
        <f t="shared" si="123"/>
        <v>-1.6665873018680225E-2</v>
      </c>
      <c r="AF126" s="390">
        <v>2334194556.6071301</v>
      </c>
      <c r="AG126" s="389">
        <v>4406.1711271848098</v>
      </c>
      <c r="AH126" s="24">
        <f t="shared" si="124"/>
        <v>3.7227464682974202E-3</v>
      </c>
      <c r="AI126" s="24">
        <f t="shared" si="125"/>
        <v>3.4748116487828217E-3</v>
      </c>
      <c r="AJ126" s="25">
        <f t="shared" si="54"/>
        <v>2.1328494381880367E-3</v>
      </c>
      <c r="AK126" s="25">
        <f t="shared" si="55"/>
        <v>2.1860648173957884E-3</v>
      </c>
      <c r="AL126" s="26">
        <f t="shared" si="56"/>
        <v>7.8438084763635622E-3</v>
      </c>
      <c r="AM126" s="26">
        <f t="shared" si="57"/>
        <v>8.0299225215441986E-3</v>
      </c>
      <c r="AN126" s="27">
        <f t="shared" si="58"/>
        <v>8.2550626970225877E-3</v>
      </c>
      <c r="AO126" s="84">
        <f t="shared" si="59"/>
        <v>8.9871773526629482E-3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6" t="s">
        <v>170</v>
      </c>
      <c r="B127" s="389">
        <v>1912302860.9400001</v>
      </c>
      <c r="C127" s="389">
        <v>1.3361000000000001</v>
      </c>
      <c r="D127" s="389">
        <v>1906203341.72</v>
      </c>
      <c r="E127" s="389">
        <v>1.3318000000000001</v>
      </c>
      <c r="F127" s="24">
        <f t="shared" si="110"/>
        <v>-3.1896198790403868E-3</v>
      </c>
      <c r="G127" s="24">
        <f t="shared" si="111"/>
        <v>-3.218321981887561E-3</v>
      </c>
      <c r="H127" s="389">
        <v>1923471802</v>
      </c>
      <c r="I127" s="389">
        <v>1.3427</v>
      </c>
      <c r="J127" s="24">
        <f t="shared" si="112"/>
        <v>9.0590861436736034E-3</v>
      </c>
      <c r="K127" s="24">
        <f t="shared" si="113"/>
        <v>8.1844120738849002E-3</v>
      </c>
      <c r="L127" s="389">
        <v>1934562564.0599999</v>
      </c>
      <c r="M127" s="389">
        <v>1.3504</v>
      </c>
      <c r="N127" s="24">
        <f t="shared" si="114"/>
        <v>5.7660122953026496E-3</v>
      </c>
      <c r="O127" s="24">
        <f t="shared" si="115"/>
        <v>5.7347136367021968E-3</v>
      </c>
      <c r="P127" s="389">
        <v>1938242813.6400001</v>
      </c>
      <c r="Q127" s="389">
        <v>1.353</v>
      </c>
      <c r="R127" s="24">
        <f t="shared" si="116"/>
        <v>1.9023678263868338E-3</v>
      </c>
      <c r="S127" s="24">
        <f t="shared" si="117"/>
        <v>1.925355450236919E-3</v>
      </c>
      <c r="T127" s="389">
        <v>1945432296.27</v>
      </c>
      <c r="U127" s="389">
        <v>1.3581000000000001</v>
      </c>
      <c r="V127" s="24">
        <f t="shared" si="118"/>
        <v>3.7092786205140632E-3</v>
      </c>
      <c r="W127" s="24">
        <f t="shared" si="119"/>
        <v>3.7694013303770173E-3</v>
      </c>
      <c r="X127" s="389">
        <v>1943302488.6099999</v>
      </c>
      <c r="Y127" s="389">
        <v>1.3566</v>
      </c>
      <c r="Z127" s="24">
        <f t="shared" si="120"/>
        <v>-1.0947734671021916E-3</v>
      </c>
      <c r="AA127" s="24">
        <f t="shared" si="121"/>
        <v>-1.1044842058758977E-3</v>
      </c>
      <c r="AB127" s="389">
        <v>1921889025.23</v>
      </c>
      <c r="AC127" s="389">
        <v>1.3481000000000001</v>
      </c>
      <c r="AD127" s="24">
        <f t="shared" si="122"/>
        <v>-1.1019109739995465E-2</v>
      </c>
      <c r="AE127" s="24">
        <f t="shared" si="123"/>
        <v>-6.2656641604009666E-3</v>
      </c>
      <c r="AF127" s="389">
        <v>1923154245.5</v>
      </c>
      <c r="AG127" s="389">
        <v>1.3489</v>
      </c>
      <c r="AH127" s="24">
        <f t="shared" si="124"/>
        <v>6.5832118992852203E-4</v>
      </c>
      <c r="AI127" s="24">
        <f t="shared" si="125"/>
        <v>5.9342778725607283E-4</v>
      </c>
      <c r="AJ127" s="25">
        <f t="shared" si="54"/>
        <v>7.2394537370845365E-4</v>
      </c>
      <c r="AK127" s="25">
        <f t="shared" si="55"/>
        <v>1.2023549912865855E-3</v>
      </c>
      <c r="AL127" s="26">
        <f t="shared" si="56"/>
        <v>8.8924950497174561E-3</v>
      </c>
      <c r="AM127" s="26">
        <f t="shared" si="57"/>
        <v>1.2839765730590098E-2</v>
      </c>
      <c r="AN127" s="27">
        <f t="shared" si="58"/>
        <v>6.1146812288698877E-3</v>
      </c>
      <c r="AO127" s="84">
        <f t="shared" si="59"/>
        <v>4.742058729203605E-3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6" t="s">
        <v>31</v>
      </c>
      <c r="B128" s="390">
        <v>1157423183.53</v>
      </c>
      <c r="C128" s="389">
        <v>552.20000000000005</v>
      </c>
      <c r="D128" s="390">
        <v>1157423183.53</v>
      </c>
      <c r="E128" s="389">
        <v>552.20000000000005</v>
      </c>
      <c r="F128" s="24">
        <f t="shared" si="110"/>
        <v>0</v>
      </c>
      <c r="G128" s="24">
        <f t="shared" si="111"/>
        <v>0</v>
      </c>
      <c r="H128" s="390">
        <v>1153393675</v>
      </c>
      <c r="I128" s="389">
        <v>552.20000000000005</v>
      </c>
      <c r="J128" s="24">
        <f t="shared" si="112"/>
        <v>-3.4814479158007364E-3</v>
      </c>
      <c r="K128" s="24">
        <f t="shared" si="113"/>
        <v>0</v>
      </c>
      <c r="L128" s="390">
        <v>1154836540</v>
      </c>
      <c r="M128" s="389">
        <v>552.20000000000005</v>
      </c>
      <c r="N128" s="24">
        <f t="shared" si="114"/>
        <v>1.2509735671994214E-3</v>
      </c>
      <c r="O128" s="24">
        <f t="shared" si="115"/>
        <v>0</v>
      </c>
      <c r="P128" s="390">
        <v>1153986488</v>
      </c>
      <c r="Q128" s="389">
        <v>552.20000000000005</v>
      </c>
      <c r="R128" s="24">
        <f t="shared" si="116"/>
        <v>-7.3607993041162345E-4</v>
      </c>
      <c r="S128" s="24">
        <f t="shared" si="117"/>
        <v>0</v>
      </c>
      <c r="T128" s="390">
        <v>1168907944</v>
      </c>
      <c r="U128" s="389">
        <v>552.20000000000005</v>
      </c>
      <c r="V128" s="24">
        <f t="shared" si="118"/>
        <v>1.293035590551906E-2</v>
      </c>
      <c r="W128" s="24">
        <f t="shared" si="119"/>
        <v>0</v>
      </c>
      <c r="X128" s="390">
        <v>1183107178</v>
      </c>
      <c r="Y128" s="389">
        <v>552.20000000000005</v>
      </c>
      <c r="Z128" s="24">
        <f t="shared" si="120"/>
        <v>1.2147435623895461E-2</v>
      </c>
      <c r="AA128" s="24">
        <f t="shared" si="121"/>
        <v>0</v>
      </c>
      <c r="AB128" s="390">
        <v>1178392986</v>
      </c>
      <c r="AC128" s="389">
        <v>552.20000000000005</v>
      </c>
      <c r="AD128" s="24">
        <f t="shared" si="122"/>
        <v>-3.9845857481561149E-3</v>
      </c>
      <c r="AE128" s="24">
        <f t="shared" si="123"/>
        <v>0</v>
      </c>
      <c r="AF128" s="390">
        <v>1182012382</v>
      </c>
      <c r="AG128" s="389">
        <v>552.20000000000005</v>
      </c>
      <c r="AH128" s="24">
        <f t="shared" si="124"/>
        <v>3.071467704747523E-3</v>
      </c>
      <c r="AI128" s="24">
        <f t="shared" si="125"/>
        <v>0</v>
      </c>
      <c r="AJ128" s="25">
        <f t="shared" si="54"/>
        <v>2.6497649008741238E-3</v>
      </c>
      <c r="AK128" s="25">
        <f t="shared" si="55"/>
        <v>0</v>
      </c>
      <c r="AL128" s="26">
        <f t="shared" si="56"/>
        <v>2.1244777899649431E-2</v>
      </c>
      <c r="AM128" s="26">
        <f t="shared" si="57"/>
        <v>0</v>
      </c>
      <c r="AN128" s="27">
        <f t="shared" si="58"/>
        <v>6.5260174839612576E-3</v>
      </c>
      <c r="AO128" s="84">
        <f t="shared" si="59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6" t="s">
        <v>56</v>
      </c>
      <c r="B129" s="390">
        <v>2220554097.4200001</v>
      </c>
      <c r="C129" s="389">
        <v>3.19</v>
      </c>
      <c r="D129" s="390">
        <v>2237071708.4200001</v>
      </c>
      <c r="E129" s="389">
        <v>3.21</v>
      </c>
      <c r="F129" s="24">
        <f t="shared" si="110"/>
        <v>7.4385087123936102E-3</v>
      </c>
      <c r="G129" s="24">
        <f t="shared" si="111"/>
        <v>6.269592476489034E-3</v>
      </c>
      <c r="H129" s="390">
        <v>2253799556.8099999</v>
      </c>
      <c r="I129" s="389">
        <v>3.24</v>
      </c>
      <c r="J129" s="24">
        <f t="shared" si="112"/>
        <v>7.4775646784315279E-3</v>
      </c>
      <c r="K129" s="24">
        <f t="shared" si="113"/>
        <v>9.3457943925234419E-3</v>
      </c>
      <c r="L129" s="390">
        <v>2262518547</v>
      </c>
      <c r="M129" s="389">
        <v>3.25</v>
      </c>
      <c r="N129" s="24">
        <f t="shared" si="114"/>
        <v>3.8685739216049934E-3</v>
      </c>
      <c r="O129" s="24">
        <f t="shared" si="115"/>
        <v>3.0864197530863537E-3</v>
      </c>
      <c r="P129" s="390">
        <v>2260957983.6300001</v>
      </c>
      <c r="Q129" s="389">
        <v>3.25</v>
      </c>
      <c r="R129" s="24">
        <f t="shared" si="116"/>
        <v>-6.8974611150442232E-4</v>
      </c>
      <c r="S129" s="24">
        <f t="shared" si="117"/>
        <v>0</v>
      </c>
      <c r="T129" s="390">
        <v>2103889187.6400001</v>
      </c>
      <c r="U129" s="389">
        <v>3.02</v>
      </c>
      <c r="V129" s="24">
        <f t="shared" si="118"/>
        <v>-6.9470019844342187E-2</v>
      </c>
      <c r="W129" s="24">
        <f t="shared" si="119"/>
        <v>-7.0769230769230765E-2</v>
      </c>
      <c r="X129" s="390">
        <v>2292045097.4499998</v>
      </c>
      <c r="Y129" s="389">
        <v>3.29</v>
      </c>
      <c r="Z129" s="24">
        <f t="shared" si="120"/>
        <v>8.9432423967661628E-2</v>
      </c>
      <c r="AA129" s="24">
        <f t="shared" si="121"/>
        <v>8.9403973509933773E-2</v>
      </c>
      <c r="AB129" s="390">
        <v>2261786761.5700002</v>
      </c>
      <c r="AC129" s="389">
        <v>3.25</v>
      </c>
      <c r="AD129" s="24">
        <f t="shared" si="122"/>
        <v>-1.3201457472919427E-2</v>
      </c>
      <c r="AE129" s="24">
        <f t="shared" si="123"/>
        <v>-1.2158054711246211E-2</v>
      </c>
      <c r="AF129" s="390">
        <v>2261786761.5700002</v>
      </c>
      <c r="AG129" s="389">
        <v>3.24</v>
      </c>
      <c r="AH129" s="24">
        <f t="shared" si="124"/>
        <v>0</v>
      </c>
      <c r="AI129" s="24">
        <f t="shared" si="125"/>
        <v>-3.0769230769230114E-3</v>
      </c>
      <c r="AJ129" s="25">
        <f t="shared" si="54"/>
        <v>3.1069809814157157E-3</v>
      </c>
      <c r="AK129" s="25">
        <f t="shared" si="55"/>
        <v>2.7626964468290775E-3</v>
      </c>
      <c r="AL129" s="26">
        <f t="shared" si="56"/>
        <v>1.1047948555683917E-2</v>
      </c>
      <c r="AM129" s="26">
        <f t="shared" si="57"/>
        <v>9.3457943925234419E-3</v>
      </c>
      <c r="AN129" s="27">
        <f t="shared" si="58"/>
        <v>4.317403476633494E-2</v>
      </c>
      <c r="AO129" s="84">
        <f t="shared" si="59"/>
        <v>4.3480304193473249E-2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7" t="s">
        <v>52</v>
      </c>
      <c r="B130" s="389">
        <v>158513199.77000001</v>
      </c>
      <c r="C130" s="389">
        <v>1.6572929999999999</v>
      </c>
      <c r="D130" s="389">
        <v>159451728.80000001</v>
      </c>
      <c r="E130" s="389">
        <v>1.668471</v>
      </c>
      <c r="F130" s="24">
        <f t="shared" si="110"/>
        <v>5.9208257190050484E-3</v>
      </c>
      <c r="G130" s="24">
        <f t="shared" si="111"/>
        <v>6.744733731452515E-3</v>
      </c>
      <c r="H130" s="389">
        <v>159574293.08000001</v>
      </c>
      <c r="I130" s="389">
        <v>1.668658</v>
      </c>
      <c r="J130" s="24">
        <f t="shared" si="112"/>
        <v>7.6866071583164407E-4</v>
      </c>
      <c r="K130" s="24">
        <f t="shared" si="113"/>
        <v>1.1207866363870706E-4</v>
      </c>
      <c r="L130" s="389">
        <v>159163947.28999999</v>
      </c>
      <c r="M130" s="389">
        <v>1.668658</v>
      </c>
      <c r="N130" s="24">
        <f t="shared" si="114"/>
        <v>-2.5715031041641601E-3</v>
      </c>
      <c r="O130" s="24">
        <f t="shared" si="115"/>
        <v>0</v>
      </c>
      <c r="P130" s="389">
        <v>163819773.25</v>
      </c>
      <c r="Q130" s="389">
        <v>1.71</v>
      </c>
      <c r="R130" s="24">
        <f t="shared" si="116"/>
        <v>2.9251762344879507E-2</v>
      </c>
      <c r="S130" s="24">
        <f t="shared" si="117"/>
        <v>2.477559811537175E-2</v>
      </c>
      <c r="T130" s="389">
        <v>165565654.47999999</v>
      </c>
      <c r="U130" s="389">
        <v>1.73</v>
      </c>
      <c r="V130" s="24">
        <f t="shared" si="118"/>
        <v>1.0657329059634681E-2</v>
      </c>
      <c r="W130" s="24">
        <f t="shared" si="119"/>
        <v>1.169590643274855E-2</v>
      </c>
      <c r="X130" s="389">
        <v>166719289.95000002</v>
      </c>
      <c r="Y130" s="389">
        <v>1.74</v>
      </c>
      <c r="Z130" s="24">
        <f t="shared" si="120"/>
        <v>6.9678428996841589E-3</v>
      </c>
      <c r="AA130" s="24">
        <f t="shared" si="121"/>
        <v>5.7803468208092535E-3</v>
      </c>
      <c r="AB130" s="389">
        <v>163707654.36000001</v>
      </c>
      <c r="AC130" s="389">
        <v>1.7</v>
      </c>
      <c r="AD130" s="24">
        <f t="shared" si="122"/>
        <v>-1.8064109983333115E-2</v>
      </c>
      <c r="AE130" s="24">
        <f t="shared" si="123"/>
        <v>-2.2988505747126457E-2</v>
      </c>
      <c r="AF130" s="389">
        <v>164236785.69999999</v>
      </c>
      <c r="AG130" s="389">
        <v>1.71</v>
      </c>
      <c r="AH130" s="24">
        <f t="shared" si="124"/>
        <v>3.2321722650572693E-3</v>
      </c>
      <c r="AI130" s="24">
        <f t="shared" si="125"/>
        <v>5.8823529411764757E-3</v>
      </c>
      <c r="AJ130" s="25">
        <f t="shared" si="54"/>
        <v>4.5203724895743784E-3</v>
      </c>
      <c r="AK130" s="25">
        <f t="shared" si="55"/>
        <v>4.0003138697588493E-3</v>
      </c>
      <c r="AL130" s="26">
        <f t="shared" si="56"/>
        <v>3.0009438818953564E-2</v>
      </c>
      <c r="AM130" s="26">
        <f t="shared" si="57"/>
        <v>2.4890453594938074E-2</v>
      </c>
      <c r="AN130" s="27">
        <f t="shared" si="58"/>
        <v>1.327373136166691E-2</v>
      </c>
      <c r="AO130" s="84">
        <f t="shared" si="59"/>
        <v>1.3440845410907809E-2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6" t="s">
        <v>227</v>
      </c>
      <c r="B131" s="389">
        <v>661733060.10000002</v>
      </c>
      <c r="C131" s="389">
        <v>1.2059</v>
      </c>
      <c r="D131" s="389">
        <v>667911648.46000004</v>
      </c>
      <c r="E131" s="389">
        <v>1.2177</v>
      </c>
      <c r="F131" s="24">
        <f t="shared" si="110"/>
        <v>9.3369800189011497E-3</v>
      </c>
      <c r="G131" s="24">
        <f t="shared" si="111"/>
        <v>9.7852226552782428E-3</v>
      </c>
      <c r="H131" s="389">
        <v>669852946.48000002</v>
      </c>
      <c r="I131" s="389">
        <v>1.2262999999999999</v>
      </c>
      <c r="J131" s="24">
        <f t="shared" si="112"/>
        <v>2.9065191847993973E-3</v>
      </c>
      <c r="K131" s="24">
        <f t="shared" si="113"/>
        <v>7.0624948673728679E-3</v>
      </c>
      <c r="L131" s="389">
        <v>675713196.88</v>
      </c>
      <c r="M131" s="389">
        <v>1.2397</v>
      </c>
      <c r="N131" s="24">
        <f t="shared" si="114"/>
        <v>8.7485625476381289E-3</v>
      </c>
      <c r="O131" s="24">
        <f t="shared" si="115"/>
        <v>1.0927179319905471E-2</v>
      </c>
      <c r="P131" s="389">
        <v>687598259.32000005</v>
      </c>
      <c r="Q131" s="389">
        <v>1.2605999999999999</v>
      </c>
      <c r="R131" s="24">
        <f t="shared" si="116"/>
        <v>1.7588915674397767E-2</v>
      </c>
      <c r="S131" s="24">
        <f t="shared" si="117"/>
        <v>1.6858917480035426E-2</v>
      </c>
      <c r="T131" s="389">
        <v>711682814.33000004</v>
      </c>
      <c r="U131" s="389">
        <v>1.3053999999999999</v>
      </c>
      <c r="V131" s="24">
        <f t="shared" si="118"/>
        <v>3.5027073852424234E-2</v>
      </c>
      <c r="W131" s="24">
        <f t="shared" si="119"/>
        <v>3.5538632397271105E-2</v>
      </c>
      <c r="X131" s="389">
        <v>713934689.12</v>
      </c>
      <c r="Y131" s="389">
        <v>1.3097000000000001</v>
      </c>
      <c r="Z131" s="24">
        <f t="shared" si="120"/>
        <v>3.1641550767527605E-3</v>
      </c>
      <c r="AA131" s="24">
        <f t="shared" si="121"/>
        <v>3.2940094990042846E-3</v>
      </c>
      <c r="AB131" s="389">
        <v>702054403.38999999</v>
      </c>
      <c r="AC131" s="389">
        <v>1.2876000000000001</v>
      </c>
      <c r="AD131" s="24">
        <f t="shared" si="122"/>
        <v>-1.6640577788205987E-2</v>
      </c>
      <c r="AE131" s="24">
        <f t="shared" si="123"/>
        <v>-1.6874093303810039E-2</v>
      </c>
      <c r="AF131" s="389">
        <v>706025762.05999994</v>
      </c>
      <c r="AG131" s="389">
        <v>1.2937000000000001</v>
      </c>
      <c r="AH131" s="24">
        <f t="shared" si="124"/>
        <v>5.6567676960980725E-3</v>
      </c>
      <c r="AI131" s="24">
        <f t="shared" si="125"/>
        <v>4.7374961168064568E-3</v>
      </c>
      <c r="AJ131" s="25">
        <f t="shared" si="54"/>
        <v>8.2235495328506908E-3</v>
      </c>
      <c r="AK131" s="25">
        <f t="shared" si="55"/>
        <v>8.9162323789829766E-3</v>
      </c>
      <c r="AL131" s="26">
        <f t="shared" si="56"/>
        <v>5.7064603810817481E-2</v>
      </c>
      <c r="AM131" s="26">
        <f t="shared" si="57"/>
        <v>6.2412745339574666E-2</v>
      </c>
      <c r="AN131" s="27">
        <f t="shared" si="58"/>
        <v>1.4571674310347369E-2</v>
      </c>
      <c r="AO131" s="84">
        <f t="shared" si="59"/>
        <v>1.4610592779092053E-2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6" t="s">
        <v>116</v>
      </c>
      <c r="B132" s="389">
        <v>124323995.27</v>
      </c>
      <c r="C132" s="389">
        <v>1.2177</v>
      </c>
      <c r="D132" s="389">
        <v>125482699.62</v>
      </c>
      <c r="E132" s="389">
        <v>1.2354000000000001</v>
      </c>
      <c r="F132" s="24">
        <f t="shared" si="110"/>
        <v>9.320037917729387E-3</v>
      </c>
      <c r="G132" s="24">
        <f t="shared" si="111"/>
        <v>1.4535599901453601E-2</v>
      </c>
      <c r="H132" s="389">
        <v>125139728.48</v>
      </c>
      <c r="I132" s="389">
        <v>1.2319</v>
      </c>
      <c r="J132" s="24">
        <f t="shared" si="112"/>
        <v>-2.7332145470142268E-3</v>
      </c>
      <c r="K132" s="24">
        <f t="shared" si="113"/>
        <v>-2.8330904970050659E-3</v>
      </c>
      <c r="L132" s="389">
        <v>125258376.77</v>
      </c>
      <c r="M132" s="389">
        <v>1.2330000000000001</v>
      </c>
      <c r="N132" s="24">
        <f t="shared" si="114"/>
        <v>9.481264778271769E-4</v>
      </c>
      <c r="O132" s="24">
        <f t="shared" si="115"/>
        <v>8.9292962091087013E-4</v>
      </c>
      <c r="P132" s="389">
        <v>125813741.69</v>
      </c>
      <c r="Q132" s="389">
        <v>1.238</v>
      </c>
      <c r="R132" s="24">
        <f t="shared" si="116"/>
        <v>4.433754726198994E-3</v>
      </c>
      <c r="S132" s="24">
        <f t="shared" si="117"/>
        <v>4.0551500405514133E-3</v>
      </c>
      <c r="T132" s="389">
        <v>126382849.18000001</v>
      </c>
      <c r="U132" s="389">
        <v>1.2435</v>
      </c>
      <c r="V132" s="24">
        <f t="shared" si="118"/>
        <v>4.5234128033666424E-3</v>
      </c>
      <c r="W132" s="24">
        <f t="shared" si="119"/>
        <v>4.4426494345719391E-3</v>
      </c>
      <c r="X132" s="389">
        <v>127284397.86</v>
      </c>
      <c r="Y132" s="389">
        <v>1.2521</v>
      </c>
      <c r="Z132" s="24">
        <f t="shared" si="120"/>
        <v>7.1334732983900926E-3</v>
      </c>
      <c r="AA132" s="24">
        <f t="shared" si="121"/>
        <v>6.9159630076396786E-3</v>
      </c>
      <c r="AB132" s="389">
        <v>124997954.26000001</v>
      </c>
      <c r="AC132" s="389">
        <v>1.2289000000000001</v>
      </c>
      <c r="AD132" s="24">
        <f t="shared" si="122"/>
        <v>-1.7963266813854527E-2</v>
      </c>
      <c r="AE132" s="24">
        <f t="shared" si="123"/>
        <v>-1.852887149588682E-2</v>
      </c>
      <c r="AF132" s="389">
        <v>126336048.79000001</v>
      </c>
      <c r="AG132" s="389">
        <v>1.2421</v>
      </c>
      <c r="AH132" s="24">
        <f t="shared" si="124"/>
        <v>1.0704931436051496E-2</v>
      </c>
      <c r="AI132" s="24">
        <f t="shared" si="125"/>
        <v>1.0741313369680101E-2</v>
      </c>
      <c r="AJ132" s="25">
        <f t="shared" si="54"/>
        <v>2.0459069123368789E-3</v>
      </c>
      <c r="AK132" s="25">
        <f t="shared" si="55"/>
        <v>2.5277054227394648E-3</v>
      </c>
      <c r="AL132" s="26">
        <f t="shared" si="56"/>
        <v>6.8005324445856207E-3</v>
      </c>
      <c r="AM132" s="26">
        <f t="shared" si="57"/>
        <v>5.4233446656952629E-3</v>
      </c>
      <c r="AN132" s="27">
        <f t="shared" si="58"/>
        <v>9.1809354405994626E-3</v>
      </c>
      <c r="AO132" s="84">
        <f t="shared" si="59"/>
        <v>1.0083224002015632E-2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6" t="s">
        <v>118</v>
      </c>
      <c r="B133" s="389">
        <v>170022963.21000001</v>
      </c>
      <c r="C133" s="389">
        <v>114.74</v>
      </c>
      <c r="D133" s="389">
        <v>170786218.60334182</v>
      </c>
      <c r="E133" s="389">
        <v>115.28</v>
      </c>
      <c r="F133" s="24">
        <f t="shared" si="110"/>
        <v>4.4891312263455373E-3</v>
      </c>
      <c r="G133" s="24">
        <f t="shared" si="111"/>
        <v>4.7062924873627881E-3</v>
      </c>
      <c r="H133" s="389">
        <v>170488132.43697751</v>
      </c>
      <c r="I133" s="389">
        <v>115.12</v>
      </c>
      <c r="J133" s="24">
        <f t="shared" si="112"/>
        <v>-1.7453759958034427E-3</v>
      </c>
      <c r="K133" s="24">
        <f t="shared" si="113"/>
        <v>-1.3879250520471599E-3</v>
      </c>
      <c r="L133" s="389">
        <v>170303624.25</v>
      </c>
      <c r="M133" s="389">
        <v>115.04</v>
      </c>
      <c r="N133" s="24">
        <f t="shared" si="114"/>
        <v>-1.0822347827976286E-3</v>
      </c>
      <c r="O133" s="24">
        <f t="shared" si="115"/>
        <v>-6.9492703266155567E-4</v>
      </c>
      <c r="P133" s="389">
        <v>171575379.60998401</v>
      </c>
      <c r="Q133" s="389">
        <v>115.92</v>
      </c>
      <c r="R133" s="24">
        <f t="shared" si="116"/>
        <v>7.4675766037551631E-3</v>
      </c>
      <c r="S133" s="24">
        <f t="shared" si="117"/>
        <v>7.6495132127955097E-3</v>
      </c>
      <c r="T133" s="389">
        <v>172845585.55000001</v>
      </c>
      <c r="U133" s="389">
        <v>116.79</v>
      </c>
      <c r="V133" s="24">
        <f t="shared" si="118"/>
        <v>7.4031946943866056E-3</v>
      </c>
      <c r="W133" s="24">
        <f t="shared" si="119"/>
        <v>7.505175983436892E-3</v>
      </c>
      <c r="X133" s="389">
        <v>171846788.96000001</v>
      </c>
      <c r="Y133" s="389">
        <v>116.18</v>
      </c>
      <c r="Z133" s="24">
        <f t="shared" si="120"/>
        <v>-5.7785484472849093E-3</v>
      </c>
      <c r="AA133" s="24">
        <f t="shared" si="121"/>
        <v>-5.2230499186574145E-3</v>
      </c>
      <c r="AB133" s="389">
        <v>133896010.43000001</v>
      </c>
      <c r="AC133" s="389">
        <v>91.43</v>
      </c>
      <c r="AD133" s="24">
        <f t="shared" si="122"/>
        <v>-0.22084077776299696</v>
      </c>
      <c r="AE133" s="24">
        <f t="shared" si="123"/>
        <v>-0.21303150284042002</v>
      </c>
      <c r="AF133" s="389">
        <v>133856820.12057699</v>
      </c>
      <c r="AG133" s="389">
        <v>91.44</v>
      </c>
      <c r="AH133" s="24">
        <f t="shared" si="124"/>
        <v>-2.9269213695880036E-4</v>
      </c>
      <c r="AI133" s="24">
        <f t="shared" si="125"/>
        <v>1.0937329104222798E-4</v>
      </c>
      <c r="AJ133" s="25">
        <f t="shared" si="54"/>
        <v>-2.6297465825169303E-2</v>
      </c>
      <c r="AK133" s="25">
        <f t="shared" si="55"/>
        <v>-2.504588123364359E-2</v>
      </c>
      <c r="AL133" s="26">
        <f t="shared" si="56"/>
        <v>-0.21623172399252488</v>
      </c>
      <c r="AM133" s="26">
        <f t="shared" si="57"/>
        <v>-0.20680083275503125</v>
      </c>
      <c r="AN133" s="27">
        <f t="shared" si="58"/>
        <v>7.8746078908165873E-2</v>
      </c>
      <c r="AO133" s="84">
        <f t="shared" si="59"/>
        <v>7.609274909017448E-2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6" t="s">
        <v>124</v>
      </c>
      <c r="B134" s="389">
        <v>169737621.38999999</v>
      </c>
      <c r="C134" s="389">
        <v>3.8915000000000002</v>
      </c>
      <c r="D134" s="389">
        <v>172282013.24000001</v>
      </c>
      <c r="E134" s="389">
        <v>3.9502000000000002</v>
      </c>
      <c r="F134" s="24">
        <f t="shared" si="110"/>
        <v>1.4990146728602181E-2</v>
      </c>
      <c r="G134" s="24">
        <f t="shared" si="111"/>
        <v>1.5084157779776428E-2</v>
      </c>
      <c r="H134" s="389">
        <v>172629512.06999999</v>
      </c>
      <c r="I134" s="389">
        <v>3.9582000000000002</v>
      </c>
      <c r="J134" s="24">
        <f t="shared" si="112"/>
        <v>2.0170348805704686E-3</v>
      </c>
      <c r="K134" s="24">
        <f t="shared" si="113"/>
        <v>2.0252139132195856E-3</v>
      </c>
      <c r="L134" s="389">
        <v>172095083.38999999</v>
      </c>
      <c r="M134" s="389">
        <v>3.9458000000000002</v>
      </c>
      <c r="N134" s="24">
        <f t="shared" si="114"/>
        <v>-3.0958129556857015E-3</v>
      </c>
      <c r="O134" s="24">
        <f t="shared" si="115"/>
        <v>-3.1327371027234517E-3</v>
      </c>
      <c r="P134" s="389">
        <v>173564966.40000001</v>
      </c>
      <c r="Q134" s="389">
        <v>3.9796999999999998</v>
      </c>
      <c r="R134" s="24">
        <f t="shared" si="116"/>
        <v>8.5411098390823139E-3</v>
      </c>
      <c r="S134" s="24">
        <f t="shared" si="117"/>
        <v>8.5914136550254948E-3</v>
      </c>
      <c r="T134" s="389">
        <v>174477142.22</v>
      </c>
      <c r="U134" s="389">
        <v>4.0007000000000001</v>
      </c>
      <c r="V134" s="24">
        <f t="shared" si="118"/>
        <v>5.2555296089982868E-3</v>
      </c>
      <c r="W134" s="24">
        <f t="shared" si="119"/>
        <v>5.2767796567581354E-3</v>
      </c>
      <c r="X134" s="389">
        <v>174650630.81</v>
      </c>
      <c r="Y134" s="389">
        <v>3.9956</v>
      </c>
      <c r="Z134" s="24">
        <f t="shared" si="120"/>
        <v>9.9433420213434066E-4</v>
      </c>
      <c r="AA134" s="24">
        <f t="shared" si="121"/>
        <v>-1.2747769140400691E-3</v>
      </c>
      <c r="AB134" s="389">
        <v>172001524.68000001</v>
      </c>
      <c r="AC134" s="389">
        <v>3.92</v>
      </c>
      <c r="AD134" s="24">
        <f t="shared" si="122"/>
        <v>-1.5168030700569992E-2</v>
      </c>
      <c r="AE134" s="24">
        <f t="shared" si="123"/>
        <v>-1.8920812894183629E-2</v>
      </c>
      <c r="AF134" s="389">
        <v>172731006.96000001</v>
      </c>
      <c r="AG134" s="389">
        <v>3.94</v>
      </c>
      <c r="AH134" s="24">
        <f t="shared" si="124"/>
        <v>4.2411384512850425E-3</v>
      </c>
      <c r="AI134" s="24">
        <f t="shared" si="125"/>
        <v>5.1020408163265354E-3</v>
      </c>
      <c r="AJ134" s="25">
        <f t="shared" ref="AJ134:AJ169" si="126">AVERAGE(F134,J134,N134,R134,V134,Z134,AD134,AH134)</f>
        <v>2.2219312568021177E-3</v>
      </c>
      <c r="AK134" s="25">
        <f t="shared" ref="AK134:AK169" si="127">AVERAGE(G134,K134,O134,S134,W134,AA134,AE134,AI134)</f>
        <v>1.5939098637698791E-3</v>
      </c>
      <c r="AL134" s="26">
        <f t="shared" ref="AL134:AL169" si="128">((AF134-D134)/D134)</f>
        <v>2.606155521148464E-3</v>
      </c>
      <c r="AM134" s="26">
        <f t="shared" ref="AM134:AM169" si="129">((AG134-E134)/E134)</f>
        <v>-2.582147739355022E-3</v>
      </c>
      <c r="AN134" s="27">
        <f t="shared" ref="AN134:AN169" si="130">STDEV(F134,J134,N134,R134,V134,Z134,AD134,AH134)</f>
        <v>8.8517747888503043E-3</v>
      </c>
      <c r="AO134" s="84">
        <f t="shared" ref="AO134:AO169" si="131">STDEV(G134,K134,O134,S134,W134,AA134,AE134,AI134)</f>
        <v>1.0060053885329674E-2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6" t="s">
        <v>166</v>
      </c>
      <c r="B135" s="389">
        <v>357629848.88</v>
      </c>
      <c r="C135" s="389">
        <v>141.9</v>
      </c>
      <c r="D135" s="389">
        <v>361352560.54000002</v>
      </c>
      <c r="E135" s="389">
        <v>143.27000000000001</v>
      </c>
      <c r="F135" s="24">
        <f t="shared" si="110"/>
        <v>1.0409398632856158E-2</v>
      </c>
      <c r="G135" s="24">
        <f t="shared" si="111"/>
        <v>9.6546863988724776E-3</v>
      </c>
      <c r="H135" s="389">
        <v>363229135.31999999</v>
      </c>
      <c r="I135" s="389">
        <v>143.63999999999999</v>
      </c>
      <c r="J135" s="24">
        <f t="shared" si="112"/>
        <v>5.193196298915511E-3</v>
      </c>
      <c r="K135" s="24">
        <f t="shared" si="113"/>
        <v>2.5825364696026808E-3</v>
      </c>
      <c r="L135" s="389">
        <v>364429939.25</v>
      </c>
      <c r="M135" s="389">
        <v>143.97</v>
      </c>
      <c r="N135" s="24">
        <f t="shared" si="114"/>
        <v>3.3059130263383609E-3</v>
      </c>
      <c r="O135" s="24">
        <f t="shared" si="115"/>
        <v>2.2974101921471217E-3</v>
      </c>
      <c r="P135" s="389">
        <v>360351850.42000002</v>
      </c>
      <c r="Q135" s="389">
        <v>144.59</v>
      </c>
      <c r="R135" s="24">
        <f t="shared" si="116"/>
        <v>-1.119032327144341E-2</v>
      </c>
      <c r="S135" s="24">
        <f t="shared" si="117"/>
        <v>4.3064527332083392E-3</v>
      </c>
      <c r="T135" s="389">
        <v>364215727.44999999</v>
      </c>
      <c r="U135" s="389">
        <v>146.47999999999999</v>
      </c>
      <c r="V135" s="24">
        <f t="shared" si="118"/>
        <v>1.0722511971276175E-2</v>
      </c>
      <c r="W135" s="24">
        <f t="shared" si="119"/>
        <v>1.3071443391659079E-2</v>
      </c>
      <c r="X135" s="389">
        <v>363235022.02999997</v>
      </c>
      <c r="Y135" s="389">
        <v>146.21</v>
      </c>
      <c r="Z135" s="24">
        <f t="shared" si="120"/>
        <v>-2.6926498393308653E-3</v>
      </c>
      <c r="AA135" s="24">
        <f t="shared" si="121"/>
        <v>-1.8432550518840923E-3</v>
      </c>
      <c r="AB135" s="389">
        <v>359800628.67000002</v>
      </c>
      <c r="AC135" s="389">
        <v>144.66</v>
      </c>
      <c r="AD135" s="24">
        <f t="shared" si="122"/>
        <v>-9.4550171423621824E-3</v>
      </c>
      <c r="AE135" s="24">
        <f t="shared" si="123"/>
        <v>-1.06011900690788E-2</v>
      </c>
      <c r="AF135" s="389">
        <v>359009872.99000001</v>
      </c>
      <c r="AG135" s="389">
        <v>144.57</v>
      </c>
      <c r="AH135" s="24">
        <f t="shared" si="124"/>
        <v>-2.1977606957581724E-3</v>
      </c>
      <c r="AI135" s="24">
        <f t="shared" si="125"/>
        <v>-6.2214848610537405E-4</v>
      </c>
      <c r="AJ135" s="25">
        <f t="shared" si="126"/>
        <v>5.1190862256144689E-4</v>
      </c>
      <c r="AK135" s="25">
        <f t="shared" si="127"/>
        <v>2.3557419473026796E-3</v>
      </c>
      <c r="AL135" s="26">
        <f t="shared" si="128"/>
        <v>-6.4831076511513673E-3</v>
      </c>
      <c r="AM135" s="26">
        <f t="shared" si="129"/>
        <v>9.0737767850909666E-3</v>
      </c>
      <c r="AN135" s="27">
        <f t="shared" si="130"/>
        <v>8.3309319271244325E-3</v>
      </c>
      <c r="AO135" s="84">
        <f t="shared" si="131"/>
        <v>7.2342681827597555E-3</v>
      </c>
      <c r="AP135" s="31"/>
      <c r="AQ135" s="85"/>
      <c r="AR135" s="86"/>
      <c r="AS135" s="30"/>
      <c r="AT135" s="30"/>
    </row>
    <row r="136" spans="1:46" s="94" customFormat="1">
      <c r="A136" s="216" t="s">
        <v>139</v>
      </c>
      <c r="B136" s="390">
        <v>159508902.55000001</v>
      </c>
      <c r="C136" s="389">
        <v>152.54738</v>
      </c>
      <c r="D136" s="390">
        <v>159508902.55000001</v>
      </c>
      <c r="E136" s="389">
        <v>152.54738</v>
      </c>
      <c r="F136" s="24">
        <f t="shared" si="110"/>
        <v>0</v>
      </c>
      <c r="G136" s="24">
        <f t="shared" si="111"/>
        <v>0</v>
      </c>
      <c r="H136" s="390">
        <v>162994676.41</v>
      </c>
      <c r="I136" s="389">
        <v>154.393483</v>
      </c>
      <c r="J136" s="24">
        <f t="shared" si="112"/>
        <v>2.1853161825292643E-2</v>
      </c>
      <c r="K136" s="24">
        <f t="shared" si="113"/>
        <v>1.2101833541815004E-2</v>
      </c>
      <c r="L136" s="390">
        <v>162472511.31</v>
      </c>
      <c r="M136" s="389">
        <v>153.949882</v>
      </c>
      <c r="N136" s="24">
        <f t="shared" si="114"/>
        <v>-3.203571500007336E-3</v>
      </c>
      <c r="O136" s="24">
        <f t="shared" si="115"/>
        <v>-2.8731847444623099E-3</v>
      </c>
      <c r="P136" s="390">
        <v>162812831.5</v>
      </c>
      <c r="Q136" s="389">
        <v>154.34860599999999</v>
      </c>
      <c r="R136" s="24">
        <f t="shared" si="116"/>
        <v>2.0946324227774232E-3</v>
      </c>
      <c r="S136" s="24">
        <f t="shared" si="117"/>
        <v>2.5899597636585858E-3</v>
      </c>
      <c r="T136" s="390">
        <v>166231550.88</v>
      </c>
      <c r="U136" s="389">
        <v>155.204553</v>
      </c>
      <c r="V136" s="24">
        <f t="shared" si="118"/>
        <v>2.099784979171003E-2</v>
      </c>
      <c r="W136" s="24">
        <f t="shared" si="119"/>
        <v>5.5455440912761771E-3</v>
      </c>
      <c r="X136" s="390">
        <v>165662743.53</v>
      </c>
      <c r="Y136" s="389">
        <v>154.750654</v>
      </c>
      <c r="Z136" s="24">
        <f t="shared" si="120"/>
        <v>-3.4217773159717878E-3</v>
      </c>
      <c r="AA136" s="24">
        <f t="shared" si="121"/>
        <v>-2.9245211640151233E-3</v>
      </c>
      <c r="AB136" s="390">
        <v>163101395.71000001</v>
      </c>
      <c r="AC136" s="389">
        <v>151.7449</v>
      </c>
      <c r="AD136" s="24">
        <f t="shared" si="122"/>
        <v>-1.5461218167838421E-2</v>
      </c>
      <c r="AE136" s="24">
        <f t="shared" si="123"/>
        <v>-1.9423207090291172E-2</v>
      </c>
      <c r="AF136" s="390">
        <v>162888158.83000001</v>
      </c>
      <c r="AG136" s="389">
        <v>151.64154199999999</v>
      </c>
      <c r="AH136" s="24">
        <f t="shared" si="124"/>
        <v>-1.3073884442971774E-3</v>
      </c>
      <c r="AI136" s="24">
        <f t="shared" si="125"/>
        <v>-6.8112997537323676E-4</v>
      </c>
      <c r="AJ136" s="25">
        <f t="shared" si="126"/>
        <v>2.6939610764581709E-3</v>
      </c>
      <c r="AK136" s="25">
        <f t="shared" si="127"/>
        <v>-7.0808819717400981E-4</v>
      </c>
      <c r="AL136" s="26">
        <f t="shared" si="128"/>
        <v>2.1185377279746075E-2</v>
      </c>
      <c r="AM136" s="26">
        <f t="shared" si="129"/>
        <v>-5.9380764192739138E-3</v>
      </c>
      <c r="AN136" s="27">
        <f t="shared" si="130"/>
        <v>1.2691551827360023E-2</v>
      </c>
      <c r="AO136" s="84">
        <f t="shared" si="131"/>
        <v>9.0588326360039554E-3</v>
      </c>
      <c r="AP136" s="31"/>
      <c r="AQ136" s="85"/>
      <c r="AR136" s="86"/>
      <c r="AS136" s="30"/>
      <c r="AT136" s="30"/>
    </row>
    <row r="137" spans="1:46" s="114" customFormat="1">
      <c r="A137" s="216" t="s">
        <v>153</v>
      </c>
      <c r="B137" s="390">
        <v>1038050562.1</v>
      </c>
      <c r="C137" s="389">
        <v>2.4081000000000001</v>
      </c>
      <c r="D137" s="390">
        <v>1041534961.77</v>
      </c>
      <c r="E137" s="389">
        <v>2.4165999999999999</v>
      </c>
      <c r="F137" s="24">
        <f t="shared" si="110"/>
        <v>3.3566762518301005E-3</v>
      </c>
      <c r="G137" s="24">
        <f t="shared" si="111"/>
        <v>3.5297537477678377E-3</v>
      </c>
      <c r="H137" s="390">
        <v>1040667012.08</v>
      </c>
      <c r="I137" s="389">
        <v>2.4144000000000001</v>
      </c>
      <c r="J137" s="24">
        <f t="shared" si="112"/>
        <v>-8.333370667893197E-4</v>
      </c>
      <c r="K137" s="24">
        <f t="shared" si="113"/>
        <v>-9.1036994123965811E-4</v>
      </c>
      <c r="L137" s="390">
        <v>1041397974.67</v>
      </c>
      <c r="M137" s="389">
        <v>2.4161000000000001</v>
      </c>
      <c r="N137" s="24">
        <f t="shared" si="114"/>
        <v>7.0239815571642458E-4</v>
      </c>
      <c r="O137" s="24">
        <f t="shared" si="115"/>
        <v>7.0410868124587259E-4</v>
      </c>
      <c r="P137" s="390">
        <v>1047335615.63</v>
      </c>
      <c r="Q137" s="389">
        <v>2.4298999999999999</v>
      </c>
      <c r="R137" s="24">
        <f t="shared" si="116"/>
        <v>5.7016060184691339E-3</v>
      </c>
      <c r="S137" s="24">
        <f t="shared" si="117"/>
        <v>5.7116841190347298E-3</v>
      </c>
      <c r="T137" s="390">
        <v>1047335615.63</v>
      </c>
      <c r="U137" s="389">
        <v>2.4298999999999999</v>
      </c>
      <c r="V137" s="24">
        <f t="shared" si="118"/>
        <v>0</v>
      </c>
      <c r="W137" s="24">
        <f t="shared" si="119"/>
        <v>0</v>
      </c>
      <c r="X137" s="390">
        <v>1061474205.71</v>
      </c>
      <c r="Y137" s="389">
        <v>2.4632000000000001</v>
      </c>
      <c r="Z137" s="24">
        <f t="shared" si="120"/>
        <v>1.3499579188372496E-2</v>
      </c>
      <c r="AA137" s="24">
        <f t="shared" si="121"/>
        <v>1.3704267665336067E-2</v>
      </c>
      <c r="AB137" s="390">
        <v>1047028699.78</v>
      </c>
      <c r="AC137" s="389">
        <v>2.4295</v>
      </c>
      <c r="AD137" s="24">
        <f t="shared" si="122"/>
        <v>-1.3608909055249007E-2</v>
      </c>
      <c r="AE137" s="24">
        <f t="shared" si="123"/>
        <v>-1.3681390061708373E-2</v>
      </c>
      <c r="AF137" s="390">
        <v>1050592113.49</v>
      </c>
      <c r="AG137" s="389">
        <v>2.4378000000000002</v>
      </c>
      <c r="AH137" s="24">
        <f t="shared" si="124"/>
        <v>3.4033581990147712E-3</v>
      </c>
      <c r="AI137" s="24">
        <f t="shared" si="125"/>
        <v>3.416340810866514E-3</v>
      </c>
      <c r="AJ137" s="25">
        <f t="shared" si="126"/>
        <v>1.5276714614205749E-3</v>
      </c>
      <c r="AK137" s="25">
        <f t="shared" si="127"/>
        <v>1.5592993776628737E-3</v>
      </c>
      <c r="AL137" s="26">
        <f t="shared" si="128"/>
        <v>8.6959651403426437E-3</v>
      </c>
      <c r="AM137" s="26">
        <f t="shared" si="129"/>
        <v>8.7726557974014442E-3</v>
      </c>
      <c r="AN137" s="27">
        <f t="shared" si="130"/>
        <v>7.609365007308435E-3</v>
      </c>
      <c r="AO137" s="84">
        <f t="shared" si="131"/>
        <v>7.6868579301370404E-3</v>
      </c>
      <c r="AP137" s="31"/>
      <c r="AQ137" s="85"/>
      <c r="AR137" s="86"/>
      <c r="AS137" s="30"/>
      <c r="AT137" s="30"/>
    </row>
    <row r="138" spans="1:46" s="114" customFormat="1">
      <c r="A138" s="216" t="s">
        <v>172</v>
      </c>
      <c r="B138" s="390">
        <v>19547733.41</v>
      </c>
      <c r="C138" s="389">
        <v>1.24</v>
      </c>
      <c r="D138" s="390">
        <v>19966931.129999999</v>
      </c>
      <c r="E138" s="389">
        <v>1.25</v>
      </c>
      <c r="F138" s="24">
        <f t="shared" si="110"/>
        <v>2.1444824891337557E-2</v>
      </c>
      <c r="G138" s="24">
        <f t="shared" si="111"/>
        <v>8.0645161290322648E-3</v>
      </c>
      <c r="H138" s="390">
        <v>20012283.399999999</v>
      </c>
      <c r="I138" s="389">
        <v>1.25</v>
      </c>
      <c r="J138" s="24">
        <f t="shared" si="112"/>
        <v>2.2713690804421357E-3</v>
      </c>
      <c r="K138" s="24">
        <f t="shared" si="113"/>
        <v>0</v>
      </c>
      <c r="L138" s="390">
        <v>20028426.649999999</v>
      </c>
      <c r="M138" s="389">
        <v>1.26</v>
      </c>
      <c r="N138" s="24">
        <f t="shared" si="114"/>
        <v>8.0666706928605666E-4</v>
      </c>
      <c r="O138" s="24">
        <f t="shared" si="115"/>
        <v>8.0000000000000071E-3</v>
      </c>
      <c r="P138" s="390">
        <v>20098016.48</v>
      </c>
      <c r="Q138" s="389">
        <v>1.26</v>
      </c>
      <c r="R138" s="24">
        <f t="shared" si="116"/>
        <v>3.4745530048912723E-3</v>
      </c>
      <c r="S138" s="24">
        <f t="shared" si="117"/>
        <v>0</v>
      </c>
      <c r="T138" s="390">
        <v>20492581.82</v>
      </c>
      <c r="U138" s="389">
        <v>1.28</v>
      </c>
      <c r="V138" s="24">
        <f t="shared" si="118"/>
        <v>1.9632053759764845E-2</v>
      </c>
      <c r="W138" s="24">
        <f t="shared" si="119"/>
        <v>1.5873015873015886E-2</v>
      </c>
      <c r="X138" s="390">
        <v>20482246.43</v>
      </c>
      <c r="Y138" s="389">
        <v>1.28</v>
      </c>
      <c r="Z138" s="24">
        <f t="shared" si="120"/>
        <v>-5.0434787040418887E-4</v>
      </c>
      <c r="AA138" s="24">
        <f t="shared" si="121"/>
        <v>0</v>
      </c>
      <c r="AB138" s="390">
        <v>20111025.239999998</v>
      </c>
      <c r="AC138" s="389">
        <v>1.26</v>
      </c>
      <c r="AD138" s="24">
        <f t="shared" si="122"/>
        <v>-1.8124046660051896E-2</v>
      </c>
      <c r="AE138" s="24">
        <f t="shared" si="123"/>
        <v>-1.5625000000000014E-2</v>
      </c>
      <c r="AF138" s="390">
        <v>20158363.510000002</v>
      </c>
      <c r="AG138" s="389">
        <v>1.26</v>
      </c>
      <c r="AH138" s="24">
        <f t="shared" si="124"/>
        <v>2.3538466803696024E-3</v>
      </c>
      <c r="AI138" s="24">
        <f t="shared" si="125"/>
        <v>0</v>
      </c>
      <c r="AJ138" s="25">
        <f t="shared" si="126"/>
        <v>3.9193649944544232E-3</v>
      </c>
      <c r="AK138" s="25">
        <f t="shared" si="127"/>
        <v>2.039066500256018E-3</v>
      </c>
      <c r="AL138" s="26">
        <f t="shared" si="128"/>
        <v>9.5874713421722855E-3</v>
      </c>
      <c r="AM138" s="26">
        <f t="shared" si="129"/>
        <v>8.0000000000000071E-3</v>
      </c>
      <c r="AN138" s="27">
        <f t="shared" si="130"/>
        <v>1.2389886716403911E-2</v>
      </c>
      <c r="AO138" s="84">
        <f t="shared" si="131"/>
        <v>9.1952420985817115E-3</v>
      </c>
      <c r="AP138" s="31"/>
      <c r="AQ138" s="85"/>
      <c r="AR138" s="86"/>
      <c r="AS138" s="30"/>
      <c r="AT138" s="30"/>
    </row>
    <row r="139" spans="1:46" ht="15.75" customHeight="1" thickBot="1">
      <c r="A139" s="216" t="s">
        <v>228</v>
      </c>
      <c r="B139" s="390">
        <v>223066127.62</v>
      </c>
      <c r="C139" s="389">
        <v>1.1121000000000001</v>
      </c>
      <c r="D139" s="390">
        <v>226052034.74000001</v>
      </c>
      <c r="E139" s="389">
        <v>1.1265000000000001</v>
      </c>
      <c r="F139" s="24">
        <f t="shared" si="110"/>
        <v>1.338574866501735E-2</v>
      </c>
      <c r="G139" s="24">
        <f t="shared" si="111"/>
        <v>1.2948475856487696E-2</v>
      </c>
      <c r="H139" s="390">
        <v>225812191.31</v>
      </c>
      <c r="I139" s="389">
        <v>1.1254</v>
      </c>
      <c r="J139" s="24">
        <f t="shared" si="112"/>
        <v>-1.0610098257946216E-3</v>
      </c>
      <c r="K139" s="24">
        <f t="shared" si="113"/>
        <v>-9.7647581003115921E-4</v>
      </c>
      <c r="L139" s="390">
        <v>226270020.63999999</v>
      </c>
      <c r="M139" s="389">
        <v>1.1276999999999999</v>
      </c>
      <c r="N139" s="24">
        <f t="shared" si="114"/>
        <v>2.0274783542198792E-3</v>
      </c>
      <c r="O139" s="24">
        <f t="shared" si="115"/>
        <v>2.0437177892304683E-3</v>
      </c>
      <c r="P139" s="390">
        <v>227074580.55000001</v>
      </c>
      <c r="Q139" s="389">
        <v>1.1315999999999999</v>
      </c>
      <c r="R139" s="24">
        <f t="shared" si="116"/>
        <v>3.5557512556208086E-3</v>
      </c>
      <c r="S139" s="24">
        <f t="shared" si="117"/>
        <v>3.4583665868582201E-3</v>
      </c>
      <c r="T139" s="390">
        <v>233704167.53999999</v>
      </c>
      <c r="U139" s="389">
        <v>1.163</v>
      </c>
      <c r="V139" s="24">
        <f t="shared" si="118"/>
        <v>2.9195636842936711E-2</v>
      </c>
      <c r="W139" s="24">
        <f t="shared" si="119"/>
        <v>2.774832096147057E-2</v>
      </c>
      <c r="X139" s="390">
        <v>232725122.63</v>
      </c>
      <c r="Y139" s="389">
        <v>1.1575</v>
      </c>
      <c r="Z139" s="24">
        <f t="shared" si="120"/>
        <v>-4.1892488281469204E-3</v>
      </c>
      <c r="AA139" s="24">
        <f t="shared" si="121"/>
        <v>-4.7291487532244714E-3</v>
      </c>
      <c r="AB139" s="390">
        <v>228405189.28</v>
      </c>
      <c r="AC139" s="389">
        <v>1.1359999999999999</v>
      </c>
      <c r="AD139" s="24">
        <f t="shared" si="122"/>
        <v>-1.8562385105573998E-2</v>
      </c>
      <c r="AE139" s="24">
        <f t="shared" si="123"/>
        <v>-1.8574514038876954E-2</v>
      </c>
      <c r="AF139" s="390">
        <v>232107835.13</v>
      </c>
      <c r="AG139" s="389">
        <v>1.1345000000000001</v>
      </c>
      <c r="AH139" s="24">
        <f t="shared" si="124"/>
        <v>1.6210865706124355E-2</v>
      </c>
      <c r="AI139" s="24">
        <f t="shared" si="125"/>
        <v>-1.3204225352111223E-3</v>
      </c>
      <c r="AJ139" s="25">
        <f t="shared" si="126"/>
        <v>5.0703546330504454E-3</v>
      </c>
      <c r="AK139" s="25">
        <f t="shared" si="127"/>
        <v>2.5747900070879062E-3</v>
      </c>
      <c r="AL139" s="26">
        <f t="shared" si="128"/>
        <v>2.6789408894130201E-2</v>
      </c>
      <c r="AM139" s="26">
        <f t="shared" si="129"/>
        <v>7.1016422547714219E-3</v>
      </c>
      <c r="AN139" s="27">
        <f t="shared" si="130"/>
        <v>1.4484865993568029E-2</v>
      </c>
      <c r="AO139" s="84">
        <f t="shared" si="131"/>
        <v>1.3473823917840416E-2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28" customFormat="1" ht="15.75" customHeight="1">
      <c r="A140" s="216" t="s">
        <v>196</v>
      </c>
      <c r="B140" s="389">
        <v>3432190.96652241</v>
      </c>
      <c r="C140" s="389">
        <v>102.99</v>
      </c>
      <c r="D140" s="389">
        <v>3432190.96652241</v>
      </c>
      <c r="E140" s="389">
        <v>102.99</v>
      </c>
      <c r="F140" s="24">
        <f t="shared" si="110"/>
        <v>0</v>
      </c>
      <c r="G140" s="24">
        <f t="shared" si="111"/>
        <v>0</v>
      </c>
      <c r="H140" s="389">
        <v>3734808.11</v>
      </c>
      <c r="I140" s="389">
        <v>102.99</v>
      </c>
      <c r="J140" s="24">
        <f t="shared" si="112"/>
        <v>8.8170252305106958E-2</v>
      </c>
      <c r="K140" s="24">
        <f t="shared" si="113"/>
        <v>0</v>
      </c>
      <c r="L140" s="389">
        <v>3734808.11</v>
      </c>
      <c r="M140" s="389">
        <v>102.99</v>
      </c>
      <c r="N140" s="24">
        <f t="shared" si="114"/>
        <v>0</v>
      </c>
      <c r="O140" s="24">
        <f t="shared" si="115"/>
        <v>0</v>
      </c>
      <c r="P140" s="389">
        <v>3734808.11</v>
      </c>
      <c r="Q140" s="389">
        <v>102.99</v>
      </c>
      <c r="R140" s="24">
        <f t="shared" si="116"/>
        <v>0</v>
      </c>
      <c r="S140" s="24">
        <f t="shared" si="117"/>
        <v>0</v>
      </c>
      <c r="T140" s="389">
        <v>3734808.11</v>
      </c>
      <c r="U140" s="389">
        <v>102.99</v>
      </c>
      <c r="V140" s="24">
        <f t="shared" si="118"/>
        <v>0</v>
      </c>
      <c r="W140" s="24">
        <f t="shared" si="119"/>
        <v>0</v>
      </c>
      <c r="X140" s="389">
        <v>3734808.11</v>
      </c>
      <c r="Y140" s="389">
        <v>102.99</v>
      </c>
      <c r="Z140" s="24">
        <f t="shared" si="120"/>
        <v>0</v>
      </c>
      <c r="AA140" s="24">
        <f t="shared" si="121"/>
        <v>0</v>
      </c>
      <c r="AB140" s="389">
        <v>3734808.11</v>
      </c>
      <c r="AC140" s="389">
        <v>102.99</v>
      </c>
      <c r="AD140" s="24">
        <f t="shared" si="122"/>
        <v>0</v>
      </c>
      <c r="AE140" s="24">
        <f t="shared" si="123"/>
        <v>0</v>
      </c>
      <c r="AF140" s="389">
        <v>3734808.11</v>
      </c>
      <c r="AG140" s="389">
        <v>102.99</v>
      </c>
      <c r="AH140" s="24">
        <f t="shared" si="124"/>
        <v>0</v>
      </c>
      <c r="AI140" s="24">
        <f t="shared" si="125"/>
        <v>0</v>
      </c>
      <c r="AJ140" s="25">
        <f t="shared" si="126"/>
        <v>1.102128153813837E-2</v>
      </c>
      <c r="AK140" s="25">
        <f t="shared" si="127"/>
        <v>0</v>
      </c>
      <c r="AL140" s="26">
        <f t="shared" si="128"/>
        <v>8.8170252305106958E-2</v>
      </c>
      <c r="AM140" s="26">
        <f t="shared" si="129"/>
        <v>0</v>
      </c>
      <c r="AN140" s="27">
        <f t="shared" si="130"/>
        <v>3.1172891651934976E-2</v>
      </c>
      <c r="AO140" s="84">
        <f t="shared" si="131"/>
        <v>0</v>
      </c>
      <c r="AP140" s="31"/>
      <c r="AQ140" s="401"/>
      <c r="AR140" s="402"/>
      <c r="AS140" s="30"/>
      <c r="AT140" s="30"/>
    </row>
    <row r="141" spans="1:46" s="328" customFormat="1" ht="15.75" customHeight="1">
      <c r="A141" s="216" t="s">
        <v>254</v>
      </c>
      <c r="B141" s="384">
        <v>164751448.41999999</v>
      </c>
      <c r="C141" s="389">
        <v>105.97</v>
      </c>
      <c r="D141" s="384">
        <v>165484066.63</v>
      </c>
      <c r="E141" s="389">
        <v>106.51</v>
      </c>
      <c r="F141" s="24">
        <f t="shared" si="110"/>
        <v>4.446808917469112E-3</v>
      </c>
      <c r="G141" s="24">
        <f t="shared" si="111"/>
        <v>5.0957818250448829E-3</v>
      </c>
      <c r="H141" s="384">
        <v>165720772.75999999</v>
      </c>
      <c r="I141" s="389">
        <v>106.73</v>
      </c>
      <c r="J141" s="24">
        <f t="shared" si="112"/>
        <v>1.4303862288400136E-3</v>
      </c>
      <c r="K141" s="24">
        <f t="shared" si="113"/>
        <v>2.0655337526992662E-3</v>
      </c>
      <c r="L141" s="384">
        <v>165846325.65000001</v>
      </c>
      <c r="M141" s="389">
        <v>106.88</v>
      </c>
      <c r="N141" s="24">
        <f t="shared" si="114"/>
        <v>7.5761709234752127E-4</v>
      </c>
      <c r="O141" s="24">
        <f t="shared" si="115"/>
        <v>1.4054155345262951E-3</v>
      </c>
      <c r="P141" s="384">
        <v>166118790.66999999</v>
      </c>
      <c r="Q141" s="389">
        <v>106.66</v>
      </c>
      <c r="R141" s="24">
        <f t="shared" si="116"/>
        <v>1.6428764335423846E-3</v>
      </c>
      <c r="S141" s="24">
        <f t="shared" si="117"/>
        <v>-2.0583832335329235E-3</v>
      </c>
      <c r="T141" s="384">
        <v>166484823.90000001</v>
      </c>
      <c r="U141" s="389">
        <v>106.96</v>
      </c>
      <c r="V141" s="24">
        <f t="shared" si="118"/>
        <v>2.2034426600609871E-3</v>
      </c>
      <c r="W141" s="24">
        <f t="shared" si="119"/>
        <v>2.8126757922369884E-3</v>
      </c>
      <c r="X141" s="384">
        <v>166721008.94</v>
      </c>
      <c r="Y141" s="389">
        <v>107.21</v>
      </c>
      <c r="Z141" s="24">
        <f t="shared" si="120"/>
        <v>1.4186580762571936E-3</v>
      </c>
      <c r="AA141" s="24">
        <f t="shared" si="121"/>
        <v>2.3373223635003741E-3</v>
      </c>
      <c r="AB141" s="384">
        <v>166525710.12</v>
      </c>
      <c r="AC141" s="389">
        <v>107.16</v>
      </c>
      <c r="AD141" s="24">
        <f t="shared" si="122"/>
        <v>-1.1714109771869094E-3</v>
      </c>
      <c r="AE141" s="24">
        <f t="shared" si="123"/>
        <v>-4.6637440537260666E-4</v>
      </c>
      <c r="AF141" s="384">
        <v>166714824.49000001</v>
      </c>
      <c r="AG141" s="389">
        <v>107.35</v>
      </c>
      <c r="AH141" s="24">
        <f t="shared" si="124"/>
        <v>1.1356466810063573E-3</v>
      </c>
      <c r="AI141" s="24">
        <f t="shared" si="125"/>
        <v>1.7730496453900498E-3</v>
      </c>
      <c r="AJ141" s="25">
        <f t="shared" si="126"/>
        <v>1.4830031390420824E-3</v>
      </c>
      <c r="AK141" s="25">
        <f t="shared" si="127"/>
        <v>1.6206276593115408E-3</v>
      </c>
      <c r="AL141" s="26">
        <f t="shared" si="128"/>
        <v>7.4373194052078893E-3</v>
      </c>
      <c r="AM141" s="26">
        <f t="shared" si="129"/>
        <v>7.8865834193971376E-3</v>
      </c>
      <c r="AN141" s="27">
        <f t="shared" si="130"/>
        <v>1.5596886968895802E-3</v>
      </c>
      <c r="AO141" s="84">
        <f t="shared" si="131"/>
        <v>2.1437455687894061E-3</v>
      </c>
      <c r="AP141" s="31"/>
      <c r="AQ141" s="401"/>
      <c r="AR141" s="402"/>
      <c r="AS141" s="30"/>
      <c r="AT141" s="30"/>
    </row>
    <row r="142" spans="1:46">
      <c r="A142" s="216" t="s">
        <v>268</v>
      </c>
      <c r="B142" s="384">
        <v>56110328.299999997</v>
      </c>
      <c r="C142" s="389">
        <v>104.8262</v>
      </c>
      <c r="D142" s="384">
        <v>57023122.920000002</v>
      </c>
      <c r="E142" s="389">
        <v>106.3028</v>
      </c>
      <c r="F142" s="24">
        <f t="shared" si="110"/>
        <v>1.6267853845367802E-2</v>
      </c>
      <c r="G142" s="24">
        <f t="shared" si="111"/>
        <v>1.4086173113210292E-2</v>
      </c>
      <c r="H142" s="384">
        <v>57116513.280000001</v>
      </c>
      <c r="I142" s="389">
        <v>106.4761</v>
      </c>
      <c r="J142" s="24">
        <f t="shared" si="112"/>
        <v>1.6377629848687951E-3</v>
      </c>
      <c r="K142" s="24">
        <f t="shared" si="113"/>
        <v>1.6302486858295131E-3</v>
      </c>
      <c r="L142" s="384">
        <v>56915477.640000001</v>
      </c>
      <c r="M142" s="389">
        <v>106.6681</v>
      </c>
      <c r="N142" s="24">
        <f t="shared" si="114"/>
        <v>-3.5197463650218216E-3</v>
      </c>
      <c r="O142" s="24">
        <f t="shared" si="115"/>
        <v>1.8032215680325731E-3</v>
      </c>
      <c r="P142" s="384">
        <v>57412139.229999997</v>
      </c>
      <c r="Q142" s="389">
        <v>107.422</v>
      </c>
      <c r="R142" s="24">
        <f t="shared" si="116"/>
        <v>8.726301009744036E-3</v>
      </c>
      <c r="S142" s="24">
        <f t="shared" si="117"/>
        <v>7.0677175275457383E-3</v>
      </c>
      <c r="T142" s="384">
        <v>57937354.399999999</v>
      </c>
      <c r="U142" s="389">
        <v>108.1279</v>
      </c>
      <c r="V142" s="24">
        <f t="shared" si="118"/>
        <v>9.1481553734816621E-3</v>
      </c>
      <c r="W142" s="24">
        <f t="shared" si="119"/>
        <v>6.5712796261473416E-3</v>
      </c>
      <c r="X142" s="384">
        <v>57892410.740000002</v>
      </c>
      <c r="Y142" s="389">
        <v>108.0787</v>
      </c>
      <c r="Z142" s="24">
        <f t="shared" si="120"/>
        <v>-7.7572855138853948E-4</v>
      </c>
      <c r="AA142" s="24">
        <f t="shared" si="121"/>
        <v>-4.5501669781803793E-4</v>
      </c>
      <c r="AB142" s="384">
        <v>57257677.07</v>
      </c>
      <c r="AC142" s="389">
        <v>106.852</v>
      </c>
      <c r="AD142" s="24">
        <f t="shared" si="122"/>
        <v>-1.096402208660212E-2</v>
      </c>
      <c r="AE142" s="24">
        <f t="shared" si="123"/>
        <v>-1.135006250075171E-2</v>
      </c>
      <c r="AF142" s="384">
        <v>57378819.380000003</v>
      </c>
      <c r="AG142" s="389">
        <v>107.01300000000001</v>
      </c>
      <c r="AH142" s="24">
        <f t="shared" si="124"/>
        <v>2.115739167201992E-3</v>
      </c>
      <c r="AI142" s="24">
        <f t="shared" si="125"/>
        <v>1.5067570096956664E-3</v>
      </c>
      <c r="AJ142" s="25">
        <f t="shared" si="126"/>
        <v>2.8295394222064753E-3</v>
      </c>
      <c r="AK142" s="25">
        <f t="shared" si="127"/>
        <v>2.6075397914864214E-3</v>
      </c>
      <c r="AL142" s="26">
        <f t="shared" si="128"/>
        <v>6.2377583300553627E-3</v>
      </c>
      <c r="AM142" s="26">
        <f t="shared" si="129"/>
        <v>6.6809152722223722E-3</v>
      </c>
      <c r="AN142" s="27">
        <f t="shared" si="130"/>
        <v>8.4582045329031734E-3</v>
      </c>
      <c r="AO142" s="84">
        <f t="shared" si="131"/>
        <v>7.3131105780708432E-3</v>
      </c>
    </row>
    <row r="143" spans="1:46">
      <c r="A143" s="218" t="s">
        <v>46</v>
      </c>
      <c r="B143" s="231">
        <f>SUM(B119:B142)</f>
        <v>30652475117.892384</v>
      </c>
      <c r="C143" s="93"/>
      <c r="D143" s="231">
        <f>SUM(D119:D142)</f>
        <v>31150543689.963333</v>
      </c>
      <c r="E143" s="93"/>
      <c r="F143" s="24">
        <f>((D143-B143)/B143)</f>
        <v>1.6248885943315496E-2</v>
      </c>
      <c r="G143" s="24"/>
      <c r="H143" s="231">
        <f>SUM(H119:H142)</f>
        <v>31179910941.77726</v>
      </c>
      <c r="I143" s="93"/>
      <c r="J143" s="24">
        <f>((H143-D143)/D143)</f>
        <v>9.4275246384828871E-4</v>
      </c>
      <c r="K143" s="24"/>
      <c r="L143" s="231">
        <f>SUM(L119:L142)</f>
        <v>31120048445.681793</v>
      </c>
      <c r="M143" s="93"/>
      <c r="N143" s="24">
        <f>((L143-H143)/H143)</f>
        <v>-1.9199059358203042E-3</v>
      </c>
      <c r="O143" s="24"/>
      <c r="P143" s="231">
        <f>SUM(P119:P142)</f>
        <v>31292470255.431282</v>
      </c>
      <c r="Q143" s="93"/>
      <c r="R143" s="24">
        <f>((P143-L143)/L143)</f>
        <v>5.5405379606153545E-3</v>
      </c>
      <c r="S143" s="24"/>
      <c r="T143" s="231">
        <f>SUM(T119:T142)</f>
        <v>31275370993.764259</v>
      </c>
      <c r="U143" s="93"/>
      <c r="V143" s="24">
        <f>((T143-P143)/P143)</f>
        <v>-5.464337435634334E-4</v>
      </c>
      <c r="W143" s="24"/>
      <c r="X143" s="231">
        <f>SUM(X119:X142)</f>
        <v>31644276857.633732</v>
      </c>
      <c r="Y143" s="93"/>
      <c r="Z143" s="24">
        <f>((X143-T143)/T143)</f>
        <v>1.1795411282028457E-2</v>
      </c>
      <c r="AA143" s="24"/>
      <c r="AB143" s="231">
        <f>SUM(AB119:AB142)</f>
        <v>31193956823.055714</v>
      </c>
      <c r="AC143" s="93"/>
      <c r="AD143" s="24">
        <f>((AB143-X143)/X143)</f>
        <v>-1.4230694435015501E-2</v>
      </c>
      <c r="AE143" s="24"/>
      <c r="AF143" s="231">
        <f>SUM(AF119:AF142)</f>
        <v>31270923143.617718</v>
      </c>
      <c r="AG143" s="93"/>
      <c r="AH143" s="24">
        <f>((AF143-AB143)/AB143)</f>
        <v>2.467347153122865E-3</v>
      </c>
      <c r="AI143" s="24"/>
      <c r="AJ143" s="25">
        <f t="shared" si="126"/>
        <v>2.5372375860664032E-3</v>
      </c>
      <c r="AK143" s="25"/>
      <c r="AL143" s="26">
        <f t="shared" si="128"/>
        <v>3.8644414958693232E-3</v>
      </c>
      <c r="AM143" s="26"/>
      <c r="AN143" s="27">
        <f t="shared" si="130"/>
        <v>9.2259638519492111E-3</v>
      </c>
      <c r="AO143" s="84"/>
    </row>
    <row r="144" spans="1:46" s="118" customFormat="1" ht="8.25" customHeight="1">
      <c r="A144" s="218"/>
      <c r="B144" s="93"/>
      <c r="C144" s="93"/>
      <c r="D144" s="93"/>
      <c r="E144" s="93"/>
      <c r="F144" s="24"/>
      <c r="G144" s="24"/>
      <c r="H144" s="93"/>
      <c r="I144" s="93"/>
      <c r="J144" s="24"/>
      <c r="K144" s="24"/>
      <c r="L144" s="93"/>
      <c r="M144" s="93"/>
      <c r="N144" s="24"/>
      <c r="O144" s="24"/>
      <c r="P144" s="93"/>
      <c r="Q144" s="93"/>
      <c r="R144" s="24"/>
      <c r="S144" s="24"/>
      <c r="T144" s="93"/>
      <c r="U144" s="93"/>
      <c r="V144" s="24"/>
      <c r="W144" s="24"/>
      <c r="X144" s="93"/>
      <c r="Y144" s="93"/>
      <c r="Z144" s="24"/>
      <c r="AA144" s="24"/>
      <c r="AB144" s="93"/>
      <c r="AC144" s="93"/>
      <c r="AD144" s="24"/>
      <c r="AE144" s="24"/>
      <c r="AF144" s="93"/>
      <c r="AG144" s="93"/>
      <c r="AH144" s="24"/>
      <c r="AI144" s="24"/>
      <c r="AJ144" s="25"/>
      <c r="AK144" s="25"/>
      <c r="AL144" s="26"/>
      <c r="AM144" s="26"/>
      <c r="AN144" s="27"/>
      <c r="AO144" s="84"/>
    </row>
    <row r="145" spans="1:41" s="118" customFormat="1">
      <c r="A145" s="220" t="s">
        <v>71</v>
      </c>
      <c r="B145" s="93"/>
      <c r="C145" s="93"/>
      <c r="D145" s="93"/>
      <c r="E145" s="93"/>
      <c r="F145" s="24"/>
      <c r="G145" s="24"/>
      <c r="H145" s="93"/>
      <c r="I145" s="93"/>
      <c r="J145" s="24"/>
      <c r="K145" s="24"/>
      <c r="L145" s="93"/>
      <c r="M145" s="93"/>
      <c r="N145" s="24"/>
      <c r="O145" s="24"/>
      <c r="P145" s="93"/>
      <c r="Q145" s="93"/>
      <c r="R145" s="24"/>
      <c r="S145" s="24"/>
      <c r="T145" s="93"/>
      <c r="U145" s="93"/>
      <c r="V145" s="24"/>
      <c r="W145" s="24"/>
      <c r="X145" s="93"/>
      <c r="Y145" s="93"/>
      <c r="Z145" s="24"/>
      <c r="AA145" s="24"/>
      <c r="AB145" s="93"/>
      <c r="AC145" s="93"/>
      <c r="AD145" s="24"/>
      <c r="AE145" s="24"/>
      <c r="AF145" s="93"/>
      <c r="AG145" s="93"/>
      <c r="AH145" s="24"/>
      <c r="AI145" s="24"/>
      <c r="AJ145" s="25"/>
      <c r="AK145" s="25"/>
      <c r="AL145" s="26"/>
      <c r="AM145" s="26"/>
      <c r="AN145" s="27"/>
      <c r="AO145" s="84"/>
    </row>
    <row r="146" spans="1:41" s="118" customFormat="1">
      <c r="A146" s="217" t="s">
        <v>205</v>
      </c>
      <c r="B146" s="384">
        <v>600439918.73000002</v>
      </c>
      <c r="C146" s="385">
        <v>16.447800000000001</v>
      </c>
      <c r="D146" s="384">
        <v>603188613.46000004</v>
      </c>
      <c r="E146" s="385">
        <v>16.522099999999998</v>
      </c>
      <c r="F146" s="24">
        <f t="shared" ref="F146:G148" si="132">((D146-B146)/B146)</f>
        <v>4.5778014490006373E-3</v>
      </c>
      <c r="G146" s="24">
        <f t="shared" si="132"/>
        <v>4.5173214654845853E-3</v>
      </c>
      <c r="H146" s="384">
        <v>603836308.66999996</v>
      </c>
      <c r="I146" s="385">
        <v>16.540700000000001</v>
      </c>
      <c r="J146" s="24">
        <f t="shared" ref="J146:J148" si="133">((H146-D146)/D146)</f>
        <v>1.0737855382989094E-3</v>
      </c>
      <c r="K146" s="24">
        <f t="shared" ref="K146:K148" si="134">((I146-E146)/E146)</f>
        <v>1.1257648846092711E-3</v>
      </c>
      <c r="L146" s="384">
        <v>604647092.69000006</v>
      </c>
      <c r="M146" s="385">
        <v>16.607099999999999</v>
      </c>
      <c r="N146" s="24">
        <f t="shared" ref="N146:N148" si="135">((L146-H146)/H146)</f>
        <v>1.3427215428398465E-3</v>
      </c>
      <c r="O146" s="24">
        <f t="shared" ref="O146:O148" si="136">((M146-I146)/I146)</f>
        <v>4.014340384626891E-3</v>
      </c>
      <c r="P146" s="384">
        <v>606551001.63</v>
      </c>
      <c r="Q146" s="385">
        <v>16.530100000000001</v>
      </c>
      <c r="R146" s="24">
        <f t="shared" ref="R146:R148" si="137">((P146-L146)/L146)</f>
        <v>3.1487936732312446E-3</v>
      </c>
      <c r="S146" s="24">
        <f t="shared" ref="S146:S148" si="138">((Q146-M146)/M146)</f>
        <v>-4.6365711051296245E-3</v>
      </c>
      <c r="T146" s="384">
        <v>609902852.71000004</v>
      </c>
      <c r="U146" s="385">
        <v>16.796399999999998</v>
      </c>
      <c r="V146" s="24">
        <f t="shared" ref="V146:V148" si="139">((T146-P146)/P146)</f>
        <v>5.5260828372099427E-3</v>
      </c>
      <c r="W146" s="24">
        <f t="shared" ref="W146:W148" si="140">((U146-Q146)/Q146)</f>
        <v>1.6110005384117308E-2</v>
      </c>
      <c r="X146" s="384">
        <v>613676815.48000002</v>
      </c>
      <c r="Y146" s="385">
        <v>16.839200000000002</v>
      </c>
      <c r="Z146" s="24">
        <f t="shared" ref="Z146:Z148" si="141">((X146-T146)/T146)</f>
        <v>6.1878096703942547E-3</v>
      </c>
      <c r="AA146" s="24">
        <f t="shared" ref="AA146:AA148" si="142">((Y146-U146)/U146)</f>
        <v>2.5481650829941704E-3</v>
      </c>
      <c r="AB146" s="384">
        <v>606564709.72000003</v>
      </c>
      <c r="AC146" s="385">
        <v>16.714099999999998</v>
      </c>
      <c r="AD146" s="24">
        <f t="shared" ref="AD146:AD148" si="143">((AB146-X146)/X146)</f>
        <v>-1.1589334288989082E-2</v>
      </c>
      <c r="AE146" s="24">
        <f t="shared" ref="AE146:AE148" si="144">((AC146-Y146)/Y146)</f>
        <v>-7.429094018718425E-3</v>
      </c>
      <c r="AF146" s="384">
        <v>607964722.22000003</v>
      </c>
      <c r="AG146" s="385">
        <v>16.6525</v>
      </c>
      <c r="AH146" s="24">
        <f t="shared" ref="AH146:AH148" si="145">((AF146-AB146)/AB146)</f>
        <v>2.308100813590471E-3</v>
      </c>
      <c r="AI146" s="24">
        <f t="shared" ref="AI146:AI148" si="146">((AG146-AC146)/AC146)</f>
        <v>-3.6855110355926163E-3</v>
      </c>
      <c r="AJ146" s="25">
        <f t="shared" si="126"/>
        <v>1.5719701544470277E-3</v>
      </c>
      <c r="AK146" s="25">
        <f t="shared" si="127"/>
        <v>1.570552630298945E-3</v>
      </c>
      <c r="AL146" s="26">
        <f t="shared" si="128"/>
        <v>7.918101657462262E-3</v>
      </c>
      <c r="AM146" s="26">
        <f t="shared" si="129"/>
        <v>7.8924591910230317E-3</v>
      </c>
      <c r="AN146" s="27">
        <f t="shared" si="130"/>
        <v>5.6381980602152855E-3</v>
      </c>
      <c r="AO146" s="84">
        <f t="shared" si="131"/>
        <v>7.3129339814284539E-3</v>
      </c>
    </row>
    <row r="147" spans="1:41">
      <c r="A147" s="217" t="s">
        <v>29</v>
      </c>
      <c r="B147" s="384">
        <v>1855851229.21</v>
      </c>
      <c r="C147" s="385">
        <v>1.49</v>
      </c>
      <c r="D147" s="384">
        <v>1907133816.53</v>
      </c>
      <c r="E147" s="385">
        <v>1.53</v>
      </c>
      <c r="F147" s="24">
        <f t="shared" si="132"/>
        <v>2.7632919337952502E-2</v>
      </c>
      <c r="G147" s="24">
        <f t="shared" si="132"/>
        <v>2.6845637583892641E-2</v>
      </c>
      <c r="H147" s="384">
        <v>1919307131.02</v>
      </c>
      <c r="I147" s="385">
        <v>1.53</v>
      </c>
      <c r="J147" s="24">
        <f t="shared" si="133"/>
        <v>6.3830416012176658E-3</v>
      </c>
      <c r="K147" s="24">
        <f t="shared" si="134"/>
        <v>0</v>
      </c>
      <c r="L147" s="384">
        <v>1917112639.5699999</v>
      </c>
      <c r="M147" s="385">
        <v>1.53</v>
      </c>
      <c r="N147" s="24">
        <f t="shared" si="135"/>
        <v>-1.1433769064536344E-3</v>
      </c>
      <c r="O147" s="24">
        <f t="shared" si="136"/>
        <v>0</v>
      </c>
      <c r="P147" s="384">
        <v>1923400383.8399999</v>
      </c>
      <c r="Q147" s="385">
        <v>1.53</v>
      </c>
      <c r="R147" s="24">
        <f t="shared" si="137"/>
        <v>3.2797990792081443E-3</v>
      </c>
      <c r="S147" s="24">
        <f t="shared" si="138"/>
        <v>0</v>
      </c>
      <c r="T147" s="384">
        <v>1934084517.97</v>
      </c>
      <c r="U147" s="385">
        <v>1.54</v>
      </c>
      <c r="V147" s="24">
        <f t="shared" si="139"/>
        <v>5.5548154298844547E-3</v>
      </c>
      <c r="W147" s="24">
        <f t="shared" si="140"/>
        <v>6.5359477124183061E-3</v>
      </c>
      <c r="X147" s="384">
        <v>1934084517.97</v>
      </c>
      <c r="Y147" s="385">
        <v>1.54</v>
      </c>
      <c r="Z147" s="24">
        <f t="shared" si="141"/>
        <v>0</v>
      </c>
      <c r="AA147" s="24">
        <f t="shared" si="142"/>
        <v>0</v>
      </c>
      <c r="AB147" s="384">
        <v>1896919676.9100001</v>
      </c>
      <c r="AC147" s="385">
        <v>1.51</v>
      </c>
      <c r="AD147" s="24">
        <f t="shared" si="143"/>
        <v>-1.9215727500372048E-2</v>
      </c>
      <c r="AE147" s="24">
        <f t="shared" si="144"/>
        <v>-1.9480519480519497E-2</v>
      </c>
      <c r="AF147" s="384">
        <v>1904826585.9400001</v>
      </c>
      <c r="AG147" s="385">
        <v>1.52</v>
      </c>
      <c r="AH147" s="24">
        <f t="shared" si="145"/>
        <v>4.1682887927442366E-3</v>
      </c>
      <c r="AI147" s="24">
        <f t="shared" si="146"/>
        <v>6.6225165562913968E-3</v>
      </c>
      <c r="AJ147" s="25">
        <f t="shared" si="126"/>
        <v>3.3324699792726654E-3</v>
      </c>
      <c r="AK147" s="25">
        <f t="shared" si="127"/>
        <v>2.5654477965103557E-3</v>
      </c>
      <c r="AL147" s="26">
        <f t="shared" si="128"/>
        <v>-1.209789564844424E-3</v>
      </c>
      <c r="AM147" s="26">
        <f t="shared" si="129"/>
        <v>-6.5359477124183061E-3</v>
      </c>
      <c r="AN147" s="27">
        <f t="shared" si="130"/>
        <v>1.2789603947610712E-2</v>
      </c>
      <c r="AO147" s="84">
        <f t="shared" si="131"/>
        <v>1.2728500390751175E-2</v>
      </c>
    </row>
    <row r="148" spans="1:41">
      <c r="A148" s="217" t="s">
        <v>30</v>
      </c>
      <c r="B148" s="385">
        <v>590641312.95000005</v>
      </c>
      <c r="C148" s="385">
        <v>47.583500000000001</v>
      </c>
      <c r="D148" s="385">
        <v>539465548.28999996</v>
      </c>
      <c r="E148" s="385">
        <v>47.719099999999997</v>
      </c>
      <c r="F148" s="24">
        <f t="shared" si="132"/>
        <v>-8.6644404205996173E-2</v>
      </c>
      <c r="G148" s="24">
        <f t="shared" si="132"/>
        <v>2.8497273214453879E-3</v>
      </c>
      <c r="H148" s="385">
        <v>541322257.98000002</v>
      </c>
      <c r="I148" s="385">
        <v>47.885199999999998</v>
      </c>
      <c r="J148" s="24">
        <f t="shared" si="133"/>
        <v>3.4417576727289868E-3</v>
      </c>
      <c r="K148" s="24">
        <f t="shared" si="134"/>
        <v>3.4807865194439991E-3</v>
      </c>
      <c r="L148" s="385">
        <v>539932251.79999995</v>
      </c>
      <c r="M148" s="385">
        <v>47.759900000000002</v>
      </c>
      <c r="N148" s="24">
        <f t="shared" si="135"/>
        <v>-2.5677979420004244E-3</v>
      </c>
      <c r="O148" s="24">
        <f t="shared" si="136"/>
        <v>-2.6166748807563874E-3</v>
      </c>
      <c r="P148" s="385">
        <v>628456335.75</v>
      </c>
      <c r="Q148" s="385">
        <v>48.363199999999999</v>
      </c>
      <c r="R148" s="24">
        <f t="shared" si="137"/>
        <v>0.16395405841174102</v>
      </c>
      <c r="S148" s="24">
        <f t="shared" si="138"/>
        <v>1.2631935996515848E-2</v>
      </c>
      <c r="T148" s="385">
        <v>633563041.38</v>
      </c>
      <c r="U148" s="385">
        <v>48.736899999999999</v>
      </c>
      <c r="V148" s="24">
        <f t="shared" si="139"/>
        <v>8.125792261932805E-3</v>
      </c>
      <c r="W148" s="24">
        <f t="shared" si="140"/>
        <v>7.7269494160849463E-3</v>
      </c>
      <c r="X148" s="385">
        <v>636659148.11000001</v>
      </c>
      <c r="Y148" s="385">
        <v>48.968600000000002</v>
      </c>
      <c r="Z148" s="24">
        <f t="shared" si="141"/>
        <v>4.8868171401794704E-3</v>
      </c>
      <c r="AA148" s="24">
        <f t="shared" si="142"/>
        <v>4.754098024289677E-3</v>
      </c>
      <c r="AB148" s="385">
        <v>634569310.63</v>
      </c>
      <c r="AC148" s="385">
        <v>48.831899999999997</v>
      </c>
      <c r="AD148" s="24">
        <f t="shared" si="143"/>
        <v>-3.2825060100117234E-3</v>
      </c>
      <c r="AE148" s="24">
        <f t="shared" si="144"/>
        <v>-2.7915848114915417E-3</v>
      </c>
      <c r="AF148" s="385">
        <v>549945703.21000004</v>
      </c>
      <c r="AG148" s="385">
        <v>48.862400000000001</v>
      </c>
      <c r="AH148" s="24">
        <f t="shared" si="145"/>
        <v>-0.13335597231449106</v>
      </c>
      <c r="AI148" s="24">
        <f t="shared" si="146"/>
        <v>6.2459171156566769E-4</v>
      </c>
      <c r="AJ148" s="25">
        <f t="shared" si="126"/>
        <v>-5.6802818732396374E-3</v>
      </c>
      <c r="AK148" s="25">
        <f t="shared" si="127"/>
        <v>3.3324786621371995E-3</v>
      </c>
      <c r="AL148" s="26">
        <f t="shared" si="128"/>
        <v>1.9426921613845616E-2</v>
      </c>
      <c r="AM148" s="26">
        <f t="shared" si="129"/>
        <v>2.3958959829502309E-2</v>
      </c>
      <c r="AN148" s="27">
        <f t="shared" si="130"/>
        <v>8.6216505044038008E-2</v>
      </c>
      <c r="AO148" s="84">
        <f t="shared" si="131"/>
        <v>5.1864735976327198E-3</v>
      </c>
    </row>
    <row r="149" spans="1:41">
      <c r="A149" s="218" t="s">
        <v>46</v>
      </c>
      <c r="B149" s="231">
        <f>SUM(B146:B148)</f>
        <v>3046932460.8900003</v>
      </c>
      <c r="C149" s="93"/>
      <c r="D149" s="231">
        <f>SUM(D146:D148)</f>
        <v>3049787978.2799997</v>
      </c>
      <c r="E149" s="93"/>
      <c r="F149" s="24">
        <f>((D149-B149)/B149)</f>
        <v>9.3717777687966908E-4</v>
      </c>
      <c r="G149" s="24"/>
      <c r="H149" s="231">
        <f>SUM(H146:H148)</f>
        <v>3064465697.6700001</v>
      </c>
      <c r="I149" s="93"/>
      <c r="J149" s="24">
        <f>((H149-D149)/D149)</f>
        <v>4.8127015695950742E-3</v>
      </c>
      <c r="K149" s="24"/>
      <c r="L149" s="231">
        <f>SUM(L146:L148)</f>
        <v>3061691984.0600004</v>
      </c>
      <c r="M149" s="93"/>
      <c r="N149" s="24">
        <f>((L149-H149)/H149)</f>
        <v>-9.0512144159700977E-4</v>
      </c>
      <c r="O149" s="24"/>
      <c r="P149" s="231">
        <f>SUM(P146:P148)</f>
        <v>3158407721.2199998</v>
      </c>
      <c r="Q149" s="93"/>
      <c r="R149" s="24">
        <f>((P149-L149)/L149)</f>
        <v>3.158898336721256E-2</v>
      </c>
      <c r="S149" s="24"/>
      <c r="T149" s="231">
        <f>SUM(T146:T148)</f>
        <v>3177550412.0600004</v>
      </c>
      <c r="U149" s="93"/>
      <c r="V149" s="24">
        <f>((T149-P149)/P149)</f>
        <v>6.0608675413845467E-3</v>
      </c>
      <c r="W149" s="24"/>
      <c r="X149" s="231">
        <f>SUM(X146:X148)</f>
        <v>3184420481.5599999</v>
      </c>
      <c r="Y149" s="93"/>
      <c r="Z149" s="24">
        <f>((X149-T149)/T149)</f>
        <v>2.1620646753313568E-3</v>
      </c>
      <c r="AA149" s="24"/>
      <c r="AB149" s="231">
        <f>SUM(AB146:AB148)</f>
        <v>3138053697.2600002</v>
      </c>
      <c r="AC149" s="93"/>
      <c r="AD149" s="24">
        <f>((AB149-X149)/X149)</f>
        <v>-1.4560509382631944E-2</v>
      </c>
      <c r="AE149" s="24"/>
      <c r="AF149" s="231">
        <f>SUM(AF146:AF148)</f>
        <v>3062737011.3699999</v>
      </c>
      <c r="AG149" s="93"/>
      <c r="AH149" s="24">
        <f>((AF149-AB149)/AB149)</f>
        <v>-2.4001082567759534E-2</v>
      </c>
      <c r="AI149" s="24"/>
      <c r="AJ149" s="25">
        <f t="shared" si="126"/>
        <v>7.6188519230183972E-4</v>
      </c>
      <c r="AK149" s="25"/>
      <c r="AL149" s="26">
        <f t="shared" si="128"/>
        <v>4.2458797733549549E-3</v>
      </c>
      <c r="AM149" s="26"/>
      <c r="AN149" s="27">
        <f t="shared" si="130"/>
        <v>1.624609314851766E-2</v>
      </c>
      <c r="AO149" s="84"/>
    </row>
    <row r="150" spans="1:41" ht="8.25" customHeight="1">
      <c r="A150" s="218"/>
      <c r="B150" s="93"/>
      <c r="C150" s="93"/>
      <c r="D150" s="93"/>
      <c r="E150" s="93"/>
      <c r="F150" s="24"/>
      <c r="G150" s="24"/>
      <c r="H150" s="93"/>
      <c r="I150" s="93"/>
      <c r="J150" s="24"/>
      <c r="K150" s="24"/>
      <c r="L150" s="93"/>
      <c r="M150" s="93"/>
      <c r="N150" s="24"/>
      <c r="O150" s="24"/>
      <c r="P150" s="93"/>
      <c r="Q150" s="93"/>
      <c r="R150" s="24"/>
      <c r="S150" s="24"/>
      <c r="T150" s="93"/>
      <c r="U150" s="93"/>
      <c r="V150" s="24"/>
      <c r="W150" s="24"/>
      <c r="X150" s="93"/>
      <c r="Y150" s="93"/>
      <c r="Z150" s="24"/>
      <c r="AA150" s="24"/>
      <c r="AB150" s="93"/>
      <c r="AC150" s="93"/>
      <c r="AD150" s="24"/>
      <c r="AE150" s="24"/>
      <c r="AF150" s="93"/>
      <c r="AG150" s="93"/>
      <c r="AH150" s="24"/>
      <c r="AI150" s="24"/>
      <c r="AJ150" s="25"/>
      <c r="AK150" s="25"/>
      <c r="AL150" s="26"/>
      <c r="AM150" s="26"/>
      <c r="AN150" s="27"/>
      <c r="AO150" s="84"/>
    </row>
    <row r="151" spans="1:41">
      <c r="A151" s="221" t="s">
        <v>214</v>
      </c>
      <c r="B151" s="93"/>
      <c r="C151" s="93"/>
      <c r="D151" s="93"/>
      <c r="E151" s="93"/>
      <c r="F151" s="24"/>
      <c r="G151" s="24"/>
      <c r="H151" s="93"/>
      <c r="I151" s="93"/>
      <c r="J151" s="24"/>
      <c r="K151" s="24"/>
      <c r="L151" s="93"/>
      <c r="M151" s="93"/>
      <c r="N151" s="24"/>
      <c r="O151" s="24"/>
      <c r="P151" s="93"/>
      <c r="Q151" s="93"/>
      <c r="R151" s="24"/>
      <c r="S151" s="24"/>
      <c r="T151" s="93"/>
      <c r="U151" s="93"/>
      <c r="V151" s="24"/>
      <c r="W151" s="24"/>
      <c r="X151" s="93"/>
      <c r="Y151" s="93"/>
      <c r="Z151" s="24"/>
      <c r="AA151" s="24"/>
      <c r="AB151" s="93"/>
      <c r="AC151" s="93"/>
      <c r="AD151" s="24"/>
      <c r="AE151" s="24"/>
      <c r="AF151" s="93"/>
      <c r="AG151" s="93"/>
      <c r="AH151" s="24"/>
      <c r="AI151" s="24"/>
      <c r="AJ151" s="25"/>
      <c r="AK151" s="25"/>
      <c r="AL151" s="26"/>
      <c r="AM151" s="26"/>
      <c r="AN151" s="27"/>
      <c r="AO151" s="84"/>
    </row>
    <row r="152" spans="1:41">
      <c r="A152" s="222" t="s">
        <v>215</v>
      </c>
      <c r="B152" s="93"/>
      <c r="C152" s="93"/>
      <c r="D152" s="93"/>
      <c r="E152" s="93"/>
      <c r="F152" s="24"/>
      <c r="G152" s="24"/>
      <c r="H152" s="93"/>
      <c r="I152" s="93"/>
      <c r="J152" s="24"/>
      <c r="K152" s="24"/>
      <c r="L152" s="93"/>
      <c r="M152" s="93"/>
      <c r="N152" s="24"/>
      <c r="O152" s="24"/>
      <c r="P152" s="93"/>
      <c r="Q152" s="93"/>
      <c r="R152" s="24"/>
      <c r="S152" s="24"/>
      <c r="T152" s="93"/>
      <c r="U152" s="93"/>
      <c r="V152" s="24"/>
      <c r="W152" s="24"/>
      <c r="X152" s="93"/>
      <c r="Y152" s="93"/>
      <c r="Z152" s="24"/>
      <c r="AA152" s="24"/>
      <c r="AB152" s="93"/>
      <c r="AC152" s="93"/>
      <c r="AD152" s="24"/>
      <c r="AE152" s="24"/>
      <c r="AF152" s="93"/>
      <c r="AG152" s="93"/>
      <c r="AH152" s="24"/>
      <c r="AI152" s="24"/>
      <c r="AJ152" s="25"/>
      <c r="AK152" s="25"/>
      <c r="AL152" s="26"/>
      <c r="AM152" s="26"/>
      <c r="AN152" s="27"/>
      <c r="AO152" s="84"/>
    </row>
    <row r="153" spans="1:41">
      <c r="A153" s="217" t="s">
        <v>28</v>
      </c>
      <c r="B153" s="375">
        <v>3621726018.6799998</v>
      </c>
      <c r="C153" s="377">
        <v>1.8</v>
      </c>
      <c r="D153" s="375">
        <v>3655398927.79</v>
      </c>
      <c r="E153" s="377">
        <v>1.82</v>
      </c>
      <c r="F153" s="24">
        <f>((D146-B153)/B153)</f>
        <v>-0.83345272106479151</v>
      </c>
      <c r="G153" s="24">
        <f>((E153-C153)/C153)</f>
        <v>1.111111111111112E-2</v>
      </c>
      <c r="H153" s="375">
        <v>3670464321.6900001</v>
      </c>
      <c r="I153" s="377">
        <v>1.83</v>
      </c>
      <c r="J153" s="24">
        <f>((H146-D153)/D153)</f>
        <v>-0.83480973743266085</v>
      </c>
      <c r="K153" s="24">
        <f>((I153-E153)/E153)</f>
        <v>5.4945054945054993E-3</v>
      </c>
      <c r="L153" s="375">
        <v>3694196489.5900002</v>
      </c>
      <c r="M153" s="377">
        <v>1.84</v>
      </c>
      <c r="N153" s="24">
        <f>((L146-H153)/H153)</f>
        <v>-0.83526686552517659</v>
      </c>
      <c r="O153" s="24">
        <f>((M153-I153)/I153)</f>
        <v>5.4644808743169442E-3</v>
      </c>
      <c r="P153" s="375">
        <v>3704052082.0500002</v>
      </c>
      <c r="Q153" s="377">
        <v>1.85</v>
      </c>
      <c r="R153" s="24">
        <f>((P146-L153)/L153)</f>
        <v>-0.83580976178738176</v>
      </c>
      <c r="S153" s="24">
        <f>((Q153-M153)/M153)</f>
        <v>5.4347826086956564E-3</v>
      </c>
      <c r="T153" s="375">
        <v>3729180385.1900001</v>
      </c>
      <c r="U153" s="377">
        <v>1.86</v>
      </c>
      <c r="V153" s="24">
        <f>((T146-P153)/P153)</f>
        <v>-0.83534171788090772</v>
      </c>
      <c r="W153" s="24">
        <f>((U153-Q153)/Q153)</f>
        <v>5.40540540540541E-3</v>
      </c>
      <c r="X153" s="375">
        <v>3735111784.6900001</v>
      </c>
      <c r="Y153" s="377">
        <v>1.86</v>
      </c>
      <c r="Z153" s="24">
        <f>((X146-T153)/T153)</f>
        <v>-0.83543922468402299</v>
      </c>
      <c r="AA153" s="24">
        <f>((Y153-U153)/U153)</f>
        <v>0</v>
      </c>
      <c r="AB153" s="375">
        <v>3745618807.2600002</v>
      </c>
      <c r="AC153" s="377">
        <v>1.86</v>
      </c>
      <c r="AD153" s="24">
        <f>((AB146-X153)/X153)</f>
        <v>-0.83760467030564589</v>
      </c>
      <c r="AE153" s="24">
        <f>((AC153-Y153)/Y153)</f>
        <v>0</v>
      </c>
      <c r="AF153" s="375">
        <v>3724875608.98</v>
      </c>
      <c r="AG153" s="377">
        <v>1.85</v>
      </c>
      <c r="AH153" s="24">
        <f>((AF146-AB153)/AB153)</f>
        <v>-0.83768644021073269</v>
      </c>
      <c r="AI153" s="24">
        <f>((AG153-AC153)/AC153)</f>
        <v>-5.3763440860215101E-3</v>
      </c>
      <c r="AJ153" s="25">
        <f t="shared" si="126"/>
        <v>-0.83567639236141511</v>
      </c>
      <c r="AK153" s="25">
        <f t="shared" si="127"/>
        <v>3.4417426760016399E-3</v>
      </c>
      <c r="AL153" s="26">
        <f t="shared" si="128"/>
        <v>1.9006593414964048E-2</v>
      </c>
      <c r="AM153" s="26">
        <f t="shared" si="129"/>
        <v>1.6483516483516498E-2</v>
      </c>
      <c r="AN153" s="27">
        <f t="shared" si="130"/>
        <v>1.4044881190668464E-3</v>
      </c>
      <c r="AO153" s="84">
        <f t="shared" si="131"/>
        <v>5.0199962454135303E-3</v>
      </c>
    </row>
    <row r="154" spans="1:41">
      <c r="A154" s="216" t="s">
        <v>70</v>
      </c>
      <c r="B154" s="375">
        <v>307237826.99000001</v>
      </c>
      <c r="C154" s="377">
        <v>274.3</v>
      </c>
      <c r="D154" s="375">
        <v>311533840.92000002</v>
      </c>
      <c r="E154" s="377">
        <v>277.17</v>
      </c>
      <c r="F154" s="24">
        <f>((D147-B154)/B154)</f>
        <v>5.2073535515276035</v>
      </c>
      <c r="G154" s="24">
        <f>((E154-C154)/C154)</f>
        <v>1.0462996718920906E-2</v>
      </c>
      <c r="H154" s="375">
        <v>313287527.64999998</v>
      </c>
      <c r="I154" s="377">
        <v>278.39999999999998</v>
      </c>
      <c r="J154" s="24">
        <f>((H147-D154)/D154)</f>
        <v>5.1608303141387015</v>
      </c>
      <c r="K154" s="24">
        <f>((I154-E154)/E154)</f>
        <v>4.4377097088428089E-3</v>
      </c>
      <c r="L154" s="375">
        <v>316063836.01999998</v>
      </c>
      <c r="M154" s="377">
        <v>279.16000000000003</v>
      </c>
      <c r="N154" s="24">
        <f>((L147-H154)/H154)</f>
        <v>5.1193391704752731</v>
      </c>
      <c r="O154" s="24">
        <f>((M154-I154)/I154)</f>
        <v>2.7298850574714361E-3</v>
      </c>
      <c r="P154" s="375">
        <v>315831733.38</v>
      </c>
      <c r="Q154" s="377">
        <v>279.20999999999998</v>
      </c>
      <c r="R154" s="24">
        <f>((P147-L154)/L154)</f>
        <v>5.0854807309188335</v>
      </c>
      <c r="S154" s="24">
        <f>((Q154-M154)/M154)</f>
        <v>1.7910875483577346E-4</v>
      </c>
      <c r="T154" s="375">
        <v>315771008.35000002</v>
      </c>
      <c r="U154" s="377">
        <v>284.22000000000003</v>
      </c>
      <c r="V154" s="24">
        <f>((T147-P154)/P154)</f>
        <v>5.1237814746213717</v>
      </c>
      <c r="W154" s="24">
        <f>((U154-Q154)/Q154)</f>
        <v>1.7943483399591877E-2</v>
      </c>
      <c r="X154" s="375">
        <v>316733964.77999997</v>
      </c>
      <c r="Y154" s="377">
        <v>285.5</v>
      </c>
      <c r="Z154" s="24">
        <f>((X147-T154)/T154)</f>
        <v>5.1249591217261594</v>
      </c>
      <c r="AA154" s="24">
        <f>((Y154-U154)/U154)</f>
        <v>4.5035535852507658E-3</v>
      </c>
      <c r="AB154" s="375">
        <v>315651675.77999997</v>
      </c>
      <c r="AC154" s="377">
        <v>281.76</v>
      </c>
      <c r="AD154" s="24">
        <f>((AB147-X154)/X154)</f>
        <v>4.988999879528488</v>
      </c>
      <c r="AE154" s="24">
        <f>((AC154-Y154)/Y154)</f>
        <v>-1.309982486865152E-2</v>
      </c>
      <c r="AF154" s="375">
        <v>311592445.26999998</v>
      </c>
      <c r="AG154" s="377">
        <v>281.85000000000002</v>
      </c>
      <c r="AH154" s="24">
        <f>((AF147-AB154)/AB154)</f>
        <v>5.0345841067785386</v>
      </c>
      <c r="AI154" s="24">
        <f>((AG154-AC154)/AC154)</f>
        <v>3.1942078364576888E-4</v>
      </c>
      <c r="AJ154" s="25">
        <f t="shared" si="126"/>
        <v>5.105666043714371</v>
      </c>
      <c r="AK154" s="25">
        <f t="shared" si="127"/>
        <v>3.4345416424884766E-3</v>
      </c>
      <c r="AL154" s="26">
        <f t="shared" si="128"/>
        <v>1.881155184518573E-4</v>
      </c>
      <c r="AM154" s="26">
        <f t="shared" si="129"/>
        <v>1.6884944258036608E-2</v>
      </c>
      <c r="AN154" s="27">
        <f t="shared" si="130"/>
        <v>6.9015396362282391E-2</v>
      </c>
      <c r="AO154" s="84">
        <f t="shared" si="131"/>
        <v>8.9142048956730724E-3</v>
      </c>
    </row>
    <row r="155" spans="1:41" ht="8.25" customHeight="1">
      <c r="A155" s="218"/>
      <c r="B155" s="93"/>
      <c r="C155" s="93"/>
      <c r="D155" s="93"/>
      <c r="E155" s="93"/>
      <c r="F155" s="24"/>
      <c r="G155" s="24"/>
      <c r="H155" s="93"/>
      <c r="I155" s="93"/>
      <c r="J155" s="24"/>
      <c r="K155" s="24"/>
      <c r="L155" s="93"/>
      <c r="M155" s="93"/>
      <c r="N155" s="24"/>
      <c r="O155" s="24"/>
      <c r="P155" s="93"/>
      <c r="Q155" s="93"/>
      <c r="R155" s="24"/>
      <c r="S155" s="24"/>
      <c r="T155" s="93"/>
      <c r="U155" s="93"/>
      <c r="V155" s="24"/>
      <c r="W155" s="24"/>
      <c r="X155" s="93"/>
      <c r="Y155" s="93"/>
      <c r="Z155" s="24"/>
      <c r="AA155" s="24"/>
      <c r="AB155" s="93"/>
      <c r="AC155" s="93"/>
      <c r="AD155" s="24"/>
      <c r="AE155" s="24"/>
      <c r="AF155" s="93"/>
      <c r="AG155" s="93"/>
      <c r="AH155" s="24"/>
      <c r="AI155" s="24"/>
      <c r="AJ155" s="25"/>
      <c r="AK155" s="25"/>
      <c r="AL155" s="26"/>
      <c r="AM155" s="26"/>
      <c r="AN155" s="27"/>
      <c r="AO155" s="84"/>
    </row>
    <row r="156" spans="1:41">
      <c r="A156" s="222" t="s">
        <v>216</v>
      </c>
      <c r="B156" s="93"/>
      <c r="C156" s="93"/>
      <c r="D156" s="93"/>
      <c r="E156" s="93"/>
      <c r="F156" s="24"/>
      <c r="G156" s="24"/>
      <c r="H156" s="93"/>
      <c r="I156" s="93"/>
      <c r="J156" s="24"/>
      <c r="K156" s="24"/>
      <c r="L156" s="93"/>
      <c r="M156" s="93"/>
      <c r="N156" s="24"/>
      <c r="O156" s="24"/>
      <c r="P156" s="93"/>
      <c r="Q156" s="93"/>
      <c r="R156" s="24"/>
      <c r="S156" s="24"/>
      <c r="T156" s="93"/>
      <c r="U156" s="93"/>
      <c r="V156" s="24"/>
      <c r="W156" s="24"/>
      <c r="X156" s="93"/>
      <c r="Y156" s="93"/>
      <c r="Z156" s="24"/>
      <c r="AA156" s="24"/>
      <c r="AB156" s="93"/>
      <c r="AC156" s="93"/>
      <c r="AD156" s="24"/>
      <c r="AE156" s="24"/>
      <c r="AF156" s="93"/>
      <c r="AG156" s="93"/>
      <c r="AH156" s="24"/>
      <c r="AI156" s="24"/>
      <c r="AJ156" s="25"/>
      <c r="AK156" s="25"/>
      <c r="AL156" s="26"/>
      <c r="AM156" s="26"/>
      <c r="AN156" s="27"/>
      <c r="AO156" s="84"/>
    </row>
    <row r="157" spans="1:41">
      <c r="A157" s="216" t="s">
        <v>140</v>
      </c>
      <c r="B157" s="390">
        <v>8587337090.29</v>
      </c>
      <c r="C157" s="391">
        <v>121.55</v>
      </c>
      <c r="D157" s="390">
        <v>8548497294.0100002</v>
      </c>
      <c r="E157" s="391">
        <v>121.7</v>
      </c>
      <c r="F157" s="24">
        <f>((D157-B157)/B157)</f>
        <v>-4.5229150633806191E-3</v>
      </c>
      <c r="G157" s="24">
        <f>((E157-C157)/C157)</f>
        <v>1.2340600575895162E-3</v>
      </c>
      <c r="H157" s="390">
        <v>8487547879.2299995</v>
      </c>
      <c r="I157" s="391">
        <v>121.87</v>
      </c>
      <c r="J157" s="24">
        <f>((H157-D157)/D157)</f>
        <v>-7.1298396295578666E-3</v>
      </c>
      <c r="K157" s="24">
        <f t="shared" ref="K157:K163" si="147">((I157-E157)/E157)</f>
        <v>1.3968775677896607E-3</v>
      </c>
      <c r="L157" s="390">
        <v>8492802062.9399996</v>
      </c>
      <c r="M157" s="391">
        <v>121.99</v>
      </c>
      <c r="N157" s="24">
        <f>((L157-H157)/H157)</f>
        <v>6.1904613496880842E-4</v>
      </c>
      <c r="O157" s="24">
        <f t="shared" ref="O157:O163" si="148">((M157-I157)/I157)</f>
        <v>9.8465578074990014E-4</v>
      </c>
      <c r="P157" s="390">
        <v>8433365972.29</v>
      </c>
      <c r="Q157" s="391">
        <v>122.15</v>
      </c>
      <c r="R157" s="24">
        <f>((P157-L157)/L157)</f>
        <v>-6.998407617358776E-3</v>
      </c>
      <c r="S157" s="24">
        <f t="shared" ref="S157:S163" si="149">((Q157-M157)/M157)</f>
        <v>1.3115829166325994E-3</v>
      </c>
      <c r="T157" s="390">
        <v>8233645816.1499996</v>
      </c>
      <c r="U157" s="391">
        <v>122.29</v>
      </c>
      <c r="V157" s="24">
        <f>((T157-P157)/P157)</f>
        <v>-2.368214029798214E-2</v>
      </c>
      <c r="W157" s="24">
        <f t="shared" ref="W157:W163" si="150">((U157-Q157)/Q157)</f>
        <v>1.1461318051575978E-3</v>
      </c>
      <c r="X157" s="390">
        <v>8238333058.6000004</v>
      </c>
      <c r="Y157" s="391">
        <v>122.4</v>
      </c>
      <c r="Z157" s="24">
        <f>((X157-T157)/T157)</f>
        <v>5.6927909636420189E-4</v>
      </c>
      <c r="AA157" s="24">
        <f t="shared" ref="AA157:AA163" si="151">((Y157-U157)/U157)</f>
        <v>8.9950118570610374E-4</v>
      </c>
      <c r="AB157" s="390">
        <v>8232753582.1499996</v>
      </c>
      <c r="AC157" s="391">
        <v>122.54</v>
      </c>
      <c r="AD157" s="24">
        <f>((AB157-X157)/X157)</f>
        <v>-6.7725793680753715E-4</v>
      </c>
      <c r="AE157" s="24">
        <f t="shared" ref="AE157:AE163" si="152">((AC157-Y157)/Y157)</f>
        <v>1.1437908496732072E-3</v>
      </c>
      <c r="AF157" s="390">
        <v>8218760838.6300001</v>
      </c>
      <c r="AG157" s="391">
        <v>122.69</v>
      </c>
      <c r="AH157" s="24">
        <f>((AF157-AB157)/AB157)</f>
        <v>-1.6996431850381305E-3</v>
      </c>
      <c r="AI157" s="24">
        <f t="shared" ref="AI157:AI163" si="153">((AG157-AC157)/AC157)</f>
        <v>1.2240900930307775E-3</v>
      </c>
      <c r="AJ157" s="25">
        <f t="shared" si="126"/>
        <v>-5.440234812349007E-3</v>
      </c>
      <c r="AK157" s="25">
        <f t="shared" si="127"/>
        <v>1.1675862820411703E-3</v>
      </c>
      <c r="AL157" s="26">
        <f t="shared" si="128"/>
        <v>-3.8572446599596993E-2</v>
      </c>
      <c r="AM157" s="26">
        <f t="shared" si="129"/>
        <v>8.1347576006573115E-3</v>
      </c>
      <c r="AN157" s="27">
        <f t="shared" si="130"/>
        <v>8.0035561351013054E-3</v>
      </c>
      <c r="AO157" s="84">
        <f t="shared" si="131"/>
        <v>1.6356766723174231E-4</v>
      </c>
    </row>
    <row r="158" spans="1:41">
      <c r="A158" s="216" t="s">
        <v>202</v>
      </c>
      <c r="B158" s="390">
        <v>7575814955.4200001</v>
      </c>
      <c r="C158" s="390">
        <v>124.04</v>
      </c>
      <c r="D158" s="390">
        <v>7529804652.3900003</v>
      </c>
      <c r="E158" s="390">
        <v>124.36</v>
      </c>
      <c r="F158" s="24">
        <f>((D153-B158)/B158)</f>
        <v>-0.51749099611061633</v>
      </c>
      <c r="G158" s="24">
        <f t="shared" ref="G158:G163" si="154">((E158-C158)/C158)</f>
        <v>2.5798129635600867E-3</v>
      </c>
      <c r="H158" s="390">
        <v>8141366291.6800003</v>
      </c>
      <c r="I158" s="390">
        <v>124.67</v>
      </c>
      <c r="J158" s="24">
        <f>((H153-D158)/D158)</f>
        <v>-0.51254189303238096</v>
      </c>
      <c r="K158" s="24">
        <f t="shared" si="147"/>
        <v>2.4927629462849973E-3</v>
      </c>
      <c r="L158" s="390">
        <v>8149133404.1099997</v>
      </c>
      <c r="M158" s="390">
        <v>124.99</v>
      </c>
      <c r="N158" s="24">
        <f>((L153-H158)/H158)</f>
        <v>-0.54624367001331797</v>
      </c>
      <c r="O158" s="24">
        <f t="shared" si="148"/>
        <v>2.5667762894039719E-3</v>
      </c>
      <c r="P158" s="390">
        <v>8098892740.7600002</v>
      </c>
      <c r="Q158" s="390">
        <v>125.3</v>
      </c>
      <c r="R158" s="24">
        <f>((P153-L158)/L158)</f>
        <v>-0.54546675108032117</v>
      </c>
      <c r="S158" s="24">
        <f t="shared" si="149"/>
        <v>2.4801984158732884E-3</v>
      </c>
      <c r="T158" s="390">
        <v>8135815634.6999998</v>
      </c>
      <c r="U158" s="390">
        <v>125.6</v>
      </c>
      <c r="V158" s="24">
        <f>((T153-P158)/P158)</f>
        <v>-0.539544416186446</v>
      </c>
      <c r="W158" s="24">
        <f t="shared" si="150"/>
        <v>2.3942537909018131E-3</v>
      </c>
      <c r="X158" s="390">
        <v>9569206492.7600002</v>
      </c>
      <c r="Y158" s="390">
        <v>125.86</v>
      </c>
      <c r="Z158" s="24">
        <f>((X153-T158)/T158)</f>
        <v>-0.54090506073424216</v>
      </c>
      <c r="AA158" s="24">
        <f t="shared" si="151"/>
        <v>2.0700636942675567E-3</v>
      </c>
      <c r="AB158" s="390">
        <v>9585802507.4300003</v>
      </c>
      <c r="AC158" s="390">
        <v>126.06</v>
      </c>
      <c r="AD158" s="24">
        <f>((AB153-X158)/X158)</f>
        <v>-0.60857581973030772</v>
      </c>
      <c r="AE158" s="24">
        <f t="shared" si="152"/>
        <v>1.5890672175433247E-3</v>
      </c>
      <c r="AF158" s="390">
        <v>9572672977.6900005</v>
      </c>
      <c r="AG158" s="390">
        <v>126.29</v>
      </c>
      <c r="AH158" s="24">
        <f>((AF153-AB158)/AB158)</f>
        <v>-0.61141744719935232</v>
      </c>
      <c r="AI158" s="24">
        <f t="shared" si="153"/>
        <v>1.8245280025385052E-3</v>
      </c>
      <c r="AJ158" s="25">
        <f t="shared" si="126"/>
        <v>-0.55277325676087308</v>
      </c>
      <c r="AK158" s="25">
        <f t="shared" si="127"/>
        <v>2.2496829150466932E-3</v>
      </c>
      <c r="AL158" s="26">
        <f t="shared" si="128"/>
        <v>0.27130429268860018</v>
      </c>
      <c r="AM158" s="26">
        <f t="shared" si="129"/>
        <v>1.5519459633322666E-2</v>
      </c>
      <c r="AN158" s="27">
        <f t="shared" si="130"/>
        <v>3.7470644659544881E-2</v>
      </c>
      <c r="AO158" s="84">
        <f t="shared" si="131"/>
        <v>3.7646721669781921E-4</v>
      </c>
    </row>
    <row r="159" spans="1:41">
      <c r="A159" s="216" t="s">
        <v>176</v>
      </c>
      <c r="B159" s="390">
        <v>2211081913.5500002</v>
      </c>
      <c r="C159" s="391">
        <v>1.1094999999999999</v>
      </c>
      <c r="D159" s="390">
        <v>2215642157.8800001</v>
      </c>
      <c r="E159" s="391">
        <v>1.1136999999999999</v>
      </c>
      <c r="F159" s="24">
        <f>((D154-B159)/B159)</f>
        <v>-0.85910343754754104</v>
      </c>
      <c r="G159" s="24">
        <f t="shared" si="154"/>
        <v>3.7854889589905199E-3</v>
      </c>
      <c r="H159" s="390">
        <v>2229913614.5100002</v>
      </c>
      <c r="I159" s="391">
        <v>1.1157999999999999</v>
      </c>
      <c r="J159" s="24">
        <f>((H154-D159)/D159)</f>
        <v>-0.85860192877456165</v>
      </c>
      <c r="K159" s="24">
        <f t="shared" si="147"/>
        <v>1.8856065367693193E-3</v>
      </c>
      <c r="L159" s="390">
        <v>2234100421.8099999</v>
      </c>
      <c r="M159" s="391">
        <v>1.1178999999999999</v>
      </c>
      <c r="N159" s="24">
        <f>((L154-H159)/H159)</f>
        <v>-0.85826184747096057</v>
      </c>
      <c r="O159" s="24">
        <f t="shared" si="148"/>
        <v>1.8820577164366293E-3</v>
      </c>
      <c r="P159" s="390">
        <v>2238824612.1500001</v>
      </c>
      <c r="Q159" s="391">
        <v>1.1200000000000001</v>
      </c>
      <c r="R159" s="24">
        <f>((P154-L159)/L159)</f>
        <v>-0.85863136218195468</v>
      </c>
      <c r="S159" s="24">
        <f t="shared" si="149"/>
        <v>1.8785222291799026E-3</v>
      </c>
      <c r="T159" s="390">
        <v>2242432741.1799998</v>
      </c>
      <c r="U159" s="391">
        <v>1.1217999999999999</v>
      </c>
      <c r="V159" s="24">
        <f>((T154-P159)/P159)</f>
        <v>-0.85895679070333386</v>
      </c>
      <c r="W159" s="24">
        <f t="shared" si="150"/>
        <v>1.60714285714268E-3</v>
      </c>
      <c r="X159" s="390">
        <v>2246860621.5</v>
      </c>
      <c r="Y159" s="391">
        <v>1.1238999999999999</v>
      </c>
      <c r="Z159" s="24">
        <f>((X154-T159)/T159)</f>
        <v>-0.85875430778212325</v>
      </c>
      <c r="AA159" s="24">
        <f t="shared" si="151"/>
        <v>1.8719914423248271E-3</v>
      </c>
      <c r="AB159" s="390">
        <v>2268874287.4099998</v>
      </c>
      <c r="AC159" s="391">
        <v>1.1258999999999999</v>
      </c>
      <c r="AD159" s="24">
        <f>((AB154-X159)/X159)</f>
        <v>-0.85951434959536055</v>
      </c>
      <c r="AE159" s="24">
        <f t="shared" si="152"/>
        <v>1.779517750689565E-3</v>
      </c>
      <c r="AF159" s="390">
        <v>2272858774.1500001</v>
      </c>
      <c r="AG159" s="391">
        <v>1.1278999999999999</v>
      </c>
      <c r="AH159" s="24">
        <f>((AF154-AB159)/AB159)</f>
        <v>-0.86266650074046469</v>
      </c>
      <c r="AI159" s="24">
        <f t="shared" si="153"/>
        <v>1.7763566924238405E-3</v>
      </c>
      <c r="AJ159" s="25">
        <f t="shared" si="126"/>
        <v>-0.85931131559953755</v>
      </c>
      <c r="AK159" s="25">
        <f t="shared" si="127"/>
        <v>2.0583355229946607E-3</v>
      </c>
      <c r="AL159" s="26">
        <f t="shared" si="128"/>
        <v>2.5823942763729832E-2</v>
      </c>
      <c r="AM159" s="26">
        <f t="shared" si="129"/>
        <v>1.2750291820059254E-2</v>
      </c>
      <c r="AN159" s="27">
        <f t="shared" si="130"/>
        <v>1.4063427086382487E-3</v>
      </c>
      <c r="AO159" s="84">
        <f t="shared" si="131"/>
        <v>7.0425759583456053E-4</v>
      </c>
    </row>
    <row r="160" spans="1:41" s="313" customFormat="1">
      <c r="A160" s="216" t="s">
        <v>189</v>
      </c>
      <c r="B160" s="390">
        <v>338450268.92000002</v>
      </c>
      <c r="C160" s="391">
        <v>101.32164828667599</v>
      </c>
      <c r="D160" s="390">
        <v>339471323</v>
      </c>
      <c r="E160" s="391">
        <v>101.48</v>
      </c>
      <c r="F160" s="24">
        <f t="shared" ref="F160:F165" si="155">((D160-B160)/B160)</f>
        <v>3.0168511411090984E-3</v>
      </c>
      <c r="G160" s="24">
        <f t="shared" si="154"/>
        <v>1.5628615996847429E-3</v>
      </c>
      <c r="H160" s="390">
        <v>359488079.36000001</v>
      </c>
      <c r="I160" s="391">
        <v>101.63</v>
      </c>
      <c r="J160" s="24">
        <f t="shared" ref="J160:J165" si="156">((H160-D160)/D160)</f>
        <v>5.8964498630124387E-2</v>
      </c>
      <c r="K160" s="24">
        <f t="shared" si="147"/>
        <v>1.4781237682301091E-3</v>
      </c>
      <c r="L160" s="390">
        <v>358893531.20999998</v>
      </c>
      <c r="M160" s="391">
        <v>101.87</v>
      </c>
      <c r="N160" s="24">
        <f t="shared" ref="N160:N165" si="157">((L160-H160)/H160)</f>
        <v>-1.6538744512989566E-3</v>
      </c>
      <c r="O160" s="24">
        <f t="shared" si="148"/>
        <v>2.3615074289088764E-3</v>
      </c>
      <c r="P160" s="390">
        <v>369919581.81</v>
      </c>
      <c r="Q160" s="391">
        <v>102.04</v>
      </c>
      <c r="R160" s="24">
        <f t="shared" ref="R160:R165" si="158">((P160-L160)/L160)</f>
        <v>3.072234420839514E-2</v>
      </c>
      <c r="S160" s="24">
        <f t="shared" si="149"/>
        <v>1.6687935604201599E-3</v>
      </c>
      <c r="T160" s="390">
        <v>381770254.94</v>
      </c>
      <c r="U160" s="391">
        <v>102.2</v>
      </c>
      <c r="V160" s="24">
        <f t="shared" ref="V160:V165" si="159">((T160-P160)/P160)</f>
        <v>3.2035809166995652E-2</v>
      </c>
      <c r="W160" s="24">
        <f t="shared" si="150"/>
        <v>1.5680125441003192E-3</v>
      </c>
      <c r="X160" s="390">
        <v>403233828.72000003</v>
      </c>
      <c r="Y160" s="391">
        <v>102.36</v>
      </c>
      <c r="Z160" s="24">
        <f t="shared" ref="Z160:Z165" si="160">((X160-T160)/T160)</f>
        <v>5.6221178843211088E-2</v>
      </c>
      <c r="AA160" s="24">
        <f t="shared" si="151"/>
        <v>1.5655577299412582E-3</v>
      </c>
      <c r="AB160" s="390">
        <v>404148927.02999997</v>
      </c>
      <c r="AC160" s="391">
        <v>102.63</v>
      </c>
      <c r="AD160" s="24">
        <f t="shared" ref="AD160:AD165" si="161">((AB160-X160)/X160)</f>
        <v>2.2693986586015688E-3</v>
      </c>
      <c r="AE160" s="24">
        <f t="shared" si="152"/>
        <v>2.6377491207502544E-3</v>
      </c>
      <c r="AF160" s="390">
        <v>407073807.34999996</v>
      </c>
      <c r="AG160" s="391">
        <v>102.82</v>
      </c>
      <c r="AH160" s="24">
        <f t="shared" ref="AH160:AH165" si="162">((AF160-AB160)/AB160)</f>
        <v>7.2371349380889955E-3</v>
      </c>
      <c r="AI160" s="24">
        <f t="shared" si="153"/>
        <v>1.8513105329825367E-3</v>
      </c>
      <c r="AJ160" s="25">
        <f t="shared" si="126"/>
        <v>2.3601667641903371E-2</v>
      </c>
      <c r="AK160" s="25">
        <f t="shared" si="127"/>
        <v>1.8367395356272823E-3</v>
      </c>
      <c r="AL160" s="26">
        <f t="shared" si="128"/>
        <v>0.19914048630847078</v>
      </c>
      <c r="AM160" s="26">
        <f t="shared" si="129"/>
        <v>1.3204572329522952E-2</v>
      </c>
      <c r="AN160" s="27">
        <f t="shared" si="130"/>
        <v>2.4555598174424594E-2</v>
      </c>
      <c r="AO160" s="84">
        <f t="shared" si="131"/>
        <v>4.3008039480386701E-4</v>
      </c>
    </row>
    <row r="161" spans="1:41" s="328" customFormat="1">
      <c r="A161" s="216" t="s">
        <v>248</v>
      </c>
      <c r="B161" s="390">
        <v>471519498.49000001</v>
      </c>
      <c r="C161" s="390">
        <v>1013.84</v>
      </c>
      <c r="D161" s="390">
        <v>472284192.94999999</v>
      </c>
      <c r="E161" s="390">
        <v>1010.85</v>
      </c>
      <c r="F161" s="24">
        <f t="shared" si="155"/>
        <v>1.6217663584408401E-3</v>
      </c>
      <c r="G161" s="24">
        <f t="shared" si="154"/>
        <v>-2.9491833030853083E-3</v>
      </c>
      <c r="H161" s="390">
        <v>498886405.76999998</v>
      </c>
      <c r="I161" s="390">
        <v>1045.94</v>
      </c>
      <c r="J161" s="24">
        <f t="shared" si="156"/>
        <v>5.6326705862917437E-2</v>
      </c>
      <c r="K161" s="24">
        <f t="shared" si="147"/>
        <v>3.4713360043527756E-2</v>
      </c>
      <c r="L161" s="390">
        <v>499525503.55000001</v>
      </c>
      <c r="M161" s="390">
        <v>1046.75</v>
      </c>
      <c r="N161" s="24">
        <f t="shared" si="157"/>
        <v>1.2810486968744389E-3</v>
      </c>
      <c r="O161" s="24">
        <f t="shared" si="148"/>
        <v>7.744230070558019E-4</v>
      </c>
      <c r="P161" s="390">
        <v>500039594.88999999</v>
      </c>
      <c r="Q161" s="390">
        <v>1047.83</v>
      </c>
      <c r="R161" s="24">
        <f t="shared" si="158"/>
        <v>1.0291593449112369E-3</v>
      </c>
      <c r="S161" s="24">
        <f t="shared" si="149"/>
        <v>1.0317649868640338E-3</v>
      </c>
      <c r="T161" s="390">
        <v>501142243.58999997</v>
      </c>
      <c r="U161" s="390">
        <v>1050.1400000000001</v>
      </c>
      <c r="V161" s="24">
        <f t="shared" si="159"/>
        <v>2.2051227768124073E-3</v>
      </c>
      <c r="W161" s="24">
        <f t="shared" si="150"/>
        <v>2.2045560825708112E-3</v>
      </c>
      <c r="X161" s="390">
        <v>502547123.88999999</v>
      </c>
      <c r="Y161" s="390">
        <v>1053.0899999999999</v>
      </c>
      <c r="Z161" s="24">
        <f t="shared" si="160"/>
        <v>2.8033563683156357E-3</v>
      </c>
      <c r="AA161" s="24">
        <f t="shared" si="151"/>
        <v>2.809149256289464E-3</v>
      </c>
      <c r="AB161" s="390">
        <v>503284232.76999998</v>
      </c>
      <c r="AC161" s="390">
        <v>1053.0899999999999</v>
      </c>
      <c r="AD161" s="24">
        <f t="shared" si="161"/>
        <v>1.4667457934976408E-3</v>
      </c>
      <c r="AE161" s="24">
        <f t="shared" si="152"/>
        <v>0</v>
      </c>
      <c r="AF161" s="390">
        <v>504384370.08999997</v>
      </c>
      <c r="AG161" s="390">
        <v>1057.78</v>
      </c>
      <c r="AH161" s="24">
        <f t="shared" si="162"/>
        <v>2.1859165226476582E-3</v>
      </c>
      <c r="AI161" s="24">
        <f t="shared" si="153"/>
        <v>4.4535604744134448E-3</v>
      </c>
      <c r="AJ161" s="25">
        <f t="shared" si="126"/>
        <v>8.614977715552162E-3</v>
      </c>
      <c r="AK161" s="25">
        <f t="shared" si="127"/>
        <v>5.3797038184544999E-3</v>
      </c>
      <c r="AL161" s="26">
        <f t="shared" si="128"/>
        <v>6.7967926132557185E-2</v>
      </c>
      <c r="AM161" s="26">
        <f t="shared" si="129"/>
        <v>4.6426274917148881E-2</v>
      </c>
      <c r="AN161" s="27">
        <f t="shared" si="130"/>
        <v>1.9287065960488379E-2</v>
      </c>
      <c r="AO161" s="84">
        <f t="shared" si="131"/>
        <v>1.2050104920817555E-2</v>
      </c>
    </row>
    <row r="162" spans="1:41" s="328" customFormat="1">
      <c r="A162" s="216" t="s">
        <v>251</v>
      </c>
      <c r="B162" s="390">
        <v>54230733.600000001</v>
      </c>
      <c r="C162" s="390">
        <v>103.79</v>
      </c>
      <c r="D162" s="390">
        <v>54381270.920000002</v>
      </c>
      <c r="E162" s="390">
        <v>103.87</v>
      </c>
      <c r="F162" s="24">
        <f t="shared" si="155"/>
        <v>2.775867298981187E-3</v>
      </c>
      <c r="G162" s="24">
        <f t="shared" si="154"/>
        <v>7.7078716639366305E-4</v>
      </c>
      <c r="H162" s="390">
        <v>54515641.07</v>
      </c>
      <c r="I162" s="390">
        <v>104.03</v>
      </c>
      <c r="J162" s="24">
        <f t="shared" si="156"/>
        <v>2.4708902114051311E-3</v>
      </c>
      <c r="K162" s="24">
        <f t="shared" si="147"/>
        <v>1.5403870222393046E-3</v>
      </c>
      <c r="L162" s="390">
        <v>54625839.579999998</v>
      </c>
      <c r="M162" s="390">
        <v>104.13</v>
      </c>
      <c r="N162" s="24">
        <f t="shared" si="157"/>
        <v>2.0214108802004025E-3</v>
      </c>
      <c r="O162" s="24">
        <f t="shared" si="148"/>
        <v>9.6126117466110083E-4</v>
      </c>
      <c r="P162" s="390">
        <v>54736038.090000004</v>
      </c>
      <c r="Q162" s="390">
        <v>104.24</v>
      </c>
      <c r="R162" s="24">
        <f t="shared" si="158"/>
        <v>2.0173330212823314E-3</v>
      </c>
      <c r="S162" s="24">
        <f t="shared" si="149"/>
        <v>1.0563718428886913E-3</v>
      </c>
      <c r="T162" s="390">
        <v>55007752.780000001</v>
      </c>
      <c r="U162" s="390">
        <v>104.35</v>
      </c>
      <c r="V162" s="24">
        <f t="shared" si="159"/>
        <v>4.9640912912481787E-3</v>
      </c>
      <c r="W162" s="24">
        <f t="shared" si="150"/>
        <v>1.055257099002297E-3</v>
      </c>
      <c r="X162" s="390">
        <v>55133774.630000003</v>
      </c>
      <c r="Y162" s="390">
        <v>104.47</v>
      </c>
      <c r="Z162" s="24">
        <f t="shared" si="160"/>
        <v>2.2909834274455428E-3</v>
      </c>
      <c r="AA162" s="24">
        <f t="shared" si="151"/>
        <v>1.1499760421658318E-3</v>
      </c>
      <c r="AB162" s="390">
        <v>59734399.329999998</v>
      </c>
      <c r="AC162" s="390">
        <v>104.56</v>
      </c>
      <c r="AD162" s="24">
        <f t="shared" si="161"/>
        <v>8.3444761960786415E-2</v>
      </c>
      <c r="AE162" s="24">
        <f t="shared" si="152"/>
        <v>8.6149133722603056E-4</v>
      </c>
      <c r="AF162" s="390">
        <v>59786106.200000003</v>
      </c>
      <c r="AG162" s="390">
        <v>104.67</v>
      </c>
      <c r="AH162" s="24">
        <f t="shared" si="162"/>
        <v>8.6561295635287957E-4</v>
      </c>
      <c r="AI162" s="24">
        <f t="shared" si="153"/>
        <v>1.0520275439938737E-3</v>
      </c>
      <c r="AJ162" s="25">
        <f t="shared" si="126"/>
        <v>1.2606368880962757E-2</v>
      </c>
      <c r="AK162" s="25">
        <f t="shared" si="127"/>
        <v>1.0559449035713491E-3</v>
      </c>
      <c r="AL162" s="26">
        <f t="shared" si="128"/>
        <v>9.9387807393303218E-2</v>
      </c>
      <c r="AM162" s="26">
        <f t="shared" si="129"/>
        <v>7.7019351111966604E-3</v>
      </c>
      <c r="AN162" s="27">
        <f t="shared" si="130"/>
        <v>2.8646292637606353E-2</v>
      </c>
      <c r="AO162" s="84">
        <f t="shared" si="131"/>
        <v>2.3041396146944443E-4</v>
      </c>
    </row>
    <row r="163" spans="1:41">
      <c r="A163" s="216" t="s">
        <v>255</v>
      </c>
      <c r="B163" s="384">
        <v>51213412.340000004</v>
      </c>
      <c r="C163" s="385">
        <v>100.95</v>
      </c>
      <c r="D163" s="384">
        <v>51258841.340000004</v>
      </c>
      <c r="E163" s="385">
        <v>101.15</v>
      </c>
      <c r="F163" s="24">
        <f t="shared" si="155"/>
        <v>8.8705278411057729E-4</v>
      </c>
      <c r="G163" s="24">
        <f t="shared" si="154"/>
        <v>1.9811788013868533E-3</v>
      </c>
      <c r="H163" s="384">
        <v>51304238.359999999</v>
      </c>
      <c r="I163" s="385">
        <v>101.36</v>
      </c>
      <c r="J163" s="24">
        <f t="shared" si="156"/>
        <v>8.8564272646892849E-4</v>
      </c>
      <c r="K163" s="24">
        <f t="shared" si="147"/>
        <v>2.0761245674739866E-3</v>
      </c>
      <c r="L163" s="384">
        <v>51349603.399999999</v>
      </c>
      <c r="M163" s="385">
        <v>101.56</v>
      </c>
      <c r="N163" s="24">
        <f t="shared" si="157"/>
        <v>8.8423571716773669E-4</v>
      </c>
      <c r="O163" s="24">
        <f t="shared" si="148"/>
        <v>1.9731649565903988E-3</v>
      </c>
      <c r="P163" s="384">
        <v>51349603.399999999</v>
      </c>
      <c r="Q163" s="385">
        <v>101.46</v>
      </c>
      <c r="R163" s="24">
        <f t="shared" si="158"/>
        <v>0</v>
      </c>
      <c r="S163" s="24">
        <f t="shared" si="149"/>
        <v>-9.8463962189846918E-4</v>
      </c>
      <c r="T163" s="384">
        <v>51441969.899999999</v>
      </c>
      <c r="U163" s="385">
        <v>101.67</v>
      </c>
      <c r="V163" s="24">
        <f t="shared" si="159"/>
        <v>1.79877728130613E-3</v>
      </c>
      <c r="W163" s="24">
        <f t="shared" si="150"/>
        <v>2.069781194559511E-3</v>
      </c>
      <c r="X163" s="384">
        <v>51498033.109999999</v>
      </c>
      <c r="Y163" s="385">
        <v>101.89</v>
      </c>
      <c r="Z163" s="24">
        <f t="shared" si="160"/>
        <v>1.0898340423001742E-3</v>
      </c>
      <c r="AA163" s="24">
        <f t="shared" si="151"/>
        <v>2.1638634798858943E-3</v>
      </c>
      <c r="AB163" s="384">
        <v>51559080.990000002</v>
      </c>
      <c r="AC163" s="385">
        <v>102.13</v>
      </c>
      <c r="AD163" s="24">
        <f t="shared" si="161"/>
        <v>1.1854410025641984E-3</v>
      </c>
      <c r="AE163" s="24">
        <f t="shared" si="152"/>
        <v>2.3554814015113836E-3</v>
      </c>
      <c r="AF163" s="384">
        <v>51623856.520000003</v>
      </c>
      <c r="AG163" s="385">
        <v>102.37</v>
      </c>
      <c r="AH163" s="24">
        <f t="shared" si="162"/>
        <v>1.256336008249731E-3</v>
      </c>
      <c r="AI163" s="24">
        <f t="shared" si="153"/>
        <v>2.349946147067552E-3</v>
      </c>
      <c r="AJ163" s="25">
        <f t="shared" si="126"/>
        <v>9.9841494527093443E-4</v>
      </c>
      <c r="AK163" s="25">
        <f t="shared" si="127"/>
        <v>1.7481126158221385E-3</v>
      </c>
      <c r="AL163" s="26">
        <f t="shared" si="128"/>
        <v>7.1210189395201741E-3</v>
      </c>
      <c r="AM163" s="26">
        <f t="shared" si="129"/>
        <v>1.2061295106277794E-2</v>
      </c>
      <c r="AN163" s="27">
        <f t="shared" si="130"/>
        <v>5.050357475922684E-4</v>
      </c>
      <c r="AO163" s="84">
        <f t="shared" si="131"/>
        <v>1.1140604582728659E-3</v>
      </c>
    </row>
    <row r="164" spans="1:41">
      <c r="A164" s="218" t="s">
        <v>46</v>
      </c>
      <c r="B164" s="81">
        <f>SUM(B153:B163)</f>
        <v>23218611718.279995</v>
      </c>
      <c r="C164" s="93"/>
      <c r="D164" s="81">
        <f>SUM(D153:D163)</f>
        <v>23178272501.200001</v>
      </c>
      <c r="E164" s="93"/>
      <c r="F164" s="24">
        <f t="shared" si="155"/>
        <v>-1.7373655914248813E-3</v>
      </c>
      <c r="G164" s="24"/>
      <c r="H164" s="81">
        <f>SUM(H153:H163)</f>
        <v>23806773999.320004</v>
      </c>
      <c r="I164" s="93"/>
      <c r="J164" s="24">
        <f t="shared" si="156"/>
        <v>2.7115976744490494E-2</v>
      </c>
      <c r="K164" s="24"/>
      <c r="L164" s="81">
        <f>SUM(L153:L163)</f>
        <v>23850690692.210003</v>
      </c>
      <c r="M164" s="93"/>
      <c r="N164" s="24">
        <f t="shared" si="157"/>
        <v>1.8447141511594048E-3</v>
      </c>
      <c r="O164" s="24"/>
      <c r="P164" s="81">
        <f>SUM(P153:P163)</f>
        <v>23767011958.820007</v>
      </c>
      <c r="Q164" s="93"/>
      <c r="R164" s="24">
        <f t="shared" si="158"/>
        <v>-3.5084406766184898E-3</v>
      </c>
      <c r="S164" s="24"/>
      <c r="T164" s="81">
        <f>SUM(T153:T163)</f>
        <v>23646207806.779999</v>
      </c>
      <c r="U164" s="93"/>
      <c r="V164" s="24">
        <f t="shared" si="159"/>
        <v>-5.0828498024623487E-3</v>
      </c>
      <c r="W164" s="24"/>
      <c r="X164" s="81">
        <f>SUM(X153:X163)</f>
        <v>25118658682.680004</v>
      </c>
      <c r="Y164" s="93"/>
      <c r="Z164" s="24">
        <f t="shared" si="160"/>
        <v>6.2270064102110036E-2</v>
      </c>
      <c r="AA164" s="24"/>
      <c r="AB164" s="81">
        <f>SUM(AB153:AB163)</f>
        <v>25167427500.150002</v>
      </c>
      <c r="AC164" s="93"/>
      <c r="AD164" s="24">
        <f t="shared" si="161"/>
        <v>1.9415374875739217E-3</v>
      </c>
      <c r="AE164" s="24"/>
      <c r="AF164" s="81">
        <f>SUM(AF153:AF163)</f>
        <v>25123628784.880001</v>
      </c>
      <c r="AG164" s="93"/>
      <c r="AH164" s="24">
        <f t="shared" si="162"/>
        <v>-1.740293689918821E-3</v>
      </c>
      <c r="AI164" s="24"/>
      <c r="AJ164" s="25">
        <f t="shared" si="126"/>
        <v>1.0137917840613665E-2</v>
      </c>
      <c r="AK164" s="25"/>
      <c r="AL164" s="26">
        <f t="shared" si="128"/>
        <v>8.3930167081230231E-2</v>
      </c>
      <c r="AM164" s="26"/>
      <c r="AN164" s="27">
        <f t="shared" si="130"/>
        <v>2.3427645971863191E-2</v>
      </c>
      <c r="AO164" s="84"/>
    </row>
    <row r="165" spans="1:41">
      <c r="A165" s="218" t="s">
        <v>32</v>
      </c>
      <c r="B165" s="329">
        <f>SUM(B21,B53,B86,B110,B117,B143,B149,B164)</f>
        <v>1469823604527.4382</v>
      </c>
      <c r="C165" s="93"/>
      <c r="D165" s="329">
        <f>SUM(D21,D53,D86,D110,D117,D143,D149,D164)</f>
        <v>1490921997071.4626</v>
      </c>
      <c r="E165" s="93"/>
      <c r="F165" s="24">
        <f t="shared" si="155"/>
        <v>1.4354370469378699E-2</v>
      </c>
      <c r="G165" s="24"/>
      <c r="H165" s="329">
        <f>SUM(H21,H53,H86,H110,H117,H143,H149,H164)</f>
        <v>1512850065818.8408</v>
      </c>
      <c r="I165" s="93"/>
      <c r="J165" s="24">
        <f t="shared" si="156"/>
        <v>1.4707723670621462E-2</v>
      </c>
      <c r="K165" s="24"/>
      <c r="L165" s="329">
        <f>SUM(L21,L53,L86,L110,L117,L143,L149,L164)</f>
        <v>1523158681328.7776</v>
      </c>
      <c r="M165" s="93"/>
      <c r="N165" s="24">
        <f t="shared" si="157"/>
        <v>6.8140364619392445E-3</v>
      </c>
      <c r="O165" s="24"/>
      <c r="P165" s="329">
        <f>SUM(P21,P53,P86,P110,P117,P143,P149,P164)</f>
        <v>1547246773235.0869</v>
      </c>
      <c r="Q165" s="93"/>
      <c r="R165" s="24">
        <f t="shared" si="158"/>
        <v>1.581456495740502E-2</v>
      </c>
      <c r="S165" s="24"/>
      <c r="T165" s="329">
        <f>SUM(T21,T53,T86,T110,T117,T143,T149,T164)</f>
        <v>1573777700117.2585</v>
      </c>
      <c r="U165" s="93"/>
      <c r="V165" s="24">
        <f t="shared" si="159"/>
        <v>1.7147185142741644E-2</v>
      </c>
      <c r="W165" s="24"/>
      <c r="X165" s="329">
        <f>SUM(X21,X53,X86,X110,X117,X143,X149,X164)</f>
        <v>1590591629138.8462</v>
      </c>
      <c r="Y165" s="93"/>
      <c r="Z165" s="24">
        <f t="shared" si="160"/>
        <v>1.0683801797633096E-2</v>
      </c>
      <c r="AA165" s="24"/>
      <c r="AB165" s="329">
        <f>SUM(AB21,AB53,AB86,AB110,AB117,AB143,AB149,AB164)</f>
        <v>1587941753781.491</v>
      </c>
      <c r="AC165" s="93"/>
      <c r="AD165" s="24">
        <f t="shared" si="161"/>
        <v>-1.6659683785648235E-3</v>
      </c>
      <c r="AE165" s="24"/>
      <c r="AF165" s="329">
        <f>SUM(AF21,AF53,AF86,AF110,AF117,AF143,AF149,AF164)</f>
        <v>1574933447715.4641</v>
      </c>
      <c r="AG165" s="93"/>
      <c r="AH165" s="24">
        <f t="shared" si="162"/>
        <v>-8.1919289766448616E-3</v>
      </c>
      <c r="AI165" s="24"/>
      <c r="AJ165" s="25">
        <f t="shared" si="126"/>
        <v>8.707973143063685E-3</v>
      </c>
      <c r="AK165" s="25"/>
      <c r="AL165" s="26">
        <f t="shared" si="128"/>
        <v>5.6348655938419721E-2</v>
      </c>
      <c r="AM165" s="26"/>
      <c r="AN165" s="27">
        <f t="shared" si="130"/>
        <v>9.1832067611400826E-3</v>
      </c>
      <c r="AO165" s="84"/>
    </row>
    <row r="166" spans="1:41" s="118" customFormat="1" ht="6" customHeight="1">
      <c r="A166" s="218"/>
      <c r="B166" s="93"/>
      <c r="C166" s="93"/>
      <c r="D166" s="93"/>
      <c r="E166" s="93"/>
      <c r="F166" s="24"/>
      <c r="G166" s="24"/>
      <c r="H166" s="93"/>
      <c r="I166" s="93"/>
      <c r="J166" s="24"/>
      <c r="K166" s="24"/>
      <c r="L166" s="93"/>
      <c r="M166" s="93"/>
      <c r="N166" s="24"/>
      <c r="O166" s="24"/>
      <c r="P166" s="93"/>
      <c r="Q166" s="93"/>
      <c r="R166" s="24"/>
      <c r="S166" s="24"/>
      <c r="T166" s="93"/>
      <c r="U166" s="93"/>
      <c r="V166" s="24"/>
      <c r="W166" s="24"/>
      <c r="X166" s="93"/>
      <c r="Y166" s="93"/>
      <c r="Z166" s="24"/>
      <c r="AA166" s="24"/>
      <c r="AB166" s="93"/>
      <c r="AC166" s="93"/>
      <c r="AD166" s="24"/>
      <c r="AE166" s="24"/>
      <c r="AF166" s="93"/>
      <c r="AG166" s="93"/>
      <c r="AH166" s="24"/>
      <c r="AI166" s="24"/>
      <c r="AJ166" s="25"/>
      <c r="AK166" s="25"/>
      <c r="AL166" s="26"/>
      <c r="AM166" s="26"/>
      <c r="AN166" s="27"/>
      <c r="AO166" s="84"/>
    </row>
    <row r="167" spans="1:41" s="118" customFormat="1">
      <c r="A167" s="222" t="s">
        <v>217</v>
      </c>
      <c r="B167" s="93"/>
      <c r="C167" s="93"/>
      <c r="D167" s="93"/>
      <c r="E167" s="93"/>
      <c r="F167" s="24"/>
      <c r="G167" s="24"/>
      <c r="H167" s="93"/>
      <c r="I167" s="93"/>
      <c r="J167" s="24"/>
      <c r="K167" s="24"/>
      <c r="L167" s="93"/>
      <c r="M167" s="93"/>
      <c r="N167" s="24"/>
      <c r="O167" s="24"/>
      <c r="P167" s="93"/>
      <c r="Q167" s="93"/>
      <c r="R167" s="24"/>
      <c r="S167" s="24"/>
      <c r="T167" s="93"/>
      <c r="U167" s="93"/>
      <c r="V167" s="24"/>
      <c r="W167" s="24"/>
      <c r="X167" s="93"/>
      <c r="Y167" s="93"/>
      <c r="Z167" s="24"/>
      <c r="AA167" s="24"/>
      <c r="AB167" s="93"/>
      <c r="AC167" s="93"/>
      <c r="AD167" s="24"/>
      <c r="AE167" s="24"/>
      <c r="AF167" s="93"/>
      <c r="AG167" s="93"/>
      <c r="AH167" s="24"/>
      <c r="AI167" s="24"/>
      <c r="AJ167" s="25"/>
      <c r="AK167" s="25"/>
      <c r="AL167" s="26"/>
      <c r="AM167" s="26"/>
      <c r="AN167" s="27"/>
      <c r="AO167" s="84"/>
    </row>
    <row r="168" spans="1:41" s="118" customFormat="1">
      <c r="A168" s="223" t="s">
        <v>126</v>
      </c>
      <c r="B168" s="390">
        <v>91117290437</v>
      </c>
      <c r="C168" s="391">
        <v>107.59</v>
      </c>
      <c r="D168" s="390">
        <v>91117290437</v>
      </c>
      <c r="E168" s="391">
        <v>107.59</v>
      </c>
      <c r="F168" s="24">
        <f>((D168-B168)/B168)</f>
        <v>0</v>
      </c>
      <c r="G168" s="24">
        <f>((E168-C168)/C168)</f>
        <v>0</v>
      </c>
      <c r="H168" s="390">
        <v>91117290437</v>
      </c>
      <c r="I168" s="391">
        <v>107.59</v>
      </c>
      <c r="J168" s="24">
        <f t="shared" ref="J168" si="163">((H168-D168)/D168)</f>
        <v>0</v>
      </c>
      <c r="K168" s="24">
        <f t="shared" ref="K168" si="164">((I168-E168)/E168)</f>
        <v>0</v>
      </c>
      <c r="L168" s="390">
        <v>91117290437</v>
      </c>
      <c r="M168" s="391">
        <v>107.59</v>
      </c>
      <c r="N168" s="24">
        <f t="shared" ref="N168" si="165">((L168-H168)/H168)</f>
        <v>0</v>
      </c>
      <c r="O168" s="24">
        <f t="shared" ref="O168" si="166">((M168-I168)/I168)</f>
        <v>0</v>
      </c>
      <c r="P168" s="390">
        <v>91117290437</v>
      </c>
      <c r="Q168" s="391">
        <v>107.59</v>
      </c>
      <c r="R168" s="24">
        <f t="shared" ref="R168" si="167">((P168-L168)/L168)</f>
        <v>0</v>
      </c>
      <c r="S168" s="24">
        <f t="shared" ref="S168" si="168">((Q168-M168)/M168)</f>
        <v>0</v>
      </c>
      <c r="T168" s="390">
        <v>91117290437</v>
      </c>
      <c r="U168" s="391">
        <v>107.59</v>
      </c>
      <c r="V168" s="24">
        <f t="shared" ref="V168" si="169">((T168-P168)/P168)</f>
        <v>0</v>
      </c>
      <c r="W168" s="24">
        <f t="shared" ref="W168" si="170">((U168-Q168)/Q168)</f>
        <v>0</v>
      </c>
      <c r="X168" s="390">
        <v>91117290437</v>
      </c>
      <c r="Y168" s="391">
        <v>107.59</v>
      </c>
      <c r="Z168" s="24">
        <f t="shared" ref="Z168" si="171">((X168-T168)/T168)</f>
        <v>0</v>
      </c>
      <c r="AA168" s="24">
        <f t="shared" ref="AA168" si="172">((Y168-U168)/U168)</f>
        <v>0</v>
      </c>
      <c r="AB168" s="390">
        <v>91117290437</v>
      </c>
      <c r="AC168" s="391">
        <v>107.59</v>
      </c>
      <c r="AD168" s="24">
        <f t="shared" ref="AD168" si="173">((AB168-X168)/X168)</f>
        <v>0</v>
      </c>
      <c r="AE168" s="24">
        <f t="shared" ref="AE168" si="174">((AC168-Y168)/Y168)</f>
        <v>0</v>
      </c>
      <c r="AF168" s="390">
        <v>91117290437</v>
      </c>
      <c r="AG168" s="391">
        <v>107.59</v>
      </c>
      <c r="AH168" s="24">
        <f t="shared" ref="AH168" si="175">((AF168-AB168)/AB168)</f>
        <v>0</v>
      </c>
      <c r="AI168" s="24">
        <f t="shared" ref="AI168" si="176">((AG168-AC168)/AC168)</f>
        <v>0</v>
      </c>
      <c r="AJ168" s="25">
        <f t="shared" si="126"/>
        <v>0</v>
      </c>
      <c r="AK168" s="25">
        <f t="shared" si="127"/>
        <v>0</v>
      </c>
      <c r="AL168" s="26">
        <f t="shared" si="128"/>
        <v>0</v>
      </c>
      <c r="AM168" s="26">
        <f t="shared" si="129"/>
        <v>0</v>
      </c>
      <c r="AN168" s="27">
        <f t="shared" si="130"/>
        <v>0</v>
      </c>
      <c r="AO168" s="84">
        <f t="shared" si="131"/>
        <v>0</v>
      </c>
    </row>
    <row r="169" spans="1:41" s="118" customFormat="1">
      <c r="A169" s="223" t="s">
        <v>264</v>
      </c>
      <c r="B169" s="390">
        <v>2138523179</v>
      </c>
      <c r="C169" s="392">
        <v>1000000</v>
      </c>
      <c r="D169" s="390">
        <v>2145217215</v>
      </c>
      <c r="E169" s="392">
        <v>1000000</v>
      </c>
      <c r="F169" s="24" t="e">
        <f>((#REF!-B169)/B169)</f>
        <v>#REF!</v>
      </c>
      <c r="G169" s="24" t="e">
        <f>((#REF!-C169)/C169)</f>
        <v>#REF!</v>
      </c>
      <c r="H169" s="390">
        <v>2151169989</v>
      </c>
      <c r="I169" s="392">
        <v>1000000</v>
      </c>
      <c r="J169" s="24" t="e">
        <f>((#REF!-D169)/D169)</f>
        <v>#REF!</v>
      </c>
      <c r="K169" s="24" t="e">
        <f>((#REF!-E169)/E169)</f>
        <v>#REF!</v>
      </c>
      <c r="L169" s="390">
        <v>2157122762</v>
      </c>
      <c r="M169" s="392">
        <v>1000000</v>
      </c>
      <c r="N169" s="24" t="e">
        <f>((#REF!-H169)/H169)</f>
        <v>#REF!</v>
      </c>
      <c r="O169" s="24" t="e">
        <f>((#REF!-I169)/I169)</f>
        <v>#REF!</v>
      </c>
      <c r="P169" s="390">
        <v>2173399559</v>
      </c>
      <c r="Q169" s="392">
        <v>1000000</v>
      </c>
      <c r="R169" s="24" t="e">
        <f>((#REF!-L169)/L169)</f>
        <v>#REF!</v>
      </c>
      <c r="S169" s="24" t="e">
        <f>((#REF!-M169)/M169)</f>
        <v>#REF!</v>
      </c>
      <c r="T169" s="390">
        <v>2179352333</v>
      </c>
      <c r="U169" s="392">
        <v>1000000</v>
      </c>
      <c r="V169" s="24" t="e">
        <f>((#REF!-P169)/P169)</f>
        <v>#REF!</v>
      </c>
      <c r="W169" s="24" t="e">
        <f>((#REF!-Q169)/Q169)</f>
        <v>#REF!</v>
      </c>
      <c r="X169" s="390">
        <v>2185305107</v>
      </c>
      <c r="Y169" s="392">
        <v>1000000</v>
      </c>
      <c r="Z169" s="24" t="e">
        <f>((#REF!-T169)/T169)</f>
        <v>#REF!</v>
      </c>
      <c r="AA169" s="24" t="e">
        <f>((#REF!-U169)/U169)</f>
        <v>#REF!</v>
      </c>
      <c r="AB169" s="390">
        <v>2191257881</v>
      </c>
      <c r="AC169" s="392">
        <v>1000000</v>
      </c>
      <c r="AD169" s="24" t="e">
        <f>((#REF!-X169)/X169)</f>
        <v>#REF!</v>
      </c>
      <c r="AE169" s="24" t="e">
        <f>((#REF!-Y169)/Y169)</f>
        <v>#REF!</v>
      </c>
      <c r="AF169" s="390">
        <v>2197210654</v>
      </c>
      <c r="AG169" s="392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26"/>
        <v>#REF!</v>
      </c>
      <c r="AK169" s="25" t="e">
        <f t="shared" si="127"/>
        <v>#REF!</v>
      </c>
      <c r="AL169" s="26">
        <f t="shared" si="128"/>
        <v>2.4236911132563328E-2</v>
      </c>
      <c r="AM169" s="26">
        <f t="shared" si="129"/>
        <v>0</v>
      </c>
      <c r="AN169" s="27" t="e">
        <f t="shared" si="130"/>
        <v>#REF!</v>
      </c>
      <c r="AO169" s="84" t="e">
        <f t="shared" si="131"/>
        <v>#REF!</v>
      </c>
    </row>
    <row r="170" spans="1:41" s="118" customFormat="1">
      <c r="A170" s="218" t="s">
        <v>46</v>
      </c>
      <c r="B170" s="82">
        <f>SUM(B168:B169)</f>
        <v>93255813616</v>
      </c>
      <c r="C170" s="93"/>
      <c r="D170" s="82">
        <f>SUM(D168:D169)</f>
        <v>93262507652</v>
      </c>
      <c r="F170" s="24"/>
      <c r="G170" s="24"/>
      <c r="H170" s="82">
        <f>SUM(H168:H169)</f>
        <v>93268460426</v>
      </c>
      <c r="I170" s="93"/>
      <c r="J170" s="24"/>
      <c r="K170" s="24"/>
      <c r="L170" s="82">
        <f>SUM(L168:L169)</f>
        <v>93274413199</v>
      </c>
      <c r="M170" s="93"/>
      <c r="N170" s="24"/>
      <c r="O170" s="24"/>
      <c r="P170" s="82">
        <f>SUM(P168:P169)</f>
        <v>93290689996</v>
      </c>
      <c r="Q170" s="93"/>
      <c r="R170" s="24"/>
      <c r="S170" s="24"/>
      <c r="T170" s="82">
        <f>SUM(T168:T169)</f>
        <v>93296642770</v>
      </c>
      <c r="U170" s="93"/>
      <c r="V170" s="24"/>
      <c r="W170" s="24"/>
      <c r="X170" s="82">
        <f>SUM(X168:X169)</f>
        <v>93302595544</v>
      </c>
      <c r="Y170" s="93"/>
      <c r="Z170" s="24"/>
      <c r="AA170" s="24"/>
      <c r="AB170" s="82">
        <f>SUM(AB168:AB169)</f>
        <v>93308548318</v>
      </c>
      <c r="AC170" s="93"/>
      <c r="AD170" s="24"/>
      <c r="AE170" s="24"/>
      <c r="AF170" s="82">
        <f>SUM(AF168:AF169)</f>
        <v>93314501091</v>
      </c>
      <c r="AG170" s="93"/>
      <c r="AH170" s="24"/>
      <c r="AI170" s="24"/>
      <c r="AJ170" s="25"/>
      <c r="AK170" s="25"/>
      <c r="AL170" s="26"/>
      <c r="AM170" s="26"/>
      <c r="AN170" s="27"/>
      <c r="AO170" s="84"/>
    </row>
    <row r="171" spans="1:41" ht="6" customHeight="1">
      <c r="A171" s="217"/>
      <c r="B171" s="93"/>
      <c r="C171" s="93"/>
      <c r="E171" s="93"/>
      <c r="F171" s="24"/>
      <c r="G171" s="24"/>
      <c r="H171" s="93"/>
      <c r="I171" s="93"/>
      <c r="J171" s="24"/>
      <c r="K171" s="24"/>
      <c r="L171" s="93"/>
      <c r="M171" s="93"/>
      <c r="N171" s="24"/>
      <c r="O171" s="24"/>
      <c r="P171" s="93"/>
      <c r="Q171" s="93"/>
      <c r="R171" s="24"/>
      <c r="S171" s="24"/>
      <c r="T171" s="93"/>
      <c r="U171" s="93"/>
      <c r="V171" s="24"/>
      <c r="W171" s="24"/>
      <c r="X171" s="93"/>
      <c r="Y171" s="93"/>
      <c r="Z171" s="24"/>
      <c r="AA171" s="24"/>
      <c r="AB171" s="93"/>
      <c r="AC171" s="93"/>
      <c r="AD171" s="24"/>
      <c r="AE171" s="24"/>
      <c r="AF171" s="93"/>
      <c r="AG171" s="93"/>
      <c r="AH171" s="24"/>
      <c r="AI171" s="24"/>
      <c r="AJ171" s="25"/>
      <c r="AK171" s="25"/>
      <c r="AL171" s="26"/>
      <c r="AM171" s="26"/>
      <c r="AN171" s="27"/>
      <c r="AO171" s="84"/>
    </row>
    <row r="172" spans="1:41" ht="25.5">
      <c r="A172" s="213" t="s">
        <v>50</v>
      </c>
      <c r="B172" s="87" t="s">
        <v>78</v>
      </c>
      <c r="C172" s="88" t="s">
        <v>79</v>
      </c>
      <c r="D172" s="87" t="s">
        <v>78</v>
      </c>
      <c r="E172" s="88" t="s">
        <v>79</v>
      </c>
      <c r="F172" s="424" t="s">
        <v>77</v>
      </c>
      <c r="G172" s="424" t="s">
        <v>3</v>
      </c>
      <c r="H172" s="87" t="s">
        <v>78</v>
      </c>
      <c r="I172" s="88" t="s">
        <v>79</v>
      </c>
      <c r="J172" s="425" t="s">
        <v>77</v>
      </c>
      <c r="K172" s="425" t="s">
        <v>3</v>
      </c>
      <c r="L172" s="87" t="s">
        <v>78</v>
      </c>
      <c r="M172" s="88" t="s">
        <v>79</v>
      </c>
      <c r="N172" s="435" t="s">
        <v>77</v>
      </c>
      <c r="O172" s="435" t="s">
        <v>3</v>
      </c>
      <c r="P172" s="87" t="s">
        <v>78</v>
      </c>
      <c r="Q172" s="88" t="s">
        <v>79</v>
      </c>
      <c r="R172" s="436" t="s">
        <v>77</v>
      </c>
      <c r="S172" s="436" t="s">
        <v>3</v>
      </c>
      <c r="T172" s="87" t="s">
        <v>78</v>
      </c>
      <c r="U172" s="88" t="s">
        <v>79</v>
      </c>
      <c r="V172" s="437" t="s">
        <v>77</v>
      </c>
      <c r="W172" s="437" t="s">
        <v>3</v>
      </c>
      <c r="X172" s="87" t="s">
        <v>78</v>
      </c>
      <c r="Y172" s="88" t="s">
        <v>79</v>
      </c>
      <c r="Z172" s="438" t="s">
        <v>77</v>
      </c>
      <c r="AA172" s="438" t="s">
        <v>3</v>
      </c>
      <c r="AB172" s="87" t="s">
        <v>78</v>
      </c>
      <c r="AC172" s="88" t="s">
        <v>79</v>
      </c>
      <c r="AD172" s="439" t="s">
        <v>77</v>
      </c>
      <c r="AE172" s="439" t="s">
        <v>3</v>
      </c>
      <c r="AF172" s="87" t="s">
        <v>78</v>
      </c>
      <c r="AG172" s="88" t="s">
        <v>79</v>
      </c>
      <c r="AH172" s="443" t="s">
        <v>77</v>
      </c>
      <c r="AI172" s="443" t="s">
        <v>3</v>
      </c>
      <c r="AJ172" s="333" t="s">
        <v>83</v>
      </c>
      <c r="AK172" s="333" t="s">
        <v>83</v>
      </c>
      <c r="AL172" s="333" t="s">
        <v>83</v>
      </c>
      <c r="AM172" s="333" t="s">
        <v>83</v>
      </c>
      <c r="AN172" s="16" t="s">
        <v>83</v>
      </c>
      <c r="AO172" s="17" t="s">
        <v>83</v>
      </c>
    </row>
    <row r="173" spans="1:41">
      <c r="A173" s="217" t="s">
        <v>34</v>
      </c>
      <c r="B173" s="388">
        <v>2884581000</v>
      </c>
      <c r="C173" s="392">
        <v>19.420000000000002</v>
      </c>
      <c r="D173" s="388">
        <v>3208128000</v>
      </c>
      <c r="E173" s="392">
        <v>19.899999999999999</v>
      </c>
      <c r="F173" s="24">
        <f t="shared" ref="F173:F184" si="177">((D173-B173)/B173)</f>
        <v>0.11216429699842022</v>
      </c>
      <c r="G173" s="24">
        <f t="shared" ref="G173:G184" si="178">((E173-C173)/C173)</f>
        <v>2.4716786817713533E-2</v>
      </c>
      <c r="H173" s="388">
        <v>3881045000</v>
      </c>
      <c r="I173" s="392">
        <v>19.97</v>
      </c>
      <c r="J173" s="24">
        <f t="shared" ref="J173:J184" si="179">((H173-D173)/D173)</f>
        <v>0.20975378787878787</v>
      </c>
      <c r="K173" s="24">
        <f t="shared" ref="K173:K184" si="180">((I173-E173)/E173)</f>
        <v>3.5175879396985069E-3</v>
      </c>
      <c r="L173" s="388">
        <v>3144330000</v>
      </c>
      <c r="M173" s="392">
        <v>19.760000000000002</v>
      </c>
      <c r="N173" s="24">
        <f t="shared" ref="N173:N184" si="181">((L173-H173)/H173)</f>
        <v>-0.18982387475538159</v>
      </c>
      <c r="O173" s="24">
        <f t="shared" ref="O173:O184" si="182">((M173-I173)/I173)</f>
        <v>-1.0515773660490602E-2</v>
      </c>
      <c r="P173" s="388">
        <v>2926581000.1399999</v>
      </c>
      <c r="Q173" s="392">
        <v>20.13</v>
      </c>
      <c r="R173" s="24">
        <f t="shared" ref="R173:R184" si="183">((P173-L173)/L173)</f>
        <v>-6.9251318996415817E-2</v>
      </c>
      <c r="S173" s="24">
        <f t="shared" ref="S173:S184" si="184">((Q173-M173)/M173)</f>
        <v>1.8724696356275172E-2</v>
      </c>
      <c r="T173" s="388">
        <v>3015215000</v>
      </c>
      <c r="U173" s="392">
        <v>20.239999999999998</v>
      </c>
      <c r="V173" s="24">
        <f t="shared" ref="V173:V184" si="185">((T173-P173)/P173)</f>
        <v>3.028585228147115E-2</v>
      </c>
      <c r="W173" s="24">
        <f t="shared" ref="W173:W184" si="186">((U173-Q173)/Q173)</f>
        <v>5.4644808743169121E-3</v>
      </c>
      <c r="X173" s="388">
        <v>2597490000</v>
      </c>
      <c r="Y173" s="392">
        <v>20.239999999999998</v>
      </c>
      <c r="Z173" s="24">
        <f t="shared" ref="Z173:Z184" si="187">((X173-T173)/T173)</f>
        <v>-0.1385390428211587</v>
      </c>
      <c r="AA173" s="24">
        <f t="shared" ref="AA173:AA184" si="188">((Y173-U173)/U173)</f>
        <v>0</v>
      </c>
      <c r="AB173" s="388">
        <v>2980278000</v>
      </c>
      <c r="AC173" s="392">
        <v>20.059999999999999</v>
      </c>
      <c r="AD173" s="24">
        <f t="shared" ref="AD173:AD184" si="189">((AB173-X173)/X173)</f>
        <v>0.14736842105263157</v>
      </c>
      <c r="AE173" s="24">
        <f t="shared" ref="AE173:AE184" si="190">((AC173-Y173)/Y173)</f>
        <v>-8.893280632411054E-3</v>
      </c>
      <c r="AF173" s="388">
        <v>2896733000</v>
      </c>
      <c r="AG173" s="392">
        <v>20.02</v>
      </c>
      <c r="AH173" s="24">
        <f t="shared" ref="AH173:AH184" si="191">((AF173-AB173)/AB173)</f>
        <v>-2.8032619775739041E-2</v>
      </c>
      <c r="AI173" s="24">
        <f t="shared" ref="AI173:AI184" si="192">((AG173-AC173)/AC173)</f>
        <v>-1.9940179461614732E-3</v>
      </c>
      <c r="AJ173" s="25">
        <f t="shared" ref="AJ173" si="193">AVERAGE(F173,J173,N173,R173,V173,Z173,AD173,AH173)</f>
        <v>9.2406877328269563E-3</v>
      </c>
      <c r="AK173" s="25">
        <f t="shared" ref="AK173" si="194">AVERAGE(G173,K173,O173,S173,W173,AA173,AE173,AI173)</f>
        <v>3.8775599686176241E-3</v>
      </c>
      <c r="AL173" s="26">
        <f t="shared" ref="AL173" si="195">((AF173-D173)/D173)</f>
        <v>-9.7064393939393936E-2</v>
      </c>
      <c r="AM173" s="26">
        <f t="shared" ref="AM173" si="196">((AG173-E173)/E173)</f>
        <v>6.0301507537688943E-3</v>
      </c>
      <c r="AN173" s="27">
        <f t="shared" ref="AN173" si="197">STDEV(F173,J173,N173,R173,V173,Z173,AD173,AH173)</f>
        <v>0.14108598478111006</v>
      </c>
      <c r="AO173" s="84">
        <f t="shared" ref="AO173" si="198">STDEV(G173,K173,O173,S173,W173,AA173,AE173,AI173)</f>
        <v>1.2404676845791336E-2</v>
      </c>
    </row>
    <row r="174" spans="1:41">
      <c r="A174" s="217" t="s">
        <v>64</v>
      </c>
      <c r="B174" s="80">
        <v>374046407.26999998</v>
      </c>
      <c r="C174" s="392">
        <v>4.51</v>
      </c>
      <c r="D174" s="80">
        <v>420056671.49000001</v>
      </c>
      <c r="E174" s="392">
        <v>4.62</v>
      </c>
      <c r="F174" s="24">
        <f t="shared" si="177"/>
        <v>0.12300683371298414</v>
      </c>
      <c r="G174" s="24">
        <f t="shared" si="178"/>
        <v>2.4390243902439098E-2</v>
      </c>
      <c r="H174" s="80">
        <v>461806726.06</v>
      </c>
      <c r="I174" s="392">
        <v>4.58</v>
      </c>
      <c r="J174" s="24">
        <f t="shared" si="179"/>
        <v>9.9391480730223108E-2</v>
      </c>
      <c r="K174" s="24">
        <f t="shared" si="180"/>
        <v>-8.6580086580086649E-3</v>
      </c>
      <c r="L174" s="80">
        <v>421760755.35000002</v>
      </c>
      <c r="M174" s="392">
        <v>4.5199999999999996</v>
      </c>
      <c r="N174" s="24">
        <f t="shared" si="181"/>
        <v>-8.6715867158671536E-2</v>
      </c>
      <c r="O174" s="24">
        <f t="shared" si="182"/>
        <v>-1.3100436681222816E-2</v>
      </c>
      <c r="P174" s="80">
        <v>359864640.82999998</v>
      </c>
      <c r="Q174" s="392">
        <v>4.62</v>
      </c>
      <c r="R174" s="24">
        <f t="shared" si="183"/>
        <v>-0.14675645786112859</v>
      </c>
      <c r="S174" s="24">
        <f t="shared" si="184"/>
        <v>2.2123893805309856E-2</v>
      </c>
      <c r="T174" s="80">
        <v>394495413.58999997</v>
      </c>
      <c r="U174" s="392">
        <v>4.67</v>
      </c>
      <c r="V174" s="24">
        <f t="shared" si="185"/>
        <v>9.623277430126724E-2</v>
      </c>
      <c r="W174" s="24">
        <f t="shared" si="186"/>
        <v>1.0822510822510784E-2</v>
      </c>
      <c r="X174" s="80">
        <v>386827036.22000003</v>
      </c>
      <c r="Y174" s="392">
        <v>4.67</v>
      </c>
      <c r="Z174" s="24">
        <f t="shared" si="187"/>
        <v>-1.9438444924405909E-2</v>
      </c>
      <c r="AA174" s="24">
        <f t="shared" si="188"/>
        <v>0</v>
      </c>
      <c r="AB174" s="80">
        <v>369786197.62</v>
      </c>
      <c r="AC174" s="392">
        <v>4.38</v>
      </c>
      <c r="AD174" s="24">
        <f t="shared" si="189"/>
        <v>-4.4052863436123406E-2</v>
      </c>
      <c r="AE174" s="24">
        <f t="shared" si="190"/>
        <v>-6.2098501070663822E-2</v>
      </c>
      <c r="AF174" s="80">
        <v>369786197.62</v>
      </c>
      <c r="AG174" s="392">
        <v>4.42</v>
      </c>
      <c r="AH174" s="24">
        <f t="shared" si="191"/>
        <v>0</v>
      </c>
      <c r="AI174" s="24">
        <f t="shared" si="192"/>
        <v>9.1324200913242091E-3</v>
      </c>
      <c r="AJ174" s="25">
        <f t="shared" ref="AJ174:AJ186" si="199">AVERAGE(F174,J174,N174,R174,V174,Z174,AD174,AH174)</f>
        <v>2.7084319205181303E-3</v>
      </c>
      <c r="AK174" s="25">
        <f t="shared" ref="AK174:AK184" si="200">AVERAGE(G174,K174,O174,S174,W174,AA174,AE174,AI174)</f>
        <v>-2.1734847235389205E-3</v>
      </c>
      <c r="AL174" s="26">
        <f t="shared" ref="AL174:AL186" si="201">((AF174-D174)/D174)</f>
        <v>-0.11967545638945234</v>
      </c>
      <c r="AM174" s="26">
        <f t="shared" ref="AM174:AM184" si="202">((AG174-E174)/E174)</f>
        <v>-4.329004329004333E-2</v>
      </c>
      <c r="AN174" s="27">
        <f t="shared" ref="AN174:AN186" si="203">STDEV(F174,J174,N174,R174,V174,Z174,AD174,AH174)</f>
        <v>9.6796559164673168E-2</v>
      </c>
      <c r="AO174" s="84">
        <f t="shared" ref="AO174:AO184" si="204">STDEV(G174,K174,O174,S174,W174,AA174,AE174,AI174)</f>
        <v>2.764544037732428E-2</v>
      </c>
    </row>
    <row r="175" spans="1:41">
      <c r="A175" s="217" t="s">
        <v>54</v>
      </c>
      <c r="B175" s="388">
        <v>162305285.12</v>
      </c>
      <c r="C175" s="392">
        <v>6.27</v>
      </c>
      <c r="D175" s="388">
        <v>159737163.52000001</v>
      </c>
      <c r="E175" s="392">
        <v>6.24</v>
      </c>
      <c r="F175" s="24">
        <f t="shared" si="177"/>
        <v>-1.5822784810126545E-2</v>
      </c>
      <c r="G175" s="24">
        <f t="shared" si="178"/>
        <v>-4.7846889952152093E-3</v>
      </c>
      <c r="H175" s="388">
        <v>159737163.52000001</v>
      </c>
      <c r="I175" s="392">
        <v>6.2</v>
      </c>
      <c r="J175" s="24">
        <f t="shared" si="179"/>
        <v>0</v>
      </c>
      <c r="K175" s="24">
        <f t="shared" si="180"/>
        <v>-6.4102564102564161E-3</v>
      </c>
      <c r="L175" s="388">
        <v>159737163.52000001</v>
      </c>
      <c r="M175" s="392">
        <v>6.24</v>
      </c>
      <c r="N175" s="24">
        <f t="shared" si="181"/>
        <v>0</v>
      </c>
      <c r="O175" s="24">
        <f t="shared" si="182"/>
        <v>6.4516129032258117E-3</v>
      </c>
      <c r="P175" s="388">
        <v>145282273.86000001</v>
      </c>
      <c r="Q175" s="392">
        <v>6.63</v>
      </c>
      <c r="R175" s="24">
        <f t="shared" si="183"/>
        <v>-9.049171364677551E-2</v>
      </c>
      <c r="S175" s="24">
        <f t="shared" si="184"/>
        <v>6.2499999999999944E-2</v>
      </c>
      <c r="T175" s="388">
        <v>175659517.44</v>
      </c>
      <c r="U175" s="392">
        <v>7</v>
      </c>
      <c r="V175" s="24">
        <f t="shared" si="185"/>
        <v>0.20909119036278814</v>
      </c>
      <c r="W175" s="24">
        <f t="shared" si="186"/>
        <v>5.5806938159879353E-2</v>
      </c>
      <c r="X175" s="388">
        <v>178227639.03999999</v>
      </c>
      <c r="Y175" s="392">
        <v>7</v>
      </c>
      <c r="Z175" s="24">
        <f t="shared" si="187"/>
        <v>1.4619883040935639E-2</v>
      </c>
      <c r="AA175" s="24">
        <f t="shared" si="188"/>
        <v>0</v>
      </c>
      <c r="AB175" s="388">
        <v>180795760.63999999</v>
      </c>
      <c r="AC175" s="392">
        <v>7.08</v>
      </c>
      <c r="AD175" s="24">
        <f t="shared" si="189"/>
        <v>1.4409221902017258E-2</v>
      </c>
      <c r="AE175" s="24">
        <f t="shared" si="190"/>
        <v>1.1428571428571439E-2</v>
      </c>
      <c r="AF175" s="388">
        <v>178998075.52000001</v>
      </c>
      <c r="AG175" s="392">
        <v>7.01</v>
      </c>
      <c r="AH175" s="24">
        <f t="shared" si="191"/>
        <v>-9.943181818181681E-3</v>
      </c>
      <c r="AI175" s="24">
        <f t="shared" si="192"/>
        <v>-9.8870056497175549E-3</v>
      </c>
      <c r="AJ175" s="25">
        <f t="shared" si="199"/>
        <v>1.5232826878832165E-2</v>
      </c>
      <c r="AK175" s="25">
        <f t="shared" si="200"/>
        <v>1.4388146429560923E-2</v>
      </c>
      <c r="AL175" s="26">
        <f t="shared" si="201"/>
        <v>0.12057877813504822</v>
      </c>
      <c r="AM175" s="26">
        <f t="shared" si="202"/>
        <v>0.12339743589743582</v>
      </c>
      <c r="AN175" s="27">
        <f t="shared" si="203"/>
        <v>8.5207442706493969E-2</v>
      </c>
      <c r="AO175" s="84">
        <f t="shared" si="204"/>
        <v>2.8531905339330067E-2</v>
      </c>
    </row>
    <row r="176" spans="1:41">
      <c r="A176" s="217" t="s">
        <v>55</v>
      </c>
      <c r="B176" s="80">
        <v>257162956.88999999</v>
      </c>
      <c r="C176" s="392">
        <v>24.62</v>
      </c>
      <c r="D176" s="80">
        <v>258426139.65000001</v>
      </c>
      <c r="E176" s="392">
        <v>24.65</v>
      </c>
      <c r="F176" s="24">
        <f t="shared" si="177"/>
        <v>4.9119934506754778E-3</v>
      </c>
      <c r="G176" s="24">
        <f t="shared" si="178"/>
        <v>1.2185215272135493E-3</v>
      </c>
      <c r="H176" s="80">
        <v>258426139.65000001</v>
      </c>
      <c r="I176" s="392">
        <v>24.65</v>
      </c>
      <c r="J176" s="24">
        <f t="shared" si="179"/>
        <v>0</v>
      </c>
      <c r="K176" s="24">
        <f t="shared" si="180"/>
        <v>0</v>
      </c>
      <c r="L176" s="80">
        <v>258426139.65000001</v>
      </c>
      <c r="M176" s="392">
        <v>24.82</v>
      </c>
      <c r="N176" s="24">
        <f t="shared" si="181"/>
        <v>0</v>
      </c>
      <c r="O176" s="24">
        <f t="shared" si="182"/>
        <v>6.8965517241380003E-3</v>
      </c>
      <c r="P176" s="80">
        <v>254744081.99000001</v>
      </c>
      <c r="Q176" s="392">
        <v>24.91</v>
      </c>
      <c r="R176" s="24">
        <f t="shared" si="183"/>
        <v>-1.4248007825318286E-2</v>
      </c>
      <c r="S176" s="24">
        <f t="shared" si="184"/>
        <v>3.6261079774375445E-3</v>
      </c>
      <c r="T176" s="80">
        <v>264847318.68000001</v>
      </c>
      <c r="U176" s="392">
        <v>25.26</v>
      </c>
      <c r="V176" s="24">
        <f t="shared" si="185"/>
        <v>3.9660339157149095E-2</v>
      </c>
      <c r="W176" s="24">
        <f t="shared" si="186"/>
        <v>1.4050582095544014E-2</v>
      </c>
      <c r="X176" s="80">
        <v>269373723.56999999</v>
      </c>
      <c r="Y176" s="392">
        <v>25.26</v>
      </c>
      <c r="Z176" s="24">
        <f t="shared" si="187"/>
        <v>1.7090620031796448E-2</v>
      </c>
      <c r="AA176" s="24">
        <f t="shared" si="188"/>
        <v>0</v>
      </c>
      <c r="AB176" s="80">
        <v>268636866.95999998</v>
      </c>
      <c r="AC176" s="392">
        <v>25.62</v>
      </c>
      <c r="AD176" s="24">
        <f t="shared" si="189"/>
        <v>-2.7354435326299867E-3</v>
      </c>
      <c r="AE176" s="24">
        <f t="shared" si="190"/>
        <v>1.4251781472684062E-2</v>
      </c>
      <c r="AF176" s="80">
        <v>267373684.19999999</v>
      </c>
      <c r="AG176" s="392">
        <v>25.49</v>
      </c>
      <c r="AH176" s="24">
        <f t="shared" si="191"/>
        <v>-4.7021943573667358E-3</v>
      </c>
      <c r="AI176" s="24">
        <f t="shared" si="192"/>
        <v>-5.0741608118658292E-3</v>
      </c>
      <c r="AJ176" s="25">
        <f t="shared" si="199"/>
        <v>4.9971633655382522E-3</v>
      </c>
      <c r="AK176" s="25">
        <f t="shared" si="200"/>
        <v>4.3711729981439178E-3</v>
      </c>
      <c r="AL176" s="26">
        <f t="shared" si="201"/>
        <v>3.4623217922606857E-2</v>
      </c>
      <c r="AM176" s="26">
        <f t="shared" si="202"/>
        <v>3.4077079107505071E-2</v>
      </c>
      <c r="AN176" s="27">
        <f t="shared" si="203"/>
        <v>1.6570133852639741E-2</v>
      </c>
      <c r="AO176" s="84">
        <f t="shared" si="204"/>
        <v>6.9242626501294872E-3</v>
      </c>
    </row>
    <row r="177" spans="1:41">
      <c r="A177" s="217" t="s">
        <v>98</v>
      </c>
      <c r="B177" s="388">
        <v>575332271.37</v>
      </c>
      <c r="C177" s="392">
        <v>142.30000000000001</v>
      </c>
      <c r="D177" s="388">
        <v>575332271.37</v>
      </c>
      <c r="E177" s="392">
        <v>141.9</v>
      </c>
      <c r="F177" s="24">
        <f t="shared" si="177"/>
        <v>0</v>
      </c>
      <c r="G177" s="24">
        <f t="shared" si="178"/>
        <v>-2.8109627547435396E-3</v>
      </c>
      <c r="H177" s="388">
        <v>573572091.87</v>
      </c>
      <c r="I177" s="392">
        <v>142.15</v>
      </c>
      <c r="J177" s="24">
        <f t="shared" si="179"/>
        <v>-3.0594138163127942E-3</v>
      </c>
      <c r="K177" s="24">
        <f t="shared" si="180"/>
        <v>1.7618040873854826E-3</v>
      </c>
      <c r="L177" s="388">
        <v>571811912.37</v>
      </c>
      <c r="M177" s="392">
        <v>142.12</v>
      </c>
      <c r="N177" s="24">
        <f t="shared" si="181"/>
        <v>-3.0688025532437241E-3</v>
      </c>
      <c r="O177" s="24">
        <f t="shared" si="182"/>
        <v>-2.1104467112206216E-4</v>
      </c>
      <c r="P177" s="388">
        <v>571811912.37</v>
      </c>
      <c r="Q177" s="392">
        <v>142.65</v>
      </c>
      <c r="R177" s="24">
        <f t="shared" si="183"/>
        <v>0</v>
      </c>
      <c r="S177" s="24">
        <f t="shared" si="184"/>
        <v>3.7292428933295885E-3</v>
      </c>
      <c r="T177" s="388">
        <v>571811912.37</v>
      </c>
      <c r="U177" s="392">
        <v>142.75</v>
      </c>
      <c r="V177" s="24">
        <f t="shared" si="185"/>
        <v>0</v>
      </c>
      <c r="W177" s="24">
        <f t="shared" si="186"/>
        <v>7.010164738870965E-4</v>
      </c>
      <c r="X177" s="388">
        <v>571811912.37</v>
      </c>
      <c r="Y177" s="392">
        <v>142.75</v>
      </c>
      <c r="Z177" s="24">
        <f t="shared" si="187"/>
        <v>0</v>
      </c>
      <c r="AA177" s="24">
        <f t="shared" si="188"/>
        <v>0</v>
      </c>
      <c r="AB177" s="388">
        <v>568291553.37</v>
      </c>
      <c r="AC177" s="392">
        <v>143.69999999999999</v>
      </c>
      <c r="AD177" s="24">
        <f t="shared" si="189"/>
        <v>-6.1564981838330354E-3</v>
      </c>
      <c r="AE177" s="24">
        <f t="shared" si="190"/>
        <v>6.6549912434324945E-3</v>
      </c>
      <c r="AF177" s="388">
        <v>563011014.87</v>
      </c>
      <c r="AG177" s="392">
        <v>145.47</v>
      </c>
      <c r="AH177" s="24">
        <f t="shared" si="191"/>
        <v>-9.2919531685560306E-3</v>
      </c>
      <c r="AI177" s="24">
        <f t="shared" si="192"/>
        <v>1.2317327766179612E-2</v>
      </c>
      <c r="AJ177" s="25">
        <f t="shared" si="199"/>
        <v>-2.697083465243198E-3</v>
      </c>
      <c r="AK177" s="25">
        <f t="shared" si="200"/>
        <v>2.7677968797935842E-3</v>
      </c>
      <c r="AL177" s="26">
        <f t="shared" si="201"/>
        <v>-2.1415896714189562E-2</v>
      </c>
      <c r="AM177" s="26">
        <f t="shared" si="202"/>
        <v>2.5158562367864644E-2</v>
      </c>
      <c r="AN177" s="27">
        <f t="shared" si="203"/>
        <v>3.4810990020909998E-3</v>
      </c>
      <c r="AO177" s="84">
        <f t="shared" si="204"/>
        <v>4.7834320757844479E-3</v>
      </c>
    </row>
    <row r="178" spans="1:41">
      <c r="A178" s="217" t="s">
        <v>36</v>
      </c>
      <c r="B178" s="388">
        <v>656544429.39999998</v>
      </c>
      <c r="C178" s="392">
        <v>12295.3</v>
      </c>
      <c r="D178" s="388">
        <v>539346499</v>
      </c>
      <c r="E178" s="392">
        <v>10100</v>
      </c>
      <c r="F178" s="24">
        <f t="shared" si="177"/>
        <v>-0.17850723447170866</v>
      </c>
      <c r="G178" s="24">
        <f t="shared" si="178"/>
        <v>-0.17854790041723256</v>
      </c>
      <c r="H178" s="388">
        <v>655567246</v>
      </c>
      <c r="I178" s="392">
        <v>12277</v>
      </c>
      <c r="J178" s="24">
        <f t="shared" si="179"/>
        <v>0.21548438196128905</v>
      </c>
      <c r="K178" s="24">
        <f t="shared" si="180"/>
        <v>0.21554455445544554</v>
      </c>
      <c r="L178" s="388">
        <v>640721534.03999996</v>
      </c>
      <c r="M178" s="392">
        <v>11998.98</v>
      </c>
      <c r="N178" s="24">
        <f t="shared" si="181"/>
        <v>-2.2645597458662597E-2</v>
      </c>
      <c r="O178" s="24">
        <f t="shared" si="182"/>
        <v>-2.2645597458662577E-2</v>
      </c>
      <c r="P178" s="388">
        <v>639975030</v>
      </c>
      <c r="Q178" s="392">
        <v>11985</v>
      </c>
      <c r="R178" s="24">
        <f t="shared" si="183"/>
        <v>-1.1650990334177811E-3</v>
      </c>
      <c r="S178" s="24">
        <f t="shared" si="184"/>
        <v>-1.1650990334178043E-3</v>
      </c>
      <c r="T178" s="388">
        <v>592717800</v>
      </c>
      <c r="U178" s="392">
        <v>11100</v>
      </c>
      <c r="V178" s="24">
        <f t="shared" si="185"/>
        <v>-7.3842302878598248E-2</v>
      </c>
      <c r="W178" s="24">
        <f t="shared" si="186"/>
        <v>-7.3842302878598248E-2</v>
      </c>
      <c r="X178" s="388">
        <v>592723673.77999997</v>
      </c>
      <c r="Y178" s="392">
        <v>11100</v>
      </c>
      <c r="Z178" s="24">
        <f t="shared" si="187"/>
        <v>9.9099099098616409E-6</v>
      </c>
      <c r="AA178" s="24">
        <f t="shared" si="188"/>
        <v>0</v>
      </c>
      <c r="AB178" s="388">
        <v>592726343.67999995</v>
      </c>
      <c r="AC178" s="392">
        <v>11100.16</v>
      </c>
      <c r="AD178" s="24">
        <f t="shared" si="189"/>
        <v>4.5044598656728188E-6</v>
      </c>
      <c r="AE178" s="24">
        <f t="shared" si="190"/>
        <v>1.4414414414401305E-5</v>
      </c>
      <c r="AF178" s="388">
        <v>592717800</v>
      </c>
      <c r="AG178" s="392">
        <v>11100</v>
      </c>
      <c r="AH178" s="24">
        <f t="shared" si="191"/>
        <v>-1.4414206641977929E-5</v>
      </c>
      <c r="AI178" s="24">
        <f t="shared" si="192"/>
        <v>-1.4414206642053312E-5</v>
      </c>
      <c r="AJ178" s="25">
        <f t="shared" si="199"/>
        <v>-7.5844814647455855E-3</v>
      </c>
      <c r="AK178" s="25">
        <f t="shared" si="200"/>
        <v>-7.5820431405866631E-3</v>
      </c>
      <c r="AL178" s="26">
        <f t="shared" si="201"/>
        <v>9.8955497252611255E-2</v>
      </c>
      <c r="AM178" s="26">
        <f t="shared" si="202"/>
        <v>9.9009900990099015E-2</v>
      </c>
      <c r="AN178" s="27">
        <f t="shared" si="203"/>
        <v>0.10941730296435992</v>
      </c>
      <c r="AO178" s="84">
        <f t="shared" si="204"/>
        <v>0.10944390299750409</v>
      </c>
    </row>
    <row r="179" spans="1:41">
      <c r="A179" s="217" t="s">
        <v>51</v>
      </c>
      <c r="B179" s="388">
        <v>542561141.20000005</v>
      </c>
      <c r="C179" s="392">
        <v>16.239999999999998</v>
      </c>
      <c r="D179" s="388">
        <v>556354073.90999997</v>
      </c>
      <c r="E179" s="392">
        <v>16.66</v>
      </c>
      <c r="F179" s="24">
        <f t="shared" si="177"/>
        <v>2.5421895640173647E-2</v>
      </c>
      <c r="G179" s="24">
        <f t="shared" si="178"/>
        <v>2.5862068965517349E-2</v>
      </c>
      <c r="H179" s="388">
        <v>558941668.99000001</v>
      </c>
      <c r="I179" s="392">
        <v>16.73</v>
      </c>
      <c r="J179" s="24">
        <f t="shared" si="179"/>
        <v>4.6509861279790538E-3</v>
      </c>
      <c r="K179" s="24">
        <f t="shared" si="180"/>
        <v>4.2016806722689247E-3</v>
      </c>
      <c r="L179" s="388">
        <v>547986915.36000001</v>
      </c>
      <c r="M179" s="392">
        <v>16.41</v>
      </c>
      <c r="N179" s="24">
        <f t="shared" si="181"/>
        <v>-1.9599099937914963E-2</v>
      </c>
      <c r="O179" s="24">
        <f t="shared" si="182"/>
        <v>-1.9127316198445921E-2</v>
      </c>
      <c r="P179" s="388">
        <v>561326234.22000003</v>
      </c>
      <c r="Q179" s="392">
        <v>16.809999999999999</v>
      </c>
      <c r="R179" s="24">
        <f t="shared" si="183"/>
        <v>2.4342403962760221E-2</v>
      </c>
      <c r="S179" s="24">
        <f t="shared" si="184"/>
        <v>2.4375380865325934E-2</v>
      </c>
      <c r="T179" s="388">
        <v>568211503.79999995</v>
      </c>
      <c r="U179" s="392">
        <v>17.010000000000002</v>
      </c>
      <c r="V179" s="24">
        <f t="shared" si="185"/>
        <v>1.2266074806867814E-2</v>
      </c>
      <c r="W179" s="24">
        <f t="shared" si="186"/>
        <v>1.1897679952409449E-2</v>
      </c>
      <c r="X179" s="388">
        <v>574147608.40999997</v>
      </c>
      <c r="Y179" s="392">
        <v>17.010000000000002</v>
      </c>
      <c r="Z179" s="24">
        <f t="shared" si="187"/>
        <v>1.04469982925397E-2</v>
      </c>
      <c r="AA179" s="24">
        <f t="shared" si="188"/>
        <v>0</v>
      </c>
      <c r="AB179" s="388">
        <v>572436722.16999996</v>
      </c>
      <c r="AC179" s="392">
        <v>17.14</v>
      </c>
      <c r="AD179" s="24">
        <f t="shared" si="189"/>
        <v>-2.9798717523843838E-3</v>
      </c>
      <c r="AE179" s="24">
        <f t="shared" si="190"/>
        <v>7.6425631981186948E-3</v>
      </c>
      <c r="AF179" s="388">
        <v>572316712.51999998</v>
      </c>
      <c r="AG179" s="392">
        <v>17.14</v>
      </c>
      <c r="AH179" s="24">
        <f t="shared" si="191"/>
        <v>-2.096470148613844E-4</v>
      </c>
      <c r="AI179" s="24">
        <f t="shared" si="192"/>
        <v>0</v>
      </c>
      <c r="AJ179" s="25">
        <f t="shared" si="199"/>
        <v>6.7924675156449624E-3</v>
      </c>
      <c r="AK179" s="25">
        <f t="shared" si="200"/>
        <v>6.8565071818993042E-3</v>
      </c>
      <c r="AL179" s="26">
        <f t="shared" si="201"/>
        <v>2.8691510242418485E-2</v>
      </c>
      <c r="AM179" s="26">
        <f t="shared" si="202"/>
        <v>2.8811524609843962E-2</v>
      </c>
      <c r="AN179" s="27">
        <f t="shared" si="203"/>
        <v>1.485165133377374E-2</v>
      </c>
      <c r="AO179" s="84">
        <f t="shared" si="204"/>
        <v>1.4493270278391935E-2</v>
      </c>
    </row>
    <row r="180" spans="1:41">
      <c r="A180" s="217" t="s">
        <v>44</v>
      </c>
      <c r="B180" s="388">
        <v>465985818.86000001</v>
      </c>
      <c r="C180" s="392">
        <v>109.23</v>
      </c>
      <c r="D180" s="388">
        <v>477270455.54000002</v>
      </c>
      <c r="E180" s="392">
        <v>111.87</v>
      </c>
      <c r="F180" s="24">
        <f t="shared" si="177"/>
        <v>2.4216695494311477E-2</v>
      </c>
      <c r="G180" s="24">
        <f t="shared" si="178"/>
        <v>2.4169184290030215E-2</v>
      </c>
      <c r="H180" s="388">
        <v>478721776.20999998</v>
      </c>
      <c r="I180" s="392">
        <v>112.21</v>
      </c>
      <c r="J180" s="24">
        <f t="shared" si="179"/>
        <v>3.0408768302196362E-3</v>
      </c>
      <c r="K180" s="24">
        <f t="shared" si="180"/>
        <v>3.0392419772949778E-3</v>
      </c>
      <c r="L180" s="388">
        <v>473423951.35000002</v>
      </c>
      <c r="M180" s="392">
        <v>191.11</v>
      </c>
      <c r="N180" s="24">
        <f t="shared" si="181"/>
        <v>-1.1066605120707874E-2</v>
      </c>
      <c r="O180" s="24">
        <f t="shared" si="182"/>
        <v>0.70314588717583126</v>
      </c>
      <c r="P180" s="388">
        <v>483104548.48000002</v>
      </c>
      <c r="Q180" s="392">
        <v>224.91</v>
      </c>
      <c r="R180" s="24">
        <f t="shared" si="183"/>
        <v>2.0448051059510457E-2</v>
      </c>
      <c r="S180" s="24">
        <f t="shared" si="184"/>
        <v>0.17686149338077536</v>
      </c>
      <c r="T180" s="388">
        <v>486088022.32999998</v>
      </c>
      <c r="U180" s="392">
        <v>242.44</v>
      </c>
      <c r="V180" s="24">
        <f t="shared" si="185"/>
        <v>6.1756277381095218E-3</v>
      </c>
      <c r="W180" s="24">
        <f t="shared" si="186"/>
        <v>7.7942288026321652E-2</v>
      </c>
      <c r="X180" s="388">
        <v>488821099.52999997</v>
      </c>
      <c r="Y180" s="392">
        <v>242.44</v>
      </c>
      <c r="Z180" s="24">
        <f t="shared" si="187"/>
        <v>5.6225972960603646E-3</v>
      </c>
      <c r="AA180" s="24">
        <f t="shared" si="188"/>
        <v>0</v>
      </c>
      <c r="AB180" s="388">
        <v>482078162.77999997</v>
      </c>
      <c r="AC180" s="392">
        <v>265</v>
      </c>
      <c r="AD180" s="24">
        <f t="shared" si="189"/>
        <v>-1.3794283341049136E-2</v>
      </c>
      <c r="AE180" s="24">
        <f t="shared" si="190"/>
        <v>9.3053951493152959E-2</v>
      </c>
      <c r="AF180" s="388">
        <v>481090507.00999999</v>
      </c>
      <c r="AG180" s="392">
        <v>265</v>
      </c>
      <c r="AH180" s="24">
        <f t="shared" si="191"/>
        <v>-2.0487461292676415E-3</v>
      </c>
      <c r="AI180" s="24">
        <f t="shared" si="192"/>
        <v>0</v>
      </c>
      <c r="AJ180" s="25">
        <f t="shared" si="199"/>
        <v>4.0742767283983503E-3</v>
      </c>
      <c r="AK180" s="25">
        <f t="shared" si="200"/>
        <v>0.1347765057929258</v>
      </c>
      <c r="AL180" s="26">
        <f t="shared" si="201"/>
        <v>8.0039554631091362E-3</v>
      </c>
      <c r="AM180" s="26">
        <f t="shared" si="202"/>
        <v>1.3688209528917492</v>
      </c>
      <c r="AN180" s="27">
        <f t="shared" si="203"/>
        <v>1.3457454432517304E-2</v>
      </c>
      <c r="AO180" s="84">
        <f t="shared" si="204"/>
        <v>0.23775855069360677</v>
      </c>
    </row>
    <row r="181" spans="1:41">
      <c r="A181" s="217" t="s">
        <v>100</v>
      </c>
      <c r="B181" s="388">
        <v>640673529.03999996</v>
      </c>
      <c r="C181" s="392">
        <v>137.69</v>
      </c>
      <c r="D181" s="388">
        <v>661972389.97000003</v>
      </c>
      <c r="E181" s="392">
        <v>144.75</v>
      </c>
      <c r="F181" s="24">
        <f t="shared" si="177"/>
        <v>3.3244484069623999E-2</v>
      </c>
      <c r="G181" s="24">
        <f t="shared" si="178"/>
        <v>5.1274602367637465E-2</v>
      </c>
      <c r="H181" s="388">
        <v>659082179.95000005</v>
      </c>
      <c r="I181" s="392">
        <v>144.12</v>
      </c>
      <c r="J181" s="24">
        <f t="shared" si="179"/>
        <v>-4.3660582583073633E-3</v>
      </c>
      <c r="K181" s="24">
        <f t="shared" si="180"/>
        <v>-4.3523316062175849E-3</v>
      </c>
      <c r="L181" s="388">
        <v>652097907.47000003</v>
      </c>
      <c r="M181" s="392">
        <v>69.849999999999994</v>
      </c>
      <c r="N181" s="24">
        <f t="shared" si="181"/>
        <v>-1.0596967559538428E-2</v>
      </c>
      <c r="O181" s="24">
        <f t="shared" si="182"/>
        <v>-0.51533444351928959</v>
      </c>
      <c r="P181" s="388">
        <v>660329725.27999997</v>
      </c>
      <c r="Q181" s="392">
        <v>76.83</v>
      </c>
      <c r="R181" s="24">
        <f t="shared" si="183"/>
        <v>1.2623591819114448E-2</v>
      </c>
      <c r="S181" s="24">
        <f t="shared" si="184"/>
        <v>9.9928418038654321E-2</v>
      </c>
      <c r="T181" s="388">
        <v>665536730.01999998</v>
      </c>
      <c r="U181" s="392">
        <v>78.2</v>
      </c>
      <c r="V181" s="24">
        <f t="shared" si="185"/>
        <v>7.8854616726394995E-3</v>
      </c>
      <c r="W181" s="24">
        <f t="shared" si="186"/>
        <v>1.7831576207210785E-2</v>
      </c>
      <c r="X181" s="388">
        <v>659721802.24000001</v>
      </c>
      <c r="Y181" s="392">
        <v>78.2</v>
      </c>
      <c r="Z181" s="24">
        <f t="shared" si="187"/>
        <v>-8.7372003943722645E-3</v>
      </c>
      <c r="AA181" s="24">
        <f t="shared" si="188"/>
        <v>0</v>
      </c>
      <c r="AB181" s="388">
        <v>641171488.98000002</v>
      </c>
      <c r="AC181" s="392">
        <v>80</v>
      </c>
      <c r="AD181" s="24">
        <f t="shared" si="189"/>
        <v>-2.8118387473348314E-2</v>
      </c>
      <c r="AE181" s="24">
        <f t="shared" si="190"/>
        <v>2.3017902813299195E-2</v>
      </c>
      <c r="AF181" s="388">
        <v>641981664.67999995</v>
      </c>
      <c r="AG181" s="392">
        <v>80</v>
      </c>
      <c r="AH181" s="24">
        <f t="shared" si="191"/>
        <v>1.2635865972281249E-3</v>
      </c>
      <c r="AI181" s="24">
        <f t="shared" si="192"/>
        <v>0</v>
      </c>
      <c r="AJ181" s="25">
        <f t="shared" si="199"/>
        <v>3.9981380912996242E-4</v>
      </c>
      <c r="AK181" s="25">
        <f t="shared" si="200"/>
        <v>-4.0954284462338182E-2</v>
      </c>
      <c r="AL181" s="26">
        <f t="shared" si="201"/>
        <v>-3.0198729724824389E-2</v>
      </c>
      <c r="AM181" s="26">
        <f t="shared" si="202"/>
        <v>-0.44732297063903281</v>
      </c>
      <c r="AN181" s="27">
        <f t="shared" si="203"/>
        <v>1.8226314221477784E-2</v>
      </c>
      <c r="AO181" s="84">
        <f t="shared" si="204"/>
        <v>0.194801388481702</v>
      </c>
    </row>
    <row r="182" spans="1:41">
      <c r="A182" s="217" t="s">
        <v>151</v>
      </c>
      <c r="B182" s="388">
        <v>541250290.91999996</v>
      </c>
      <c r="C182" s="392">
        <v>127.58</v>
      </c>
      <c r="D182" s="388">
        <v>549775340.68957698</v>
      </c>
      <c r="E182" s="392">
        <v>129.54</v>
      </c>
      <c r="F182" s="24">
        <f t="shared" si="177"/>
        <v>1.5750660854309047E-2</v>
      </c>
      <c r="G182" s="24">
        <f t="shared" si="178"/>
        <v>1.5362909546950883E-2</v>
      </c>
      <c r="H182" s="388">
        <v>551574995.07993412</v>
      </c>
      <c r="I182" s="392">
        <v>129.96</v>
      </c>
      <c r="J182" s="24">
        <f t="shared" si="179"/>
        <v>3.2734359967834326E-3</v>
      </c>
      <c r="K182" s="24">
        <f t="shared" si="180"/>
        <v>3.2422417786013274E-3</v>
      </c>
      <c r="L182" s="388">
        <v>545831609.86000001</v>
      </c>
      <c r="M182" s="392">
        <v>128.63999999999999</v>
      </c>
      <c r="N182" s="24">
        <f t="shared" si="181"/>
        <v>-1.0412700487087482E-2</v>
      </c>
      <c r="O182" s="24">
        <f t="shared" si="182"/>
        <v>-1.0156971375808106E-2</v>
      </c>
      <c r="P182" s="388">
        <v>555811702.81756568</v>
      </c>
      <c r="Q182" s="392">
        <v>130.93</v>
      </c>
      <c r="R182" s="24">
        <f t="shared" si="183"/>
        <v>1.8284197502093095E-2</v>
      </c>
      <c r="S182" s="24">
        <f t="shared" si="184"/>
        <v>1.7801616915423046E-2</v>
      </c>
      <c r="T182" s="388">
        <v>558456812.69000006</v>
      </c>
      <c r="U182" s="392">
        <v>131.54</v>
      </c>
      <c r="V182" s="24">
        <f t="shared" si="185"/>
        <v>4.759003560064627E-3</v>
      </c>
      <c r="W182" s="24">
        <f t="shared" si="186"/>
        <v>4.6589780798899048E-3</v>
      </c>
      <c r="X182" s="388">
        <v>561597585.58000004</v>
      </c>
      <c r="Y182" s="392">
        <v>131.54</v>
      </c>
      <c r="Z182" s="24">
        <f t="shared" si="187"/>
        <v>5.6240210856616981E-3</v>
      </c>
      <c r="AA182" s="24">
        <f t="shared" si="188"/>
        <v>0</v>
      </c>
      <c r="AB182" s="388">
        <v>553404962.46000004</v>
      </c>
      <c r="AC182" s="392">
        <v>130.38</v>
      </c>
      <c r="AD182" s="24">
        <f t="shared" si="189"/>
        <v>-1.458806684779267E-2</v>
      </c>
      <c r="AE182" s="24">
        <f t="shared" si="190"/>
        <v>-8.8186103086513347E-3</v>
      </c>
      <c r="AF182" s="388">
        <v>553131704.53999996</v>
      </c>
      <c r="AG182" s="392">
        <v>132.32</v>
      </c>
      <c r="AH182" s="24">
        <f t="shared" si="191"/>
        <v>-4.9377569508120788E-4</v>
      </c>
      <c r="AI182" s="24">
        <f t="shared" si="192"/>
        <v>1.4879582758091715E-2</v>
      </c>
      <c r="AJ182" s="25">
        <f t="shared" si="199"/>
        <v>2.7745969961188175E-3</v>
      </c>
      <c r="AK182" s="25">
        <f t="shared" si="200"/>
        <v>4.6212184243121799E-3</v>
      </c>
      <c r="AL182" s="26">
        <f t="shared" si="201"/>
        <v>6.1049734355366489E-3</v>
      </c>
      <c r="AM182" s="26">
        <f t="shared" si="202"/>
        <v>2.1460552725027029E-2</v>
      </c>
      <c r="AN182" s="27">
        <f t="shared" si="203"/>
        <v>1.1384708034553966E-2</v>
      </c>
      <c r="AO182" s="84">
        <f t="shared" si="204"/>
        <v>1.0800948527190903E-2</v>
      </c>
    </row>
    <row r="183" spans="1:41">
      <c r="A183" s="217" t="s">
        <v>199</v>
      </c>
      <c r="B183" s="388">
        <v>244737027.19</v>
      </c>
      <c r="C183" s="392">
        <v>16.5</v>
      </c>
      <c r="D183" s="388">
        <v>239091543.55000001</v>
      </c>
      <c r="E183" s="392">
        <v>16.5</v>
      </c>
      <c r="F183" s="24">
        <f t="shared" si="177"/>
        <v>-2.3067550116219852E-2</v>
      </c>
      <c r="G183" s="24">
        <f t="shared" si="178"/>
        <v>0</v>
      </c>
      <c r="H183" s="388">
        <v>236249253.47</v>
      </c>
      <c r="I183" s="392">
        <v>16.5</v>
      </c>
      <c r="J183" s="24">
        <f t="shared" si="179"/>
        <v>-1.1887873731534212E-2</v>
      </c>
      <c r="K183" s="24">
        <f t="shared" si="180"/>
        <v>0</v>
      </c>
      <c r="L183" s="388">
        <v>246168263.31</v>
      </c>
      <c r="M183" s="392">
        <v>16.5</v>
      </c>
      <c r="N183" s="24">
        <f t="shared" si="181"/>
        <v>4.1985359506160572E-2</v>
      </c>
      <c r="O183" s="24">
        <f t="shared" si="182"/>
        <v>0</v>
      </c>
      <c r="P183" s="388">
        <v>251258340.52000001</v>
      </c>
      <c r="Q183" s="392">
        <v>16.5</v>
      </c>
      <c r="R183" s="24">
        <f t="shared" si="183"/>
        <v>2.0677227606671896E-2</v>
      </c>
      <c r="S183" s="24">
        <f t="shared" si="184"/>
        <v>0</v>
      </c>
      <c r="T183" s="388">
        <v>254970435.22</v>
      </c>
      <c r="U183" s="392">
        <v>16.5</v>
      </c>
      <c r="V183" s="24">
        <f t="shared" si="185"/>
        <v>1.477401582895716E-2</v>
      </c>
      <c r="W183" s="24">
        <f t="shared" si="186"/>
        <v>0</v>
      </c>
      <c r="X183" s="388">
        <v>236877927.06999999</v>
      </c>
      <c r="Y183" s="392">
        <v>16.5</v>
      </c>
      <c r="Z183" s="24">
        <f t="shared" si="187"/>
        <v>-7.0959239389417728E-2</v>
      </c>
      <c r="AA183" s="24">
        <f t="shared" si="188"/>
        <v>0</v>
      </c>
      <c r="AB183" s="388">
        <v>224350840.75</v>
      </c>
      <c r="AC183" s="392">
        <v>16.5</v>
      </c>
      <c r="AD183" s="24">
        <f t="shared" si="189"/>
        <v>-5.28841436386688E-2</v>
      </c>
      <c r="AE183" s="24">
        <f t="shared" si="190"/>
        <v>0</v>
      </c>
      <c r="AF183" s="388">
        <v>223248121.65000001</v>
      </c>
      <c r="AG183" s="392">
        <v>16.5</v>
      </c>
      <c r="AH183" s="24">
        <f t="shared" si="191"/>
        <v>-4.9151547474198358E-3</v>
      </c>
      <c r="AI183" s="24">
        <f t="shared" si="192"/>
        <v>0</v>
      </c>
      <c r="AJ183" s="25">
        <f t="shared" si="199"/>
        <v>-1.0784669835183851E-2</v>
      </c>
      <c r="AK183" s="25">
        <f t="shared" si="200"/>
        <v>0</v>
      </c>
      <c r="AL183" s="26">
        <f t="shared" si="201"/>
        <v>-6.6265086856519245E-2</v>
      </c>
      <c r="AM183" s="26">
        <f t="shared" si="202"/>
        <v>0</v>
      </c>
      <c r="AN183" s="27">
        <f t="shared" si="203"/>
        <v>3.781091174699798E-2</v>
      </c>
      <c r="AO183" s="84">
        <f t="shared" si="204"/>
        <v>0</v>
      </c>
    </row>
    <row r="184" spans="1:41">
      <c r="A184" s="217" t="s">
        <v>200</v>
      </c>
      <c r="B184" s="388">
        <v>191830417.69</v>
      </c>
      <c r="C184" s="392">
        <v>17.5</v>
      </c>
      <c r="D184" s="388">
        <v>191944395.91999999</v>
      </c>
      <c r="E184" s="392">
        <v>17.5</v>
      </c>
      <c r="F184" s="24">
        <f t="shared" si="177"/>
        <v>5.941614024120998E-4</v>
      </c>
      <c r="G184" s="24">
        <f t="shared" si="178"/>
        <v>0</v>
      </c>
      <c r="H184" s="388">
        <v>184972621.69999999</v>
      </c>
      <c r="I184" s="392">
        <v>17.5</v>
      </c>
      <c r="J184" s="24">
        <f t="shared" si="179"/>
        <v>-3.6321843034717964E-2</v>
      </c>
      <c r="K184" s="24">
        <f t="shared" si="180"/>
        <v>0</v>
      </c>
      <c r="L184" s="388">
        <v>189960009.93000001</v>
      </c>
      <c r="M184" s="392">
        <v>17.5</v>
      </c>
      <c r="N184" s="24">
        <f t="shared" si="181"/>
        <v>2.6962845550672212E-2</v>
      </c>
      <c r="O184" s="24">
        <f t="shared" si="182"/>
        <v>0</v>
      </c>
      <c r="P184" s="388">
        <v>190394152.84</v>
      </c>
      <c r="Q184" s="392">
        <v>17.5</v>
      </c>
      <c r="R184" s="24">
        <f t="shared" si="183"/>
        <v>2.2854437108103831E-3</v>
      </c>
      <c r="S184" s="24">
        <f t="shared" si="184"/>
        <v>0</v>
      </c>
      <c r="T184" s="388">
        <v>190549339.34</v>
      </c>
      <c r="U184" s="392">
        <v>17.5</v>
      </c>
      <c r="V184" s="24">
        <f t="shared" si="185"/>
        <v>8.1508017806835079E-4</v>
      </c>
      <c r="W184" s="24">
        <f t="shared" si="186"/>
        <v>0</v>
      </c>
      <c r="X184" s="388">
        <v>184834387.44</v>
      </c>
      <c r="Y184" s="392">
        <v>17.5</v>
      </c>
      <c r="Z184" s="24">
        <f t="shared" si="187"/>
        <v>-2.9991979609033086E-2</v>
      </c>
      <c r="AA184" s="24">
        <f t="shared" si="188"/>
        <v>0</v>
      </c>
      <c r="AB184" s="388">
        <v>181643849.27000001</v>
      </c>
      <c r="AC184" s="392">
        <v>17.5</v>
      </c>
      <c r="AD184" s="24">
        <f t="shared" si="189"/>
        <v>-1.7261604911238085E-2</v>
      </c>
      <c r="AE184" s="24">
        <f t="shared" si="190"/>
        <v>0</v>
      </c>
      <c r="AF184" s="388">
        <v>177977078.88999999</v>
      </c>
      <c r="AG184" s="392">
        <v>17.5</v>
      </c>
      <c r="AH184" s="24">
        <f t="shared" si="191"/>
        <v>-2.0186592580680476E-2</v>
      </c>
      <c r="AI184" s="24">
        <f t="shared" si="192"/>
        <v>0</v>
      </c>
      <c r="AJ184" s="25">
        <f t="shared" si="199"/>
        <v>-9.138061161713321E-3</v>
      </c>
      <c r="AK184" s="25">
        <f t="shared" si="200"/>
        <v>0</v>
      </c>
      <c r="AL184" s="26">
        <f t="shared" si="201"/>
        <v>-7.2767516670929025E-2</v>
      </c>
      <c r="AM184" s="26">
        <f t="shared" si="202"/>
        <v>0</v>
      </c>
      <c r="AN184" s="27">
        <f t="shared" si="203"/>
        <v>2.0665564969945208E-2</v>
      </c>
      <c r="AO184" s="84">
        <f t="shared" si="204"/>
        <v>0</v>
      </c>
    </row>
    <row r="185" spans="1:41" ht="15.75" thickBot="1">
      <c r="A185" s="218" t="s">
        <v>37</v>
      </c>
      <c r="B185" s="82">
        <f>SUM(B173:B184)</f>
        <v>7537010574.9499979</v>
      </c>
      <c r="C185" s="335"/>
      <c r="D185" s="82">
        <f>SUM(D173:D184)</f>
        <v>7837434944.6095772</v>
      </c>
      <c r="E185" s="335"/>
      <c r="F185" s="24">
        <f>((D185-B185)/B185)</f>
        <v>3.9859884323112063E-2</v>
      </c>
      <c r="G185" s="224"/>
      <c r="H185" s="82">
        <f>SUM(H173:H184)</f>
        <v>8659696862.4999352</v>
      </c>
      <c r="I185" s="335"/>
      <c r="J185" s="24">
        <f>((H185-D185)/D185)</f>
        <v>0.10491467217292724</v>
      </c>
      <c r="K185" s="224"/>
      <c r="L185" s="82">
        <f>SUM(L173:L184)</f>
        <v>7852256162.210001</v>
      </c>
      <c r="M185" s="335"/>
      <c r="N185" s="24">
        <f>((L185-H185)/H185)</f>
        <v>-9.3241220000030947E-2</v>
      </c>
      <c r="O185" s="224"/>
      <c r="P185" s="82">
        <f>SUM(P173:P184)</f>
        <v>7600483643.3475657</v>
      </c>
      <c r="Q185" s="335"/>
      <c r="R185" s="24">
        <f>((P185-L185)/L185)</f>
        <v>-3.2063716931972137E-2</v>
      </c>
      <c r="S185" s="224"/>
      <c r="T185" s="82">
        <f>SUM(T173:T184)</f>
        <v>7738559805.4800005</v>
      </c>
      <c r="U185" s="335"/>
      <c r="V185" s="24">
        <f>((T185-P185)/P185)</f>
        <v>1.8166759986818472E-2</v>
      </c>
      <c r="W185" s="224"/>
      <c r="X185" s="82">
        <f>SUM(X173:X184)</f>
        <v>7302454395.249999</v>
      </c>
      <c r="Y185" s="335"/>
      <c r="Z185" s="24">
        <f>((X185-T185)/T185)</f>
        <v>-5.6354854287121593E-2</v>
      </c>
      <c r="AA185" s="224"/>
      <c r="AB185" s="82">
        <f>SUM(AB173:AB184)</f>
        <v>7615600748.6800013</v>
      </c>
      <c r="AC185" s="335"/>
      <c r="AD185" s="24">
        <f>((AB185-X185)/X185)</f>
        <v>4.2882342905652841E-2</v>
      </c>
      <c r="AE185" s="224"/>
      <c r="AF185" s="82">
        <f>SUM(AF173:AF184)</f>
        <v>7518365561.5</v>
      </c>
      <c r="AG185" s="335"/>
      <c r="AH185" s="24">
        <f>((AF185-AB185)/AB185)</f>
        <v>-1.2767894535024681E-2</v>
      </c>
      <c r="AI185" s="224"/>
      <c r="AJ185" s="25">
        <f t="shared" si="199"/>
        <v>1.4244967042951592E-3</v>
      </c>
      <c r="AK185" s="25"/>
      <c r="AL185" s="26">
        <f t="shared" si="201"/>
        <v>-4.0710945017671425E-2</v>
      </c>
      <c r="AM185" s="26"/>
      <c r="AN185" s="27">
        <f t="shared" si="203"/>
        <v>6.3030024107772836E-2</v>
      </c>
      <c r="AO185" s="84"/>
    </row>
    <row r="186" spans="1:41" ht="15.75" thickBot="1">
      <c r="A186" s="64" t="s">
        <v>47</v>
      </c>
      <c r="B186" s="239">
        <f>SUM(B165,B170,B185)</f>
        <v>1570616428718.3882</v>
      </c>
      <c r="C186" s="336"/>
      <c r="D186" s="239">
        <f>SUM(D165,D170,D185)</f>
        <v>1592021939668.0723</v>
      </c>
      <c r="E186" s="336"/>
      <c r="F186" s="224">
        <f>((D186-B186)/B186)</f>
        <v>1.3628732361567635E-2</v>
      </c>
      <c r="G186" s="334"/>
      <c r="H186" s="239">
        <f>SUM(H165,H170,H185)</f>
        <v>1614778223107.3408</v>
      </c>
      <c r="I186" s="336"/>
      <c r="J186" s="224">
        <f>((H186-D186)/D186)</f>
        <v>1.4293950901212526E-2</v>
      </c>
      <c r="K186" s="334"/>
      <c r="L186" s="239">
        <f>SUM(L165,L170,L185)</f>
        <v>1624285350689.9875</v>
      </c>
      <c r="M186" s="336"/>
      <c r="N186" s="224">
        <f>((L186-H186)/H186)</f>
        <v>5.8875748053822691E-3</v>
      </c>
      <c r="O186" s="334"/>
      <c r="P186" s="239">
        <f>SUM(P165,P170,P185)</f>
        <v>1648137946874.4346</v>
      </c>
      <c r="Q186" s="336"/>
      <c r="R186" s="224">
        <f>((P186-L186)/L186)</f>
        <v>1.4684978950474785E-2</v>
      </c>
      <c r="S186" s="334"/>
      <c r="T186" s="239">
        <f>SUM(T165,T170,T185)</f>
        <v>1674812902692.7385</v>
      </c>
      <c r="U186" s="336"/>
      <c r="V186" s="224">
        <f>((T186-P186)/P186)</f>
        <v>1.6184904830867423E-2</v>
      </c>
      <c r="W186" s="334"/>
      <c r="X186" s="239">
        <f>SUM(X165,X170,X185)</f>
        <v>1691196679078.0962</v>
      </c>
      <c r="Y186" s="336"/>
      <c r="Z186" s="224">
        <f>((X186-T186)/T186)</f>
        <v>9.7824517347675569E-3</v>
      </c>
      <c r="AA186" s="334"/>
      <c r="AB186" s="239">
        <f>SUM(AB165,AB170,AB185)</f>
        <v>1688865902848.1709</v>
      </c>
      <c r="AC186" s="336"/>
      <c r="AD186" s="224">
        <f>((AB186-X186)/X186)</f>
        <v>-1.3781816501649258E-3</v>
      </c>
      <c r="AE186" s="334"/>
      <c r="AF186" s="452">
        <f>SUM(AF161,AF168,AF185)</f>
        <v>99140040368.589996</v>
      </c>
      <c r="AG186" s="336"/>
      <c r="AH186" s="224">
        <f>((AF186-AB186)/AB186)</f>
        <v>-0.94129786136282556</v>
      </c>
      <c r="AI186" s="334"/>
      <c r="AJ186" s="25">
        <f t="shared" si="199"/>
        <v>-0.1085266811785898</v>
      </c>
      <c r="AK186" s="25"/>
      <c r="AL186" s="26">
        <f t="shared" si="201"/>
        <v>-0.9377269634931914</v>
      </c>
      <c r="AM186" s="26"/>
      <c r="AN186" s="27">
        <f t="shared" si="203"/>
        <v>0.33654064878621326</v>
      </c>
      <c r="AO186" s="84"/>
    </row>
  </sheetData>
  <protectedRanges>
    <protectedRange password="CADF" sqref="B18" name="Fund Name_1_1_1_3_1_1"/>
    <protectedRange password="CADF" sqref="C18" name="Fund Name_1_1_1_1_1_1"/>
    <protectedRange password="CADF" sqref="B46" name="Yield_2_1_2_3_1_4"/>
    <protectedRange password="CADF" sqref="B51" name="Yield_2_1_2_4_1_4"/>
    <protectedRange password="CADF" sqref="B76" name="Yield_2_1_2_1_1_3"/>
    <protectedRange password="CADF" sqref="C76" name="Fund Name_2_2_1_1_4"/>
    <protectedRange password="CADF" sqref="C75" name="BidOffer Prices_2_1_1_1_1_1_1_1_1_1"/>
    <protectedRange password="CADF" sqref="B93" name="Yield_2_1_2_6_3"/>
    <protectedRange password="CADF" sqref="B140:B142" name="Fund Name_1_1_1_2"/>
    <protectedRange password="CADF" sqref="C140:C142" name="Fund Name_1_1_1_1_2_5"/>
    <protectedRange password="CADF" sqref="D18" name="Fund Name_1_1_1_3_1_1_5"/>
    <protectedRange password="CADF" sqref="E18" name="Fund Name_1_1_1_1_1_1_5"/>
    <protectedRange password="CADF" sqref="D46" name="Yield_2_1_2_3_1_5"/>
    <protectedRange password="CADF" sqref="D51" name="Yield_2_1_2_4_1_5"/>
    <protectedRange password="CADF" sqref="D76" name="Yield_2_1_2_1_1_4"/>
    <protectedRange password="CADF" sqref="E76" name="Fund Name_2_2_1_1_5"/>
    <protectedRange password="CADF" sqref="E75" name="BidOffer Prices_2_1_1_1_1_1_1_1_1_1_4"/>
    <protectedRange password="CADF" sqref="D93" name="Yield_2_1_2_6_3_1"/>
    <protectedRange password="CADF" sqref="D140:D142" name="Fund Name_1_1_1_2_5"/>
    <protectedRange password="CADF" sqref="E140:E142" name="Fund Name_1_1_1_1_2_6"/>
    <protectedRange password="CADF" sqref="H18" name="Fund Name_1_1_1_3_1_1_6"/>
    <protectedRange password="CADF" sqref="I18" name="Fund Name_1_1_1_1_1_1_6"/>
    <protectedRange password="CADF" sqref="H46" name="Yield_2_1_2_3_1_6"/>
    <protectedRange password="CADF" sqref="H51" name="Yield_2_1_2_4_1_6"/>
    <protectedRange password="CADF" sqref="H76" name="Yield_2_1_2_1_1_5"/>
    <protectedRange password="CADF" sqref="I76" name="Fund Name_2_2_1_1_6"/>
    <protectedRange password="CADF" sqref="I75" name="BidOffer Prices_2_1_1_1_1_1_1_1_1_1_5"/>
    <protectedRange password="CADF" sqref="H93" name="Yield_2_1_2_6_3_2"/>
    <protectedRange password="CADF" sqref="H140:H142" name="Fund Name_1_1_1_2_6"/>
    <protectedRange password="CADF" sqref="I140:I142" name="Fund Name_1_1_1_1_2_7"/>
    <protectedRange password="CADF" sqref="L18" name="Fund Name_1_1_1_3_1_1_9"/>
    <protectedRange password="CADF" sqref="M18" name="Fund Name_1_1_1_1_1_1_9"/>
    <protectedRange password="CADF" sqref="L46" name="Yield_2_1_2_3_1_8"/>
    <protectedRange password="CADF" sqref="L51" name="Yield_2_1_2_4_1_8"/>
    <protectedRange password="CADF" sqref="L76" name="Yield_2_1_2_1_1_6"/>
    <protectedRange password="CADF" sqref="M76" name="Fund Name_2_2_1_1_7"/>
    <protectedRange password="CADF" sqref="M75" name="BidOffer Prices_2_1_1_1_1_1_1_1_1_1_6"/>
    <protectedRange password="CADF" sqref="L93" name="Yield_2_1_2_6_3_3"/>
    <protectedRange password="CADF" sqref="L140:L142" name="Fund Name_1_1_1_2_9"/>
    <protectedRange password="CADF" sqref="M140:M142" name="Fund Name_1_1_1_1_2_9"/>
    <protectedRange password="CADF" sqref="P18" name="Fund Name_1_1_1_3_1_1_1"/>
    <protectedRange password="CADF" sqref="Q18" name="Fund Name_1_1_1_1_1_1_1"/>
    <protectedRange password="CADF" sqref="P46" name="Yield_2_1_2_3_1_1"/>
    <protectedRange password="CADF" sqref="P51" name="Yield_2_1_2_4_1_1"/>
    <protectedRange password="CADF" sqref="P76" name="Yield_2_1_2_1_1_1"/>
    <protectedRange password="CADF" sqref="Q76" name="Fund Name_2_2_1_1"/>
    <protectedRange password="CADF" sqref="Q75" name="BidOffer Prices_2_1_1_1_1_1_1_1_1_1_1"/>
    <protectedRange password="CADF" sqref="P93" name="Yield_2_1_2_6_3_4"/>
    <protectedRange password="CADF" sqref="P140:P142" name="Fund Name_1_1_1_2_1"/>
    <protectedRange password="CADF" sqref="Q140:Q142" name="Fund Name_1_1_1_1_2"/>
    <protectedRange password="CADF" sqref="T18" name="Fund Name_1_1_1_3_1_1_7"/>
    <protectedRange password="CADF" sqref="U18" name="Fund Name_1_1_1_1_1_1_8"/>
    <protectedRange password="CADF" sqref="T46" name="Yield_2_1_2_3_1_7"/>
    <protectedRange password="CADF" sqref="T51" name="Yield_2_1_2_4_1_7"/>
    <protectedRange password="CADF" sqref="T93" name="Yield_2_1_2_6_3_5"/>
    <protectedRange password="CADF" sqref="T76" name="Yield_2_1_2_1_1"/>
    <protectedRange password="CADF" sqref="U76" name="Fund Name_2_2_1_1_1"/>
    <protectedRange password="CADF" sqref="U75" name="BidOffer Prices_2_1_1_1_1_1_1_1_1_1_2"/>
    <protectedRange password="CADF" sqref="T140:T142" name="Fund Name_1_1_1_2_2"/>
    <protectedRange password="CADF" sqref="U140:U142" name="Fund Name_1_1_1_1_2_1"/>
    <protectedRange password="CADF" sqref="X18" name="Fund Name_1_1_1_3_1_1_2"/>
    <protectedRange password="CADF" sqref="Y18" name="Fund Name_1_1_1_1_1_1_2"/>
    <protectedRange password="CADF" sqref="X76" name="Yield_2_1_2_1_1_7"/>
    <protectedRange password="CADF" sqref="Y76" name="Fund Name_2_2_1_1_2"/>
    <protectedRange password="CADF" sqref="Y75" name="BidOffer Prices_2_1_1_1_1_1_1_1_1_1_7"/>
    <protectedRange password="CADF" sqref="X93" name="Yield_2_1_2_6_3_6"/>
    <protectedRange password="CADF" sqref="Y140:Y142" name="Fund Name_1_1_1_1_2_2"/>
    <protectedRange password="CADF" sqref="X46" name="Yield_2_1_2_3_1"/>
    <protectedRange password="CADF" sqref="X51" name="Yield_2_1_2_4_1"/>
    <protectedRange password="CADF" sqref="X140:X142" name="Fund Name_1_1_1_2_8"/>
    <protectedRange password="CADF" sqref="AB18" name="Fund Name_1_1_1_3_1_1_8"/>
    <protectedRange password="CADF" sqref="AC18" name="Fund Name_1_1_1_1_1_1_7"/>
    <protectedRange password="CADF" sqref="AB46" name="Yield_2_1_2_3_1_9"/>
    <protectedRange password="CADF" sqref="AB51" name="Yield_2_1_2_4_1_9"/>
    <protectedRange password="CADF" sqref="AB76" name="Yield_2_1_2_1_1_8"/>
    <protectedRange password="CADF" sqref="AC76" name="Fund Name_2_2_1_1_8"/>
    <protectedRange password="CADF" sqref="AC75" name="BidOffer Prices_2_1_1_1_1_1_1_1_1_1_8"/>
    <protectedRange password="CADF" sqref="AB93" name="Yield_2_1_2_6_3_7"/>
    <protectedRange password="CADF" sqref="AB140:AB142" name="Fund Name_1_1_1_2_7"/>
    <protectedRange password="CADF" sqref="AC140:AC142" name="Fund Name_1_1_1_1_2_8"/>
    <protectedRange password="CADF" sqref="AF18" name="Fund Name_1_1_1_3_1_1_3"/>
    <protectedRange password="CADF" sqref="AG18" name="Fund Name_1_1_1_1_1_1_3"/>
    <protectedRange password="CADF" sqref="AF76" name="Yield_2_1_2_1_1_9"/>
    <protectedRange password="CADF" sqref="AG76" name="Fund Name_2_2_1_1_9"/>
    <protectedRange password="CADF" sqref="AG75" name="BidOffer Prices_2_1_1_1_1_1_1_1_1_1_9"/>
    <protectedRange password="CADF" sqref="AF93" name="Yield_2_1_2_6_3_8"/>
    <protectedRange password="CADF" sqref="AF46" name="Yield_2_1_2_3_1_2"/>
    <protectedRange password="CADF" sqref="AF51" name="Yield_2_1_2_4_1_2"/>
    <protectedRange password="CADF" sqref="AF140:AF142" name="Fund Name_1_1_1_2_3"/>
    <protectedRange password="CADF" sqref="AG140:AG142" name="Fund Name_1_1_1_1_2_3"/>
  </protectedRanges>
  <mergeCells count="23">
    <mergeCell ref="AQ2:AR2"/>
    <mergeCell ref="AQ125:AR125"/>
    <mergeCell ref="B2:C2"/>
    <mergeCell ref="D2:E2"/>
    <mergeCell ref="F2:G2"/>
    <mergeCell ref="H2:I2"/>
    <mergeCell ref="J2:K2"/>
    <mergeCell ref="L2:M2"/>
    <mergeCell ref="N2:O2"/>
    <mergeCell ref="P2:Q2"/>
    <mergeCell ref="X2:Y2"/>
    <mergeCell ref="Z2:AA2"/>
    <mergeCell ref="AB2:AC2"/>
    <mergeCell ref="AF2:AG2"/>
    <mergeCell ref="A1:AO1"/>
    <mergeCell ref="AN2:AO2"/>
    <mergeCell ref="AL2:AM2"/>
    <mergeCell ref="AJ2:AK2"/>
    <mergeCell ref="R2:S2"/>
    <mergeCell ref="T2:U2"/>
    <mergeCell ref="V2:W2"/>
    <mergeCell ref="AD2:AE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2023-03-30T13:56:10Z</dcterms:modified>
</cp:coreProperties>
</file>